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4.xml" ContentType="application/vnd.openxmlformats-officedocument.drawing+xml"/>
  <Override PartName="/xl/comments6.xml" ContentType="application/vnd.openxmlformats-officedocument.spreadsheetml.comments+xml"/>
  <Override PartName="/xl/drawings/drawing5.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E:\Users\DLL RL\Downloads\"/>
    </mc:Choice>
  </mc:AlternateContent>
  <bookViews>
    <workbookView xWindow="0" yWindow="0" windowWidth="20490" windowHeight="7050" tabRatio="859" activeTab="1"/>
  </bookViews>
  <sheets>
    <sheet name="Plan ejecución" sheetId="30" r:id="rId1"/>
    <sheet name="Presupuesto Convenio " sheetId="34" r:id="rId2"/>
    <sheet name="ppto sistema septico" sheetId="18" r:id="rId3"/>
    <sheet name="FICHAS " sheetId="20" r:id="rId4"/>
    <sheet name="A.P.U. 2023" sheetId="31" r:id="rId5"/>
    <sheet name="Actualizacion de precios" sheetId="39" r:id="rId6"/>
    <sheet name="VALOR UNITARIO SS Y TG" sheetId="38" r:id="rId7"/>
    <sheet name="ESTUDIO MERCADO 2023" sheetId="40" r:id="rId8"/>
    <sheet name="Salarios y transporte" sheetId="35" r:id="rId9"/>
    <sheet name="A.U" sheetId="33"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s>
  <definedNames>
    <definedName name="_____________________________________________________TEP44" localSheetId="4">#N/A</definedName>
    <definedName name="_____________________________________________________TEP44" localSheetId="5">#N/A</definedName>
    <definedName name="_____________________________________________________TEP44">#N/A</definedName>
    <definedName name="_____________________________________________________TZ216" localSheetId="4">#N/A</definedName>
    <definedName name="_____________________________________________________TZ216" localSheetId="5">#N/A</definedName>
    <definedName name="_____________________________________________________TZ216">#N/A</definedName>
    <definedName name="____________________________________________________ADM4">[1]BASE!$D$120</definedName>
    <definedName name="____________________________________________________AIU1" localSheetId="4">#REF!</definedName>
    <definedName name="____________________________________________________AIU1" localSheetId="5">#REF!</definedName>
    <definedName name="____________________________________________________AIU1">#REF!</definedName>
    <definedName name="____________________________________________________TPE1132" localSheetId="4">#N/A</definedName>
    <definedName name="____________________________________________________TPE1132" localSheetId="5">#N/A</definedName>
    <definedName name="____________________________________________________TPE1132">#N/A</definedName>
    <definedName name="____________________________________________________TPE12" localSheetId="4">#REF!</definedName>
    <definedName name="____________________________________________________TPE12" localSheetId="5">#REF!</definedName>
    <definedName name="____________________________________________________TPE12">#REF!</definedName>
    <definedName name="____________________________________________________TPE1331" localSheetId="4">#N/A</definedName>
    <definedName name="____________________________________________________TPE1331" localSheetId="5">#N/A</definedName>
    <definedName name="____________________________________________________TPE1331">#N/A</definedName>
    <definedName name="____________________________________________________TPE1702" localSheetId="4">#N/A</definedName>
    <definedName name="____________________________________________________TPE1702" localSheetId="5">#N/A</definedName>
    <definedName name="____________________________________________________TPE1702">#N/A</definedName>
    <definedName name="____________________________________________________TPE1703" localSheetId="4">#N/A</definedName>
    <definedName name="____________________________________________________TPE1703" localSheetId="5">#N/A</definedName>
    <definedName name="____________________________________________________TPE1703">#N/A</definedName>
    <definedName name="____________________________________________________TPE1704" localSheetId="4">#N/A</definedName>
    <definedName name="____________________________________________________TPE1704" localSheetId="5">#N/A</definedName>
    <definedName name="____________________________________________________TPE1704">#N/A</definedName>
    <definedName name="____________________________________________________TPE1706" localSheetId="4">#N/A</definedName>
    <definedName name="____________________________________________________TPE1706" localSheetId="5">#N/A</definedName>
    <definedName name="____________________________________________________TPE1706">#N/A</definedName>
    <definedName name="____________________________________________________TPE1708" localSheetId="4">#N/A</definedName>
    <definedName name="____________________________________________________TPE1708" localSheetId="5">#N/A</definedName>
    <definedName name="____________________________________________________TPE1708">#N/A</definedName>
    <definedName name="____________________________________________________TPE1710" localSheetId="4">#N/A</definedName>
    <definedName name="____________________________________________________TPE1710" localSheetId="5">#N/A</definedName>
    <definedName name="____________________________________________________TPE1710">#N/A</definedName>
    <definedName name="____________________________________________________TPE1735" localSheetId="4">#N/A</definedName>
    <definedName name="____________________________________________________TPE1735" localSheetId="5">#N/A</definedName>
    <definedName name="____________________________________________________TPE1735">#N/A</definedName>
    <definedName name="____________________________________________________TPE1763" localSheetId="4">#N/A</definedName>
    <definedName name="____________________________________________________TPE1763" localSheetId="5">#N/A</definedName>
    <definedName name="____________________________________________________TPE1763">#N/A</definedName>
    <definedName name="____________________________________________________TPE1790" localSheetId="4">#N/A</definedName>
    <definedName name="____________________________________________________TPE1790" localSheetId="5">#N/A</definedName>
    <definedName name="____________________________________________________TPE1790">#N/A</definedName>
    <definedName name="____________________________________________________TUZ22" localSheetId="4">'[2]BASE ORIGINAL'!#REF!</definedName>
    <definedName name="____________________________________________________TUZ22" localSheetId="5">'[2]BASE ORIGINAL'!#REF!</definedName>
    <definedName name="____________________________________________________TUZ22">'[2]BASE ORIGINAL'!#REF!</definedName>
    <definedName name="____________________________________________________TUZ36" localSheetId="4">'[2]BASE ORIGINAL'!#REF!</definedName>
    <definedName name="____________________________________________________TUZ36" localSheetId="5">'[2]BASE ORIGINAL'!#REF!</definedName>
    <definedName name="____________________________________________________TUZ36">'[2]BASE ORIGINAL'!#REF!</definedName>
    <definedName name="____________________________________________________TZ214" localSheetId="4">#N/A</definedName>
    <definedName name="____________________________________________________TZ214" localSheetId="5">#N/A</definedName>
    <definedName name="____________________________________________________TZ214">#N/A</definedName>
    <definedName name="____________________________________________________TZ323" localSheetId="4">'[2]BASE ORIGINAL'!#REF!</definedName>
    <definedName name="____________________________________________________TZ323" localSheetId="5">'[2]BASE ORIGINAL'!#REF!</definedName>
    <definedName name="____________________________________________________TZ323">'[2]BASE ORIGINAL'!#REF!</definedName>
    <definedName name="____________________________________________________TZ324" localSheetId="4">'[2]BASE ORIGINAL'!#REF!</definedName>
    <definedName name="____________________________________________________TZ324" localSheetId="5">'[2]BASE ORIGINAL'!#REF!</definedName>
    <definedName name="____________________________________________________TZ324">'[2]BASE ORIGINAL'!#REF!</definedName>
    <definedName name="____________________________________________________TZ32510" localSheetId="4">#N/A</definedName>
    <definedName name="____________________________________________________TZ32510" localSheetId="5">#N/A</definedName>
    <definedName name="____________________________________________________TZ32510">#N/A</definedName>
    <definedName name="___________________________________________________ADM4" localSheetId="1">[1]BASE!$D$120</definedName>
    <definedName name="___________________________________________________ADM4">[1]BASE!$D$120</definedName>
    <definedName name="___________________________________________________TEP44" localSheetId="4">#N/A</definedName>
    <definedName name="___________________________________________________TEP44" localSheetId="5">#N/A</definedName>
    <definedName name="___________________________________________________TEP44">#N/A</definedName>
    <definedName name="___________________________________________________TZ216" localSheetId="4">#N/A</definedName>
    <definedName name="___________________________________________________TZ216" localSheetId="5">#N/A</definedName>
    <definedName name="___________________________________________________TZ216">#N/A</definedName>
    <definedName name="__________________________________________________ADH12">[1]BASE!$D$218</definedName>
    <definedName name="__________________________________________________ADM12">[1]BASE!$D$219</definedName>
    <definedName name="__________________________________________________ADM4" localSheetId="1">[1]BASE!$D$120</definedName>
    <definedName name="__________________________________________________ADM4">[1]BASE!$D$120</definedName>
    <definedName name="__________________________________________________AIU1" localSheetId="4">#REF!</definedName>
    <definedName name="__________________________________________________AIU1" localSheetId="5">#REF!</definedName>
    <definedName name="__________________________________________________AIU1">#REF!</definedName>
    <definedName name="__________________________________________________AIU2">[3]BASE!$C$5</definedName>
    <definedName name="__________________________________________________BAZ10">[1]BASE!$D$270</definedName>
    <definedName name="__________________________________________________BLO20">[1]BASE!$D$56</definedName>
    <definedName name="__________________________________________________CAN28">[1]BASE!$D$315</definedName>
    <definedName name="__________________________________________________Cod1" localSheetId="4">#N/A</definedName>
    <definedName name="__________________________________________________Cod1" localSheetId="5">#N/A</definedName>
    <definedName name="__________________________________________________Cod1">#N/A</definedName>
    <definedName name="__________________________________________________CUA44">[1]BASE!$D$253</definedName>
    <definedName name="__________________________________________________LA124">[1]BASE!$D$64</definedName>
    <definedName name="__________________________________________________LAC18">[4]BASE!$D$252</definedName>
    <definedName name="__________________________________________________Po2">[5]REAJUSTESACTA1PROVI!#REF!</definedName>
    <definedName name="__________________________________________________R84JH">[4]BASE!$D$172</definedName>
    <definedName name="__________________________________________________REP43">[6]BASE!$D$136</definedName>
    <definedName name="__________________________________________________TEP44" localSheetId="4">#N/A</definedName>
    <definedName name="__________________________________________________TEP44" localSheetId="5">#N/A</definedName>
    <definedName name="__________________________________________________TEP44">#N/A</definedName>
    <definedName name="__________________________________________________TPE1132" localSheetId="4">#N/A</definedName>
    <definedName name="__________________________________________________TPE1132" localSheetId="5">#N/A</definedName>
    <definedName name="__________________________________________________TPE1132">#N/A</definedName>
    <definedName name="__________________________________________________TPE12" localSheetId="4">#REF!</definedName>
    <definedName name="__________________________________________________TPE12" localSheetId="5">#REF!</definedName>
    <definedName name="__________________________________________________TPE12">#REF!</definedName>
    <definedName name="__________________________________________________TPE1331" localSheetId="4">#N/A</definedName>
    <definedName name="__________________________________________________TPE1331" localSheetId="5">#N/A</definedName>
    <definedName name="__________________________________________________TPE1331">#N/A</definedName>
    <definedName name="__________________________________________________TPE1702" localSheetId="4">#N/A</definedName>
    <definedName name="__________________________________________________TPE1702" localSheetId="5">#N/A</definedName>
    <definedName name="__________________________________________________TPE1702">#N/A</definedName>
    <definedName name="__________________________________________________TPE1703" localSheetId="4">#N/A</definedName>
    <definedName name="__________________________________________________TPE1703" localSheetId="5">#N/A</definedName>
    <definedName name="__________________________________________________TPE1703">#N/A</definedName>
    <definedName name="__________________________________________________TPE1704" localSheetId="4">#N/A</definedName>
    <definedName name="__________________________________________________TPE1704" localSheetId="5">#N/A</definedName>
    <definedName name="__________________________________________________TPE1704">#N/A</definedName>
    <definedName name="__________________________________________________TPE1706" localSheetId="4">#N/A</definedName>
    <definedName name="__________________________________________________TPE1706" localSheetId="5">#N/A</definedName>
    <definedName name="__________________________________________________TPE1706">#N/A</definedName>
    <definedName name="__________________________________________________TPE1708" localSheetId="4">#N/A</definedName>
    <definedName name="__________________________________________________TPE1708" localSheetId="5">#N/A</definedName>
    <definedName name="__________________________________________________TPE1708">#N/A</definedName>
    <definedName name="__________________________________________________TPE1710" localSheetId="4">#N/A</definedName>
    <definedName name="__________________________________________________TPE1710" localSheetId="5">#N/A</definedName>
    <definedName name="__________________________________________________TPE1710">#N/A</definedName>
    <definedName name="__________________________________________________TPE1735" localSheetId="4">#N/A</definedName>
    <definedName name="__________________________________________________TPE1735" localSheetId="5">#N/A</definedName>
    <definedName name="__________________________________________________TPE1735">#N/A</definedName>
    <definedName name="__________________________________________________TPE1763" localSheetId="4">#N/A</definedName>
    <definedName name="__________________________________________________TPE1763" localSheetId="5">#N/A</definedName>
    <definedName name="__________________________________________________TPE1763">#N/A</definedName>
    <definedName name="__________________________________________________TPE1790" localSheetId="4">#N/A</definedName>
    <definedName name="__________________________________________________TPE1790" localSheetId="5">#N/A</definedName>
    <definedName name="__________________________________________________TPE1790">#N/A</definedName>
    <definedName name="__________________________________________________TPF12">[1]BASE!$D$217</definedName>
    <definedName name="__________________________________________________TUZ22" localSheetId="4">'[2]BASE ORIGINAL'!#REF!</definedName>
    <definedName name="__________________________________________________TUZ22" localSheetId="5">'[2]BASE ORIGINAL'!#REF!</definedName>
    <definedName name="__________________________________________________TUZ22">'[2]BASE ORIGINAL'!#REF!</definedName>
    <definedName name="__________________________________________________TUZ36" localSheetId="4">'[2]BASE ORIGINAL'!#REF!</definedName>
    <definedName name="__________________________________________________TUZ36" localSheetId="5">'[2]BASE ORIGINAL'!#REF!</definedName>
    <definedName name="__________________________________________________TUZ36">'[2]BASE ORIGINAL'!#REF!</definedName>
    <definedName name="__________________________________________________TZ2110">[1]BASE!$D$79</definedName>
    <definedName name="__________________________________________________TZ214" localSheetId="4">#N/A</definedName>
    <definedName name="__________________________________________________TZ214" localSheetId="5">#N/A</definedName>
    <definedName name="__________________________________________________TZ214">#N/A</definedName>
    <definedName name="__________________________________________________TZ216" localSheetId="4">#N/A</definedName>
    <definedName name="__________________________________________________TZ216" localSheetId="5">#N/A</definedName>
    <definedName name="__________________________________________________TZ216">#N/A</definedName>
    <definedName name="__________________________________________________TZ268">[4]BASE!$D$85</definedName>
    <definedName name="__________________________________________________TZ323" localSheetId="4">'[2]BASE ORIGINAL'!#REF!</definedName>
    <definedName name="__________________________________________________TZ323" localSheetId="5">'[2]BASE ORIGINAL'!#REF!</definedName>
    <definedName name="__________________________________________________TZ323">'[2]BASE ORIGINAL'!#REF!</definedName>
    <definedName name="__________________________________________________TZ324" localSheetId="4">'[2]BASE ORIGINAL'!#REF!</definedName>
    <definedName name="__________________________________________________TZ324" localSheetId="5">'[2]BASE ORIGINAL'!#REF!</definedName>
    <definedName name="__________________________________________________TZ324">'[2]BASE ORIGINAL'!#REF!</definedName>
    <definedName name="__________________________________________________TZ32510" localSheetId="4">#N/A</definedName>
    <definedName name="__________________________________________________TZ32510" localSheetId="5">#N/A</definedName>
    <definedName name="__________________________________________________TZ32510">#N/A</definedName>
    <definedName name="_________________________________________________ADH12" localSheetId="1">[1]BASE!$D$218</definedName>
    <definedName name="_________________________________________________ADH12">[1]BASE!$D$218</definedName>
    <definedName name="_________________________________________________ADM12" localSheetId="1">[1]BASE!$D$219</definedName>
    <definedName name="_________________________________________________ADM12">[1]BASE!$D$219</definedName>
    <definedName name="_________________________________________________ADM4" localSheetId="1">[1]BASE!$D$120</definedName>
    <definedName name="_________________________________________________ADM4">[1]BASE!$D$120</definedName>
    <definedName name="_________________________________________________AIU1" localSheetId="4">#REF!</definedName>
    <definedName name="_________________________________________________AIU1" localSheetId="5">#REF!</definedName>
    <definedName name="_________________________________________________AIU1">#REF!</definedName>
    <definedName name="_________________________________________________AIU2">[3]BASE!$C$5</definedName>
    <definedName name="_________________________________________________BAZ10" localSheetId="1">[1]BASE!$D$270</definedName>
    <definedName name="_________________________________________________BAZ10">[1]BASE!$D$270</definedName>
    <definedName name="_________________________________________________BLO20" localSheetId="1">[1]BASE!$D$56</definedName>
    <definedName name="_________________________________________________BLO20">[1]BASE!$D$56</definedName>
    <definedName name="_________________________________________________CAN28" localSheetId="1">[1]BASE!$D$315</definedName>
    <definedName name="_________________________________________________CAN28">[1]BASE!$D$315</definedName>
    <definedName name="_________________________________________________Cod1" localSheetId="4">#REF!</definedName>
    <definedName name="_________________________________________________Cod1" localSheetId="5">#REF!</definedName>
    <definedName name="_________________________________________________Cod1">#REF!</definedName>
    <definedName name="_________________________________________________CUA44" localSheetId="1">[1]BASE!$D$253</definedName>
    <definedName name="_________________________________________________CUA44">[1]BASE!$D$253</definedName>
    <definedName name="_________________________________________________LA124" localSheetId="1">[1]BASE!$D$64</definedName>
    <definedName name="_________________________________________________LA124">[1]BASE!$D$64</definedName>
    <definedName name="_________________________________________________LAC18">[4]BASE!$D$252</definedName>
    <definedName name="_________________________________________________Po2">[5]REAJUSTESACTA1PROVI!#REF!</definedName>
    <definedName name="_________________________________________________R84JH">[4]BASE!$D$172</definedName>
    <definedName name="_________________________________________________REP43">[6]BASE!$D$136</definedName>
    <definedName name="_________________________________________________TEP44" localSheetId="4">#N/A</definedName>
    <definedName name="_________________________________________________TEP44" localSheetId="5">#N/A</definedName>
    <definedName name="_________________________________________________TEP44">#N/A</definedName>
    <definedName name="_________________________________________________TPE1132" localSheetId="4">#N/A</definedName>
    <definedName name="_________________________________________________TPE1132" localSheetId="5">#N/A</definedName>
    <definedName name="_________________________________________________TPE1132">#N/A</definedName>
    <definedName name="_________________________________________________TPE12" localSheetId="4">#REF!</definedName>
    <definedName name="_________________________________________________TPE12" localSheetId="5">#REF!</definedName>
    <definedName name="_________________________________________________TPE12">#REF!</definedName>
    <definedName name="_________________________________________________TPE1331" localSheetId="4">#N/A</definedName>
    <definedName name="_________________________________________________TPE1331" localSheetId="5">#N/A</definedName>
    <definedName name="_________________________________________________TPE1331">#N/A</definedName>
    <definedName name="_________________________________________________TPE1702" localSheetId="4">#N/A</definedName>
    <definedName name="_________________________________________________TPE1702" localSheetId="5">#N/A</definedName>
    <definedName name="_________________________________________________TPE1702">#N/A</definedName>
    <definedName name="_________________________________________________TPE1703" localSheetId="4">#N/A</definedName>
    <definedName name="_________________________________________________TPE1703" localSheetId="5">#N/A</definedName>
    <definedName name="_________________________________________________TPE1703">#N/A</definedName>
    <definedName name="_________________________________________________TPE1704" localSheetId="4">#N/A</definedName>
    <definedName name="_________________________________________________TPE1704" localSheetId="5">#N/A</definedName>
    <definedName name="_________________________________________________TPE1704">#N/A</definedName>
    <definedName name="_________________________________________________TPE1706" localSheetId="4">#N/A</definedName>
    <definedName name="_________________________________________________TPE1706" localSheetId="5">#N/A</definedName>
    <definedName name="_________________________________________________TPE1706">#N/A</definedName>
    <definedName name="_________________________________________________TPE1708" localSheetId="4">#N/A</definedName>
    <definedName name="_________________________________________________TPE1708" localSheetId="5">#N/A</definedName>
    <definedName name="_________________________________________________TPE1708">#N/A</definedName>
    <definedName name="_________________________________________________TPE1710" localSheetId="4">#N/A</definedName>
    <definedName name="_________________________________________________TPE1710" localSheetId="5">#N/A</definedName>
    <definedName name="_________________________________________________TPE1710">#N/A</definedName>
    <definedName name="_________________________________________________TPE1735" localSheetId="4">#N/A</definedName>
    <definedName name="_________________________________________________TPE1735" localSheetId="5">#N/A</definedName>
    <definedName name="_________________________________________________TPE1735">#N/A</definedName>
    <definedName name="_________________________________________________TPE1763" localSheetId="4">#N/A</definedName>
    <definedName name="_________________________________________________TPE1763" localSheetId="5">#N/A</definedName>
    <definedName name="_________________________________________________TPE1763">#N/A</definedName>
    <definedName name="_________________________________________________TPE1790" localSheetId="4">#N/A</definedName>
    <definedName name="_________________________________________________TPE1790" localSheetId="5">#N/A</definedName>
    <definedName name="_________________________________________________TPE1790">#N/A</definedName>
    <definedName name="_________________________________________________TPF12" localSheetId="1">[1]BASE!$D$217</definedName>
    <definedName name="_________________________________________________TPF12">[1]BASE!$D$217</definedName>
    <definedName name="_________________________________________________TUZ22" localSheetId="4">'[2]BASE ORIGINAL'!#REF!</definedName>
    <definedName name="_________________________________________________TUZ22" localSheetId="5">'[2]BASE ORIGINAL'!#REF!</definedName>
    <definedName name="_________________________________________________TUZ22">'[2]BASE ORIGINAL'!#REF!</definedName>
    <definedName name="_________________________________________________TUZ36" localSheetId="4">'[2]BASE ORIGINAL'!#REF!</definedName>
    <definedName name="_________________________________________________TUZ36" localSheetId="5">'[2]BASE ORIGINAL'!#REF!</definedName>
    <definedName name="_________________________________________________TUZ36">'[2]BASE ORIGINAL'!#REF!</definedName>
    <definedName name="_________________________________________________TZ2110" localSheetId="1">[1]BASE!$D$79</definedName>
    <definedName name="_________________________________________________TZ2110">[1]BASE!$D$79</definedName>
    <definedName name="_________________________________________________TZ214" localSheetId="4">#N/A</definedName>
    <definedName name="_________________________________________________TZ214" localSheetId="5">#N/A</definedName>
    <definedName name="_________________________________________________TZ214">#N/A</definedName>
    <definedName name="_________________________________________________TZ216" localSheetId="4">#N/A</definedName>
    <definedName name="_________________________________________________TZ216" localSheetId="5">#N/A</definedName>
    <definedName name="_________________________________________________TZ216">#N/A</definedName>
    <definedName name="_________________________________________________TZ268">[4]BASE!$D$85</definedName>
    <definedName name="_________________________________________________TZ323" localSheetId="4">'[2]BASE ORIGINAL'!#REF!</definedName>
    <definedName name="_________________________________________________TZ323" localSheetId="5">'[2]BASE ORIGINAL'!#REF!</definedName>
    <definedName name="_________________________________________________TZ323">'[2]BASE ORIGINAL'!#REF!</definedName>
    <definedName name="_________________________________________________TZ324" localSheetId="4">'[2]BASE ORIGINAL'!#REF!</definedName>
    <definedName name="_________________________________________________TZ324" localSheetId="5">'[2]BASE ORIGINAL'!#REF!</definedName>
    <definedName name="_________________________________________________TZ324">'[2]BASE ORIGINAL'!#REF!</definedName>
    <definedName name="_________________________________________________TZ32510" localSheetId="4">#N/A</definedName>
    <definedName name="_________________________________________________TZ32510" localSheetId="5">#N/A</definedName>
    <definedName name="_________________________________________________TZ32510">#N/A</definedName>
    <definedName name="________________________________________________ADH12" localSheetId="1">[1]BASE!$D$218</definedName>
    <definedName name="________________________________________________ADH12">[1]BASE!$D$218</definedName>
    <definedName name="________________________________________________ADM12" localSheetId="1">[1]BASE!$D$219</definedName>
    <definedName name="________________________________________________ADM12">[1]BASE!$D$219</definedName>
    <definedName name="________________________________________________ADM4" localSheetId="4">#REF!</definedName>
    <definedName name="________________________________________________ADM4" localSheetId="5">#REF!</definedName>
    <definedName name="________________________________________________ADM4">#REF!</definedName>
    <definedName name="________________________________________________AIU1" localSheetId="4">#REF!</definedName>
    <definedName name="________________________________________________AIU1" localSheetId="5">#REF!</definedName>
    <definedName name="________________________________________________AIU1">#REF!</definedName>
    <definedName name="________________________________________________AIU2">[3]BASE!$C$5</definedName>
    <definedName name="________________________________________________BAZ10" localSheetId="1">[1]BASE!$D$270</definedName>
    <definedName name="________________________________________________BAZ10">[1]BASE!$D$270</definedName>
    <definedName name="________________________________________________BLO20" localSheetId="1">[1]BASE!$D$56</definedName>
    <definedName name="________________________________________________BLO20">[1]BASE!$D$56</definedName>
    <definedName name="________________________________________________CAN28" localSheetId="1">[1]BASE!$D$315</definedName>
    <definedName name="________________________________________________CAN28">[1]BASE!$D$315</definedName>
    <definedName name="________________________________________________Cod1" localSheetId="4">#REF!</definedName>
    <definedName name="________________________________________________Cod1" localSheetId="5">#REF!</definedName>
    <definedName name="________________________________________________Cod1">#REF!</definedName>
    <definedName name="________________________________________________CUA44" localSheetId="1">[1]BASE!$D$253</definedName>
    <definedName name="________________________________________________CUA44">[1]BASE!$D$253</definedName>
    <definedName name="________________________________________________LA124" localSheetId="1">[1]BASE!$D$64</definedName>
    <definedName name="________________________________________________LA124">[1]BASE!$D$64</definedName>
    <definedName name="________________________________________________LAC18">[4]BASE!$D$252</definedName>
    <definedName name="________________________________________________Po2">[5]REAJUSTESACTA1PROVI!#REF!</definedName>
    <definedName name="________________________________________________R84JH">[4]BASE!$D$172</definedName>
    <definedName name="________________________________________________REP43">[6]BASE!$D$136</definedName>
    <definedName name="________________________________________________TEP44" localSheetId="4">#N/A</definedName>
    <definedName name="________________________________________________TEP44" localSheetId="5">#N/A</definedName>
    <definedName name="________________________________________________TEP44">#N/A</definedName>
    <definedName name="________________________________________________TPE1132" localSheetId="4">#N/A</definedName>
    <definedName name="________________________________________________TPE1132" localSheetId="5">#N/A</definedName>
    <definedName name="________________________________________________TPE1132">#N/A</definedName>
    <definedName name="________________________________________________TPE12" localSheetId="4">#REF!</definedName>
    <definedName name="________________________________________________TPE12" localSheetId="5">#REF!</definedName>
    <definedName name="________________________________________________TPE12">#REF!</definedName>
    <definedName name="________________________________________________TPE1331" localSheetId="4">#N/A</definedName>
    <definedName name="________________________________________________TPE1331" localSheetId="5">#N/A</definedName>
    <definedName name="________________________________________________TPE1331">#N/A</definedName>
    <definedName name="________________________________________________TPE1702" localSheetId="4">#N/A</definedName>
    <definedName name="________________________________________________TPE1702" localSheetId="5">#N/A</definedName>
    <definedName name="________________________________________________TPE1702">#N/A</definedName>
    <definedName name="________________________________________________TPE1703" localSheetId="4">#N/A</definedName>
    <definedName name="________________________________________________TPE1703" localSheetId="5">#N/A</definedName>
    <definedName name="________________________________________________TPE1703">#N/A</definedName>
    <definedName name="________________________________________________TPE1704" localSheetId="4">#N/A</definedName>
    <definedName name="________________________________________________TPE1704" localSheetId="5">#N/A</definedName>
    <definedName name="________________________________________________TPE1704">#N/A</definedName>
    <definedName name="________________________________________________TPE1706" localSheetId="4">#N/A</definedName>
    <definedName name="________________________________________________TPE1706" localSheetId="5">#N/A</definedName>
    <definedName name="________________________________________________TPE1706">#N/A</definedName>
    <definedName name="________________________________________________TPE1708" localSheetId="4">#N/A</definedName>
    <definedName name="________________________________________________TPE1708" localSheetId="5">#N/A</definedName>
    <definedName name="________________________________________________TPE1708">#N/A</definedName>
    <definedName name="________________________________________________TPE1710" localSheetId="4">#N/A</definedName>
    <definedName name="________________________________________________TPE1710" localSheetId="5">#N/A</definedName>
    <definedName name="________________________________________________TPE1710">#N/A</definedName>
    <definedName name="________________________________________________TPE1735" localSheetId="4">#N/A</definedName>
    <definedName name="________________________________________________TPE1735" localSheetId="5">#N/A</definedName>
    <definedName name="________________________________________________TPE1735">#N/A</definedName>
    <definedName name="________________________________________________TPE1763" localSheetId="4">#N/A</definedName>
    <definedName name="________________________________________________TPE1763" localSheetId="5">#N/A</definedName>
    <definedName name="________________________________________________TPE1763">#N/A</definedName>
    <definedName name="________________________________________________TPE1790" localSheetId="4">#N/A</definedName>
    <definedName name="________________________________________________TPE1790" localSheetId="5">#N/A</definedName>
    <definedName name="________________________________________________TPE1790">#N/A</definedName>
    <definedName name="________________________________________________TPF12" localSheetId="1">[1]BASE!$D$217</definedName>
    <definedName name="________________________________________________TPF12">[1]BASE!$D$217</definedName>
    <definedName name="________________________________________________TUZ22" localSheetId="4">'[2]BASE ORIGINAL'!#REF!</definedName>
    <definedName name="________________________________________________TUZ22" localSheetId="5">'[2]BASE ORIGINAL'!#REF!</definedName>
    <definedName name="________________________________________________TUZ22">'[2]BASE ORIGINAL'!#REF!</definedName>
    <definedName name="________________________________________________TUZ36" localSheetId="4">'[2]BASE ORIGINAL'!#REF!</definedName>
    <definedName name="________________________________________________TUZ36" localSheetId="5">'[2]BASE ORIGINAL'!#REF!</definedName>
    <definedName name="________________________________________________TUZ36">'[2]BASE ORIGINAL'!#REF!</definedName>
    <definedName name="________________________________________________TZ2110" localSheetId="1">[1]BASE!$D$79</definedName>
    <definedName name="________________________________________________TZ2110">[1]BASE!$D$79</definedName>
    <definedName name="________________________________________________TZ214" localSheetId="4">#N/A</definedName>
    <definedName name="________________________________________________TZ214" localSheetId="5">#N/A</definedName>
    <definedName name="________________________________________________TZ214">#N/A</definedName>
    <definedName name="________________________________________________TZ216" localSheetId="4">#N/A</definedName>
    <definedName name="________________________________________________TZ216" localSheetId="5">#N/A</definedName>
    <definedName name="________________________________________________TZ216">#N/A</definedName>
    <definedName name="________________________________________________TZ268">[4]BASE!$D$85</definedName>
    <definedName name="________________________________________________TZ323" localSheetId="4">'[2]BASE ORIGINAL'!#REF!</definedName>
    <definedName name="________________________________________________TZ323" localSheetId="5">'[2]BASE ORIGINAL'!#REF!</definedName>
    <definedName name="________________________________________________TZ323">'[2]BASE ORIGINAL'!#REF!</definedName>
    <definedName name="________________________________________________TZ324" localSheetId="4">'[2]BASE ORIGINAL'!#REF!</definedName>
    <definedName name="________________________________________________TZ324" localSheetId="5">'[2]BASE ORIGINAL'!#REF!</definedName>
    <definedName name="________________________________________________TZ324">'[2]BASE ORIGINAL'!#REF!</definedName>
    <definedName name="________________________________________________TZ32510" localSheetId="4">#N/A</definedName>
    <definedName name="________________________________________________TZ32510" localSheetId="5">#N/A</definedName>
    <definedName name="________________________________________________TZ32510">#N/A</definedName>
    <definedName name="_______________________________________________ADH12" localSheetId="1">[1]BASE!$D$218</definedName>
    <definedName name="_______________________________________________ADH12">[1]BASE!$D$218</definedName>
    <definedName name="_______________________________________________ADM12" localSheetId="1">[1]BASE!$D$219</definedName>
    <definedName name="_______________________________________________ADM12">[1]BASE!$D$219</definedName>
    <definedName name="_______________________________________________ADM4" localSheetId="4">[2]BASE!$D$120</definedName>
    <definedName name="_______________________________________________ADM4" localSheetId="5">[2]BASE!$D$120</definedName>
    <definedName name="_______________________________________________ADM4">[2]BASE!$D$120</definedName>
    <definedName name="_______________________________________________AIU1" localSheetId="4">#REF!</definedName>
    <definedName name="_______________________________________________AIU1" localSheetId="5">#REF!</definedName>
    <definedName name="_______________________________________________AIU1">#REF!</definedName>
    <definedName name="_______________________________________________AIU2">[3]BASE!$C$5</definedName>
    <definedName name="_______________________________________________BAZ10" localSheetId="1">[1]BASE!$D$270</definedName>
    <definedName name="_______________________________________________BAZ10">[1]BASE!$D$270</definedName>
    <definedName name="_______________________________________________BLO20" localSheetId="1">[1]BASE!$D$56</definedName>
    <definedName name="_______________________________________________BLO20">[1]BASE!$D$56</definedName>
    <definedName name="_______________________________________________CAN28" localSheetId="1">[1]BASE!$D$315</definedName>
    <definedName name="_______________________________________________CAN28">[1]BASE!$D$315</definedName>
    <definedName name="_______________________________________________Cod1" localSheetId="4">#REF!</definedName>
    <definedName name="_______________________________________________Cod1" localSheetId="5">#REF!</definedName>
    <definedName name="_______________________________________________Cod1">#REF!</definedName>
    <definedName name="_______________________________________________CUA44" localSheetId="1">[1]BASE!$D$253</definedName>
    <definedName name="_______________________________________________CUA44">[1]BASE!$D$253</definedName>
    <definedName name="_______________________________________________LA124" localSheetId="1">[1]BASE!$D$64</definedName>
    <definedName name="_______________________________________________LA124">[1]BASE!$D$64</definedName>
    <definedName name="_______________________________________________LAC18">[4]BASE!$D$252</definedName>
    <definedName name="_______________________________________________Po2">[5]REAJUSTESACTA1PROVI!#REF!</definedName>
    <definedName name="_______________________________________________R84JH">[4]BASE!$D$172</definedName>
    <definedName name="_______________________________________________REP43">[6]BASE!$D$136</definedName>
    <definedName name="_______________________________________________TPE1132" localSheetId="4">#N/A</definedName>
    <definedName name="_______________________________________________TPE1132" localSheetId="5">#N/A</definedName>
    <definedName name="_______________________________________________TPE1132">#N/A</definedName>
    <definedName name="_______________________________________________TPE12" localSheetId="4">#REF!</definedName>
    <definedName name="_______________________________________________TPE12" localSheetId="5">#REF!</definedName>
    <definedName name="_______________________________________________TPE12">#REF!</definedName>
    <definedName name="_______________________________________________TPE1331" localSheetId="4">#N/A</definedName>
    <definedName name="_______________________________________________TPE1331" localSheetId="5">#N/A</definedName>
    <definedName name="_______________________________________________TPE1331">#N/A</definedName>
    <definedName name="_______________________________________________TPE1702" localSheetId="4">#N/A</definedName>
    <definedName name="_______________________________________________TPE1702" localSheetId="5">#N/A</definedName>
    <definedName name="_______________________________________________TPE1702">#N/A</definedName>
    <definedName name="_______________________________________________TPE1703" localSheetId="4">#N/A</definedName>
    <definedName name="_______________________________________________TPE1703" localSheetId="5">#N/A</definedName>
    <definedName name="_______________________________________________TPE1703">#N/A</definedName>
    <definedName name="_______________________________________________TPE1704" localSheetId="4">#N/A</definedName>
    <definedName name="_______________________________________________TPE1704" localSheetId="5">#N/A</definedName>
    <definedName name="_______________________________________________TPE1704">#N/A</definedName>
    <definedName name="_______________________________________________TPE1706" localSheetId="4">#N/A</definedName>
    <definedName name="_______________________________________________TPE1706" localSheetId="5">#N/A</definedName>
    <definedName name="_______________________________________________TPE1706">#N/A</definedName>
    <definedName name="_______________________________________________TPE1708" localSheetId="4">#N/A</definedName>
    <definedName name="_______________________________________________TPE1708" localSheetId="5">#N/A</definedName>
    <definedName name="_______________________________________________TPE1708">#N/A</definedName>
    <definedName name="_______________________________________________TPE1710" localSheetId="4">#N/A</definedName>
    <definedName name="_______________________________________________TPE1710" localSheetId="5">#N/A</definedName>
    <definedName name="_______________________________________________TPE1710">#N/A</definedName>
    <definedName name="_______________________________________________TPE1735" localSheetId="4">#N/A</definedName>
    <definedName name="_______________________________________________TPE1735" localSheetId="5">#N/A</definedName>
    <definedName name="_______________________________________________TPE1735">#N/A</definedName>
    <definedName name="_______________________________________________TPE1763" localSheetId="4">#N/A</definedName>
    <definedName name="_______________________________________________TPE1763" localSheetId="5">#N/A</definedName>
    <definedName name="_______________________________________________TPE1763">#N/A</definedName>
    <definedName name="_______________________________________________TPE1790" localSheetId="4">#N/A</definedName>
    <definedName name="_______________________________________________TPE1790" localSheetId="5">#N/A</definedName>
    <definedName name="_______________________________________________TPE1790">#N/A</definedName>
    <definedName name="_______________________________________________TPF12" localSheetId="1">[1]BASE!$D$217</definedName>
    <definedName name="_______________________________________________TPF12">[1]BASE!$D$217</definedName>
    <definedName name="_______________________________________________TUZ22" localSheetId="4">'[2]BASE ORIGINAL'!#REF!</definedName>
    <definedName name="_______________________________________________TUZ22" localSheetId="5">'[2]BASE ORIGINAL'!#REF!</definedName>
    <definedName name="_______________________________________________TUZ22">'[2]BASE ORIGINAL'!#REF!</definedName>
    <definedName name="_______________________________________________TUZ36" localSheetId="4">'[2]BASE ORIGINAL'!#REF!</definedName>
    <definedName name="_______________________________________________TUZ36" localSheetId="5">'[2]BASE ORIGINAL'!#REF!</definedName>
    <definedName name="_______________________________________________TUZ36">'[2]BASE ORIGINAL'!#REF!</definedName>
    <definedName name="_______________________________________________TZ2110" localSheetId="1">[1]BASE!$D$79</definedName>
    <definedName name="_______________________________________________TZ2110">[1]BASE!$D$79</definedName>
    <definedName name="_______________________________________________TZ214" localSheetId="4">#N/A</definedName>
    <definedName name="_______________________________________________TZ214" localSheetId="5">#N/A</definedName>
    <definedName name="_______________________________________________TZ214">#N/A</definedName>
    <definedName name="_______________________________________________TZ268">[4]BASE!$D$85</definedName>
    <definedName name="_______________________________________________TZ323" localSheetId="4">'[2]BASE ORIGINAL'!#REF!</definedName>
    <definedName name="_______________________________________________TZ323" localSheetId="5">'[2]BASE ORIGINAL'!#REF!</definedName>
    <definedName name="_______________________________________________TZ323">'[2]BASE ORIGINAL'!#REF!</definedName>
    <definedName name="_______________________________________________TZ324" localSheetId="4">'[2]BASE ORIGINAL'!#REF!</definedName>
    <definedName name="_______________________________________________TZ324" localSheetId="5">'[2]BASE ORIGINAL'!#REF!</definedName>
    <definedName name="_______________________________________________TZ324">'[2]BASE ORIGINAL'!#REF!</definedName>
    <definedName name="_______________________________________________TZ32510" localSheetId="4">#N/A</definedName>
    <definedName name="_______________________________________________TZ32510" localSheetId="5">#N/A</definedName>
    <definedName name="_______________________________________________TZ32510">#N/A</definedName>
    <definedName name="______________________________________________ADH12" localSheetId="4">#REF!</definedName>
    <definedName name="______________________________________________ADH12" localSheetId="5">#REF!</definedName>
    <definedName name="______________________________________________ADH12">#REF!</definedName>
    <definedName name="______________________________________________ADM12" localSheetId="4">#REF!</definedName>
    <definedName name="______________________________________________ADM12" localSheetId="5">#REF!</definedName>
    <definedName name="______________________________________________ADM12">#REF!</definedName>
    <definedName name="______________________________________________ADM4" localSheetId="4">[2]BASE!$D$120</definedName>
    <definedName name="______________________________________________ADM4" localSheetId="5">[2]BASE!$D$120</definedName>
    <definedName name="______________________________________________ADM4">[2]BASE!$D$120</definedName>
    <definedName name="______________________________________________AIU2">[3]BASE!$C$5</definedName>
    <definedName name="______________________________________________BAZ10" localSheetId="4">#REF!</definedName>
    <definedName name="______________________________________________BAZ10" localSheetId="5">#REF!</definedName>
    <definedName name="______________________________________________BAZ10">#REF!</definedName>
    <definedName name="______________________________________________BLO20" localSheetId="4">#REF!</definedName>
    <definedName name="______________________________________________BLO20" localSheetId="5">#REF!</definedName>
    <definedName name="______________________________________________BLO20">#REF!</definedName>
    <definedName name="______________________________________________CAN28" localSheetId="4">#REF!</definedName>
    <definedName name="______________________________________________CAN28" localSheetId="5">#REF!</definedName>
    <definedName name="______________________________________________CAN28">#REF!</definedName>
    <definedName name="______________________________________________Cod1" localSheetId="4">#REF!</definedName>
    <definedName name="______________________________________________Cod1" localSheetId="5">#REF!</definedName>
    <definedName name="______________________________________________Cod1">#REF!</definedName>
    <definedName name="______________________________________________CUA44" localSheetId="4">#REF!</definedName>
    <definedName name="______________________________________________CUA44" localSheetId="5">#REF!</definedName>
    <definedName name="______________________________________________CUA44">#REF!</definedName>
    <definedName name="______________________________________________LA124" localSheetId="4">#REF!</definedName>
    <definedName name="______________________________________________LA124" localSheetId="5">#REF!</definedName>
    <definedName name="______________________________________________LA124">#REF!</definedName>
    <definedName name="______________________________________________LAC18">[4]BASE!$D$252</definedName>
    <definedName name="______________________________________________Po2">[5]REAJUSTESACTA1PROVI!#REF!</definedName>
    <definedName name="______________________________________________R84JH">[4]BASE!$D$172</definedName>
    <definedName name="______________________________________________REP43">[6]BASE!$D$136</definedName>
    <definedName name="______________________________________________TEP44" localSheetId="4">#N/A</definedName>
    <definedName name="______________________________________________TEP44" localSheetId="5">#N/A</definedName>
    <definedName name="______________________________________________TEP44">#N/A</definedName>
    <definedName name="______________________________________________TPF12" localSheetId="4">#REF!</definedName>
    <definedName name="______________________________________________TPF12" localSheetId="5">#REF!</definedName>
    <definedName name="______________________________________________TPF12">#REF!</definedName>
    <definedName name="______________________________________________TZ2110" localSheetId="4">#REF!</definedName>
    <definedName name="______________________________________________TZ2110" localSheetId="5">#REF!</definedName>
    <definedName name="______________________________________________TZ2110">#REF!</definedName>
    <definedName name="______________________________________________TZ216" localSheetId="4">#N/A</definedName>
    <definedName name="______________________________________________TZ216" localSheetId="5">#N/A</definedName>
    <definedName name="______________________________________________TZ216">#N/A</definedName>
    <definedName name="______________________________________________TZ268">[4]BASE!$D$85</definedName>
    <definedName name="_____________________________________________ADH12" localSheetId="4">[2]BASE!$D$218</definedName>
    <definedName name="_____________________________________________ADH12" localSheetId="5">[2]BASE!$D$218</definedName>
    <definedName name="_____________________________________________ADH12">[2]BASE!$D$218</definedName>
    <definedName name="_____________________________________________ADM12" localSheetId="4">[2]BASE!$D$219</definedName>
    <definedName name="_____________________________________________ADM12" localSheetId="5">[2]BASE!$D$219</definedName>
    <definedName name="_____________________________________________ADM12">[2]BASE!$D$219</definedName>
    <definedName name="_____________________________________________ADM4" localSheetId="4">[2]BASE!$D$120</definedName>
    <definedName name="_____________________________________________ADM4" localSheetId="5">[2]BASE!$D$120</definedName>
    <definedName name="_____________________________________________ADM4">[2]BASE!$D$120</definedName>
    <definedName name="_____________________________________________AIU1" localSheetId="4">#REF!</definedName>
    <definedName name="_____________________________________________AIU1" localSheetId="5">#REF!</definedName>
    <definedName name="_____________________________________________AIU1">#REF!</definedName>
    <definedName name="_____________________________________________AIU2">[3]BASE!$C$5</definedName>
    <definedName name="_____________________________________________BAZ10" localSheetId="4">[2]BASE!$D$270</definedName>
    <definedName name="_____________________________________________BAZ10" localSheetId="5">[2]BASE!$D$270</definedName>
    <definedName name="_____________________________________________BAZ10">[2]BASE!$D$270</definedName>
    <definedName name="_____________________________________________BLO20" localSheetId="4">[2]BASE!$D$56</definedName>
    <definedName name="_____________________________________________BLO20" localSheetId="5">[2]BASE!$D$56</definedName>
    <definedName name="_____________________________________________BLO20">[2]BASE!$D$56</definedName>
    <definedName name="_____________________________________________CAN28" localSheetId="4">[2]BASE!$D$315</definedName>
    <definedName name="_____________________________________________CAN28" localSheetId="5">[2]BASE!$D$315</definedName>
    <definedName name="_____________________________________________CAN28">[2]BASE!$D$315</definedName>
    <definedName name="_____________________________________________Cod1" localSheetId="4">#REF!</definedName>
    <definedName name="_____________________________________________Cod1" localSheetId="5">#REF!</definedName>
    <definedName name="_____________________________________________Cod1">#REF!</definedName>
    <definedName name="_____________________________________________CUA44" localSheetId="4">[2]BASE!$D$253</definedName>
    <definedName name="_____________________________________________CUA44" localSheetId="5">[2]BASE!$D$253</definedName>
    <definedName name="_____________________________________________CUA44">[2]BASE!$D$253</definedName>
    <definedName name="_____________________________________________LA124" localSheetId="4">[2]BASE!$D$64</definedName>
    <definedName name="_____________________________________________LA124" localSheetId="5">[2]BASE!$D$64</definedName>
    <definedName name="_____________________________________________LA124">[2]BASE!$D$64</definedName>
    <definedName name="_____________________________________________LAC18">[4]BASE!$D$252</definedName>
    <definedName name="_____________________________________________Po2">[5]REAJUSTESACTA1PROVI!#REF!</definedName>
    <definedName name="_____________________________________________R84JH">[4]BASE!$D$172</definedName>
    <definedName name="_____________________________________________REP43">[6]BASE!$D$136</definedName>
    <definedName name="_____________________________________________TEP44" localSheetId="4">[7]BASE!$D$116</definedName>
    <definedName name="_____________________________________________TEP44" localSheetId="5">[7]BASE!$D$116</definedName>
    <definedName name="_____________________________________________TEP44">[7]BASE!$D$116</definedName>
    <definedName name="_____________________________________________TPE1132" localSheetId="4">#N/A</definedName>
    <definedName name="_____________________________________________TPE1132" localSheetId="5">#N/A</definedName>
    <definedName name="_____________________________________________TPE1132">#N/A</definedName>
    <definedName name="_____________________________________________TPE12" localSheetId="4">#REF!</definedName>
    <definedName name="_____________________________________________TPE12" localSheetId="5">#REF!</definedName>
    <definedName name="_____________________________________________TPE12">#REF!</definedName>
    <definedName name="_____________________________________________TPE1331" localSheetId="4">#N/A</definedName>
    <definedName name="_____________________________________________TPE1331" localSheetId="5">#N/A</definedName>
    <definedName name="_____________________________________________TPE1331">#N/A</definedName>
    <definedName name="_____________________________________________TPE1702" localSheetId="4">#N/A</definedName>
    <definedName name="_____________________________________________TPE1702" localSheetId="5">#N/A</definedName>
    <definedName name="_____________________________________________TPE1702">#N/A</definedName>
    <definedName name="_____________________________________________TPE1703" localSheetId="4">#N/A</definedName>
    <definedName name="_____________________________________________TPE1703" localSheetId="5">#N/A</definedName>
    <definedName name="_____________________________________________TPE1703">#N/A</definedName>
    <definedName name="_____________________________________________TPE1704" localSheetId="4">#N/A</definedName>
    <definedName name="_____________________________________________TPE1704" localSheetId="5">#N/A</definedName>
    <definedName name="_____________________________________________TPE1704">#N/A</definedName>
    <definedName name="_____________________________________________TPE1706" localSheetId="4">#N/A</definedName>
    <definedName name="_____________________________________________TPE1706" localSheetId="5">#N/A</definedName>
    <definedName name="_____________________________________________TPE1706">#N/A</definedName>
    <definedName name="_____________________________________________TPE1708" localSheetId="4">#N/A</definedName>
    <definedName name="_____________________________________________TPE1708" localSheetId="5">#N/A</definedName>
    <definedName name="_____________________________________________TPE1708">#N/A</definedName>
    <definedName name="_____________________________________________TPE1710" localSheetId="4">#N/A</definedName>
    <definedName name="_____________________________________________TPE1710" localSheetId="5">#N/A</definedName>
    <definedName name="_____________________________________________TPE1710">#N/A</definedName>
    <definedName name="_____________________________________________TPE1735" localSheetId="4">#N/A</definedName>
    <definedName name="_____________________________________________TPE1735" localSheetId="5">#N/A</definedName>
    <definedName name="_____________________________________________TPE1735">#N/A</definedName>
    <definedName name="_____________________________________________TPE1763" localSheetId="4">#N/A</definedName>
    <definedName name="_____________________________________________TPE1763" localSheetId="5">#N/A</definedName>
    <definedName name="_____________________________________________TPE1763">#N/A</definedName>
    <definedName name="_____________________________________________TPE1790" localSheetId="4">#N/A</definedName>
    <definedName name="_____________________________________________TPE1790" localSheetId="5">#N/A</definedName>
    <definedName name="_____________________________________________TPE1790">#N/A</definedName>
    <definedName name="_____________________________________________TPF12" localSheetId="4">[2]BASE!$D$217</definedName>
    <definedName name="_____________________________________________TPF12" localSheetId="5">[2]BASE!$D$217</definedName>
    <definedName name="_____________________________________________TPF12">[2]BASE!$D$217</definedName>
    <definedName name="_____________________________________________TUZ22" localSheetId="4">'[2]BASE ORIGINAL'!#REF!</definedName>
    <definedName name="_____________________________________________TUZ22" localSheetId="5">'[2]BASE ORIGINAL'!#REF!</definedName>
    <definedName name="_____________________________________________TUZ22">'[2]BASE ORIGINAL'!#REF!</definedName>
    <definedName name="_____________________________________________TUZ36" localSheetId="4">'[2]BASE ORIGINAL'!#REF!</definedName>
    <definedName name="_____________________________________________TUZ36" localSheetId="5">'[2]BASE ORIGINAL'!#REF!</definedName>
    <definedName name="_____________________________________________TUZ36">'[2]BASE ORIGINAL'!#REF!</definedName>
    <definedName name="_____________________________________________TZ2110" localSheetId="4">[2]BASE!$D$79</definedName>
    <definedName name="_____________________________________________TZ2110" localSheetId="5">[2]BASE!$D$79</definedName>
    <definedName name="_____________________________________________TZ2110">[2]BASE!$D$79</definedName>
    <definedName name="_____________________________________________TZ214" localSheetId="4">#N/A</definedName>
    <definedName name="_____________________________________________TZ214" localSheetId="5">#N/A</definedName>
    <definedName name="_____________________________________________TZ214">#N/A</definedName>
    <definedName name="_____________________________________________TZ216" localSheetId="4">[7]BASE!$D$87</definedName>
    <definedName name="_____________________________________________TZ216" localSheetId="5">[7]BASE!$D$87</definedName>
    <definedName name="_____________________________________________TZ216">[7]BASE!$D$87</definedName>
    <definedName name="_____________________________________________TZ268">[4]BASE!$D$85</definedName>
    <definedName name="_____________________________________________TZ323" localSheetId="4">'[2]BASE ORIGINAL'!#REF!</definedName>
    <definedName name="_____________________________________________TZ323" localSheetId="5">'[2]BASE ORIGINAL'!#REF!</definedName>
    <definedName name="_____________________________________________TZ323">'[2]BASE ORIGINAL'!#REF!</definedName>
    <definedName name="_____________________________________________TZ324" localSheetId="4">'[2]BASE ORIGINAL'!#REF!</definedName>
    <definedName name="_____________________________________________TZ324" localSheetId="5">'[2]BASE ORIGINAL'!#REF!</definedName>
    <definedName name="_____________________________________________TZ324">'[2]BASE ORIGINAL'!#REF!</definedName>
    <definedName name="_____________________________________________TZ32510" localSheetId="4">#N/A</definedName>
    <definedName name="_____________________________________________TZ32510" localSheetId="5">#N/A</definedName>
    <definedName name="_____________________________________________TZ32510">#N/A</definedName>
    <definedName name="____________________________________________ADH12" localSheetId="4">[2]BASE!$D$218</definedName>
    <definedName name="____________________________________________ADH12" localSheetId="5">[2]BASE!$D$218</definedName>
    <definedName name="____________________________________________ADH12">[2]BASE!$D$218</definedName>
    <definedName name="____________________________________________ADM12" localSheetId="4">[2]BASE!$D$219</definedName>
    <definedName name="____________________________________________ADM12" localSheetId="5">[2]BASE!$D$219</definedName>
    <definedName name="____________________________________________ADM12">[2]BASE!$D$219</definedName>
    <definedName name="____________________________________________ADM4" localSheetId="4">[2]BASE!$D$120</definedName>
    <definedName name="____________________________________________ADM4" localSheetId="5">[2]BASE!$D$120</definedName>
    <definedName name="____________________________________________ADM4">[2]BASE!$D$120</definedName>
    <definedName name="____________________________________________AIU1" localSheetId="4">#REF!</definedName>
    <definedName name="____________________________________________AIU1" localSheetId="5">#REF!</definedName>
    <definedName name="____________________________________________AIU1">#REF!</definedName>
    <definedName name="____________________________________________AIU2">[3]BASE!$C$5</definedName>
    <definedName name="____________________________________________BAZ10" localSheetId="4">[2]BASE!$D$270</definedName>
    <definedName name="____________________________________________BAZ10" localSheetId="5">[2]BASE!$D$270</definedName>
    <definedName name="____________________________________________BAZ10">[2]BASE!$D$270</definedName>
    <definedName name="____________________________________________BLO20" localSheetId="4">[2]BASE!$D$56</definedName>
    <definedName name="____________________________________________BLO20" localSheetId="5">[2]BASE!$D$56</definedName>
    <definedName name="____________________________________________BLO20">[2]BASE!$D$56</definedName>
    <definedName name="____________________________________________CAN28" localSheetId="4">[2]BASE!$D$315</definedName>
    <definedName name="____________________________________________CAN28" localSheetId="5">[2]BASE!$D$315</definedName>
    <definedName name="____________________________________________CAN28">[2]BASE!$D$315</definedName>
    <definedName name="____________________________________________Cod1" localSheetId="4">#REF!</definedName>
    <definedName name="____________________________________________Cod1" localSheetId="5">#REF!</definedName>
    <definedName name="____________________________________________Cod1">#REF!</definedName>
    <definedName name="____________________________________________CUA44" localSheetId="4">[2]BASE!$D$253</definedName>
    <definedName name="____________________________________________CUA44" localSheetId="5">[2]BASE!$D$253</definedName>
    <definedName name="____________________________________________CUA44">[2]BASE!$D$253</definedName>
    <definedName name="____________________________________________LA124" localSheetId="4">[2]BASE!$D$64</definedName>
    <definedName name="____________________________________________LA124" localSheetId="5">[2]BASE!$D$64</definedName>
    <definedName name="____________________________________________LA124">[2]BASE!$D$64</definedName>
    <definedName name="____________________________________________LAC18">[4]BASE!$D$252</definedName>
    <definedName name="____________________________________________Po2">[5]REAJUSTESACTA1PROVI!#REF!</definedName>
    <definedName name="____________________________________________R84JH">[4]BASE!$D$172</definedName>
    <definedName name="____________________________________________REP43">[6]BASE!$D$136</definedName>
    <definedName name="____________________________________________TEP44" localSheetId="4">#N/A</definedName>
    <definedName name="____________________________________________TEP44" localSheetId="5">#N/A</definedName>
    <definedName name="____________________________________________TEP44">#N/A</definedName>
    <definedName name="____________________________________________TPE1132" localSheetId="4">[7]BASE!#REF!</definedName>
    <definedName name="____________________________________________TPE1132" localSheetId="5">[7]BASE!#REF!</definedName>
    <definedName name="____________________________________________TPE1132">[7]BASE!#REF!</definedName>
    <definedName name="____________________________________________TPE12" localSheetId="4">#REF!</definedName>
    <definedName name="____________________________________________TPE12" localSheetId="5">#REF!</definedName>
    <definedName name="____________________________________________TPE12">#REF!</definedName>
    <definedName name="____________________________________________TPE1331" localSheetId="4">[7]BASE!#REF!</definedName>
    <definedName name="____________________________________________TPE1331" localSheetId="5">[7]BASE!#REF!</definedName>
    <definedName name="____________________________________________TPE1331">[7]BASE!#REF!</definedName>
    <definedName name="____________________________________________TPE1702" localSheetId="4">[7]BASE!#REF!</definedName>
    <definedName name="____________________________________________TPE1702" localSheetId="5">[7]BASE!#REF!</definedName>
    <definedName name="____________________________________________TPE1702">[7]BASE!#REF!</definedName>
    <definedName name="____________________________________________TPE1703" localSheetId="4">[7]BASE!#REF!</definedName>
    <definedName name="____________________________________________TPE1703" localSheetId="5">[7]BASE!#REF!</definedName>
    <definedName name="____________________________________________TPE1703">[7]BASE!#REF!</definedName>
    <definedName name="____________________________________________TPE1704" localSheetId="4">[7]BASE!#REF!</definedName>
    <definedName name="____________________________________________TPE1704" localSheetId="5">[7]BASE!#REF!</definedName>
    <definedName name="____________________________________________TPE1704">[7]BASE!#REF!</definedName>
    <definedName name="____________________________________________TPE1706" localSheetId="4">[7]BASE!#REF!</definedName>
    <definedName name="____________________________________________TPE1706" localSheetId="5">[7]BASE!#REF!</definedName>
    <definedName name="____________________________________________TPE1706">[7]BASE!#REF!</definedName>
    <definedName name="____________________________________________TPE1708" localSheetId="4">[7]BASE!#REF!</definedName>
    <definedName name="____________________________________________TPE1708" localSheetId="5">[7]BASE!#REF!</definedName>
    <definedName name="____________________________________________TPE1708">[7]BASE!#REF!</definedName>
    <definedName name="____________________________________________TPE1710" localSheetId="4">[7]BASE!#REF!</definedName>
    <definedName name="____________________________________________TPE1710" localSheetId="5">[7]BASE!#REF!</definedName>
    <definedName name="____________________________________________TPE1710">[7]BASE!#REF!</definedName>
    <definedName name="____________________________________________TPE1735" localSheetId="4">[7]BASE!#REF!</definedName>
    <definedName name="____________________________________________TPE1735" localSheetId="5">[7]BASE!#REF!</definedName>
    <definedName name="____________________________________________TPE1735">[7]BASE!#REF!</definedName>
    <definedName name="____________________________________________TPE1763" localSheetId="4">[7]BASE!#REF!</definedName>
    <definedName name="____________________________________________TPE1763" localSheetId="5">[7]BASE!#REF!</definedName>
    <definedName name="____________________________________________TPE1763">[7]BASE!#REF!</definedName>
    <definedName name="____________________________________________TPE1790" localSheetId="4">[7]BASE!#REF!</definedName>
    <definedName name="____________________________________________TPE1790" localSheetId="5">[7]BASE!#REF!</definedName>
    <definedName name="____________________________________________TPE1790">[7]BASE!#REF!</definedName>
    <definedName name="____________________________________________TPF12" localSheetId="4">[2]BASE!$D$217</definedName>
    <definedName name="____________________________________________TPF12" localSheetId="5">[2]BASE!$D$217</definedName>
    <definedName name="____________________________________________TPF12">[2]BASE!$D$217</definedName>
    <definedName name="____________________________________________TUZ22" localSheetId="4">'[8]BASE ORIGINAL'!#REF!</definedName>
    <definedName name="____________________________________________TUZ22" localSheetId="5">'[8]BASE ORIGINAL'!#REF!</definedName>
    <definedName name="____________________________________________TUZ22">'[8]BASE ORIGINAL'!#REF!</definedName>
    <definedName name="____________________________________________TUZ36" localSheetId="4">'[8]BASE ORIGINAL'!#REF!</definedName>
    <definedName name="____________________________________________TUZ36" localSheetId="5">'[8]BASE ORIGINAL'!#REF!</definedName>
    <definedName name="____________________________________________TUZ36">'[8]BASE ORIGINAL'!#REF!</definedName>
    <definedName name="____________________________________________TZ2110" localSheetId="4">[2]BASE!$D$79</definedName>
    <definedName name="____________________________________________TZ2110" localSheetId="5">[2]BASE!$D$79</definedName>
    <definedName name="____________________________________________TZ2110">[2]BASE!$D$79</definedName>
    <definedName name="____________________________________________TZ214" localSheetId="4">[7]BASE!$D$86</definedName>
    <definedName name="____________________________________________TZ214" localSheetId="5">[7]BASE!$D$86</definedName>
    <definedName name="____________________________________________TZ214">[7]BASE!$D$86</definedName>
    <definedName name="____________________________________________TZ216" localSheetId="4">#N/A</definedName>
    <definedName name="____________________________________________TZ216" localSheetId="5">#N/A</definedName>
    <definedName name="____________________________________________TZ216">#N/A</definedName>
    <definedName name="____________________________________________TZ268">[4]BASE!$D$85</definedName>
    <definedName name="____________________________________________TZ323" localSheetId="4">'[8]BASE ORIGINAL'!#REF!</definedName>
    <definedName name="____________________________________________TZ323" localSheetId="5">'[8]BASE ORIGINAL'!#REF!</definedName>
    <definedName name="____________________________________________TZ323">'[8]BASE ORIGINAL'!#REF!</definedName>
    <definedName name="____________________________________________TZ324" localSheetId="4">'[8]BASE ORIGINAL'!#REF!</definedName>
    <definedName name="____________________________________________TZ324" localSheetId="5">'[8]BASE ORIGINAL'!#REF!</definedName>
    <definedName name="____________________________________________TZ324">'[8]BASE ORIGINAL'!#REF!</definedName>
    <definedName name="____________________________________________TZ32510" localSheetId="4">[7]BASE!$D$106</definedName>
    <definedName name="____________________________________________TZ32510" localSheetId="5">[7]BASE!$D$106</definedName>
    <definedName name="____________________________________________TZ32510">[7]BASE!$D$106</definedName>
    <definedName name="___________________________________________ADH12" localSheetId="4">[2]BASE!$D$218</definedName>
    <definedName name="___________________________________________ADH12" localSheetId="5">[2]BASE!$D$218</definedName>
    <definedName name="___________________________________________ADH12">[2]BASE!$D$218</definedName>
    <definedName name="___________________________________________ADM12" localSheetId="4">[2]BASE!$D$219</definedName>
    <definedName name="___________________________________________ADM12" localSheetId="5">[2]BASE!$D$219</definedName>
    <definedName name="___________________________________________ADM12">[2]BASE!$D$219</definedName>
    <definedName name="___________________________________________ADM4" localSheetId="4">[2]BASE!$D$120</definedName>
    <definedName name="___________________________________________ADM4" localSheetId="5">[2]BASE!$D$120</definedName>
    <definedName name="___________________________________________ADM4">[2]BASE!$D$120</definedName>
    <definedName name="___________________________________________AIU1" localSheetId="4">#REF!</definedName>
    <definedName name="___________________________________________AIU1" localSheetId="5">#REF!</definedName>
    <definedName name="___________________________________________AIU1">#REF!</definedName>
    <definedName name="___________________________________________AIU2">[3]BASE!$C$5</definedName>
    <definedName name="___________________________________________BAZ10" localSheetId="4">[2]BASE!$D$270</definedName>
    <definedName name="___________________________________________BAZ10" localSheetId="5">[2]BASE!$D$270</definedName>
    <definedName name="___________________________________________BAZ10">[2]BASE!$D$270</definedName>
    <definedName name="___________________________________________BLO20" localSheetId="4">[2]BASE!$D$56</definedName>
    <definedName name="___________________________________________BLO20" localSheetId="5">[2]BASE!$D$56</definedName>
    <definedName name="___________________________________________BLO20">[2]BASE!$D$56</definedName>
    <definedName name="___________________________________________CAN28" localSheetId="4">[2]BASE!$D$315</definedName>
    <definedName name="___________________________________________CAN28" localSheetId="5">[2]BASE!$D$315</definedName>
    <definedName name="___________________________________________CAN28">[2]BASE!$D$315</definedName>
    <definedName name="___________________________________________Cod1" localSheetId="4">#REF!</definedName>
    <definedName name="___________________________________________Cod1" localSheetId="5">#REF!</definedName>
    <definedName name="___________________________________________Cod1">#REF!</definedName>
    <definedName name="___________________________________________CUA44" localSheetId="4">[2]BASE!$D$253</definedName>
    <definedName name="___________________________________________CUA44" localSheetId="5">[2]BASE!$D$253</definedName>
    <definedName name="___________________________________________CUA44">[2]BASE!$D$253</definedName>
    <definedName name="___________________________________________LA124" localSheetId="4">[2]BASE!$D$64</definedName>
    <definedName name="___________________________________________LA124" localSheetId="5">[2]BASE!$D$64</definedName>
    <definedName name="___________________________________________LA124">[2]BASE!$D$64</definedName>
    <definedName name="___________________________________________LAC18">[4]BASE!$D$252</definedName>
    <definedName name="___________________________________________Po2">[5]REAJUSTESACTA1PROVI!#REF!</definedName>
    <definedName name="___________________________________________R84JH">[4]BASE!$D$172</definedName>
    <definedName name="___________________________________________REP43">[6]BASE!$D$136</definedName>
    <definedName name="___________________________________________TEP44" localSheetId="4">[7]BASE!$D$116</definedName>
    <definedName name="___________________________________________TEP44" localSheetId="5">[7]BASE!$D$116</definedName>
    <definedName name="___________________________________________TEP44">[7]BASE!$D$116</definedName>
    <definedName name="___________________________________________TPE1132" localSheetId="4">#N/A</definedName>
    <definedName name="___________________________________________TPE1132" localSheetId="5">#N/A</definedName>
    <definedName name="___________________________________________TPE1132">#N/A</definedName>
    <definedName name="___________________________________________TPE12" localSheetId="4">#REF!</definedName>
    <definedName name="___________________________________________TPE12" localSheetId="5">#REF!</definedName>
    <definedName name="___________________________________________TPE12">#REF!</definedName>
    <definedName name="___________________________________________TPE1331" localSheetId="4">#N/A</definedName>
    <definedName name="___________________________________________TPE1331" localSheetId="5">#N/A</definedName>
    <definedName name="___________________________________________TPE1331">#N/A</definedName>
    <definedName name="___________________________________________TPE1702" localSheetId="4">#N/A</definedName>
    <definedName name="___________________________________________TPE1702" localSheetId="5">#N/A</definedName>
    <definedName name="___________________________________________TPE1702">#N/A</definedName>
    <definedName name="___________________________________________TPE1703" localSheetId="4">#N/A</definedName>
    <definedName name="___________________________________________TPE1703" localSheetId="5">#N/A</definedName>
    <definedName name="___________________________________________TPE1703">#N/A</definedName>
    <definedName name="___________________________________________TPE1704" localSheetId="4">#N/A</definedName>
    <definedName name="___________________________________________TPE1704" localSheetId="5">#N/A</definedName>
    <definedName name="___________________________________________TPE1704">#N/A</definedName>
    <definedName name="___________________________________________TPE1706" localSheetId="4">#N/A</definedName>
    <definedName name="___________________________________________TPE1706" localSheetId="5">#N/A</definedName>
    <definedName name="___________________________________________TPE1706">#N/A</definedName>
    <definedName name="___________________________________________TPE1708" localSheetId="4">#N/A</definedName>
    <definedName name="___________________________________________TPE1708" localSheetId="5">#N/A</definedName>
    <definedName name="___________________________________________TPE1708">#N/A</definedName>
    <definedName name="___________________________________________TPE1710" localSheetId="4">#N/A</definedName>
    <definedName name="___________________________________________TPE1710" localSheetId="5">#N/A</definedName>
    <definedName name="___________________________________________TPE1710">#N/A</definedName>
    <definedName name="___________________________________________TPE1735" localSheetId="4">#N/A</definedName>
    <definedName name="___________________________________________TPE1735" localSheetId="5">#N/A</definedName>
    <definedName name="___________________________________________TPE1735">#N/A</definedName>
    <definedName name="___________________________________________TPE1763" localSheetId="4">#N/A</definedName>
    <definedName name="___________________________________________TPE1763" localSheetId="5">#N/A</definedName>
    <definedName name="___________________________________________TPE1763">#N/A</definedName>
    <definedName name="___________________________________________TPE1790" localSheetId="4">#N/A</definedName>
    <definedName name="___________________________________________TPE1790" localSheetId="5">#N/A</definedName>
    <definedName name="___________________________________________TPE1790">#N/A</definedName>
    <definedName name="___________________________________________TPF12" localSheetId="4">[2]BASE!$D$217</definedName>
    <definedName name="___________________________________________TPF12" localSheetId="5">[2]BASE!$D$217</definedName>
    <definedName name="___________________________________________TPF12">[2]BASE!$D$217</definedName>
    <definedName name="___________________________________________TUZ22" localSheetId="4">'[2]BASE ORIGINAL'!#REF!</definedName>
    <definedName name="___________________________________________TUZ22" localSheetId="5">'[2]BASE ORIGINAL'!#REF!</definedName>
    <definedName name="___________________________________________TUZ22">'[2]BASE ORIGINAL'!#REF!</definedName>
    <definedName name="___________________________________________TUZ36" localSheetId="4">'[2]BASE ORIGINAL'!#REF!</definedName>
    <definedName name="___________________________________________TUZ36" localSheetId="5">'[2]BASE ORIGINAL'!#REF!</definedName>
    <definedName name="___________________________________________TUZ36">'[2]BASE ORIGINAL'!#REF!</definedName>
    <definedName name="___________________________________________TZ2110" localSheetId="4">[2]BASE!$D$79</definedName>
    <definedName name="___________________________________________TZ2110" localSheetId="5">[2]BASE!$D$79</definedName>
    <definedName name="___________________________________________TZ2110">[2]BASE!$D$79</definedName>
    <definedName name="___________________________________________TZ214" localSheetId="4">#N/A</definedName>
    <definedName name="___________________________________________TZ214" localSheetId="5">#N/A</definedName>
    <definedName name="___________________________________________TZ214">#N/A</definedName>
    <definedName name="___________________________________________TZ216" localSheetId="4">[7]BASE!$D$87</definedName>
    <definedName name="___________________________________________TZ216" localSheetId="5">[7]BASE!$D$87</definedName>
    <definedName name="___________________________________________TZ216">[7]BASE!$D$87</definedName>
    <definedName name="___________________________________________TZ268">[4]BASE!$D$85</definedName>
    <definedName name="___________________________________________TZ323" localSheetId="4">'[2]BASE ORIGINAL'!#REF!</definedName>
    <definedName name="___________________________________________TZ323" localSheetId="5">'[2]BASE ORIGINAL'!#REF!</definedName>
    <definedName name="___________________________________________TZ323">'[2]BASE ORIGINAL'!#REF!</definedName>
    <definedName name="___________________________________________TZ324" localSheetId="4">'[2]BASE ORIGINAL'!#REF!</definedName>
    <definedName name="___________________________________________TZ324" localSheetId="5">'[2]BASE ORIGINAL'!#REF!</definedName>
    <definedName name="___________________________________________TZ324">'[2]BASE ORIGINAL'!#REF!</definedName>
    <definedName name="___________________________________________TZ32510" localSheetId="4">#N/A</definedName>
    <definedName name="___________________________________________TZ32510" localSheetId="5">#N/A</definedName>
    <definedName name="___________________________________________TZ32510">#N/A</definedName>
    <definedName name="__________________________________________ADH12" localSheetId="4">[2]BASE!$D$218</definedName>
    <definedName name="__________________________________________ADH12" localSheetId="5">[2]BASE!$D$218</definedName>
    <definedName name="__________________________________________ADH12">[2]BASE!$D$218</definedName>
    <definedName name="__________________________________________ADM12" localSheetId="4">[2]BASE!$D$219</definedName>
    <definedName name="__________________________________________ADM12" localSheetId="5">[2]BASE!$D$219</definedName>
    <definedName name="__________________________________________ADM12">[2]BASE!$D$219</definedName>
    <definedName name="__________________________________________ADM4" localSheetId="4">[2]BASE!$D$120</definedName>
    <definedName name="__________________________________________ADM4" localSheetId="5">[2]BASE!$D$120</definedName>
    <definedName name="__________________________________________ADM4">[2]BASE!$D$120</definedName>
    <definedName name="__________________________________________AIU1" localSheetId="4">#REF!</definedName>
    <definedName name="__________________________________________AIU1" localSheetId="5">#REF!</definedName>
    <definedName name="__________________________________________AIU1">#REF!</definedName>
    <definedName name="__________________________________________AIU2">[3]BASE!$C$5</definedName>
    <definedName name="__________________________________________BAZ10" localSheetId="4">[2]BASE!$D$270</definedName>
    <definedName name="__________________________________________BAZ10" localSheetId="5">[2]BASE!$D$270</definedName>
    <definedName name="__________________________________________BAZ10">[2]BASE!$D$270</definedName>
    <definedName name="__________________________________________BLO20" localSheetId="4">[2]BASE!$D$56</definedName>
    <definedName name="__________________________________________BLO20" localSheetId="5">[2]BASE!$D$56</definedName>
    <definedName name="__________________________________________BLO20">[2]BASE!$D$56</definedName>
    <definedName name="__________________________________________CAN28" localSheetId="4">[2]BASE!$D$315</definedName>
    <definedName name="__________________________________________CAN28" localSheetId="5">[2]BASE!$D$315</definedName>
    <definedName name="__________________________________________CAN28">[2]BASE!$D$315</definedName>
    <definedName name="__________________________________________Cod1" localSheetId="4">#REF!</definedName>
    <definedName name="__________________________________________Cod1" localSheetId="5">#REF!</definedName>
    <definedName name="__________________________________________Cod1">#REF!</definedName>
    <definedName name="__________________________________________CUA44" localSheetId="4">[2]BASE!$D$253</definedName>
    <definedName name="__________________________________________CUA44" localSheetId="5">[2]BASE!$D$253</definedName>
    <definedName name="__________________________________________CUA44">[2]BASE!$D$253</definedName>
    <definedName name="__________________________________________LA124" localSheetId="4">[2]BASE!$D$64</definedName>
    <definedName name="__________________________________________LA124" localSheetId="5">[2]BASE!$D$64</definedName>
    <definedName name="__________________________________________LA124">[2]BASE!$D$64</definedName>
    <definedName name="__________________________________________LAC18">[4]BASE!$D$252</definedName>
    <definedName name="__________________________________________Po2">[5]REAJUSTESACTA1PROVI!#REF!</definedName>
    <definedName name="__________________________________________R84JH">[4]BASE!$D$172</definedName>
    <definedName name="__________________________________________REP43">[6]BASE!$D$136</definedName>
    <definedName name="__________________________________________TEP44" localSheetId="4">#N/A</definedName>
    <definedName name="__________________________________________TEP44" localSheetId="5">#N/A</definedName>
    <definedName name="__________________________________________TEP44">#N/A</definedName>
    <definedName name="__________________________________________TPE1132" localSheetId="4">[7]BASE!#REF!</definedName>
    <definedName name="__________________________________________TPE1132" localSheetId="5">[7]BASE!#REF!</definedName>
    <definedName name="__________________________________________TPE1132">[7]BASE!#REF!</definedName>
    <definedName name="__________________________________________TPE12" localSheetId="4">#REF!</definedName>
    <definedName name="__________________________________________TPE12" localSheetId="5">#REF!</definedName>
    <definedName name="__________________________________________TPE12">#REF!</definedName>
    <definedName name="__________________________________________TPE1331" localSheetId="4">[7]BASE!#REF!</definedName>
    <definedName name="__________________________________________TPE1331" localSheetId="5">[7]BASE!#REF!</definedName>
    <definedName name="__________________________________________TPE1331">[7]BASE!#REF!</definedName>
    <definedName name="__________________________________________TPE1702" localSheetId="4">[7]BASE!#REF!</definedName>
    <definedName name="__________________________________________TPE1702" localSheetId="5">[7]BASE!#REF!</definedName>
    <definedName name="__________________________________________TPE1702">[7]BASE!#REF!</definedName>
    <definedName name="__________________________________________TPE1703" localSheetId="4">[7]BASE!#REF!</definedName>
    <definedName name="__________________________________________TPE1703" localSheetId="5">[7]BASE!#REF!</definedName>
    <definedName name="__________________________________________TPE1703">[7]BASE!#REF!</definedName>
    <definedName name="__________________________________________TPE1704" localSheetId="4">[7]BASE!#REF!</definedName>
    <definedName name="__________________________________________TPE1704" localSheetId="5">[7]BASE!#REF!</definedName>
    <definedName name="__________________________________________TPE1704">[7]BASE!#REF!</definedName>
    <definedName name="__________________________________________TPE1706" localSheetId="4">[7]BASE!#REF!</definedName>
    <definedName name="__________________________________________TPE1706" localSheetId="5">[7]BASE!#REF!</definedName>
    <definedName name="__________________________________________TPE1706">[7]BASE!#REF!</definedName>
    <definedName name="__________________________________________TPE1708" localSheetId="4">[7]BASE!#REF!</definedName>
    <definedName name="__________________________________________TPE1708" localSheetId="5">[7]BASE!#REF!</definedName>
    <definedName name="__________________________________________TPE1708">[7]BASE!#REF!</definedName>
    <definedName name="__________________________________________TPE1710" localSheetId="4">[7]BASE!#REF!</definedName>
    <definedName name="__________________________________________TPE1710" localSheetId="5">[7]BASE!#REF!</definedName>
    <definedName name="__________________________________________TPE1710">[7]BASE!#REF!</definedName>
    <definedName name="__________________________________________TPE1735" localSheetId="4">[7]BASE!#REF!</definedName>
    <definedName name="__________________________________________TPE1735" localSheetId="5">[7]BASE!#REF!</definedName>
    <definedName name="__________________________________________TPE1735">[7]BASE!#REF!</definedName>
    <definedName name="__________________________________________TPE1763" localSheetId="4">[7]BASE!#REF!</definedName>
    <definedName name="__________________________________________TPE1763" localSheetId="5">[7]BASE!#REF!</definedName>
    <definedName name="__________________________________________TPE1763">[7]BASE!#REF!</definedName>
    <definedName name="__________________________________________TPE1790" localSheetId="4">[7]BASE!#REF!</definedName>
    <definedName name="__________________________________________TPE1790" localSheetId="5">[7]BASE!#REF!</definedName>
    <definedName name="__________________________________________TPE1790">[7]BASE!#REF!</definedName>
    <definedName name="__________________________________________TPF12" localSheetId="4">[2]BASE!$D$217</definedName>
    <definedName name="__________________________________________TPF12" localSheetId="5">[2]BASE!$D$217</definedName>
    <definedName name="__________________________________________TPF12">[2]BASE!$D$217</definedName>
    <definedName name="__________________________________________TUZ22" localSheetId="4">'[9]BASE ORIGINAL'!#REF!</definedName>
    <definedName name="__________________________________________TUZ22" localSheetId="5">'[9]BASE ORIGINAL'!#REF!</definedName>
    <definedName name="__________________________________________TUZ22">'[9]BASE ORIGINAL'!#REF!</definedName>
    <definedName name="__________________________________________TUZ36" localSheetId="4">'[9]BASE ORIGINAL'!#REF!</definedName>
    <definedName name="__________________________________________TUZ36" localSheetId="5">'[9]BASE ORIGINAL'!#REF!</definedName>
    <definedName name="__________________________________________TUZ36">'[9]BASE ORIGINAL'!#REF!</definedName>
    <definedName name="__________________________________________TZ2110" localSheetId="4">[2]BASE!$D$79</definedName>
    <definedName name="__________________________________________TZ2110" localSheetId="5">[2]BASE!$D$79</definedName>
    <definedName name="__________________________________________TZ2110">[2]BASE!$D$79</definedName>
    <definedName name="__________________________________________TZ214" localSheetId="4">[7]BASE!$D$86</definedName>
    <definedName name="__________________________________________TZ214" localSheetId="5">[7]BASE!$D$86</definedName>
    <definedName name="__________________________________________TZ214">[7]BASE!$D$86</definedName>
    <definedName name="__________________________________________TZ216" localSheetId="4">#N/A</definedName>
    <definedName name="__________________________________________TZ216" localSheetId="5">#N/A</definedName>
    <definedName name="__________________________________________TZ216">#N/A</definedName>
    <definedName name="__________________________________________TZ268">[4]BASE!$D$85</definedName>
    <definedName name="__________________________________________TZ323" localSheetId="4">'[9]BASE ORIGINAL'!#REF!</definedName>
    <definedName name="__________________________________________TZ323" localSheetId="5">'[9]BASE ORIGINAL'!#REF!</definedName>
    <definedName name="__________________________________________TZ323">'[9]BASE ORIGINAL'!#REF!</definedName>
    <definedName name="__________________________________________TZ324" localSheetId="4">'[9]BASE ORIGINAL'!#REF!</definedName>
    <definedName name="__________________________________________TZ324" localSheetId="5">'[9]BASE ORIGINAL'!#REF!</definedName>
    <definedName name="__________________________________________TZ324">'[9]BASE ORIGINAL'!#REF!</definedName>
    <definedName name="__________________________________________TZ32510" localSheetId="4">[7]BASE!$D$106</definedName>
    <definedName name="__________________________________________TZ32510" localSheetId="5">[7]BASE!$D$106</definedName>
    <definedName name="__________________________________________TZ32510">[7]BASE!$D$106</definedName>
    <definedName name="_________________________________________ADH12" localSheetId="4">[2]BASE!$D$218</definedName>
    <definedName name="_________________________________________ADH12" localSheetId="5">[2]BASE!$D$218</definedName>
    <definedName name="_________________________________________ADH12">[2]BASE!$D$218</definedName>
    <definedName name="_________________________________________ADM12" localSheetId="4">[2]BASE!$D$219</definedName>
    <definedName name="_________________________________________ADM12" localSheetId="5">[2]BASE!$D$219</definedName>
    <definedName name="_________________________________________ADM12">[2]BASE!$D$219</definedName>
    <definedName name="_________________________________________ADM4" localSheetId="4">[2]BASE!$D$120</definedName>
    <definedName name="_________________________________________ADM4" localSheetId="5">[2]BASE!$D$120</definedName>
    <definedName name="_________________________________________ADM4">[2]BASE!$D$120</definedName>
    <definedName name="_________________________________________AIU1" localSheetId="4">#REF!</definedName>
    <definedName name="_________________________________________AIU1" localSheetId="5">#REF!</definedName>
    <definedName name="_________________________________________AIU1">#REF!</definedName>
    <definedName name="_________________________________________AIU2">[3]BASE!$C$5</definedName>
    <definedName name="_________________________________________BAZ10" localSheetId="4">[2]BASE!$D$270</definedName>
    <definedName name="_________________________________________BAZ10" localSheetId="5">[2]BASE!$D$270</definedName>
    <definedName name="_________________________________________BAZ10">[2]BASE!$D$270</definedName>
    <definedName name="_________________________________________BLO20" localSheetId="4">[2]BASE!$D$56</definedName>
    <definedName name="_________________________________________BLO20" localSheetId="5">[2]BASE!$D$56</definedName>
    <definedName name="_________________________________________BLO20">[2]BASE!$D$56</definedName>
    <definedName name="_________________________________________CAN28" localSheetId="4">[2]BASE!$D$315</definedName>
    <definedName name="_________________________________________CAN28" localSheetId="5">[2]BASE!$D$315</definedName>
    <definedName name="_________________________________________CAN28">[2]BASE!$D$315</definedName>
    <definedName name="_________________________________________Cod1" localSheetId="4">#REF!</definedName>
    <definedName name="_________________________________________Cod1" localSheetId="5">#REF!</definedName>
    <definedName name="_________________________________________Cod1">#REF!</definedName>
    <definedName name="_________________________________________CUA44" localSheetId="4">[2]BASE!$D$253</definedName>
    <definedName name="_________________________________________CUA44" localSheetId="5">[2]BASE!$D$253</definedName>
    <definedName name="_________________________________________CUA44">[2]BASE!$D$253</definedName>
    <definedName name="_________________________________________LA124" localSheetId="4">[2]BASE!$D$64</definedName>
    <definedName name="_________________________________________LA124" localSheetId="5">[2]BASE!$D$64</definedName>
    <definedName name="_________________________________________LA124">[2]BASE!$D$64</definedName>
    <definedName name="_________________________________________LAC18">[4]BASE!$D$252</definedName>
    <definedName name="_________________________________________Po2">[5]REAJUSTESACTA1PROVI!#REF!</definedName>
    <definedName name="_________________________________________R84JH">[4]BASE!$D$172</definedName>
    <definedName name="_________________________________________REP43">[6]BASE!$D$136</definedName>
    <definedName name="_________________________________________TEP44" localSheetId="4">#N/A</definedName>
    <definedName name="_________________________________________TEP44" localSheetId="5">#N/A</definedName>
    <definedName name="_________________________________________TEP44">#N/A</definedName>
    <definedName name="_________________________________________TPE1132" localSheetId="4">#N/A</definedName>
    <definedName name="_________________________________________TPE1132" localSheetId="5">#N/A</definedName>
    <definedName name="_________________________________________TPE1132">#N/A</definedName>
    <definedName name="_________________________________________TPE12" localSheetId="4">#REF!</definedName>
    <definedName name="_________________________________________TPE12" localSheetId="5">#REF!</definedName>
    <definedName name="_________________________________________TPE12">#REF!</definedName>
    <definedName name="_________________________________________TPE1331" localSheetId="4">#N/A</definedName>
    <definedName name="_________________________________________TPE1331" localSheetId="5">#N/A</definedName>
    <definedName name="_________________________________________TPE1331">#N/A</definedName>
    <definedName name="_________________________________________TPE1702" localSheetId="4">#N/A</definedName>
    <definedName name="_________________________________________TPE1702" localSheetId="5">#N/A</definedName>
    <definedName name="_________________________________________TPE1702">#N/A</definedName>
    <definedName name="_________________________________________TPE1703" localSheetId="4">#N/A</definedName>
    <definedName name="_________________________________________TPE1703" localSheetId="5">#N/A</definedName>
    <definedName name="_________________________________________TPE1703">#N/A</definedName>
    <definedName name="_________________________________________TPE1704" localSheetId="4">#N/A</definedName>
    <definedName name="_________________________________________TPE1704" localSheetId="5">#N/A</definedName>
    <definedName name="_________________________________________TPE1704">#N/A</definedName>
    <definedName name="_________________________________________TPE1706" localSheetId="4">#N/A</definedName>
    <definedName name="_________________________________________TPE1706" localSheetId="5">#N/A</definedName>
    <definedName name="_________________________________________TPE1706">#N/A</definedName>
    <definedName name="_________________________________________TPE1708" localSheetId="4">#N/A</definedName>
    <definedName name="_________________________________________TPE1708" localSheetId="5">#N/A</definedName>
    <definedName name="_________________________________________TPE1708">#N/A</definedName>
    <definedName name="_________________________________________TPE1710" localSheetId="4">#N/A</definedName>
    <definedName name="_________________________________________TPE1710" localSheetId="5">#N/A</definedName>
    <definedName name="_________________________________________TPE1710">#N/A</definedName>
    <definedName name="_________________________________________TPE1735" localSheetId="4">#N/A</definedName>
    <definedName name="_________________________________________TPE1735" localSheetId="5">#N/A</definedName>
    <definedName name="_________________________________________TPE1735">#N/A</definedName>
    <definedName name="_________________________________________TPE1763" localSheetId="4">#N/A</definedName>
    <definedName name="_________________________________________TPE1763" localSheetId="5">#N/A</definedName>
    <definedName name="_________________________________________TPE1763">#N/A</definedName>
    <definedName name="_________________________________________TPE1790" localSheetId="4">#N/A</definedName>
    <definedName name="_________________________________________TPE1790" localSheetId="5">#N/A</definedName>
    <definedName name="_________________________________________TPE1790">#N/A</definedName>
    <definedName name="_________________________________________TPF12" localSheetId="4">[2]BASE!$D$217</definedName>
    <definedName name="_________________________________________TPF12" localSheetId="5">[2]BASE!$D$217</definedName>
    <definedName name="_________________________________________TPF12">[2]BASE!$D$217</definedName>
    <definedName name="_________________________________________TUZ22" localSheetId="4">'[2]BASE ORIGINAL'!#REF!</definedName>
    <definedName name="_________________________________________TUZ22" localSheetId="5">'[2]BASE ORIGINAL'!#REF!</definedName>
    <definedName name="_________________________________________TUZ22">'[2]BASE ORIGINAL'!#REF!</definedName>
    <definedName name="_________________________________________TUZ36" localSheetId="4">'[2]BASE ORIGINAL'!#REF!</definedName>
    <definedName name="_________________________________________TUZ36" localSheetId="5">'[2]BASE ORIGINAL'!#REF!</definedName>
    <definedName name="_________________________________________TUZ36">'[2]BASE ORIGINAL'!#REF!</definedName>
    <definedName name="_________________________________________TZ2110" localSheetId="4">[2]BASE!$D$79</definedName>
    <definedName name="_________________________________________TZ2110" localSheetId="5">[2]BASE!$D$79</definedName>
    <definedName name="_________________________________________TZ2110">[2]BASE!$D$79</definedName>
    <definedName name="_________________________________________TZ214" localSheetId="4">#N/A</definedName>
    <definedName name="_________________________________________TZ214" localSheetId="5">#N/A</definedName>
    <definedName name="_________________________________________TZ214">#N/A</definedName>
    <definedName name="_________________________________________TZ216" localSheetId="4">#N/A</definedName>
    <definedName name="_________________________________________TZ216" localSheetId="5">#N/A</definedName>
    <definedName name="_________________________________________TZ216">#N/A</definedName>
    <definedName name="_________________________________________TZ268">[4]BASE!$D$85</definedName>
    <definedName name="_________________________________________TZ323" localSheetId="4">'[2]BASE ORIGINAL'!#REF!</definedName>
    <definedName name="_________________________________________TZ323" localSheetId="5">'[2]BASE ORIGINAL'!#REF!</definedName>
    <definedName name="_________________________________________TZ323">'[2]BASE ORIGINAL'!#REF!</definedName>
    <definedName name="_________________________________________TZ324" localSheetId="4">'[2]BASE ORIGINAL'!#REF!</definedName>
    <definedName name="_________________________________________TZ324" localSheetId="5">'[2]BASE ORIGINAL'!#REF!</definedName>
    <definedName name="_________________________________________TZ324">'[2]BASE ORIGINAL'!#REF!</definedName>
    <definedName name="_________________________________________TZ32510" localSheetId="4">#N/A</definedName>
    <definedName name="_________________________________________TZ32510" localSheetId="5">#N/A</definedName>
    <definedName name="_________________________________________TZ32510">#N/A</definedName>
    <definedName name="________________________________________ADH12" localSheetId="4">[2]BASE!$D$218</definedName>
    <definedName name="________________________________________ADH12" localSheetId="5">[2]BASE!$D$218</definedName>
    <definedName name="________________________________________ADH12">[2]BASE!$D$218</definedName>
    <definedName name="________________________________________ADM12" localSheetId="4">[2]BASE!$D$219</definedName>
    <definedName name="________________________________________ADM12" localSheetId="5">[2]BASE!$D$219</definedName>
    <definedName name="________________________________________ADM12">[2]BASE!$D$219</definedName>
    <definedName name="________________________________________ADM4" localSheetId="4">[2]BASE!$D$120</definedName>
    <definedName name="________________________________________ADM4" localSheetId="5">[2]BASE!$D$120</definedName>
    <definedName name="________________________________________ADM4">[2]BASE!$D$120</definedName>
    <definedName name="________________________________________AIU1" localSheetId="4">#REF!</definedName>
    <definedName name="________________________________________AIU1" localSheetId="5">#REF!</definedName>
    <definedName name="________________________________________AIU1">#REF!</definedName>
    <definedName name="________________________________________AIU2">[3]BASE!$C$5</definedName>
    <definedName name="________________________________________BAZ10" localSheetId="4">[2]BASE!$D$270</definedName>
    <definedName name="________________________________________BAZ10" localSheetId="5">[2]BASE!$D$270</definedName>
    <definedName name="________________________________________BAZ10">[2]BASE!$D$270</definedName>
    <definedName name="________________________________________BLO20" localSheetId="4">[2]BASE!$D$56</definedName>
    <definedName name="________________________________________BLO20" localSheetId="5">[2]BASE!$D$56</definedName>
    <definedName name="________________________________________BLO20">[2]BASE!$D$56</definedName>
    <definedName name="________________________________________CAN28" localSheetId="4">[2]BASE!$D$315</definedName>
    <definedName name="________________________________________CAN28" localSheetId="5">[2]BASE!$D$315</definedName>
    <definedName name="________________________________________CAN28">[2]BASE!$D$315</definedName>
    <definedName name="________________________________________Cod1" localSheetId="4">#REF!</definedName>
    <definedName name="________________________________________Cod1" localSheetId="5">#REF!</definedName>
    <definedName name="________________________________________Cod1">#REF!</definedName>
    <definedName name="________________________________________CUA44" localSheetId="4">[2]BASE!$D$253</definedName>
    <definedName name="________________________________________CUA44" localSheetId="5">[2]BASE!$D$253</definedName>
    <definedName name="________________________________________CUA44">[2]BASE!$D$253</definedName>
    <definedName name="________________________________________LA124" localSheetId="4">[2]BASE!$D$64</definedName>
    <definedName name="________________________________________LA124" localSheetId="5">[2]BASE!$D$64</definedName>
    <definedName name="________________________________________LA124">[2]BASE!$D$64</definedName>
    <definedName name="________________________________________LAC18">[4]BASE!$D$252</definedName>
    <definedName name="________________________________________Po2">[5]REAJUSTESACTA1PROVI!#REF!</definedName>
    <definedName name="________________________________________R84JH">[4]BASE!$D$172</definedName>
    <definedName name="________________________________________REP43">[6]BASE!$D$136</definedName>
    <definedName name="________________________________________TEP44" localSheetId="4">#N/A</definedName>
    <definedName name="________________________________________TEP44" localSheetId="5">#N/A</definedName>
    <definedName name="________________________________________TEP44">#N/A</definedName>
    <definedName name="________________________________________TPE1132" localSheetId="4">#N/A</definedName>
    <definedName name="________________________________________TPE1132" localSheetId="5">#N/A</definedName>
    <definedName name="________________________________________TPE1132">#N/A</definedName>
    <definedName name="________________________________________TPE12" localSheetId="4">#REF!</definedName>
    <definedName name="________________________________________TPE12" localSheetId="5">#REF!</definedName>
    <definedName name="________________________________________TPE12">#REF!</definedName>
    <definedName name="________________________________________TPE1331" localSheetId="4">#N/A</definedName>
    <definedName name="________________________________________TPE1331" localSheetId="5">#N/A</definedName>
    <definedName name="________________________________________TPE1331">#N/A</definedName>
    <definedName name="________________________________________TPE1702" localSheetId="4">#N/A</definedName>
    <definedName name="________________________________________TPE1702" localSheetId="5">#N/A</definedName>
    <definedName name="________________________________________TPE1702">#N/A</definedName>
    <definedName name="________________________________________TPE1703" localSheetId="4">#N/A</definedName>
    <definedName name="________________________________________TPE1703" localSheetId="5">#N/A</definedName>
    <definedName name="________________________________________TPE1703">#N/A</definedName>
    <definedName name="________________________________________TPE1704" localSheetId="4">#N/A</definedName>
    <definedName name="________________________________________TPE1704" localSheetId="5">#N/A</definedName>
    <definedName name="________________________________________TPE1704">#N/A</definedName>
    <definedName name="________________________________________TPE1706" localSheetId="4">#N/A</definedName>
    <definedName name="________________________________________TPE1706" localSheetId="5">#N/A</definedName>
    <definedName name="________________________________________TPE1706">#N/A</definedName>
    <definedName name="________________________________________TPE1708" localSheetId="4">#N/A</definedName>
    <definedName name="________________________________________TPE1708" localSheetId="5">#N/A</definedName>
    <definedName name="________________________________________TPE1708">#N/A</definedName>
    <definedName name="________________________________________TPE1710" localSheetId="4">#N/A</definedName>
    <definedName name="________________________________________TPE1710" localSheetId="5">#N/A</definedName>
    <definedName name="________________________________________TPE1710">#N/A</definedName>
    <definedName name="________________________________________TPE1735" localSheetId="4">#N/A</definedName>
    <definedName name="________________________________________TPE1735" localSheetId="5">#N/A</definedName>
    <definedName name="________________________________________TPE1735">#N/A</definedName>
    <definedName name="________________________________________TPE1763" localSheetId="4">#N/A</definedName>
    <definedName name="________________________________________TPE1763" localSheetId="5">#N/A</definedName>
    <definedName name="________________________________________TPE1763">#N/A</definedName>
    <definedName name="________________________________________TPE1790" localSheetId="4">#N/A</definedName>
    <definedName name="________________________________________TPE1790" localSheetId="5">#N/A</definedName>
    <definedName name="________________________________________TPE1790">#N/A</definedName>
    <definedName name="________________________________________TPF12" localSheetId="4">[2]BASE!$D$217</definedName>
    <definedName name="________________________________________TPF12" localSheetId="5">[2]BASE!$D$217</definedName>
    <definedName name="________________________________________TPF12">[2]BASE!$D$217</definedName>
    <definedName name="________________________________________TUZ22" localSheetId="4">'[2]BASE ORIGINAL'!#REF!</definedName>
    <definedName name="________________________________________TUZ22" localSheetId="5">'[2]BASE ORIGINAL'!#REF!</definedName>
    <definedName name="________________________________________TUZ22">'[2]BASE ORIGINAL'!#REF!</definedName>
    <definedName name="________________________________________TUZ36" localSheetId="4">'[2]BASE ORIGINAL'!#REF!</definedName>
    <definedName name="________________________________________TUZ36" localSheetId="5">'[2]BASE ORIGINAL'!#REF!</definedName>
    <definedName name="________________________________________TUZ36">'[2]BASE ORIGINAL'!#REF!</definedName>
    <definedName name="________________________________________TZ2110" localSheetId="4">[2]BASE!$D$79</definedName>
    <definedName name="________________________________________TZ2110" localSheetId="5">[2]BASE!$D$79</definedName>
    <definedName name="________________________________________TZ2110">[2]BASE!$D$79</definedName>
    <definedName name="________________________________________TZ214" localSheetId="4">#N/A</definedName>
    <definedName name="________________________________________TZ214" localSheetId="5">#N/A</definedName>
    <definedName name="________________________________________TZ214">#N/A</definedName>
    <definedName name="________________________________________TZ216" localSheetId="4">#N/A</definedName>
    <definedName name="________________________________________TZ216" localSheetId="5">#N/A</definedName>
    <definedName name="________________________________________TZ216">#N/A</definedName>
    <definedName name="________________________________________TZ268">[4]BASE!$D$85</definedName>
    <definedName name="________________________________________TZ323" localSheetId="4">'[2]BASE ORIGINAL'!#REF!</definedName>
    <definedName name="________________________________________TZ323" localSheetId="5">'[2]BASE ORIGINAL'!#REF!</definedName>
    <definedName name="________________________________________TZ323">'[2]BASE ORIGINAL'!#REF!</definedName>
    <definedName name="________________________________________TZ324" localSheetId="4">'[2]BASE ORIGINAL'!#REF!</definedName>
    <definedName name="________________________________________TZ324" localSheetId="5">'[2]BASE ORIGINAL'!#REF!</definedName>
    <definedName name="________________________________________TZ324">'[2]BASE ORIGINAL'!#REF!</definedName>
    <definedName name="________________________________________TZ32510" localSheetId="4">#N/A</definedName>
    <definedName name="________________________________________TZ32510" localSheetId="5">#N/A</definedName>
    <definedName name="________________________________________TZ32510">#N/A</definedName>
    <definedName name="_______________________________________ADH12" localSheetId="4">[2]BASE!$D$218</definedName>
    <definedName name="_______________________________________ADH12" localSheetId="5">[2]BASE!$D$218</definedName>
    <definedName name="_______________________________________ADH12">[2]BASE!$D$218</definedName>
    <definedName name="_______________________________________ADM12" localSheetId="4">[2]BASE!$D$219</definedName>
    <definedName name="_______________________________________ADM12" localSheetId="5">[2]BASE!$D$219</definedName>
    <definedName name="_______________________________________ADM12">[2]BASE!$D$219</definedName>
    <definedName name="_______________________________________ADM4" localSheetId="4">[2]BASE!$D$120</definedName>
    <definedName name="_______________________________________ADM4" localSheetId="5">[2]BASE!$D$120</definedName>
    <definedName name="_______________________________________ADM4">[2]BASE!$D$120</definedName>
    <definedName name="_______________________________________AIU1" localSheetId="4">#REF!</definedName>
    <definedName name="_______________________________________AIU1" localSheetId="5">#REF!</definedName>
    <definedName name="_______________________________________AIU1">#REF!</definedName>
    <definedName name="_______________________________________AIU2">[3]BASE!$C$5</definedName>
    <definedName name="_______________________________________BAZ10" localSheetId="4">[2]BASE!$D$270</definedName>
    <definedName name="_______________________________________BAZ10" localSheetId="5">[2]BASE!$D$270</definedName>
    <definedName name="_______________________________________BAZ10">[2]BASE!$D$270</definedName>
    <definedName name="_______________________________________BLO20" localSheetId="4">[2]BASE!$D$56</definedName>
    <definedName name="_______________________________________BLO20" localSheetId="5">[2]BASE!$D$56</definedName>
    <definedName name="_______________________________________BLO20">[2]BASE!$D$56</definedName>
    <definedName name="_______________________________________CAN28" localSheetId="4">[2]BASE!$D$315</definedName>
    <definedName name="_______________________________________CAN28" localSheetId="5">[2]BASE!$D$315</definedName>
    <definedName name="_______________________________________CAN28">[2]BASE!$D$315</definedName>
    <definedName name="_______________________________________Cod1" localSheetId="4">#REF!</definedName>
    <definedName name="_______________________________________Cod1" localSheetId="5">#REF!</definedName>
    <definedName name="_______________________________________Cod1">#REF!</definedName>
    <definedName name="_______________________________________CUA44" localSheetId="4">[2]BASE!$D$253</definedName>
    <definedName name="_______________________________________CUA44" localSheetId="5">[2]BASE!$D$253</definedName>
    <definedName name="_______________________________________CUA44">[2]BASE!$D$253</definedName>
    <definedName name="_______________________________________LA124" localSheetId="4">[2]BASE!$D$64</definedName>
    <definedName name="_______________________________________LA124" localSheetId="5">[2]BASE!$D$64</definedName>
    <definedName name="_______________________________________LA124">[2]BASE!$D$64</definedName>
    <definedName name="_______________________________________LAC18">[4]BASE!$D$252</definedName>
    <definedName name="_______________________________________Po2">[5]REAJUSTESACTA1PROVI!#REF!</definedName>
    <definedName name="_______________________________________R84JH">[4]BASE!$D$172</definedName>
    <definedName name="_______________________________________REP43">[6]BASE!$D$136</definedName>
    <definedName name="_______________________________________TEP44" localSheetId="4">#N/A</definedName>
    <definedName name="_______________________________________TEP44" localSheetId="5">#N/A</definedName>
    <definedName name="_______________________________________TEP44">#N/A</definedName>
    <definedName name="_______________________________________TPE1132" localSheetId="4">#N/A</definedName>
    <definedName name="_______________________________________TPE1132" localSheetId="5">#N/A</definedName>
    <definedName name="_______________________________________TPE1132">#N/A</definedName>
    <definedName name="_______________________________________TPE12" localSheetId="4">#REF!</definedName>
    <definedName name="_______________________________________TPE12" localSheetId="5">#REF!</definedName>
    <definedName name="_______________________________________TPE12">#REF!</definedName>
    <definedName name="_______________________________________TPE1331" localSheetId="4">#N/A</definedName>
    <definedName name="_______________________________________TPE1331" localSheetId="5">#N/A</definedName>
    <definedName name="_______________________________________TPE1331">#N/A</definedName>
    <definedName name="_______________________________________TPE1702" localSheetId="4">#N/A</definedName>
    <definedName name="_______________________________________TPE1702" localSheetId="5">#N/A</definedName>
    <definedName name="_______________________________________TPE1702">#N/A</definedName>
    <definedName name="_______________________________________TPE1703" localSheetId="4">#N/A</definedName>
    <definedName name="_______________________________________TPE1703" localSheetId="5">#N/A</definedName>
    <definedName name="_______________________________________TPE1703">#N/A</definedName>
    <definedName name="_______________________________________TPE1704" localSheetId="4">#N/A</definedName>
    <definedName name="_______________________________________TPE1704" localSheetId="5">#N/A</definedName>
    <definedName name="_______________________________________TPE1704">#N/A</definedName>
    <definedName name="_______________________________________TPE1706" localSheetId="4">#N/A</definedName>
    <definedName name="_______________________________________TPE1706" localSheetId="5">#N/A</definedName>
    <definedName name="_______________________________________TPE1706">#N/A</definedName>
    <definedName name="_______________________________________TPE1708" localSheetId="4">#N/A</definedName>
    <definedName name="_______________________________________TPE1708" localSheetId="5">#N/A</definedName>
    <definedName name="_______________________________________TPE1708">#N/A</definedName>
    <definedName name="_______________________________________TPE1710" localSheetId="4">#N/A</definedName>
    <definedName name="_______________________________________TPE1710" localSheetId="5">#N/A</definedName>
    <definedName name="_______________________________________TPE1710">#N/A</definedName>
    <definedName name="_______________________________________TPE1735" localSheetId="4">#N/A</definedName>
    <definedName name="_______________________________________TPE1735" localSheetId="5">#N/A</definedName>
    <definedName name="_______________________________________TPE1735">#N/A</definedName>
    <definedName name="_______________________________________TPE1763" localSheetId="4">#N/A</definedName>
    <definedName name="_______________________________________TPE1763" localSheetId="5">#N/A</definedName>
    <definedName name="_______________________________________TPE1763">#N/A</definedName>
    <definedName name="_______________________________________TPE1790" localSheetId="4">#N/A</definedName>
    <definedName name="_______________________________________TPE1790" localSheetId="5">#N/A</definedName>
    <definedName name="_______________________________________TPE1790">#N/A</definedName>
    <definedName name="_______________________________________TPF12" localSheetId="4">[2]BASE!$D$217</definedName>
    <definedName name="_______________________________________TPF12" localSheetId="5">[2]BASE!$D$217</definedName>
    <definedName name="_______________________________________TPF12">[2]BASE!$D$217</definedName>
    <definedName name="_______________________________________TUZ22" localSheetId="4">'[2]BASE ORIGINAL'!#REF!</definedName>
    <definedName name="_______________________________________TUZ22" localSheetId="5">'[2]BASE ORIGINAL'!#REF!</definedName>
    <definedName name="_______________________________________TUZ22">'[2]BASE ORIGINAL'!#REF!</definedName>
    <definedName name="_______________________________________TUZ36" localSheetId="4">'[2]BASE ORIGINAL'!#REF!</definedName>
    <definedName name="_______________________________________TUZ36" localSheetId="5">'[2]BASE ORIGINAL'!#REF!</definedName>
    <definedName name="_______________________________________TUZ36">'[2]BASE ORIGINAL'!#REF!</definedName>
    <definedName name="_______________________________________TZ2110" localSheetId="4">[2]BASE!$D$79</definedName>
    <definedName name="_______________________________________TZ2110" localSheetId="5">[2]BASE!$D$79</definedName>
    <definedName name="_______________________________________TZ2110">[2]BASE!$D$79</definedName>
    <definedName name="_______________________________________TZ214" localSheetId="4">#N/A</definedName>
    <definedName name="_______________________________________TZ214" localSheetId="5">#N/A</definedName>
    <definedName name="_______________________________________TZ214">#N/A</definedName>
    <definedName name="_______________________________________TZ216" localSheetId="4">#N/A</definedName>
    <definedName name="_______________________________________TZ216" localSheetId="5">#N/A</definedName>
    <definedName name="_______________________________________TZ216">#N/A</definedName>
    <definedName name="_______________________________________TZ268">[4]BASE!$D$85</definedName>
    <definedName name="_______________________________________TZ323" localSheetId="4">'[2]BASE ORIGINAL'!#REF!</definedName>
    <definedName name="_______________________________________TZ323" localSheetId="5">'[2]BASE ORIGINAL'!#REF!</definedName>
    <definedName name="_______________________________________TZ323">'[2]BASE ORIGINAL'!#REF!</definedName>
    <definedName name="_______________________________________TZ324" localSheetId="4">'[2]BASE ORIGINAL'!#REF!</definedName>
    <definedName name="_______________________________________TZ324" localSheetId="5">'[2]BASE ORIGINAL'!#REF!</definedName>
    <definedName name="_______________________________________TZ324">'[2]BASE ORIGINAL'!#REF!</definedName>
    <definedName name="_______________________________________TZ32510" localSheetId="4">#N/A</definedName>
    <definedName name="_______________________________________TZ32510" localSheetId="5">#N/A</definedName>
    <definedName name="_______________________________________TZ32510">#N/A</definedName>
    <definedName name="______________________________________ADH12" localSheetId="4">[2]BASE!$D$218</definedName>
    <definedName name="______________________________________ADH12" localSheetId="5">[2]BASE!$D$218</definedName>
    <definedName name="______________________________________ADH12">[2]BASE!$D$218</definedName>
    <definedName name="______________________________________ADM12" localSheetId="4">[2]BASE!$D$219</definedName>
    <definedName name="______________________________________ADM12" localSheetId="5">[2]BASE!$D$219</definedName>
    <definedName name="______________________________________ADM12">[2]BASE!$D$219</definedName>
    <definedName name="______________________________________ADM4" localSheetId="4">[2]BASE!$D$120</definedName>
    <definedName name="______________________________________ADM4" localSheetId="5">[2]BASE!$D$120</definedName>
    <definedName name="______________________________________ADM4">[2]BASE!$D$120</definedName>
    <definedName name="______________________________________AIU1" localSheetId="4">#REF!</definedName>
    <definedName name="______________________________________AIU1" localSheetId="5">#REF!</definedName>
    <definedName name="______________________________________AIU1">#REF!</definedName>
    <definedName name="______________________________________AIU2">[3]BASE!$C$5</definedName>
    <definedName name="______________________________________BAZ10" localSheetId="4">[2]BASE!$D$270</definedName>
    <definedName name="______________________________________BAZ10" localSheetId="5">[2]BASE!$D$270</definedName>
    <definedName name="______________________________________BAZ10">[2]BASE!$D$270</definedName>
    <definedName name="______________________________________BLO20" localSheetId="4">[2]BASE!$D$56</definedName>
    <definedName name="______________________________________BLO20" localSheetId="5">[2]BASE!$D$56</definedName>
    <definedName name="______________________________________BLO20">[2]BASE!$D$56</definedName>
    <definedName name="______________________________________CAN28" localSheetId="4">[2]BASE!$D$315</definedName>
    <definedName name="______________________________________CAN28" localSheetId="5">[2]BASE!$D$315</definedName>
    <definedName name="______________________________________CAN28">[2]BASE!$D$315</definedName>
    <definedName name="______________________________________Cod1" localSheetId="4">#REF!</definedName>
    <definedName name="______________________________________Cod1" localSheetId="5">#REF!</definedName>
    <definedName name="______________________________________Cod1">#REF!</definedName>
    <definedName name="______________________________________CUA44" localSheetId="4">[2]BASE!$D$253</definedName>
    <definedName name="______________________________________CUA44" localSheetId="5">[2]BASE!$D$253</definedName>
    <definedName name="______________________________________CUA44">[2]BASE!$D$253</definedName>
    <definedName name="______________________________________LA124" localSheetId="4">[2]BASE!$D$64</definedName>
    <definedName name="______________________________________LA124" localSheetId="5">[2]BASE!$D$64</definedName>
    <definedName name="______________________________________LA124">[2]BASE!$D$64</definedName>
    <definedName name="______________________________________LAC18">[4]BASE!$D$252</definedName>
    <definedName name="______________________________________Po2">[5]REAJUSTESACTA1PROVI!#REF!</definedName>
    <definedName name="______________________________________R84JH">[4]BASE!$D$172</definedName>
    <definedName name="______________________________________REP43">[6]BASE!$D$136</definedName>
    <definedName name="______________________________________TEP44" localSheetId="4">[7]BASE!$D$116</definedName>
    <definedName name="______________________________________TEP44" localSheetId="5">[7]BASE!$D$116</definedName>
    <definedName name="______________________________________TEP44">[7]BASE!$D$116</definedName>
    <definedName name="______________________________________TPE1132" localSheetId="4">#N/A</definedName>
    <definedName name="______________________________________TPE1132" localSheetId="5">#N/A</definedName>
    <definedName name="______________________________________TPE1132">#N/A</definedName>
    <definedName name="______________________________________TPE12" localSheetId="4">#REF!</definedName>
    <definedName name="______________________________________TPE12" localSheetId="5">#REF!</definedName>
    <definedName name="______________________________________TPE12">#REF!</definedName>
    <definedName name="______________________________________TPE1331" localSheetId="4">#N/A</definedName>
    <definedName name="______________________________________TPE1331" localSheetId="5">#N/A</definedName>
    <definedName name="______________________________________TPE1331">#N/A</definedName>
    <definedName name="______________________________________TPE1702" localSheetId="4">#N/A</definedName>
    <definedName name="______________________________________TPE1702" localSheetId="5">#N/A</definedName>
    <definedName name="______________________________________TPE1702">#N/A</definedName>
    <definedName name="______________________________________TPE1703" localSheetId="4">#N/A</definedName>
    <definedName name="______________________________________TPE1703" localSheetId="5">#N/A</definedName>
    <definedName name="______________________________________TPE1703">#N/A</definedName>
    <definedName name="______________________________________TPE1704" localSheetId="4">#N/A</definedName>
    <definedName name="______________________________________TPE1704" localSheetId="5">#N/A</definedName>
    <definedName name="______________________________________TPE1704">#N/A</definedName>
    <definedName name="______________________________________TPE1706" localSheetId="4">#N/A</definedName>
    <definedName name="______________________________________TPE1706" localSheetId="5">#N/A</definedName>
    <definedName name="______________________________________TPE1706">#N/A</definedName>
    <definedName name="______________________________________TPE1708" localSheetId="4">#N/A</definedName>
    <definedName name="______________________________________TPE1708" localSheetId="5">#N/A</definedName>
    <definedName name="______________________________________TPE1708">#N/A</definedName>
    <definedName name="______________________________________TPE1710" localSheetId="4">#N/A</definedName>
    <definedName name="______________________________________TPE1710" localSheetId="5">#N/A</definedName>
    <definedName name="______________________________________TPE1710">#N/A</definedName>
    <definedName name="______________________________________TPE1735" localSheetId="4">#N/A</definedName>
    <definedName name="______________________________________TPE1735" localSheetId="5">#N/A</definedName>
    <definedName name="______________________________________TPE1735">#N/A</definedName>
    <definedName name="______________________________________TPE1763" localSheetId="4">#N/A</definedName>
    <definedName name="______________________________________TPE1763" localSheetId="5">#N/A</definedName>
    <definedName name="______________________________________TPE1763">#N/A</definedName>
    <definedName name="______________________________________TPE1790" localSheetId="4">#N/A</definedName>
    <definedName name="______________________________________TPE1790" localSheetId="5">#N/A</definedName>
    <definedName name="______________________________________TPE1790">#N/A</definedName>
    <definedName name="______________________________________TPF12" localSheetId="4">[2]BASE!$D$217</definedName>
    <definedName name="______________________________________TPF12" localSheetId="5">[2]BASE!$D$217</definedName>
    <definedName name="______________________________________TPF12">[2]BASE!$D$217</definedName>
    <definedName name="______________________________________TUZ22" localSheetId="4">'[2]BASE ORIGINAL'!#REF!</definedName>
    <definedName name="______________________________________TUZ22" localSheetId="5">'[2]BASE ORIGINAL'!#REF!</definedName>
    <definedName name="______________________________________TUZ22">'[2]BASE ORIGINAL'!#REF!</definedName>
    <definedName name="______________________________________TUZ36" localSheetId="4">'[2]BASE ORIGINAL'!#REF!</definedName>
    <definedName name="______________________________________TUZ36" localSheetId="5">'[2]BASE ORIGINAL'!#REF!</definedName>
    <definedName name="______________________________________TUZ36">'[2]BASE ORIGINAL'!#REF!</definedName>
    <definedName name="______________________________________TZ2110" localSheetId="4">[2]BASE!$D$79</definedName>
    <definedName name="______________________________________TZ2110" localSheetId="5">[2]BASE!$D$79</definedName>
    <definedName name="______________________________________TZ2110">[2]BASE!$D$79</definedName>
    <definedName name="______________________________________TZ214" localSheetId="4">#N/A</definedName>
    <definedName name="______________________________________TZ214" localSheetId="5">#N/A</definedName>
    <definedName name="______________________________________TZ214">#N/A</definedName>
    <definedName name="______________________________________TZ216" localSheetId="4">[7]BASE!$D$87</definedName>
    <definedName name="______________________________________TZ216" localSheetId="5">[7]BASE!$D$87</definedName>
    <definedName name="______________________________________TZ216">[7]BASE!$D$87</definedName>
    <definedName name="______________________________________TZ268">[4]BASE!$D$85</definedName>
    <definedName name="______________________________________TZ323" localSheetId="4">'[2]BASE ORIGINAL'!#REF!</definedName>
    <definedName name="______________________________________TZ323" localSheetId="5">'[2]BASE ORIGINAL'!#REF!</definedName>
    <definedName name="______________________________________TZ323">'[2]BASE ORIGINAL'!#REF!</definedName>
    <definedName name="______________________________________TZ324" localSheetId="4">'[2]BASE ORIGINAL'!#REF!</definedName>
    <definedName name="______________________________________TZ324" localSheetId="5">'[2]BASE ORIGINAL'!#REF!</definedName>
    <definedName name="______________________________________TZ324">'[2]BASE ORIGINAL'!#REF!</definedName>
    <definedName name="______________________________________TZ32510" localSheetId="4">#N/A</definedName>
    <definedName name="______________________________________TZ32510" localSheetId="5">#N/A</definedName>
    <definedName name="______________________________________TZ32510">#N/A</definedName>
    <definedName name="_____________________________________ADH12" localSheetId="4">[2]BASE!$D$218</definedName>
    <definedName name="_____________________________________ADH12" localSheetId="5">[2]BASE!$D$218</definedName>
    <definedName name="_____________________________________ADH12">[2]BASE!$D$218</definedName>
    <definedName name="_____________________________________ADM12" localSheetId="4">[2]BASE!$D$219</definedName>
    <definedName name="_____________________________________ADM12" localSheetId="5">[2]BASE!$D$219</definedName>
    <definedName name="_____________________________________ADM12">[2]BASE!$D$219</definedName>
    <definedName name="_____________________________________ADM4" localSheetId="4">[2]BASE!$D$120</definedName>
    <definedName name="_____________________________________ADM4" localSheetId="5">[2]BASE!$D$120</definedName>
    <definedName name="_____________________________________ADM4">[2]BASE!$D$120</definedName>
    <definedName name="_____________________________________AIU1" localSheetId="4">#REF!</definedName>
    <definedName name="_____________________________________AIU1" localSheetId="5">#REF!</definedName>
    <definedName name="_____________________________________AIU1">#REF!</definedName>
    <definedName name="_____________________________________AIU2">[3]BASE!$C$5</definedName>
    <definedName name="_____________________________________BAZ10" localSheetId="4">[2]BASE!$D$270</definedName>
    <definedName name="_____________________________________BAZ10" localSheetId="5">[2]BASE!$D$270</definedName>
    <definedName name="_____________________________________BAZ10">[2]BASE!$D$270</definedName>
    <definedName name="_____________________________________BLO20" localSheetId="4">[2]BASE!$D$56</definedName>
    <definedName name="_____________________________________BLO20" localSheetId="5">[2]BASE!$D$56</definedName>
    <definedName name="_____________________________________BLO20">[2]BASE!$D$56</definedName>
    <definedName name="_____________________________________CAN28" localSheetId="4">[2]BASE!$D$315</definedName>
    <definedName name="_____________________________________CAN28" localSheetId="5">[2]BASE!$D$315</definedName>
    <definedName name="_____________________________________CAN28">[2]BASE!$D$315</definedName>
    <definedName name="_____________________________________Cod1" localSheetId="4">#REF!</definedName>
    <definedName name="_____________________________________Cod1" localSheetId="5">#REF!</definedName>
    <definedName name="_____________________________________Cod1">#REF!</definedName>
    <definedName name="_____________________________________CUA44" localSheetId="4">[2]BASE!$D$253</definedName>
    <definedName name="_____________________________________CUA44" localSheetId="5">[2]BASE!$D$253</definedName>
    <definedName name="_____________________________________CUA44">[2]BASE!$D$253</definedName>
    <definedName name="_____________________________________LA124" localSheetId="4">[2]BASE!$D$64</definedName>
    <definedName name="_____________________________________LA124" localSheetId="5">[2]BASE!$D$64</definedName>
    <definedName name="_____________________________________LA124">[2]BASE!$D$64</definedName>
    <definedName name="_____________________________________LAC18">[4]BASE!$D$252</definedName>
    <definedName name="_____________________________________Po2">[5]REAJUSTESACTA1PROVI!#REF!</definedName>
    <definedName name="_____________________________________R84JH">[4]BASE!$D$172</definedName>
    <definedName name="_____________________________________REP43">[6]BASE!$D$136</definedName>
    <definedName name="_____________________________________TEP44" localSheetId="4">#N/A</definedName>
    <definedName name="_____________________________________TEP44" localSheetId="5">#N/A</definedName>
    <definedName name="_____________________________________TEP44">#N/A</definedName>
    <definedName name="_____________________________________TPE1132" localSheetId="4">[7]BASE!#REF!</definedName>
    <definedName name="_____________________________________TPE1132" localSheetId="5">[7]BASE!#REF!</definedName>
    <definedName name="_____________________________________TPE1132">[7]BASE!#REF!</definedName>
    <definedName name="_____________________________________TPE12" localSheetId="4">#REF!</definedName>
    <definedName name="_____________________________________TPE12" localSheetId="5">#REF!</definedName>
    <definedName name="_____________________________________TPE12">#REF!</definedName>
    <definedName name="_____________________________________TPE1331" localSheetId="4">[7]BASE!#REF!</definedName>
    <definedName name="_____________________________________TPE1331" localSheetId="5">[7]BASE!#REF!</definedName>
    <definedName name="_____________________________________TPE1331">[7]BASE!#REF!</definedName>
    <definedName name="_____________________________________TPE1702" localSheetId="4">[7]BASE!#REF!</definedName>
    <definedName name="_____________________________________TPE1702" localSheetId="5">[7]BASE!#REF!</definedName>
    <definedName name="_____________________________________TPE1702">[7]BASE!#REF!</definedName>
    <definedName name="_____________________________________TPE1703" localSheetId="4">[7]BASE!#REF!</definedName>
    <definedName name="_____________________________________TPE1703" localSheetId="5">[7]BASE!#REF!</definedName>
    <definedName name="_____________________________________TPE1703">[7]BASE!#REF!</definedName>
    <definedName name="_____________________________________TPE1704" localSheetId="4">[7]BASE!#REF!</definedName>
    <definedName name="_____________________________________TPE1704" localSheetId="5">[7]BASE!#REF!</definedName>
    <definedName name="_____________________________________TPE1704">[7]BASE!#REF!</definedName>
    <definedName name="_____________________________________TPE1706" localSheetId="4">[7]BASE!#REF!</definedName>
    <definedName name="_____________________________________TPE1706" localSheetId="5">[7]BASE!#REF!</definedName>
    <definedName name="_____________________________________TPE1706">[7]BASE!#REF!</definedName>
    <definedName name="_____________________________________TPE1708" localSheetId="4">[7]BASE!#REF!</definedName>
    <definedName name="_____________________________________TPE1708" localSheetId="5">[7]BASE!#REF!</definedName>
    <definedName name="_____________________________________TPE1708">[7]BASE!#REF!</definedName>
    <definedName name="_____________________________________TPE1710" localSheetId="4">[7]BASE!#REF!</definedName>
    <definedName name="_____________________________________TPE1710" localSheetId="5">[7]BASE!#REF!</definedName>
    <definedName name="_____________________________________TPE1710">[7]BASE!#REF!</definedName>
    <definedName name="_____________________________________TPE1735" localSheetId="4">[7]BASE!#REF!</definedName>
    <definedName name="_____________________________________TPE1735" localSheetId="5">[7]BASE!#REF!</definedName>
    <definedName name="_____________________________________TPE1735">[7]BASE!#REF!</definedName>
    <definedName name="_____________________________________TPE1763" localSheetId="4">[7]BASE!#REF!</definedName>
    <definedName name="_____________________________________TPE1763" localSheetId="5">[7]BASE!#REF!</definedName>
    <definedName name="_____________________________________TPE1763">[7]BASE!#REF!</definedName>
    <definedName name="_____________________________________TPE1790" localSheetId="4">[7]BASE!#REF!</definedName>
    <definedName name="_____________________________________TPE1790" localSheetId="5">[7]BASE!#REF!</definedName>
    <definedName name="_____________________________________TPE1790">[7]BASE!#REF!</definedName>
    <definedName name="_____________________________________TPF12" localSheetId="4">[2]BASE!$D$217</definedName>
    <definedName name="_____________________________________TPF12" localSheetId="5">[2]BASE!$D$217</definedName>
    <definedName name="_____________________________________TPF12">[2]BASE!$D$217</definedName>
    <definedName name="_____________________________________TUZ22" localSheetId="4">'[9]BASE ORIGINAL'!#REF!</definedName>
    <definedName name="_____________________________________TUZ22" localSheetId="5">'[9]BASE ORIGINAL'!#REF!</definedName>
    <definedName name="_____________________________________TUZ22">'[9]BASE ORIGINAL'!#REF!</definedName>
    <definedName name="_____________________________________TUZ36" localSheetId="4">'[9]BASE ORIGINAL'!#REF!</definedName>
    <definedName name="_____________________________________TUZ36" localSheetId="5">'[9]BASE ORIGINAL'!#REF!</definedName>
    <definedName name="_____________________________________TUZ36">'[9]BASE ORIGINAL'!#REF!</definedName>
    <definedName name="_____________________________________TZ2110" localSheetId="4">[2]BASE!$D$79</definedName>
    <definedName name="_____________________________________TZ2110" localSheetId="5">[2]BASE!$D$79</definedName>
    <definedName name="_____________________________________TZ2110">[2]BASE!$D$79</definedName>
    <definedName name="_____________________________________TZ214" localSheetId="4">[7]BASE!$D$86</definedName>
    <definedName name="_____________________________________TZ214" localSheetId="5">[7]BASE!$D$86</definedName>
    <definedName name="_____________________________________TZ214">[7]BASE!$D$86</definedName>
    <definedName name="_____________________________________TZ216" localSheetId="4">#N/A</definedName>
    <definedName name="_____________________________________TZ216" localSheetId="5">#N/A</definedName>
    <definedName name="_____________________________________TZ216">#N/A</definedName>
    <definedName name="_____________________________________TZ268">[4]BASE!$D$85</definedName>
    <definedName name="_____________________________________TZ323" localSheetId="4">'[9]BASE ORIGINAL'!#REF!</definedName>
    <definedName name="_____________________________________TZ323" localSheetId="5">'[9]BASE ORIGINAL'!#REF!</definedName>
    <definedName name="_____________________________________TZ323">'[9]BASE ORIGINAL'!#REF!</definedName>
    <definedName name="_____________________________________TZ324" localSheetId="4">'[9]BASE ORIGINAL'!#REF!</definedName>
    <definedName name="_____________________________________TZ324" localSheetId="5">'[9]BASE ORIGINAL'!#REF!</definedName>
    <definedName name="_____________________________________TZ324">'[9]BASE ORIGINAL'!#REF!</definedName>
    <definedName name="_____________________________________TZ32510" localSheetId="4">[7]BASE!$D$106</definedName>
    <definedName name="_____________________________________TZ32510" localSheetId="5">[7]BASE!$D$106</definedName>
    <definedName name="_____________________________________TZ32510">[7]BASE!$D$106</definedName>
    <definedName name="____________________________________ADH12" localSheetId="4">[2]BASE!$D$218</definedName>
    <definedName name="____________________________________ADH12" localSheetId="5">[2]BASE!$D$218</definedName>
    <definedName name="____________________________________ADH12">[2]BASE!$D$218</definedName>
    <definedName name="____________________________________ADM12" localSheetId="4">[2]BASE!$D$219</definedName>
    <definedName name="____________________________________ADM12" localSheetId="5">[2]BASE!$D$219</definedName>
    <definedName name="____________________________________ADM12">[2]BASE!$D$219</definedName>
    <definedName name="____________________________________ADM4" localSheetId="4">[2]BASE!$D$120</definedName>
    <definedName name="____________________________________ADM4" localSheetId="5">[2]BASE!$D$120</definedName>
    <definedName name="____________________________________ADM4">[2]BASE!$D$120</definedName>
    <definedName name="____________________________________AIU1" localSheetId="4">#REF!</definedName>
    <definedName name="____________________________________AIU1" localSheetId="5">#REF!</definedName>
    <definedName name="____________________________________AIU1">#REF!</definedName>
    <definedName name="____________________________________AIU2">[3]BASE!$C$5</definedName>
    <definedName name="____________________________________BAZ10" localSheetId="4">[2]BASE!$D$270</definedName>
    <definedName name="____________________________________BAZ10" localSheetId="5">[2]BASE!$D$270</definedName>
    <definedName name="____________________________________BAZ10">[2]BASE!$D$270</definedName>
    <definedName name="____________________________________BLO20" localSheetId="4">[2]BASE!$D$56</definedName>
    <definedName name="____________________________________BLO20" localSheetId="5">[2]BASE!$D$56</definedName>
    <definedName name="____________________________________BLO20">[2]BASE!$D$56</definedName>
    <definedName name="____________________________________CAN28" localSheetId="4">[2]BASE!$D$315</definedName>
    <definedName name="____________________________________CAN28" localSheetId="5">[2]BASE!$D$315</definedName>
    <definedName name="____________________________________CAN28">[2]BASE!$D$315</definedName>
    <definedName name="____________________________________Cod1" localSheetId="4">#REF!</definedName>
    <definedName name="____________________________________Cod1" localSheetId="5">#REF!</definedName>
    <definedName name="____________________________________Cod1">#REF!</definedName>
    <definedName name="____________________________________CUA44" localSheetId="4">[2]BASE!$D$253</definedName>
    <definedName name="____________________________________CUA44" localSheetId="5">[2]BASE!$D$253</definedName>
    <definedName name="____________________________________CUA44">[2]BASE!$D$253</definedName>
    <definedName name="____________________________________LA124" localSheetId="4">[2]BASE!$D$64</definedName>
    <definedName name="____________________________________LA124" localSheetId="5">[2]BASE!$D$64</definedName>
    <definedName name="____________________________________LA124">[2]BASE!$D$64</definedName>
    <definedName name="____________________________________LAC18">[4]BASE!$D$252</definedName>
    <definedName name="____________________________________Po2">[5]REAJUSTESACTA1PROVI!#REF!</definedName>
    <definedName name="____________________________________R84JH">[4]BASE!$D$172</definedName>
    <definedName name="____________________________________REP43">[6]BASE!$D$136</definedName>
    <definedName name="____________________________________TEP44" localSheetId="4">[7]BASE!$D$116</definedName>
    <definedName name="____________________________________TEP44" localSheetId="5">[7]BASE!$D$116</definedName>
    <definedName name="____________________________________TEP44">[7]BASE!$D$116</definedName>
    <definedName name="____________________________________TPE1132" localSheetId="4">#N/A</definedName>
    <definedName name="____________________________________TPE1132" localSheetId="5">#N/A</definedName>
    <definedName name="____________________________________TPE1132">#N/A</definedName>
    <definedName name="____________________________________TPE12" localSheetId="4">#REF!</definedName>
    <definedName name="____________________________________TPE12" localSheetId="5">#REF!</definedName>
    <definedName name="____________________________________TPE12">#REF!</definedName>
    <definedName name="____________________________________TPE1331" localSheetId="4">#N/A</definedName>
    <definedName name="____________________________________TPE1331" localSheetId="5">#N/A</definedName>
    <definedName name="____________________________________TPE1331">#N/A</definedName>
    <definedName name="____________________________________TPE1702" localSheetId="4">#N/A</definedName>
    <definedName name="____________________________________TPE1702" localSheetId="5">#N/A</definedName>
    <definedName name="____________________________________TPE1702">#N/A</definedName>
    <definedName name="____________________________________TPE1703" localSheetId="4">#N/A</definedName>
    <definedName name="____________________________________TPE1703" localSheetId="5">#N/A</definedName>
    <definedName name="____________________________________TPE1703">#N/A</definedName>
    <definedName name="____________________________________TPE1704" localSheetId="4">#N/A</definedName>
    <definedName name="____________________________________TPE1704" localSheetId="5">#N/A</definedName>
    <definedName name="____________________________________TPE1704">#N/A</definedName>
    <definedName name="____________________________________TPE1706" localSheetId="4">#N/A</definedName>
    <definedName name="____________________________________TPE1706" localSheetId="5">#N/A</definedName>
    <definedName name="____________________________________TPE1706">#N/A</definedName>
    <definedName name="____________________________________TPE1708" localSheetId="4">#N/A</definedName>
    <definedName name="____________________________________TPE1708" localSheetId="5">#N/A</definedName>
    <definedName name="____________________________________TPE1708">#N/A</definedName>
    <definedName name="____________________________________TPE1710" localSheetId="4">#N/A</definedName>
    <definedName name="____________________________________TPE1710" localSheetId="5">#N/A</definedName>
    <definedName name="____________________________________TPE1710">#N/A</definedName>
    <definedName name="____________________________________TPE1735" localSheetId="4">#N/A</definedName>
    <definedName name="____________________________________TPE1735" localSheetId="5">#N/A</definedName>
    <definedName name="____________________________________TPE1735">#N/A</definedName>
    <definedName name="____________________________________TPE1763" localSheetId="4">#N/A</definedName>
    <definedName name="____________________________________TPE1763" localSheetId="5">#N/A</definedName>
    <definedName name="____________________________________TPE1763">#N/A</definedName>
    <definedName name="____________________________________TPE1790" localSheetId="4">#N/A</definedName>
    <definedName name="____________________________________TPE1790" localSheetId="5">#N/A</definedName>
    <definedName name="____________________________________TPE1790">#N/A</definedName>
    <definedName name="____________________________________TPF12" localSheetId="4">[2]BASE!$D$217</definedName>
    <definedName name="____________________________________TPF12" localSheetId="5">[2]BASE!$D$217</definedName>
    <definedName name="____________________________________TPF12">[2]BASE!$D$217</definedName>
    <definedName name="____________________________________TUZ22" localSheetId="4">'[2]BASE ORIGINAL'!#REF!</definedName>
    <definedName name="____________________________________TUZ22" localSheetId="5">'[2]BASE ORIGINAL'!#REF!</definedName>
    <definedName name="____________________________________TUZ22">'[2]BASE ORIGINAL'!#REF!</definedName>
    <definedName name="____________________________________TUZ36" localSheetId="4">'[2]BASE ORIGINAL'!#REF!</definedName>
    <definedName name="____________________________________TUZ36" localSheetId="5">'[2]BASE ORIGINAL'!#REF!</definedName>
    <definedName name="____________________________________TUZ36">'[2]BASE ORIGINAL'!#REF!</definedName>
    <definedName name="____________________________________TZ2110" localSheetId="4">[2]BASE!$D$79</definedName>
    <definedName name="____________________________________TZ2110" localSheetId="5">[2]BASE!$D$79</definedName>
    <definedName name="____________________________________TZ2110">[2]BASE!$D$79</definedName>
    <definedName name="____________________________________TZ214" localSheetId="4">#N/A</definedName>
    <definedName name="____________________________________TZ214" localSheetId="5">#N/A</definedName>
    <definedName name="____________________________________TZ214">#N/A</definedName>
    <definedName name="____________________________________TZ216" localSheetId="4">[7]BASE!$D$87</definedName>
    <definedName name="____________________________________TZ216" localSheetId="5">[7]BASE!$D$87</definedName>
    <definedName name="____________________________________TZ216">[7]BASE!$D$87</definedName>
    <definedName name="____________________________________TZ268">[4]BASE!$D$85</definedName>
    <definedName name="____________________________________TZ323" localSheetId="4">'[2]BASE ORIGINAL'!#REF!</definedName>
    <definedName name="____________________________________TZ323" localSheetId="5">'[2]BASE ORIGINAL'!#REF!</definedName>
    <definedName name="____________________________________TZ323">'[2]BASE ORIGINAL'!#REF!</definedName>
    <definedName name="____________________________________TZ324" localSheetId="4">'[2]BASE ORIGINAL'!#REF!</definedName>
    <definedName name="____________________________________TZ324" localSheetId="5">'[2]BASE ORIGINAL'!#REF!</definedName>
    <definedName name="____________________________________TZ324">'[2]BASE ORIGINAL'!#REF!</definedName>
    <definedName name="____________________________________TZ32510" localSheetId="4">#N/A</definedName>
    <definedName name="____________________________________TZ32510" localSheetId="5">#N/A</definedName>
    <definedName name="____________________________________TZ32510">#N/A</definedName>
    <definedName name="___________________________________ADH12" localSheetId="4">[2]BASE!$D$218</definedName>
    <definedName name="___________________________________ADH12" localSheetId="5">[2]BASE!$D$218</definedName>
    <definedName name="___________________________________ADH12">[2]BASE!$D$218</definedName>
    <definedName name="___________________________________ADM12" localSheetId="4">[2]BASE!$D$219</definedName>
    <definedName name="___________________________________ADM12" localSheetId="5">[2]BASE!$D$219</definedName>
    <definedName name="___________________________________ADM12">[2]BASE!$D$219</definedName>
    <definedName name="___________________________________ADM4" localSheetId="4">[2]BASE!$D$120</definedName>
    <definedName name="___________________________________ADM4" localSheetId="5">[2]BASE!$D$120</definedName>
    <definedName name="___________________________________ADM4">[2]BASE!$D$120</definedName>
    <definedName name="___________________________________AIU1" localSheetId="4">#REF!</definedName>
    <definedName name="___________________________________AIU1" localSheetId="5">#REF!</definedName>
    <definedName name="___________________________________AIU1">#REF!</definedName>
    <definedName name="___________________________________AIU2">[3]BASE!$C$5</definedName>
    <definedName name="___________________________________BAZ10" localSheetId="4">[2]BASE!$D$270</definedName>
    <definedName name="___________________________________BAZ10" localSheetId="5">[2]BASE!$D$270</definedName>
    <definedName name="___________________________________BAZ10">[2]BASE!$D$270</definedName>
    <definedName name="___________________________________BLO20" localSheetId="4">[2]BASE!$D$56</definedName>
    <definedName name="___________________________________BLO20" localSheetId="5">[2]BASE!$D$56</definedName>
    <definedName name="___________________________________BLO20">[2]BASE!$D$56</definedName>
    <definedName name="___________________________________CAN28" localSheetId="4">[2]BASE!$D$315</definedName>
    <definedName name="___________________________________CAN28" localSheetId="5">[2]BASE!$D$315</definedName>
    <definedName name="___________________________________CAN28">[2]BASE!$D$315</definedName>
    <definedName name="___________________________________Cod1" localSheetId="4">#REF!</definedName>
    <definedName name="___________________________________Cod1" localSheetId="5">#REF!</definedName>
    <definedName name="___________________________________Cod1">#REF!</definedName>
    <definedName name="___________________________________CUA44" localSheetId="4">[2]BASE!$D$253</definedName>
    <definedName name="___________________________________CUA44" localSheetId="5">[2]BASE!$D$253</definedName>
    <definedName name="___________________________________CUA44">[2]BASE!$D$253</definedName>
    <definedName name="___________________________________LA124" localSheetId="4">[2]BASE!$D$64</definedName>
    <definedName name="___________________________________LA124" localSheetId="5">[2]BASE!$D$64</definedName>
    <definedName name="___________________________________LA124">[2]BASE!$D$64</definedName>
    <definedName name="___________________________________LAC18">[4]BASE!$D$252</definedName>
    <definedName name="___________________________________Po2">[5]REAJUSTESACTA1PROVI!#REF!</definedName>
    <definedName name="___________________________________R84JH">[4]BASE!$D$172</definedName>
    <definedName name="___________________________________REP43">[6]BASE!$D$136</definedName>
    <definedName name="___________________________________TEP44" localSheetId="4">#N/A</definedName>
    <definedName name="___________________________________TEP44" localSheetId="5">#N/A</definedName>
    <definedName name="___________________________________TEP44">#N/A</definedName>
    <definedName name="___________________________________TPE1132" localSheetId="4">[7]BASE!#REF!</definedName>
    <definedName name="___________________________________TPE1132" localSheetId="5">[7]BASE!#REF!</definedName>
    <definedName name="___________________________________TPE1132">[7]BASE!#REF!</definedName>
    <definedName name="___________________________________TPE12" localSheetId="4">#REF!</definedName>
    <definedName name="___________________________________TPE12" localSheetId="5">#REF!</definedName>
    <definedName name="___________________________________TPE12">#REF!</definedName>
    <definedName name="___________________________________TPE1331" localSheetId="4">[7]BASE!#REF!</definedName>
    <definedName name="___________________________________TPE1331" localSheetId="5">[7]BASE!#REF!</definedName>
    <definedName name="___________________________________TPE1331">[7]BASE!#REF!</definedName>
    <definedName name="___________________________________TPE1702" localSheetId="4">[7]BASE!#REF!</definedName>
    <definedName name="___________________________________TPE1702" localSheetId="5">[7]BASE!#REF!</definedName>
    <definedName name="___________________________________TPE1702">[7]BASE!#REF!</definedName>
    <definedName name="___________________________________TPE1703" localSheetId="4">[7]BASE!#REF!</definedName>
    <definedName name="___________________________________TPE1703" localSheetId="5">[7]BASE!#REF!</definedName>
    <definedName name="___________________________________TPE1703">[7]BASE!#REF!</definedName>
    <definedName name="___________________________________TPE1704" localSheetId="4">[7]BASE!#REF!</definedName>
    <definedName name="___________________________________TPE1704" localSheetId="5">[7]BASE!#REF!</definedName>
    <definedName name="___________________________________TPE1704">[7]BASE!#REF!</definedName>
    <definedName name="___________________________________TPE1706" localSheetId="4">[7]BASE!#REF!</definedName>
    <definedName name="___________________________________TPE1706" localSheetId="5">[7]BASE!#REF!</definedName>
    <definedName name="___________________________________TPE1706">[7]BASE!#REF!</definedName>
    <definedName name="___________________________________TPE1708" localSheetId="4">[7]BASE!#REF!</definedName>
    <definedName name="___________________________________TPE1708" localSheetId="5">[7]BASE!#REF!</definedName>
    <definedName name="___________________________________TPE1708">[7]BASE!#REF!</definedName>
    <definedName name="___________________________________TPE1710" localSheetId="4">[7]BASE!#REF!</definedName>
    <definedName name="___________________________________TPE1710" localSheetId="5">[7]BASE!#REF!</definedName>
    <definedName name="___________________________________TPE1710">[7]BASE!#REF!</definedName>
    <definedName name="___________________________________TPE1735" localSheetId="4">[7]BASE!#REF!</definedName>
    <definedName name="___________________________________TPE1735" localSheetId="5">[7]BASE!#REF!</definedName>
    <definedName name="___________________________________TPE1735">[7]BASE!#REF!</definedName>
    <definedName name="___________________________________TPE1763" localSheetId="4">[7]BASE!#REF!</definedName>
    <definedName name="___________________________________TPE1763" localSheetId="5">[7]BASE!#REF!</definedName>
    <definedName name="___________________________________TPE1763">[7]BASE!#REF!</definedName>
    <definedName name="___________________________________TPE1790" localSheetId="4">[7]BASE!#REF!</definedName>
    <definedName name="___________________________________TPE1790" localSheetId="5">[7]BASE!#REF!</definedName>
    <definedName name="___________________________________TPE1790">[7]BASE!#REF!</definedName>
    <definedName name="___________________________________TPF12" localSheetId="4">[2]BASE!$D$217</definedName>
    <definedName name="___________________________________TPF12" localSheetId="5">[2]BASE!$D$217</definedName>
    <definedName name="___________________________________TPF12">[2]BASE!$D$217</definedName>
    <definedName name="___________________________________TUZ22" localSheetId="4">'[9]BASE ORIGINAL'!#REF!</definedName>
    <definedName name="___________________________________TUZ22" localSheetId="5">'[9]BASE ORIGINAL'!#REF!</definedName>
    <definedName name="___________________________________TUZ22">'[9]BASE ORIGINAL'!#REF!</definedName>
    <definedName name="___________________________________TUZ36" localSheetId="4">'[9]BASE ORIGINAL'!#REF!</definedName>
    <definedName name="___________________________________TUZ36" localSheetId="5">'[9]BASE ORIGINAL'!#REF!</definedName>
    <definedName name="___________________________________TUZ36">'[9]BASE ORIGINAL'!#REF!</definedName>
    <definedName name="___________________________________TZ2110" localSheetId="4">[2]BASE!$D$79</definedName>
    <definedName name="___________________________________TZ2110" localSheetId="5">[2]BASE!$D$79</definedName>
    <definedName name="___________________________________TZ2110">[2]BASE!$D$79</definedName>
    <definedName name="___________________________________TZ214" localSheetId="4">[7]BASE!$D$86</definedName>
    <definedName name="___________________________________TZ214" localSheetId="5">[7]BASE!$D$86</definedName>
    <definedName name="___________________________________TZ214">[7]BASE!$D$86</definedName>
    <definedName name="___________________________________TZ216" localSheetId="4">#N/A</definedName>
    <definedName name="___________________________________TZ216" localSheetId="5">#N/A</definedName>
    <definedName name="___________________________________TZ216">#N/A</definedName>
    <definedName name="___________________________________TZ268">[4]BASE!$D$85</definedName>
    <definedName name="___________________________________TZ323" localSheetId="4">'[9]BASE ORIGINAL'!#REF!</definedName>
    <definedName name="___________________________________TZ323" localSheetId="5">'[9]BASE ORIGINAL'!#REF!</definedName>
    <definedName name="___________________________________TZ323">'[9]BASE ORIGINAL'!#REF!</definedName>
    <definedName name="___________________________________TZ324" localSheetId="4">'[9]BASE ORIGINAL'!#REF!</definedName>
    <definedName name="___________________________________TZ324" localSheetId="5">'[9]BASE ORIGINAL'!#REF!</definedName>
    <definedName name="___________________________________TZ324">'[9]BASE ORIGINAL'!#REF!</definedName>
    <definedName name="___________________________________TZ32510" localSheetId="4">[7]BASE!$D$106</definedName>
    <definedName name="___________________________________TZ32510" localSheetId="5">[7]BASE!$D$106</definedName>
    <definedName name="___________________________________TZ32510">[7]BASE!$D$106</definedName>
    <definedName name="__________________________________ADH12" localSheetId="4">[2]BASE!$D$218</definedName>
    <definedName name="__________________________________ADH12" localSheetId="5">[2]BASE!$D$218</definedName>
    <definedName name="__________________________________ADH12">[2]BASE!$D$218</definedName>
    <definedName name="__________________________________ADM12" localSheetId="4">[2]BASE!$D$219</definedName>
    <definedName name="__________________________________ADM12" localSheetId="5">[2]BASE!$D$219</definedName>
    <definedName name="__________________________________ADM12">[2]BASE!$D$219</definedName>
    <definedName name="__________________________________ADM4" localSheetId="4">[2]BASE!$D$120</definedName>
    <definedName name="__________________________________ADM4" localSheetId="5">[2]BASE!$D$120</definedName>
    <definedName name="__________________________________ADM4">[2]BASE!$D$120</definedName>
    <definedName name="__________________________________AIU1" localSheetId="4">#REF!</definedName>
    <definedName name="__________________________________AIU1" localSheetId="5">#REF!</definedName>
    <definedName name="__________________________________AIU1">#REF!</definedName>
    <definedName name="__________________________________AIU2">[3]BASE!$C$5</definedName>
    <definedName name="__________________________________BAZ10" localSheetId="4">[2]BASE!$D$270</definedName>
    <definedName name="__________________________________BAZ10" localSheetId="5">[2]BASE!$D$270</definedName>
    <definedName name="__________________________________BAZ10">[2]BASE!$D$270</definedName>
    <definedName name="__________________________________BLO20" localSheetId="4">[2]BASE!$D$56</definedName>
    <definedName name="__________________________________BLO20" localSheetId="5">[2]BASE!$D$56</definedName>
    <definedName name="__________________________________BLO20">[2]BASE!$D$56</definedName>
    <definedName name="__________________________________CAN28" localSheetId="4">[2]BASE!$D$315</definedName>
    <definedName name="__________________________________CAN28" localSheetId="5">[2]BASE!$D$315</definedName>
    <definedName name="__________________________________CAN28">[2]BASE!$D$315</definedName>
    <definedName name="__________________________________Cod1" localSheetId="4">#REF!</definedName>
    <definedName name="__________________________________Cod1" localSheetId="5">#REF!</definedName>
    <definedName name="__________________________________Cod1">#REF!</definedName>
    <definedName name="__________________________________CUA44" localSheetId="4">[2]BASE!$D$253</definedName>
    <definedName name="__________________________________CUA44" localSheetId="5">[2]BASE!$D$253</definedName>
    <definedName name="__________________________________CUA44">[2]BASE!$D$253</definedName>
    <definedName name="__________________________________LA124" localSheetId="4">[2]BASE!$D$64</definedName>
    <definedName name="__________________________________LA124" localSheetId="5">[2]BASE!$D$64</definedName>
    <definedName name="__________________________________LA124">[2]BASE!$D$64</definedName>
    <definedName name="__________________________________LAC18">[4]BASE!$D$252</definedName>
    <definedName name="__________________________________Po2">[5]REAJUSTESACTA1PROVI!#REF!</definedName>
    <definedName name="__________________________________R84JH">[4]BASE!$D$172</definedName>
    <definedName name="__________________________________REP43">[6]BASE!$D$136</definedName>
    <definedName name="__________________________________TEP44" localSheetId="4">#N/A</definedName>
    <definedName name="__________________________________TEP44" localSheetId="5">#N/A</definedName>
    <definedName name="__________________________________TEP44">#N/A</definedName>
    <definedName name="__________________________________TPE1132" localSheetId="4">#N/A</definedName>
    <definedName name="__________________________________TPE1132" localSheetId="5">#N/A</definedName>
    <definedName name="__________________________________TPE1132">#N/A</definedName>
    <definedName name="__________________________________TPE12" localSheetId="4">#REF!</definedName>
    <definedName name="__________________________________TPE12" localSheetId="5">#REF!</definedName>
    <definedName name="__________________________________TPE12">#REF!</definedName>
    <definedName name="__________________________________TPE1331" localSheetId="4">#N/A</definedName>
    <definedName name="__________________________________TPE1331" localSheetId="5">#N/A</definedName>
    <definedName name="__________________________________TPE1331">#N/A</definedName>
    <definedName name="__________________________________TPE1702" localSheetId="4">#N/A</definedName>
    <definedName name="__________________________________TPE1702" localSheetId="5">#N/A</definedName>
    <definedName name="__________________________________TPE1702">#N/A</definedName>
    <definedName name="__________________________________TPE1703" localSheetId="4">#N/A</definedName>
    <definedName name="__________________________________TPE1703" localSheetId="5">#N/A</definedName>
    <definedName name="__________________________________TPE1703">#N/A</definedName>
    <definedName name="__________________________________TPE1704" localSheetId="4">#N/A</definedName>
    <definedName name="__________________________________TPE1704" localSheetId="5">#N/A</definedName>
    <definedName name="__________________________________TPE1704">#N/A</definedName>
    <definedName name="__________________________________TPE1706" localSheetId="4">#N/A</definedName>
    <definedName name="__________________________________TPE1706" localSheetId="5">#N/A</definedName>
    <definedName name="__________________________________TPE1706">#N/A</definedName>
    <definedName name="__________________________________TPE1708" localSheetId="4">#N/A</definedName>
    <definedName name="__________________________________TPE1708" localSheetId="5">#N/A</definedName>
    <definedName name="__________________________________TPE1708">#N/A</definedName>
    <definedName name="__________________________________TPE1710" localSheetId="4">#N/A</definedName>
    <definedName name="__________________________________TPE1710" localSheetId="5">#N/A</definedName>
    <definedName name="__________________________________TPE1710">#N/A</definedName>
    <definedName name="__________________________________TPE1735" localSheetId="4">#N/A</definedName>
    <definedName name="__________________________________TPE1735" localSheetId="5">#N/A</definedName>
    <definedName name="__________________________________TPE1735">#N/A</definedName>
    <definedName name="__________________________________TPE1763" localSheetId="4">#N/A</definedName>
    <definedName name="__________________________________TPE1763" localSheetId="5">#N/A</definedName>
    <definedName name="__________________________________TPE1763">#N/A</definedName>
    <definedName name="__________________________________TPE1790" localSheetId="4">#N/A</definedName>
    <definedName name="__________________________________TPE1790" localSheetId="5">#N/A</definedName>
    <definedName name="__________________________________TPE1790">#N/A</definedName>
    <definedName name="__________________________________TPF12" localSheetId="4">[2]BASE!$D$217</definedName>
    <definedName name="__________________________________TPF12" localSheetId="5">[2]BASE!$D$217</definedName>
    <definedName name="__________________________________TPF12">[2]BASE!$D$217</definedName>
    <definedName name="__________________________________TUZ22" localSheetId="4">'[2]BASE ORIGINAL'!#REF!</definedName>
    <definedName name="__________________________________TUZ22" localSheetId="5">'[2]BASE ORIGINAL'!#REF!</definedName>
    <definedName name="__________________________________TUZ22">'[2]BASE ORIGINAL'!#REF!</definedName>
    <definedName name="__________________________________TUZ36" localSheetId="4">'[2]BASE ORIGINAL'!#REF!</definedName>
    <definedName name="__________________________________TUZ36" localSheetId="5">'[2]BASE ORIGINAL'!#REF!</definedName>
    <definedName name="__________________________________TUZ36">'[2]BASE ORIGINAL'!#REF!</definedName>
    <definedName name="__________________________________TZ2110" localSheetId="4">[2]BASE!$D$79</definedName>
    <definedName name="__________________________________TZ2110" localSheetId="5">[2]BASE!$D$79</definedName>
    <definedName name="__________________________________TZ2110">[2]BASE!$D$79</definedName>
    <definedName name="__________________________________TZ214" localSheetId="4">#N/A</definedName>
    <definedName name="__________________________________TZ214" localSheetId="5">#N/A</definedName>
    <definedName name="__________________________________TZ214">#N/A</definedName>
    <definedName name="__________________________________TZ216" localSheetId="4">#N/A</definedName>
    <definedName name="__________________________________TZ216" localSheetId="5">#N/A</definedName>
    <definedName name="__________________________________TZ216">#N/A</definedName>
    <definedName name="__________________________________TZ268">[4]BASE!$D$85</definedName>
    <definedName name="__________________________________TZ323" localSheetId="4">'[2]BASE ORIGINAL'!#REF!</definedName>
    <definedName name="__________________________________TZ323" localSheetId="5">'[2]BASE ORIGINAL'!#REF!</definedName>
    <definedName name="__________________________________TZ323">'[2]BASE ORIGINAL'!#REF!</definedName>
    <definedName name="__________________________________TZ324" localSheetId="4">'[2]BASE ORIGINAL'!#REF!</definedName>
    <definedName name="__________________________________TZ324" localSheetId="5">'[2]BASE ORIGINAL'!#REF!</definedName>
    <definedName name="__________________________________TZ324">'[2]BASE ORIGINAL'!#REF!</definedName>
    <definedName name="__________________________________TZ32510" localSheetId="4">#N/A</definedName>
    <definedName name="__________________________________TZ32510" localSheetId="5">#N/A</definedName>
    <definedName name="__________________________________TZ32510">#N/A</definedName>
    <definedName name="_________________________________ADH12" localSheetId="4">[2]BASE!$D$218</definedName>
    <definedName name="_________________________________ADH12" localSheetId="5">[2]BASE!$D$218</definedName>
    <definedName name="_________________________________ADH12">[2]BASE!$D$218</definedName>
    <definedName name="_________________________________ADM12" localSheetId="4">[2]BASE!$D$219</definedName>
    <definedName name="_________________________________ADM12" localSheetId="5">[2]BASE!$D$219</definedName>
    <definedName name="_________________________________ADM12">[2]BASE!$D$219</definedName>
    <definedName name="_________________________________ADM4" localSheetId="4">[2]BASE!$D$120</definedName>
    <definedName name="_________________________________ADM4" localSheetId="5">[2]BASE!$D$120</definedName>
    <definedName name="_________________________________ADM4">[2]BASE!$D$120</definedName>
    <definedName name="_________________________________AIU1" localSheetId="4">#REF!</definedName>
    <definedName name="_________________________________AIU1" localSheetId="5">#REF!</definedName>
    <definedName name="_________________________________AIU1">#REF!</definedName>
    <definedName name="_________________________________AIU2">[3]BASE!$C$5</definedName>
    <definedName name="_________________________________BAZ10" localSheetId="4">[2]BASE!$D$270</definedName>
    <definedName name="_________________________________BAZ10" localSheetId="5">[2]BASE!$D$270</definedName>
    <definedName name="_________________________________BAZ10">[2]BASE!$D$270</definedName>
    <definedName name="_________________________________BLO20" localSheetId="4">[2]BASE!$D$56</definedName>
    <definedName name="_________________________________BLO20" localSheetId="5">[2]BASE!$D$56</definedName>
    <definedName name="_________________________________BLO20">[2]BASE!$D$56</definedName>
    <definedName name="_________________________________CAN28" localSheetId="4">[2]BASE!$D$315</definedName>
    <definedName name="_________________________________CAN28" localSheetId="5">[2]BASE!$D$315</definedName>
    <definedName name="_________________________________CAN28">[2]BASE!$D$315</definedName>
    <definedName name="_________________________________Cod1" localSheetId="4">#REF!</definedName>
    <definedName name="_________________________________Cod1" localSheetId="5">#REF!</definedName>
    <definedName name="_________________________________Cod1">#REF!</definedName>
    <definedName name="_________________________________CUA44" localSheetId="4">[2]BASE!$D$253</definedName>
    <definedName name="_________________________________CUA44" localSheetId="5">[2]BASE!$D$253</definedName>
    <definedName name="_________________________________CUA44">[2]BASE!$D$253</definedName>
    <definedName name="_________________________________LA124" localSheetId="4">[2]BASE!$D$64</definedName>
    <definedName name="_________________________________LA124" localSheetId="5">[2]BASE!$D$64</definedName>
    <definedName name="_________________________________LA124">[2]BASE!$D$64</definedName>
    <definedName name="_________________________________LAC18">[4]BASE!$D$252</definedName>
    <definedName name="_________________________________Po2">[5]REAJUSTESACTA1PROVI!#REF!</definedName>
    <definedName name="_________________________________R84JH">[4]BASE!$D$172</definedName>
    <definedName name="_________________________________REP43">[6]BASE!$D$136</definedName>
    <definedName name="_________________________________TEP44" localSheetId="4">#N/A</definedName>
    <definedName name="_________________________________TEP44" localSheetId="5">#N/A</definedName>
    <definedName name="_________________________________TEP44">#N/A</definedName>
    <definedName name="_________________________________TPE1132" localSheetId="4">#N/A</definedName>
    <definedName name="_________________________________TPE1132" localSheetId="5">#N/A</definedName>
    <definedName name="_________________________________TPE1132">#N/A</definedName>
    <definedName name="_________________________________TPE12" localSheetId="4">#REF!</definedName>
    <definedName name="_________________________________TPE12" localSheetId="5">#REF!</definedName>
    <definedName name="_________________________________TPE12">#REF!</definedName>
    <definedName name="_________________________________TPE1331" localSheetId="4">#N/A</definedName>
    <definedName name="_________________________________TPE1331" localSheetId="5">#N/A</definedName>
    <definedName name="_________________________________TPE1331">#N/A</definedName>
    <definedName name="_________________________________TPE1702" localSheetId="4">#N/A</definedName>
    <definedName name="_________________________________TPE1702" localSheetId="5">#N/A</definedName>
    <definedName name="_________________________________TPE1702">#N/A</definedName>
    <definedName name="_________________________________TPE1703" localSheetId="4">#N/A</definedName>
    <definedName name="_________________________________TPE1703" localSheetId="5">#N/A</definedName>
    <definedName name="_________________________________TPE1703">#N/A</definedName>
    <definedName name="_________________________________TPE1704" localSheetId="4">#N/A</definedName>
    <definedName name="_________________________________TPE1704" localSheetId="5">#N/A</definedName>
    <definedName name="_________________________________TPE1704">#N/A</definedName>
    <definedName name="_________________________________TPE1706" localSheetId="4">#N/A</definedName>
    <definedName name="_________________________________TPE1706" localSheetId="5">#N/A</definedName>
    <definedName name="_________________________________TPE1706">#N/A</definedName>
    <definedName name="_________________________________TPE1708" localSheetId="4">#N/A</definedName>
    <definedName name="_________________________________TPE1708" localSheetId="5">#N/A</definedName>
    <definedName name="_________________________________TPE1708">#N/A</definedName>
    <definedName name="_________________________________TPE1710" localSheetId="4">#N/A</definedName>
    <definedName name="_________________________________TPE1710" localSheetId="5">#N/A</definedName>
    <definedName name="_________________________________TPE1710">#N/A</definedName>
    <definedName name="_________________________________TPE1735" localSheetId="4">#N/A</definedName>
    <definedName name="_________________________________TPE1735" localSheetId="5">#N/A</definedName>
    <definedName name="_________________________________TPE1735">#N/A</definedName>
    <definedName name="_________________________________TPE1763" localSheetId="4">#N/A</definedName>
    <definedName name="_________________________________TPE1763" localSheetId="5">#N/A</definedName>
    <definedName name="_________________________________TPE1763">#N/A</definedName>
    <definedName name="_________________________________TPE1790" localSheetId="4">#N/A</definedName>
    <definedName name="_________________________________TPE1790" localSheetId="5">#N/A</definedName>
    <definedName name="_________________________________TPE1790">#N/A</definedName>
    <definedName name="_________________________________TPF12" localSheetId="4">[2]BASE!$D$217</definedName>
    <definedName name="_________________________________TPF12" localSheetId="5">[2]BASE!$D$217</definedName>
    <definedName name="_________________________________TPF12">[2]BASE!$D$217</definedName>
    <definedName name="_________________________________TUZ22" localSheetId="4">'[2]BASE ORIGINAL'!#REF!</definedName>
    <definedName name="_________________________________TUZ22" localSheetId="5">'[2]BASE ORIGINAL'!#REF!</definedName>
    <definedName name="_________________________________TUZ22">'[2]BASE ORIGINAL'!#REF!</definedName>
    <definedName name="_________________________________TUZ36" localSheetId="4">'[2]BASE ORIGINAL'!#REF!</definedName>
    <definedName name="_________________________________TUZ36" localSheetId="5">'[2]BASE ORIGINAL'!#REF!</definedName>
    <definedName name="_________________________________TUZ36">'[2]BASE ORIGINAL'!#REF!</definedName>
    <definedName name="_________________________________TZ2110" localSheetId="4">[2]BASE!$D$79</definedName>
    <definedName name="_________________________________TZ2110" localSheetId="5">[2]BASE!$D$79</definedName>
    <definedName name="_________________________________TZ2110">[2]BASE!$D$79</definedName>
    <definedName name="_________________________________TZ214" localSheetId="4">#N/A</definedName>
    <definedName name="_________________________________TZ214" localSheetId="5">#N/A</definedName>
    <definedName name="_________________________________TZ214">#N/A</definedName>
    <definedName name="_________________________________TZ216" localSheetId="4">#N/A</definedName>
    <definedName name="_________________________________TZ216" localSheetId="5">#N/A</definedName>
    <definedName name="_________________________________TZ216">#N/A</definedName>
    <definedName name="_________________________________TZ268">[4]BASE!$D$85</definedName>
    <definedName name="_________________________________TZ323" localSheetId="4">'[2]BASE ORIGINAL'!#REF!</definedName>
    <definedName name="_________________________________TZ323" localSheetId="5">'[2]BASE ORIGINAL'!#REF!</definedName>
    <definedName name="_________________________________TZ323">'[2]BASE ORIGINAL'!#REF!</definedName>
    <definedName name="_________________________________TZ324" localSheetId="4">'[2]BASE ORIGINAL'!#REF!</definedName>
    <definedName name="_________________________________TZ324" localSheetId="5">'[2]BASE ORIGINAL'!#REF!</definedName>
    <definedName name="_________________________________TZ324">'[2]BASE ORIGINAL'!#REF!</definedName>
    <definedName name="_________________________________TZ32510" localSheetId="4">#N/A</definedName>
    <definedName name="_________________________________TZ32510" localSheetId="5">#N/A</definedName>
    <definedName name="_________________________________TZ32510">#N/A</definedName>
    <definedName name="________________________________ADH12" localSheetId="4">[2]BASE!$D$218</definedName>
    <definedName name="________________________________ADH12" localSheetId="5">[2]BASE!$D$218</definedName>
    <definedName name="________________________________ADH12">[2]BASE!$D$218</definedName>
    <definedName name="________________________________ADM12" localSheetId="4">[2]BASE!$D$219</definedName>
    <definedName name="________________________________ADM12" localSheetId="5">[2]BASE!$D$219</definedName>
    <definedName name="________________________________ADM12">[2]BASE!$D$219</definedName>
    <definedName name="________________________________ADM4" localSheetId="4">[2]BASE!$D$120</definedName>
    <definedName name="________________________________ADM4" localSheetId="5">[2]BASE!$D$120</definedName>
    <definedName name="________________________________ADM4">[2]BASE!$D$120</definedName>
    <definedName name="________________________________AIU1" localSheetId="4">#REF!</definedName>
    <definedName name="________________________________AIU1" localSheetId="5">#REF!</definedName>
    <definedName name="________________________________AIU1">#REF!</definedName>
    <definedName name="________________________________AIU2">[3]BASE!$C$5</definedName>
    <definedName name="________________________________BAZ10" localSheetId="4">[2]BASE!$D$270</definedName>
    <definedName name="________________________________BAZ10" localSheetId="5">[2]BASE!$D$270</definedName>
    <definedName name="________________________________BAZ10">[2]BASE!$D$270</definedName>
    <definedName name="________________________________BLO20" localSheetId="4">[2]BASE!$D$56</definedName>
    <definedName name="________________________________BLO20" localSheetId="5">[2]BASE!$D$56</definedName>
    <definedName name="________________________________BLO20">[2]BASE!$D$56</definedName>
    <definedName name="________________________________CAN28" localSheetId="4">[2]BASE!$D$315</definedName>
    <definedName name="________________________________CAN28" localSheetId="5">[2]BASE!$D$315</definedName>
    <definedName name="________________________________CAN28">[2]BASE!$D$315</definedName>
    <definedName name="________________________________Cod1" localSheetId="4">#REF!</definedName>
    <definedName name="________________________________Cod1" localSheetId="5">#REF!</definedName>
    <definedName name="________________________________Cod1">#REF!</definedName>
    <definedName name="________________________________CUA44" localSheetId="4">[2]BASE!$D$253</definedName>
    <definedName name="________________________________CUA44" localSheetId="5">[2]BASE!$D$253</definedName>
    <definedName name="________________________________CUA44">[2]BASE!$D$253</definedName>
    <definedName name="________________________________LA124" localSheetId="4">[2]BASE!$D$64</definedName>
    <definedName name="________________________________LA124" localSheetId="5">[2]BASE!$D$64</definedName>
    <definedName name="________________________________LA124">[2]BASE!$D$64</definedName>
    <definedName name="________________________________LAC18">[4]BASE!$D$252</definedName>
    <definedName name="________________________________Po2">[5]REAJUSTESACTA1PROVI!#REF!</definedName>
    <definedName name="________________________________R84JH">[4]BASE!$D$172</definedName>
    <definedName name="________________________________REP43">[6]BASE!$D$136</definedName>
    <definedName name="________________________________TEP44" localSheetId="4">#N/A</definedName>
    <definedName name="________________________________TEP44" localSheetId="5">#N/A</definedName>
    <definedName name="________________________________TEP44">#N/A</definedName>
    <definedName name="________________________________TPE1132" localSheetId="4">#N/A</definedName>
    <definedName name="________________________________TPE1132" localSheetId="5">#N/A</definedName>
    <definedName name="________________________________TPE1132">#N/A</definedName>
    <definedName name="________________________________TPE12" localSheetId="4">#REF!</definedName>
    <definedName name="________________________________TPE12" localSheetId="5">#REF!</definedName>
    <definedName name="________________________________TPE12">#REF!</definedName>
    <definedName name="________________________________TPE1331" localSheetId="4">#N/A</definedName>
    <definedName name="________________________________TPE1331" localSheetId="5">#N/A</definedName>
    <definedName name="________________________________TPE1331">#N/A</definedName>
    <definedName name="________________________________TPE1702" localSheetId="4">#N/A</definedName>
    <definedName name="________________________________TPE1702" localSheetId="5">#N/A</definedName>
    <definedName name="________________________________TPE1702">#N/A</definedName>
    <definedName name="________________________________TPE1703" localSheetId="4">#N/A</definedName>
    <definedName name="________________________________TPE1703" localSheetId="5">#N/A</definedName>
    <definedName name="________________________________TPE1703">#N/A</definedName>
    <definedName name="________________________________TPE1704" localSheetId="4">#N/A</definedName>
    <definedName name="________________________________TPE1704" localSheetId="5">#N/A</definedName>
    <definedName name="________________________________TPE1704">#N/A</definedName>
    <definedName name="________________________________TPE1706" localSheetId="4">#N/A</definedName>
    <definedName name="________________________________TPE1706" localSheetId="5">#N/A</definedName>
    <definedName name="________________________________TPE1706">#N/A</definedName>
    <definedName name="________________________________TPE1708" localSheetId="4">#N/A</definedName>
    <definedName name="________________________________TPE1708" localSheetId="5">#N/A</definedName>
    <definedName name="________________________________TPE1708">#N/A</definedName>
    <definedName name="________________________________TPE1710" localSheetId="4">#N/A</definedName>
    <definedName name="________________________________TPE1710" localSheetId="5">#N/A</definedName>
    <definedName name="________________________________TPE1710">#N/A</definedName>
    <definedName name="________________________________TPE1735" localSheetId="4">#N/A</definedName>
    <definedName name="________________________________TPE1735" localSheetId="5">#N/A</definedName>
    <definedName name="________________________________TPE1735">#N/A</definedName>
    <definedName name="________________________________TPE1763" localSheetId="4">#N/A</definedName>
    <definedName name="________________________________TPE1763" localSheetId="5">#N/A</definedName>
    <definedName name="________________________________TPE1763">#N/A</definedName>
    <definedName name="________________________________TPE1790" localSheetId="4">#N/A</definedName>
    <definedName name="________________________________TPE1790" localSheetId="5">#N/A</definedName>
    <definedName name="________________________________TPE1790">#N/A</definedName>
    <definedName name="________________________________TPF12" localSheetId="4">[2]BASE!$D$217</definedName>
    <definedName name="________________________________TPF12" localSheetId="5">[2]BASE!$D$217</definedName>
    <definedName name="________________________________TPF12">[2]BASE!$D$217</definedName>
    <definedName name="________________________________TUZ22" localSheetId="4">'[2]BASE ORIGINAL'!#REF!</definedName>
    <definedName name="________________________________TUZ22" localSheetId="5">'[2]BASE ORIGINAL'!#REF!</definedName>
    <definedName name="________________________________TUZ22">'[2]BASE ORIGINAL'!#REF!</definedName>
    <definedName name="________________________________TUZ36" localSheetId="4">'[2]BASE ORIGINAL'!#REF!</definedName>
    <definedName name="________________________________TUZ36" localSheetId="5">'[2]BASE ORIGINAL'!#REF!</definedName>
    <definedName name="________________________________TUZ36">'[2]BASE ORIGINAL'!#REF!</definedName>
    <definedName name="________________________________TZ2110" localSheetId="4">[2]BASE!$D$79</definedName>
    <definedName name="________________________________TZ2110" localSheetId="5">[2]BASE!$D$79</definedName>
    <definedName name="________________________________TZ2110">[2]BASE!$D$79</definedName>
    <definedName name="________________________________TZ214" localSheetId="4">#N/A</definedName>
    <definedName name="________________________________TZ214" localSheetId="5">#N/A</definedName>
    <definedName name="________________________________TZ214">#N/A</definedName>
    <definedName name="________________________________TZ216" localSheetId="4">#N/A</definedName>
    <definedName name="________________________________TZ216" localSheetId="5">#N/A</definedName>
    <definedName name="________________________________TZ216">#N/A</definedName>
    <definedName name="________________________________TZ268">[4]BASE!$D$85</definedName>
    <definedName name="________________________________TZ323" localSheetId="4">'[2]BASE ORIGINAL'!#REF!</definedName>
    <definedName name="________________________________TZ323" localSheetId="5">'[2]BASE ORIGINAL'!#REF!</definedName>
    <definedName name="________________________________TZ323">'[2]BASE ORIGINAL'!#REF!</definedName>
    <definedName name="________________________________TZ324" localSheetId="4">'[2]BASE ORIGINAL'!#REF!</definedName>
    <definedName name="________________________________TZ324" localSheetId="5">'[2]BASE ORIGINAL'!#REF!</definedName>
    <definedName name="________________________________TZ324">'[2]BASE ORIGINAL'!#REF!</definedName>
    <definedName name="________________________________TZ32510" localSheetId="4">#N/A</definedName>
    <definedName name="________________________________TZ32510" localSheetId="5">#N/A</definedName>
    <definedName name="________________________________TZ32510">#N/A</definedName>
    <definedName name="_______________________________ADH12" localSheetId="4">[2]BASE!$D$218</definedName>
    <definedName name="_______________________________ADH12" localSheetId="5">[2]BASE!$D$218</definedName>
    <definedName name="_______________________________ADH12">[2]BASE!$D$218</definedName>
    <definedName name="_______________________________ADM12" localSheetId="4">[2]BASE!$D$219</definedName>
    <definedName name="_______________________________ADM12" localSheetId="5">[2]BASE!$D$219</definedName>
    <definedName name="_______________________________ADM12">[2]BASE!$D$219</definedName>
    <definedName name="_______________________________ADM4" localSheetId="4">[2]BASE!$D$120</definedName>
    <definedName name="_______________________________ADM4" localSheetId="5">[2]BASE!$D$120</definedName>
    <definedName name="_______________________________ADM4">[2]BASE!$D$120</definedName>
    <definedName name="_______________________________AIU1" localSheetId="4">#REF!</definedName>
    <definedName name="_______________________________AIU1" localSheetId="5">#REF!</definedName>
    <definedName name="_______________________________AIU1">#REF!</definedName>
    <definedName name="_______________________________AIU2">[3]BASE!$C$5</definedName>
    <definedName name="_______________________________BAZ10" localSheetId="4">[2]BASE!$D$270</definedName>
    <definedName name="_______________________________BAZ10" localSheetId="5">[2]BASE!$D$270</definedName>
    <definedName name="_______________________________BAZ10">[2]BASE!$D$270</definedName>
    <definedName name="_______________________________BLO20" localSheetId="4">[2]BASE!$D$56</definedName>
    <definedName name="_______________________________BLO20" localSheetId="5">[2]BASE!$D$56</definedName>
    <definedName name="_______________________________BLO20">[2]BASE!$D$56</definedName>
    <definedName name="_______________________________CAN28" localSheetId="4">[2]BASE!$D$315</definedName>
    <definedName name="_______________________________CAN28" localSheetId="5">[2]BASE!$D$315</definedName>
    <definedName name="_______________________________CAN28">[2]BASE!$D$315</definedName>
    <definedName name="_______________________________Cod1" localSheetId="4">#REF!</definedName>
    <definedName name="_______________________________Cod1" localSheetId="5">#REF!</definedName>
    <definedName name="_______________________________Cod1">#REF!</definedName>
    <definedName name="_______________________________CUA44" localSheetId="4">[2]BASE!$D$253</definedName>
    <definedName name="_______________________________CUA44" localSheetId="5">[2]BASE!$D$253</definedName>
    <definedName name="_______________________________CUA44">[2]BASE!$D$253</definedName>
    <definedName name="_______________________________LA124" localSheetId="4">[2]BASE!$D$64</definedName>
    <definedName name="_______________________________LA124" localSheetId="5">[2]BASE!$D$64</definedName>
    <definedName name="_______________________________LA124">[2]BASE!$D$64</definedName>
    <definedName name="_______________________________LAC18">[4]BASE!$D$252</definedName>
    <definedName name="_______________________________Po2">[5]REAJUSTESACTA1PROVI!#REF!</definedName>
    <definedName name="_______________________________R84JH">[4]BASE!$D$172</definedName>
    <definedName name="_______________________________REP43">[6]BASE!$D$136</definedName>
    <definedName name="_______________________________TEP44" localSheetId="4">#N/A</definedName>
    <definedName name="_______________________________TEP44" localSheetId="5">#N/A</definedName>
    <definedName name="_______________________________TEP44">#N/A</definedName>
    <definedName name="_______________________________TPE1132" localSheetId="4">#N/A</definedName>
    <definedName name="_______________________________TPE1132" localSheetId="5">#N/A</definedName>
    <definedName name="_______________________________TPE1132">#N/A</definedName>
    <definedName name="_______________________________TPE12" localSheetId="4">#REF!</definedName>
    <definedName name="_______________________________TPE12" localSheetId="5">#REF!</definedName>
    <definedName name="_______________________________TPE12">#REF!</definedName>
    <definedName name="_______________________________TPE1331" localSheetId="4">#N/A</definedName>
    <definedName name="_______________________________TPE1331" localSheetId="5">#N/A</definedName>
    <definedName name="_______________________________TPE1331">#N/A</definedName>
    <definedName name="_______________________________TPE1702" localSheetId="4">#N/A</definedName>
    <definedName name="_______________________________TPE1702" localSheetId="5">#N/A</definedName>
    <definedName name="_______________________________TPE1702">#N/A</definedName>
    <definedName name="_______________________________TPE1703" localSheetId="4">#N/A</definedName>
    <definedName name="_______________________________TPE1703" localSheetId="5">#N/A</definedName>
    <definedName name="_______________________________TPE1703">#N/A</definedName>
    <definedName name="_______________________________TPE1704" localSheetId="4">#N/A</definedName>
    <definedName name="_______________________________TPE1704" localSheetId="5">#N/A</definedName>
    <definedName name="_______________________________TPE1704">#N/A</definedName>
    <definedName name="_______________________________TPE1706" localSheetId="4">#N/A</definedName>
    <definedName name="_______________________________TPE1706" localSheetId="5">#N/A</definedName>
    <definedName name="_______________________________TPE1706">#N/A</definedName>
    <definedName name="_______________________________TPE1708" localSheetId="4">#N/A</definedName>
    <definedName name="_______________________________TPE1708" localSheetId="5">#N/A</definedName>
    <definedName name="_______________________________TPE1708">#N/A</definedName>
    <definedName name="_______________________________TPE1710" localSheetId="4">#N/A</definedName>
    <definedName name="_______________________________TPE1710" localSheetId="5">#N/A</definedName>
    <definedName name="_______________________________TPE1710">#N/A</definedName>
    <definedName name="_______________________________TPE1735" localSheetId="4">#N/A</definedName>
    <definedName name="_______________________________TPE1735" localSheetId="5">#N/A</definedName>
    <definedName name="_______________________________TPE1735">#N/A</definedName>
    <definedName name="_______________________________TPE1763" localSheetId="4">#N/A</definedName>
    <definedName name="_______________________________TPE1763" localSheetId="5">#N/A</definedName>
    <definedName name="_______________________________TPE1763">#N/A</definedName>
    <definedName name="_______________________________TPE1790" localSheetId="4">#N/A</definedName>
    <definedName name="_______________________________TPE1790" localSheetId="5">#N/A</definedName>
    <definedName name="_______________________________TPE1790">#N/A</definedName>
    <definedName name="_______________________________TPF12" localSheetId="4">[2]BASE!$D$217</definedName>
    <definedName name="_______________________________TPF12" localSheetId="5">[2]BASE!$D$217</definedName>
    <definedName name="_______________________________TPF12">[2]BASE!$D$217</definedName>
    <definedName name="_______________________________TUZ22" localSheetId="4">'[2]BASE ORIGINAL'!#REF!</definedName>
    <definedName name="_______________________________TUZ22" localSheetId="5">'[2]BASE ORIGINAL'!#REF!</definedName>
    <definedName name="_______________________________TUZ22">'[2]BASE ORIGINAL'!#REF!</definedName>
    <definedName name="_______________________________TUZ36" localSheetId="4">'[2]BASE ORIGINAL'!#REF!</definedName>
    <definedName name="_______________________________TUZ36" localSheetId="5">'[2]BASE ORIGINAL'!#REF!</definedName>
    <definedName name="_______________________________TUZ36">'[2]BASE ORIGINAL'!#REF!</definedName>
    <definedName name="_______________________________TZ2110" localSheetId="4">[2]BASE!$D$79</definedName>
    <definedName name="_______________________________TZ2110" localSheetId="5">[2]BASE!$D$79</definedName>
    <definedName name="_______________________________TZ2110">[2]BASE!$D$79</definedName>
    <definedName name="_______________________________TZ214" localSheetId="4">#N/A</definedName>
    <definedName name="_______________________________TZ214" localSheetId="5">#N/A</definedName>
    <definedName name="_______________________________TZ214">#N/A</definedName>
    <definedName name="_______________________________TZ216" localSheetId="4">#N/A</definedName>
    <definedName name="_______________________________TZ216" localSheetId="5">#N/A</definedName>
    <definedName name="_______________________________TZ216">#N/A</definedName>
    <definedName name="_______________________________TZ268">[4]BASE!$D$85</definedName>
    <definedName name="_______________________________TZ323" localSheetId="4">'[2]BASE ORIGINAL'!#REF!</definedName>
    <definedName name="_______________________________TZ323" localSheetId="5">'[2]BASE ORIGINAL'!#REF!</definedName>
    <definedName name="_______________________________TZ323">'[2]BASE ORIGINAL'!#REF!</definedName>
    <definedName name="_______________________________TZ324" localSheetId="4">'[2]BASE ORIGINAL'!#REF!</definedName>
    <definedName name="_______________________________TZ324" localSheetId="5">'[2]BASE ORIGINAL'!#REF!</definedName>
    <definedName name="_______________________________TZ324">'[2]BASE ORIGINAL'!#REF!</definedName>
    <definedName name="_______________________________TZ32510" localSheetId="4">#N/A</definedName>
    <definedName name="_______________________________TZ32510" localSheetId="5">#N/A</definedName>
    <definedName name="_______________________________TZ32510">#N/A</definedName>
    <definedName name="______________________________ADH12" localSheetId="4">[2]BASE!$D$218</definedName>
    <definedName name="______________________________ADH12" localSheetId="5">[2]BASE!$D$218</definedName>
    <definedName name="______________________________ADH12">[2]BASE!$D$218</definedName>
    <definedName name="______________________________ADM12" localSheetId="4">[2]BASE!$D$219</definedName>
    <definedName name="______________________________ADM12" localSheetId="5">[2]BASE!$D$219</definedName>
    <definedName name="______________________________ADM12">[2]BASE!$D$219</definedName>
    <definedName name="______________________________ADM4" localSheetId="4">[2]BASE!$D$120</definedName>
    <definedName name="______________________________ADM4" localSheetId="5">[2]BASE!$D$120</definedName>
    <definedName name="______________________________ADM4">[2]BASE!$D$120</definedName>
    <definedName name="______________________________AIU1" localSheetId="4">#REF!</definedName>
    <definedName name="______________________________AIU1" localSheetId="5">#REF!</definedName>
    <definedName name="______________________________AIU1">#REF!</definedName>
    <definedName name="______________________________AIU2">[3]BASE!$C$5</definedName>
    <definedName name="______________________________BAZ10" localSheetId="4">[2]BASE!$D$270</definedName>
    <definedName name="______________________________BAZ10" localSheetId="5">[2]BASE!$D$270</definedName>
    <definedName name="______________________________BAZ10">[2]BASE!$D$270</definedName>
    <definedName name="______________________________BLO20" localSheetId="4">[2]BASE!$D$56</definedName>
    <definedName name="______________________________BLO20" localSheetId="5">[2]BASE!$D$56</definedName>
    <definedName name="______________________________BLO20">[2]BASE!$D$56</definedName>
    <definedName name="______________________________CAN28" localSheetId="4">[2]BASE!$D$315</definedName>
    <definedName name="______________________________CAN28" localSheetId="5">[2]BASE!$D$315</definedName>
    <definedName name="______________________________CAN28">[2]BASE!$D$315</definedName>
    <definedName name="______________________________Cod1" localSheetId="4">#REF!</definedName>
    <definedName name="______________________________Cod1" localSheetId="5">#REF!</definedName>
    <definedName name="______________________________Cod1">#REF!</definedName>
    <definedName name="______________________________CUA44" localSheetId="4">[2]BASE!$D$253</definedName>
    <definedName name="______________________________CUA44" localSheetId="5">[2]BASE!$D$253</definedName>
    <definedName name="______________________________CUA44">[2]BASE!$D$253</definedName>
    <definedName name="______________________________LA124" localSheetId="4">[2]BASE!$D$64</definedName>
    <definedName name="______________________________LA124" localSheetId="5">[2]BASE!$D$64</definedName>
    <definedName name="______________________________LA124">[2]BASE!$D$64</definedName>
    <definedName name="______________________________LAC18">[4]BASE!$D$252</definedName>
    <definedName name="______________________________Po2">[5]REAJUSTESACTA1PROVI!#REF!</definedName>
    <definedName name="______________________________R84JH">[4]BASE!$D$172</definedName>
    <definedName name="______________________________REP43">[6]BASE!$D$136</definedName>
    <definedName name="______________________________TEP44" localSheetId="4">#N/A</definedName>
    <definedName name="______________________________TEP44" localSheetId="5">#N/A</definedName>
    <definedName name="______________________________TEP44">#N/A</definedName>
    <definedName name="______________________________TPE1132" localSheetId="4">#N/A</definedName>
    <definedName name="______________________________TPE1132" localSheetId="5">#N/A</definedName>
    <definedName name="______________________________TPE1132">#N/A</definedName>
    <definedName name="______________________________TPE12" localSheetId="4">#REF!</definedName>
    <definedName name="______________________________TPE12" localSheetId="5">#REF!</definedName>
    <definedName name="______________________________TPE12">#REF!</definedName>
    <definedName name="______________________________TPE1331" localSheetId="4">#N/A</definedName>
    <definedName name="______________________________TPE1331" localSheetId="5">#N/A</definedName>
    <definedName name="______________________________TPE1331">#N/A</definedName>
    <definedName name="______________________________TPE1702" localSheetId="4">#N/A</definedName>
    <definedName name="______________________________TPE1702" localSheetId="5">#N/A</definedName>
    <definedName name="______________________________TPE1702">#N/A</definedName>
    <definedName name="______________________________TPE1703" localSheetId="4">#N/A</definedName>
    <definedName name="______________________________TPE1703" localSheetId="5">#N/A</definedName>
    <definedName name="______________________________TPE1703">#N/A</definedName>
    <definedName name="______________________________TPE1704" localSheetId="4">#N/A</definedName>
    <definedName name="______________________________TPE1704" localSheetId="5">#N/A</definedName>
    <definedName name="______________________________TPE1704">#N/A</definedName>
    <definedName name="______________________________TPE1706" localSheetId="4">#N/A</definedName>
    <definedName name="______________________________TPE1706" localSheetId="5">#N/A</definedName>
    <definedName name="______________________________TPE1706">#N/A</definedName>
    <definedName name="______________________________TPE1708" localSheetId="4">#N/A</definedName>
    <definedName name="______________________________TPE1708" localSheetId="5">#N/A</definedName>
    <definedName name="______________________________TPE1708">#N/A</definedName>
    <definedName name="______________________________TPE1710" localSheetId="4">#N/A</definedName>
    <definedName name="______________________________TPE1710" localSheetId="5">#N/A</definedName>
    <definedName name="______________________________TPE1710">#N/A</definedName>
    <definedName name="______________________________TPE1735" localSheetId="4">#N/A</definedName>
    <definedName name="______________________________TPE1735" localSheetId="5">#N/A</definedName>
    <definedName name="______________________________TPE1735">#N/A</definedName>
    <definedName name="______________________________TPE1763" localSheetId="4">#N/A</definedName>
    <definedName name="______________________________TPE1763" localSheetId="5">#N/A</definedName>
    <definedName name="______________________________TPE1763">#N/A</definedName>
    <definedName name="______________________________TPE1790" localSheetId="4">#N/A</definedName>
    <definedName name="______________________________TPE1790" localSheetId="5">#N/A</definedName>
    <definedName name="______________________________TPE1790">#N/A</definedName>
    <definedName name="______________________________TPF12" localSheetId="4">[2]BASE!$D$217</definedName>
    <definedName name="______________________________TPF12" localSheetId="5">[2]BASE!$D$217</definedName>
    <definedName name="______________________________TPF12">[2]BASE!$D$217</definedName>
    <definedName name="______________________________TUZ22" localSheetId="4">'[2]BASE ORIGINAL'!#REF!</definedName>
    <definedName name="______________________________TUZ22" localSheetId="5">'[2]BASE ORIGINAL'!#REF!</definedName>
    <definedName name="______________________________TUZ22">'[2]BASE ORIGINAL'!#REF!</definedName>
    <definedName name="______________________________TUZ36" localSheetId="4">'[2]BASE ORIGINAL'!#REF!</definedName>
    <definedName name="______________________________TUZ36" localSheetId="5">'[2]BASE ORIGINAL'!#REF!</definedName>
    <definedName name="______________________________TUZ36">'[2]BASE ORIGINAL'!#REF!</definedName>
    <definedName name="______________________________TZ2110" localSheetId="4">[2]BASE!$D$79</definedName>
    <definedName name="______________________________TZ2110" localSheetId="5">[2]BASE!$D$79</definedName>
    <definedName name="______________________________TZ2110">[2]BASE!$D$79</definedName>
    <definedName name="______________________________TZ214" localSheetId="4">#N/A</definedName>
    <definedName name="______________________________TZ214" localSheetId="5">#N/A</definedName>
    <definedName name="______________________________TZ214">#N/A</definedName>
    <definedName name="______________________________TZ216" localSheetId="4">#N/A</definedName>
    <definedName name="______________________________TZ216" localSheetId="5">#N/A</definedName>
    <definedName name="______________________________TZ216">#N/A</definedName>
    <definedName name="______________________________TZ268">[4]BASE!$D$85</definedName>
    <definedName name="______________________________TZ323" localSheetId="4">'[2]BASE ORIGINAL'!#REF!</definedName>
    <definedName name="______________________________TZ323" localSheetId="5">'[2]BASE ORIGINAL'!#REF!</definedName>
    <definedName name="______________________________TZ323">'[2]BASE ORIGINAL'!#REF!</definedName>
    <definedName name="______________________________TZ324" localSheetId="4">'[2]BASE ORIGINAL'!#REF!</definedName>
    <definedName name="______________________________TZ324" localSheetId="5">'[2]BASE ORIGINAL'!#REF!</definedName>
    <definedName name="______________________________TZ324">'[2]BASE ORIGINAL'!#REF!</definedName>
    <definedName name="______________________________TZ32510" localSheetId="4">#N/A</definedName>
    <definedName name="______________________________TZ32510" localSheetId="5">#N/A</definedName>
    <definedName name="______________________________TZ32510">#N/A</definedName>
    <definedName name="_____________________________ADH12" localSheetId="4">[2]BASE!$D$218</definedName>
    <definedName name="_____________________________ADH12" localSheetId="5">[2]BASE!$D$218</definedName>
    <definedName name="_____________________________ADH12">[2]BASE!$D$218</definedName>
    <definedName name="_____________________________ADM12" localSheetId="4">[2]BASE!$D$219</definedName>
    <definedName name="_____________________________ADM12" localSheetId="5">[2]BASE!$D$219</definedName>
    <definedName name="_____________________________ADM12">[2]BASE!$D$219</definedName>
    <definedName name="_____________________________ADM4" localSheetId="4">[2]BASE!$D$120</definedName>
    <definedName name="_____________________________ADM4" localSheetId="5">[2]BASE!$D$120</definedName>
    <definedName name="_____________________________ADM4">[2]BASE!$D$120</definedName>
    <definedName name="_____________________________AIU1" localSheetId="4">#REF!</definedName>
    <definedName name="_____________________________AIU1" localSheetId="5">#REF!</definedName>
    <definedName name="_____________________________AIU1">#REF!</definedName>
    <definedName name="_____________________________AIU2">[3]BASE!$C$5</definedName>
    <definedName name="_____________________________BAZ10" localSheetId="4">[2]BASE!$D$270</definedName>
    <definedName name="_____________________________BAZ10" localSheetId="5">[2]BASE!$D$270</definedName>
    <definedName name="_____________________________BAZ10">[2]BASE!$D$270</definedName>
    <definedName name="_____________________________BLO20" localSheetId="4">[2]BASE!$D$56</definedName>
    <definedName name="_____________________________BLO20" localSheetId="5">[2]BASE!$D$56</definedName>
    <definedName name="_____________________________BLO20">[2]BASE!$D$56</definedName>
    <definedName name="_____________________________CAN28" localSheetId="4">[2]BASE!$D$315</definedName>
    <definedName name="_____________________________CAN28" localSheetId="5">[2]BASE!$D$315</definedName>
    <definedName name="_____________________________CAN28">[2]BASE!$D$315</definedName>
    <definedName name="_____________________________Cod1" localSheetId="4">#REF!</definedName>
    <definedName name="_____________________________Cod1" localSheetId="5">#REF!</definedName>
    <definedName name="_____________________________Cod1">#REF!</definedName>
    <definedName name="_____________________________CUA44" localSheetId="4">[2]BASE!$D$253</definedName>
    <definedName name="_____________________________CUA44" localSheetId="5">[2]BASE!$D$253</definedName>
    <definedName name="_____________________________CUA44">[2]BASE!$D$253</definedName>
    <definedName name="_____________________________LA124" localSheetId="4">[2]BASE!$D$64</definedName>
    <definedName name="_____________________________LA124" localSheetId="5">[2]BASE!$D$64</definedName>
    <definedName name="_____________________________LA124">[2]BASE!$D$64</definedName>
    <definedName name="_____________________________LAC18">[4]BASE!$D$252</definedName>
    <definedName name="_____________________________Po2">[5]REAJUSTESACTA1PROVI!#REF!</definedName>
    <definedName name="_____________________________R84JH">[4]BASE!$D$172</definedName>
    <definedName name="_____________________________REP43">[6]BASE!$D$136</definedName>
    <definedName name="_____________________________TEP44" localSheetId="4">#N/A</definedName>
    <definedName name="_____________________________TEP44" localSheetId="5">#N/A</definedName>
    <definedName name="_____________________________TEP44">#N/A</definedName>
    <definedName name="_____________________________TPE1132" localSheetId="4">#N/A</definedName>
    <definedName name="_____________________________TPE1132" localSheetId="5">#N/A</definedName>
    <definedName name="_____________________________TPE1132">#N/A</definedName>
    <definedName name="_____________________________TPE12" localSheetId="4">#REF!</definedName>
    <definedName name="_____________________________TPE12" localSheetId="5">#REF!</definedName>
    <definedName name="_____________________________TPE12">#REF!</definedName>
    <definedName name="_____________________________TPE1331" localSheetId="4">#N/A</definedName>
    <definedName name="_____________________________TPE1331" localSheetId="5">#N/A</definedName>
    <definedName name="_____________________________TPE1331">#N/A</definedName>
    <definedName name="_____________________________TPE1702" localSheetId="4">#N/A</definedName>
    <definedName name="_____________________________TPE1702" localSheetId="5">#N/A</definedName>
    <definedName name="_____________________________TPE1702">#N/A</definedName>
    <definedName name="_____________________________TPE1703" localSheetId="4">#N/A</definedName>
    <definedName name="_____________________________TPE1703" localSheetId="5">#N/A</definedName>
    <definedName name="_____________________________TPE1703">#N/A</definedName>
    <definedName name="_____________________________TPE1704" localSheetId="4">#N/A</definedName>
    <definedName name="_____________________________TPE1704" localSheetId="5">#N/A</definedName>
    <definedName name="_____________________________TPE1704">#N/A</definedName>
    <definedName name="_____________________________TPE1706" localSheetId="4">#N/A</definedName>
    <definedName name="_____________________________TPE1706" localSheetId="5">#N/A</definedName>
    <definedName name="_____________________________TPE1706">#N/A</definedName>
    <definedName name="_____________________________TPE1708" localSheetId="4">#N/A</definedName>
    <definedName name="_____________________________TPE1708" localSheetId="5">#N/A</definedName>
    <definedName name="_____________________________TPE1708">#N/A</definedName>
    <definedName name="_____________________________TPE1710" localSheetId="4">#N/A</definedName>
    <definedName name="_____________________________TPE1710" localSheetId="5">#N/A</definedName>
    <definedName name="_____________________________TPE1710">#N/A</definedName>
    <definedName name="_____________________________TPE1735" localSheetId="4">#N/A</definedName>
    <definedName name="_____________________________TPE1735" localSheetId="5">#N/A</definedName>
    <definedName name="_____________________________TPE1735">#N/A</definedName>
    <definedName name="_____________________________TPE1763" localSheetId="4">#N/A</definedName>
    <definedName name="_____________________________TPE1763" localSheetId="5">#N/A</definedName>
    <definedName name="_____________________________TPE1763">#N/A</definedName>
    <definedName name="_____________________________TPE1790" localSheetId="4">#N/A</definedName>
    <definedName name="_____________________________TPE1790" localSheetId="5">#N/A</definedName>
    <definedName name="_____________________________TPE1790">#N/A</definedName>
    <definedName name="_____________________________TPF12" localSheetId="4">[2]BASE!$D$217</definedName>
    <definedName name="_____________________________TPF12" localSheetId="5">[2]BASE!$D$217</definedName>
    <definedName name="_____________________________TPF12">[2]BASE!$D$217</definedName>
    <definedName name="_____________________________TUZ22" localSheetId="4">'[2]BASE ORIGINAL'!#REF!</definedName>
    <definedName name="_____________________________TUZ22" localSheetId="5">'[2]BASE ORIGINAL'!#REF!</definedName>
    <definedName name="_____________________________TUZ22">'[2]BASE ORIGINAL'!#REF!</definedName>
    <definedName name="_____________________________TUZ36" localSheetId="4">'[2]BASE ORIGINAL'!#REF!</definedName>
    <definedName name="_____________________________TUZ36" localSheetId="5">'[2]BASE ORIGINAL'!#REF!</definedName>
    <definedName name="_____________________________TUZ36">'[2]BASE ORIGINAL'!#REF!</definedName>
    <definedName name="_____________________________TZ2110" localSheetId="4">[2]BASE!$D$79</definedName>
    <definedName name="_____________________________TZ2110" localSheetId="5">[2]BASE!$D$79</definedName>
    <definedName name="_____________________________TZ2110">[2]BASE!$D$79</definedName>
    <definedName name="_____________________________TZ214" localSheetId="4">#N/A</definedName>
    <definedName name="_____________________________TZ214" localSheetId="5">#N/A</definedName>
    <definedName name="_____________________________TZ214">#N/A</definedName>
    <definedName name="_____________________________TZ216" localSheetId="4">#N/A</definedName>
    <definedName name="_____________________________TZ216" localSheetId="5">#N/A</definedName>
    <definedName name="_____________________________TZ216">#N/A</definedName>
    <definedName name="_____________________________TZ268">[4]BASE!$D$85</definedName>
    <definedName name="_____________________________TZ323" localSheetId="4">'[2]BASE ORIGINAL'!#REF!</definedName>
    <definedName name="_____________________________TZ323" localSheetId="5">'[2]BASE ORIGINAL'!#REF!</definedName>
    <definedName name="_____________________________TZ323">'[2]BASE ORIGINAL'!#REF!</definedName>
    <definedName name="_____________________________TZ324" localSheetId="4">'[2]BASE ORIGINAL'!#REF!</definedName>
    <definedName name="_____________________________TZ324" localSheetId="5">'[2]BASE ORIGINAL'!#REF!</definedName>
    <definedName name="_____________________________TZ324">'[2]BASE ORIGINAL'!#REF!</definedName>
    <definedName name="_____________________________TZ32510" localSheetId="4">#N/A</definedName>
    <definedName name="_____________________________TZ32510" localSheetId="5">#N/A</definedName>
    <definedName name="_____________________________TZ32510">#N/A</definedName>
    <definedName name="____________________________ADH12" localSheetId="4">[2]BASE!$D$218</definedName>
    <definedName name="____________________________ADH12" localSheetId="5">[2]BASE!$D$218</definedName>
    <definedName name="____________________________ADH12">[2]BASE!$D$218</definedName>
    <definedName name="____________________________ADM12" localSheetId="4">[2]BASE!$D$219</definedName>
    <definedName name="____________________________ADM12" localSheetId="5">[2]BASE!$D$219</definedName>
    <definedName name="____________________________ADM12">[2]BASE!$D$219</definedName>
    <definedName name="____________________________ADM4" localSheetId="4">[2]BASE!$D$120</definedName>
    <definedName name="____________________________ADM4" localSheetId="5">[2]BASE!$D$120</definedName>
    <definedName name="____________________________ADM4">[2]BASE!$D$120</definedName>
    <definedName name="____________________________AIU1" localSheetId="4">#REF!</definedName>
    <definedName name="____________________________AIU1" localSheetId="5">#REF!</definedName>
    <definedName name="____________________________AIU1">#REF!</definedName>
    <definedName name="____________________________AIU2">[3]BASE!$C$5</definedName>
    <definedName name="____________________________BAZ10" localSheetId="4">[2]BASE!$D$270</definedName>
    <definedName name="____________________________BAZ10" localSheetId="5">[2]BASE!$D$270</definedName>
    <definedName name="____________________________BAZ10">[2]BASE!$D$270</definedName>
    <definedName name="____________________________BLO20" localSheetId="4">[2]BASE!$D$56</definedName>
    <definedName name="____________________________BLO20" localSheetId="5">[2]BASE!$D$56</definedName>
    <definedName name="____________________________BLO20">[2]BASE!$D$56</definedName>
    <definedName name="____________________________CAN28" localSheetId="4">[2]BASE!$D$315</definedName>
    <definedName name="____________________________CAN28" localSheetId="5">[2]BASE!$D$315</definedName>
    <definedName name="____________________________CAN28">[2]BASE!$D$315</definedName>
    <definedName name="____________________________Cod1" localSheetId="4">#REF!</definedName>
    <definedName name="____________________________Cod1" localSheetId="5">#REF!</definedName>
    <definedName name="____________________________Cod1">#REF!</definedName>
    <definedName name="____________________________CUA44" localSheetId="4">[2]BASE!$D$253</definedName>
    <definedName name="____________________________CUA44" localSheetId="5">[2]BASE!$D$253</definedName>
    <definedName name="____________________________CUA44">[2]BASE!$D$253</definedName>
    <definedName name="____________________________LA124" localSheetId="4">[2]BASE!$D$64</definedName>
    <definedName name="____________________________LA124" localSheetId="5">[2]BASE!$D$64</definedName>
    <definedName name="____________________________LA124">[2]BASE!$D$64</definedName>
    <definedName name="____________________________LAC18">[4]BASE!$D$252</definedName>
    <definedName name="____________________________Po2">[5]REAJUSTESACTA1PROVI!#REF!</definedName>
    <definedName name="____________________________R84JH">[4]BASE!$D$172</definedName>
    <definedName name="____________________________REP43">[6]BASE!$D$136</definedName>
    <definedName name="____________________________TEP44" localSheetId="4">#N/A</definedName>
    <definedName name="____________________________TEP44" localSheetId="5">#N/A</definedName>
    <definedName name="____________________________TEP44">#N/A</definedName>
    <definedName name="____________________________TPE1132" localSheetId="4">#N/A</definedName>
    <definedName name="____________________________TPE1132" localSheetId="5">#N/A</definedName>
    <definedName name="____________________________TPE1132">#N/A</definedName>
    <definedName name="____________________________TPE12" localSheetId="4">#REF!</definedName>
    <definedName name="____________________________TPE12" localSheetId="5">#REF!</definedName>
    <definedName name="____________________________TPE12">#REF!</definedName>
    <definedName name="____________________________TPE1331" localSheetId="4">#N/A</definedName>
    <definedName name="____________________________TPE1331" localSheetId="5">#N/A</definedName>
    <definedName name="____________________________TPE1331">#N/A</definedName>
    <definedName name="____________________________TPE1702" localSheetId="4">#N/A</definedName>
    <definedName name="____________________________TPE1702" localSheetId="5">#N/A</definedName>
    <definedName name="____________________________TPE1702">#N/A</definedName>
    <definedName name="____________________________TPE1703" localSheetId="4">#N/A</definedName>
    <definedName name="____________________________TPE1703" localSheetId="5">#N/A</definedName>
    <definedName name="____________________________TPE1703">#N/A</definedName>
    <definedName name="____________________________TPE1704" localSheetId="4">#N/A</definedName>
    <definedName name="____________________________TPE1704" localSheetId="5">#N/A</definedName>
    <definedName name="____________________________TPE1704">#N/A</definedName>
    <definedName name="____________________________TPE1706" localSheetId="4">#N/A</definedName>
    <definedName name="____________________________TPE1706" localSheetId="5">#N/A</definedName>
    <definedName name="____________________________TPE1706">#N/A</definedName>
    <definedName name="____________________________TPE1708" localSheetId="4">#N/A</definedName>
    <definedName name="____________________________TPE1708" localSheetId="5">#N/A</definedName>
    <definedName name="____________________________TPE1708">#N/A</definedName>
    <definedName name="____________________________TPE1710" localSheetId="4">#N/A</definedName>
    <definedName name="____________________________TPE1710" localSheetId="5">#N/A</definedName>
    <definedName name="____________________________TPE1710">#N/A</definedName>
    <definedName name="____________________________TPE1735" localSheetId="4">#N/A</definedName>
    <definedName name="____________________________TPE1735" localSheetId="5">#N/A</definedName>
    <definedName name="____________________________TPE1735">#N/A</definedName>
    <definedName name="____________________________TPE1763" localSheetId="4">#N/A</definedName>
    <definedName name="____________________________TPE1763" localSheetId="5">#N/A</definedName>
    <definedName name="____________________________TPE1763">#N/A</definedName>
    <definedName name="____________________________TPE1790" localSheetId="4">#N/A</definedName>
    <definedName name="____________________________TPE1790" localSheetId="5">#N/A</definedName>
    <definedName name="____________________________TPE1790">#N/A</definedName>
    <definedName name="____________________________TPF12" localSheetId="4">[2]BASE!$D$217</definedName>
    <definedName name="____________________________TPF12" localSheetId="5">[2]BASE!$D$217</definedName>
    <definedName name="____________________________TPF12">[2]BASE!$D$217</definedName>
    <definedName name="____________________________TUZ22" localSheetId="4">'[2]BASE ORIGINAL'!#REF!</definedName>
    <definedName name="____________________________TUZ22" localSheetId="5">'[2]BASE ORIGINAL'!#REF!</definedName>
    <definedName name="____________________________TUZ22">'[2]BASE ORIGINAL'!#REF!</definedName>
    <definedName name="____________________________TUZ36" localSheetId="4">'[2]BASE ORIGINAL'!#REF!</definedName>
    <definedName name="____________________________TUZ36" localSheetId="5">'[2]BASE ORIGINAL'!#REF!</definedName>
    <definedName name="____________________________TUZ36">'[2]BASE ORIGINAL'!#REF!</definedName>
    <definedName name="____________________________TZ2110" localSheetId="4">[2]BASE!$D$79</definedName>
    <definedName name="____________________________TZ2110" localSheetId="5">[2]BASE!$D$79</definedName>
    <definedName name="____________________________TZ2110">[2]BASE!$D$79</definedName>
    <definedName name="____________________________TZ214" localSheetId="4">#N/A</definedName>
    <definedName name="____________________________TZ214" localSheetId="5">#N/A</definedName>
    <definedName name="____________________________TZ214">#N/A</definedName>
    <definedName name="____________________________TZ216" localSheetId="4">#N/A</definedName>
    <definedName name="____________________________TZ216" localSheetId="5">#N/A</definedName>
    <definedName name="____________________________TZ216">#N/A</definedName>
    <definedName name="____________________________TZ268">[4]BASE!$D$85</definedName>
    <definedName name="____________________________TZ323" localSheetId="4">'[2]BASE ORIGINAL'!#REF!</definedName>
    <definedName name="____________________________TZ323" localSheetId="5">'[2]BASE ORIGINAL'!#REF!</definedName>
    <definedName name="____________________________TZ323">'[2]BASE ORIGINAL'!#REF!</definedName>
    <definedName name="____________________________TZ324" localSheetId="4">'[2]BASE ORIGINAL'!#REF!</definedName>
    <definedName name="____________________________TZ324" localSheetId="5">'[2]BASE ORIGINAL'!#REF!</definedName>
    <definedName name="____________________________TZ324">'[2]BASE ORIGINAL'!#REF!</definedName>
    <definedName name="____________________________TZ32510" localSheetId="4">#N/A</definedName>
    <definedName name="____________________________TZ32510" localSheetId="5">#N/A</definedName>
    <definedName name="____________________________TZ32510">#N/A</definedName>
    <definedName name="___________________________ADH12" localSheetId="4">[2]BASE!$D$218</definedName>
    <definedName name="___________________________ADH12" localSheetId="5">[2]BASE!$D$218</definedName>
    <definedName name="___________________________ADH12">[2]BASE!$D$218</definedName>
    <definedName name="___________________________ADM12" localSheetId="4">[2]BASE!$D$219</definedName>
    <definedName name="___________________________ADM12" localSheetId="5">[2]BASE!$D$219</definedName>
    <definedName name="___________________________ADM12">[2]BASE!$D$219</definedName>
    <definedName name="___________________________ADM4" localSheetId="4">[2]BASE!$D$120</definedName>
    <definedName name="___________________________ADM4" localSheetId="5">[2]BASE!$D$120</definedName>
    <definedName name="___________________________ADM4">[2]BASE!$D$120</definedName>
    <definedName name="___________________________AIU1" localSheetId="4">#REF!</definedName>
    <definedName name="___________________________AIU1" localSheetId="5">#REF!</definedName>
    <definedName name="___________________________AIU1">#REF!</definedName>
    <definedName name="___________________________AIU2">[3]BASE!$C$5</definedName>
    <definedName name="___________________________BAZ10" localSheetId="4">[2]BASE!$D$270</definedName>
    <definedName name="___________________________BAZ10" localSheetId="5">[2]BASE!$D$270</definedName>
    <definedName name="___________________________BAZ10">[2]BASE!$D$270</definedName>
    <definedName name="___________________________BLO20" localSheetId="4">[2]BASE!$D$56</definedName>
    <definedName name="___________________________BLO20" localSheetId="5">[2]BASE!$D$56</definedName>
    <definedName name="___________________________BLO20">[2]BASE!$D$56</definedName>
    <definedName name="___________________________CAN28" localSheetId="4">[2]BASE!$D$315</definedName>
    <definedName name="___________________________CAN28" localSheetId="5">[2]BASE!$D$315</definedName>
    <definedName name="___________________________CAN28">[2]BASE!$D$315</definedName>
    <definedName name="___________________________Cod1" localSheetId="4">#REF!</definedName>
    <definedName name="___________________________Cod1" localSheetId="5">#REF!</definedName>
    <definedName name="___________________________Cod1">#REF!</definedName>
    <definedName name="___________________________CUA44" localSheetId="4">[2]BASE!$D$253</definedName>
    <definedName name="___________________________CUA44" localSheetId="5">[2]BASE!$D$253</definedName>
    <definedName name="___________________________CUA44">[2]BASE!$D$253</definedName>
    <definedName name="___________________________LA124" localSheetId="4">[2]BASE!$D$64</definedName>
    <definedName name="___________________________LA124" localSheetId="5">[2]BASE!$D$64</definedName>
    <definedName name="___________________________LA124">[2]BASE!$D$64</definedName>
    <definedName name="___________________________LAC18">[4]BASE!$D$252</definedName>
    <definedName name="___________________________Po2">[5]REAJUSTESACTA1PROVI!#REF!</definedName>
    <definedName name="___________________________R84JH">[4]BASE!$D$172</definedName>
    <definedName name="___________________________REP43">[6]BASE!$D$136</definedName>
    <definedName name="___________________________TEP44" localSheetId="4">#N/A</definedName>
    <definedName name="___________________________TEP44" localSheetId="5">#N/A</definedName>
    <definedName name="___________________________TEP44">#N/A</definedName>
    <definedName name="___________________________TPE1132" localSheetId="4">#N/A</definedName>
    <definedName name="___________________________TPE1132" localSheetId="5">#N/A</definedName>
    <definedName name="___________________________TPE1132">#N/A</definedName>
    <definedName name="___________________________TPE12" localSheetId="4">#REF!</definedName>
    <definedName name="___________________________TPE12" localSheetId="5">#REF!</definedName>
    <definedName name="___________________________TPE12">#REF!</definedName>
    <definedName name="___________________________TPE1331" localSheetId="4">#N/A</definedName>
    <definedName name="___________________________TPE1331" localSheetId="5">#N/A</definedName>
    <definedName name="___________________________TPE1331">#N/A</definedName>
    <definedName name="___________________________TPE1702" localSheetId="4">#N/A</definedName>
    <definedName name="___________________________TPE1702" localSheetId="5">#N/A</definedName>
    <definedName name="___________________________TPE1702">#N/A</definedName>
    <definedName name="___________________________TPE1703" localSheetId="4">#N/A</definedName>
    <definedName name="___________________________TPE1703" localSheetId="5">#N/A</definedName>
    <definedName name="___________________________TPE1703">#N/A</definedName>
    <definedName name="___________________________TPE1704" localSheetId="4">#N/A</definedName>
    <definedName name="___________________________TPE1704" localSheetId="5">#N/A</definedName>
    <definedName name="___________________________TPE1704">#N/A</definedName>
    <definedName name="___________________________TPE1706" localSheetId="4">#N/A</definedName>
    <definedName name="___________________________TPE1706" localSheetId="5">#N/A</definedName>
    <definedName name="___________________________TPE1706">#N/A</definedName>
    <definedName name="___________________________TPE1708" localSheetId="4">#N/A</definedName>
    <definedName name="___________________________TPE1708" localSheetId="5">#N/A</definedName>
    <definedName name="___________________________TPE1708">#N/A</definedName>
    <definedName name="___________________________TPE1710" localSheetId="4">#N/A</definedName>
    <definedName name="___________________________TPE1710" localSheetId="5">#N/A</definedName>
    <definedName name="___________________________TPE1710">#N/A</definedName>
    <definedName name="___________________________TPE1735" localSheetId="4">#N/A</definedName>
    <definedName name="___________________________TPE1735" localSheetId="5">#N/A</definedName>
    <definedName name="___________________________TPE1735">#N/A</definedName>
    <definedName name="___________________________TPE1763" localSheetId="4">#N/A</definedName>
    <definedName name="___________________________TPE1763" localSheetId="5">#N/A</definedName>
    <definedName name="___________________________TPE1763">#N/A</definedName>
    <definedName name="___________________________TPE1790" localSheetId="4">#N/A</definedName>
    <definedName name="___________________________TPE1790" localSheetId="5">#N/A</definedName>
    <definedName name="___________________________TPE1790">#N/A</definedName>
    <definedName name="___________________________TPF12" localSheetId="4">[2]BASE!$D$217</definedName>
    <definedName name="___________________________TPF12" localSheetId="5">[2]BASE!$D$217</definedName>
    <definedName name="___________________________TPF12">[2]BASE!$D$217</definedName>
    <definedName name="___________________________TUZ22" localSheetId="4">'[2]BASE ORIGINAL'!#REF!</definedName>
    <definedName name="___________________________TUZ22" localSheetId="5">'[2]BASE ORIGINAL'!#REF!</definedName>
    <definedName name="___________________________TUZ22">'[2]BASE ORIGINAL'!#REF!</definedName>
    <definedName name="___________________________TUZ36" localSheetId="4">'[2]BASE ORIGINAL'!#REF!</definedName>
    <definedName name="___________________________TUZ36" localSheetId="5">'[2]BASE ORIGINAL'!#REF!</definedName>
    <definedName name="___________________________TUZ36">'[2]BASE ORIGINAL'!#REF!</definedName>
    <definedName name="___________________________TZ2110" localSheetId="4">[2]BASE!$D$79</definedName>
    <definedName name="___________________________TZ2110" localSheetId="5">[2]BASE!$D$79</definedName>
    <definedName name="___________________________TZ2110">[2]BASE!$D$79</definedName>
    <definedName name="___________________________TZ214" localSheetId="4">#N/A</definedName>
    <definedName name="___________________________TZ214" localSheetId="5">#N/A</definedName>
    <definedName name="___________________________TZ214">#N/A</definedName>
    <definedName name="___________________________TZ216" localSheetId="4">#N/A</definedName>
    <definedName name="___________________________TZ216" localSheetId="5">#N/A</definedName>
    <definedName name="___________________________TZ216">#N/A</definedName>
    <definedName name="___________________________TZ268">[4]BASE!$D$85</definedName>
    <definedName name="___________________________TZ323" localSheetId="4">'[2]BASE ORIGINAL'!#REF!</definedName>
    <definedName name="___________________________TZ323" localSheetId="5">'[2]BASE ORIGINAL'!#REF!</definedName>
    <definedName name="___________________________TZ323">'[2]BASE ORIGINAL'!#REF!</definedName>
    <definedName name="___________________________TZ324" localSheetId="4">'[2]BASE ORIGINAL'!#REF!</definedName>
    <definedName name="___________________________TZ324" localSheetId="5">'[2]BASE ORIGINAL'!#REF!</definedName>
    <definedName name="___________________________TZ324">'[2]BASE ORIGINAL'!#REF!</definedName>
    <definedName name="___________________________TZ32510" localSheetId="4">#N/A</definedName>
    <definedName name="___________________________TZ32510" localSheetId="5">#N/A</definedName>
    <definedName name="___________________________TZ32510">#N/A</definedName>
    <definedName name="__________________________ADH12" localSheetId="4">[2]BASE!$D$218</definedName>
    <definedName name="__________________________ADH12" localSheetId="5">[2]BASE!$D$218</definedName>
    <definedName name="__________________________ADH12">[2]BASE!$D$218</definedName>
    <definedName name="__________________________ADM12" localSheetId="4">[2]BASE!$D$219</definedName>
    <definedName name="__________________________ADM12" localSheetId="5">[2]BASE!$D$219</definedName>
    <definedName name="__________________________ADM12">[2]BASE!$D$219</definedName>
    <definedName name="__________________________ADM4" localSheetId="4">[2]BASE!$D$120</definedName>
    <definedName name="__________________________ADM4" localSheetId="5">[2]BASE!$D$120</definedName>
    <definedName name="__________________________ADM4">[2]BASE!$D$120</definedName>
    <definedName name="__________________________AIU1" localSheetId="4">#REF!</definedName>
    <definedName name="__________________________AIU1" localSheetId="5">#REF!</definedName>
    <definedName name="__________________________AIU1">#REF!</definedName>
    <definedName name="__________________________AIU2">[3]BASE!$C$5</definedName>
    <definedName name="__________________________BAZ10" localSheetId="4">[2]BASE!$D$270</definedName>
    <definedName name="__________________________BAZ10" localSheetId="5">[2]BASE!$D$270</definedName>
    <definedName name="__________________________BAZ10">[2]BASE!$D$270</definedName>
    <definedName name="__________________________BLO20" localSheetId="4">[2]BASE!$D$56</definedName>
    <definedName name="__________________________BLO20" localSheetId="5">[2]BASE!$D$56</definedName>
    <definedName name="__________________________BLO20">[2]BASE!$D$56</definedName>
    <definedName name="__________________________CAN28" localSheetId="4">[2]BASE!$D$315</definedName>
    <definedName name="__________________________CAN28" localSheetId="5">[2]BASE!$D$315</definedName>
    <definedName name="__________________________CAN28">[2]BASE!$D$315</definedName>
    <definedName name="__________________________Cod1" localSheetId="4">#REF!</definedName>
    <definedName name="__________________________Cod1" localSheetId="5">#REF!</definedName>
    <definedName name="__________________________Cod1">#REF!</definedName>
    <definedName name="__________________________CUA44" localSheetId="4">[2]BASE!$D$253</definedName>
    <definedName name="__________________________CUA44" localSheetId="5">[2]BASE!$D$253</definedName>
    <definedName name="__________________________CUA44">[2]BASE!$D$253</definedName>
    <definedName name="__________________________LA124" localSheetId="4">[2]BASE!$D$64</definedName>
    <definedName name="__________________________LA124" localSheetId="5">[2]BASE!$D$64</definedName>
    <definedName name="__________________________LA124">[2]BASE!$D$64</definedName>
    <definedName name="__________________________LAC18">[4]BASE!$D$252</definedName>
    <definedName name="__________________________Po2">[5]REAJUSTESACTA1PROVI!#REF!</definedName>
    <definedName name="__________________________R84JH">[4]BASE!$D$172</definedName>
    <definedName name="__________________________REP43">[6]BASE!$D$136</definedName>
    <definedName name="__________________________TEP44" localSheetId="4">#N/A</definedName>
    <definedName name="__________________________TEP44" localSheetId="5">#N/A</definedName>
    <definedName name="__________________________TEP44">#N/A</definedName>
    <definedName name="__________________________TPE1132" localSheetId="4">#N/A</definedName>
    <definedName name="__________________________TPE1132" localSheetId="5">#N/A</definedName>
    <definedName name="__________________________TPE1132">#N/A</definedName>
    <definedName name="__________________________TPE12" localSheetId="4">#REF!</definedName>
    <definedName name="__________________________TPE12" localSheetId="5">#REF!</definedName>
    <definedName name="__________________________TPE12">#REF!</definedName>
    <definedName name="__________________________TPE1331" localSheetId="4">#N/A</definedName>
    <definedName name="__________________________TPE1331" localSheetId="5">#N/A</definedName>
    <definedName name="__________________________TPE1331">#N/A</definedName>
    <definedName name="__________________________TPE1702" localSheetId="4">#N/A</definedName>
    <definedName name="__________________________TPE1702" localSheetId="5">#N/A</definedName>
    <definedName name="__________________________TPE1702">#N/A</definedName>
    <definedName name="__________________________TPE1703" localSheetId="4">#N/A</definedName>
    <definedName name="__________________________TPE1703" localSheetId="5">#N/A</definedName>
    <definedName name="__________________________TPE1703">#N/A</definedName>
    <definedName name="__________________________TPE1704" localSheetId="4">#N/A</definedName>
    <definedName name="__________________________TPE1704" localSheetId="5">#N/A</definedName>
    <definedName name="__________________________TPE1704">#N/A</definedName>
    <definedName name="__________________________TPE1706" localSheetId="4">#N/A</definedName>
    <definedName name="__________________________TPE1706" localSheetId="5">#N/A</definedName>
    <definedName name="__________________________TPE1706">#N/A</definedName>
    <definedName name="__________________________TPE1708" localSheetId="4">#N/A</definedName>
    <definedName name="__________________________TPE1708" localSheetId="5">#N/A</definedName>
    <definedName name="__________________________TPE1708">#N/A</definedName>
    <definedName name="__________________________TPE1710" localSheetId="4">#N/A</definedName>
    <definedName name="__________________________TPE1710" localSheetId="5">#N/A</definedName>
    <definedName name="__________________________TPE1710">#N/A</definedName>
    <definedName name="__________________________TPE1735" localSheetId="4">#N/A</definedName>
    <definedName name="__________________________TPE1735" localSheetId="5">#N/A</definedName>
    <definedName name="__________________________TPE1735">#N/A</definedName>
    <definedName name="__________________________TPE1763" localSheetId="4">#N/A</definedName>
    <definedName name="__________________________TPE1763" localSheetId="5">#N/A</definedName>
    <definedName name="__________________________TPE1763">#N/A</definedName>
    <definedName name="__________________________TPE1790" localSheetId="4">#N/A</definedName>
    <definedName name="__________________________TPE1790" localSheetId="5">#N/A</definedName>
    <definedName name="__________________________TPE1790">#N/A</definedName>
    <definedName name="__________________________TPF12" localSheetId="4">[2]BASE!$D$217</definedName>
    <definedName name="__________________________TPF12" localSheetId="5">[2]BASE!$D$217</definedName>
    <definedName name="__________________________TPF12">[2]BASE!$D$217</definedName>
    <definedName name="__________________________TUZ22" localSheetId="4">'[2]BASE ORIGINAL'!#REF!</definedName>
    <definedName name="__________________________TUZ22" localSheetId="5">'[2]BASE ORIGINAL'!#REF!</definedName>
    <definedName name="__________________________TUZ22">'[2]BASE ORIGINAL'!#REF!</definedName>
    <definedName name="__________________________TUZ36" localSheetId="4">'[2]BASE ORIGINAL'!#REF!</definedName>
    <definedName name="__________________________TUZ36" localSheetId="5">'[2]BASE ORIGINAL'!#REF!</definedName>
    <definedName name="__________________________TUZ36">'[2]BASE ORIGINAL'!#REF!</definedName>
    <definedName name="__________________________TZ2110" localSheetId="4">[2]BASE!$D$79</definedName>
    <definedName name="__________________________TZ2110" localSheetId="5">[2]BASE!$D$79</definedName>
    <definedName name="__________________________TZ2110">[2]BASE!$D$79</definedName>
    <definedName name="__________________________TZ214" localSheetId="4">#N/A</definedName>
    <definedName name="__________________________TZ214" localSheetId="5">#N/A</definedName>
    <definedName name="__________________________TZ214">#N/A</definedName>
    <definedName name="__________________________TZ216" localSheetId="4">#N/A</definedName>
    <definedName name="__________________________TZ216" localSheetId="5">#N/A</definedName>
    <definedName name="__________________________TZ216">#N/A</definedName>
    <definedName name="__________________________TZ268">[4]BASE!$D$85</definedName>
    <definedName name="__________________________TZ323" localSheetId="4">'[2]BASE ORIGINAL'!#REF!</definedName>
    <definedName name="__________________________TZ323" localSheetId="5">'[2]BASE ORIGINAL'!#REF!</definedName>
    <definedName name="__________________________TZ323">'[2]BASE ORIGINAL'!#REF!</definedName>
    <definedName name="__________________________TZ324" localSheetId="4">'[2]BASE ORIGINAL'!#REF!</definedName>
    <definedName name="__________________________TZ324" localSheetId="5">'[2]BASE ORIGINAL'!#REF!</definedName>
    <definedName name="__________________________TZ324">'[2]BASE ORIGINAL'!#REF!</definedName>
    <definedName name="__________________________TZ32510" localSheetId="4">#N/A</definedName>
    <definedName name="__________________________TZ32510" localSheetId="5">#N/A</definedName>
    <definedName name="__________________________TZ32510">#N/A</definedName>
    <definedName name="_________________________ADH12" localSheetId="4">[2]BASE!$D$218</definedName>
    <definedName name="_________________________ADH12" localSheetId="5">[2]BASE!$D$218</definedName>
    <definedName name="_________________________ADH12">[2]BASE!$D$218</definedName>
    <definedName name="_________________________ADM12" localSheetId="4">[2]BASE!$D$219</definedName>
    <definedName name="_________________________ADM12" localSheetId="5">[2]BASE!$D$219</definedName>
    <definedName name="_________________________ADM12">[2]BASE!$D$219</definedName>
    <definedName name="_________________________ADM4" localSheetId="4">[2]BASE!$D$120</definedName>
    <definedName name="_________________________ADM4" localSheetId="5">[2]BASE!$D$120</definedName>
    <definedName name="_________________________ADM4">[2]BASE!$D$120</definedName>
    <definedName name="_________________________AIU1" localSheetId="4">#REF!</definedName>
    <definedName name="_________________________AIU1" localSheetId="5">#REF!</definedName>
    <definedName name="_________________________AIU1">#REF!</definedName>
    <definedName name="_________________________AIU2">[3]BASE!$C$5</definedName>
    <definedName name="_________________________BAZ10" localSheetId="4">[2]BASE!$D$270</definedName>
    <definedName name="_________________________BAZ10" localSheetId="5">[2]BASE!$D$270</definedName>
    <definedName name="_________________________BAZ10">[2]BASE!$D$270</definedName>
    <definedName name="_________________________BLO20" localSheetId="4">[2]BASE!$D$56</definedName>
    <definedName name="_________________________BLO20" localSheetId="5">[2]BASE!$D$56</definedName>
    <definedName name="_________________________BLO20">[2]BASE!$D$56</definedName>
    <definedName name="_________________________CAN28" localSheetId="4">[2]BASE!$D$315</definedName>
    <definedName name="_________________________CAN28" localSheetId="5">[2]BASE!$D$315</definedName>
    <definedName name="_________________________CAN28">[2]BASE!$D$315</definedName>
    <definedName name="_________________________Cod1" localSheetId="4">#REF!</definedName>
    <definedName name="_________________________Cod1" localSheetId="5">#REF!</definedName>
    <definedName name="_________________________Cod1">#REF!</definedName>
    <definedName name="_________________________CUA44" localSheetId="4">[2]BASE!$D$253</definedName>
    <definedName name="_________________________CUA44" localSheetId="5">[2]BASE!$D$253</definedName>
    <definedName name="_________________________CUA44">[2]BASE!$D$253</definedName>
    <definedName name="_________________________LA124" localSheetId="4">[2]BASE!$D$64</definedName>
    <definedName name="_________________________LA124" localSheetId="5">[2]BASE!$D$64</definedName>
    <definedName name="_________________________LA124">[2]BASE!$D$64</definedName>
    <definedName name="_________________________LAC18">[4]BASE!$D$252</definedName>
    <definedName name="_________________________Po2">[5]REAJUSTESACTA1PROVI!#REF!</definedName>
    <definedName name="_________________________R84JH">[4]BASE!$D$172</definedName>
    <definedName name="_________________________REP43">[6]BASE!$D$136</definedName>
    <definedName name="_________________________TEP44" localSheetId="4">#N/A</definedName>
    <definedName name="_________________________TEP44" localSheetId="5">#N/A</definedName>
    <definedName name="_________________________TEP44">#N/A</definedName>
    <definedName name="_________________________TPE1132" localSheetId="4">#N/A</definedName>
    <definedName name="_________________________TPE1132" localSheetId="5">#N/A</definedName>
    <definedName name="_________________________TPE1132">#N/A</definedName>
    <definedName name="_________________________TPE12" localSheetId="4">#REF!</definedName>
    <definedName name="_________________________TPE12" localSheetId="5">#REF!</definedName>
    <definedName name="_________________________TPE12">#REF!</definedName>
    <definedName name="_________________________TPE1331" localSheetId="4">#N/A</definedName>
    <definedName name="_________________________TPE1331" localSheetId="5">#N/A</definedName>
    <definedName name="_________________________TPE1331">#N/A</definedName>
    <definedName name="_________________________TPE1702" localSheetId="4">#N/A</definedName>
    <definedName name="_________________________TPE1702" localSheetId="5">#N/A</definedName>
    <definedName name="_________________________TPE1702">#N/A</definedName>
    <definedName name="_________________________TPE1703" localSheetId="4">#N/A</definedName>
    <definedName name="_________________________TPE1703" localSheetId="5">#N/A</definedName>
    <definedName name="_________________________TPE1703">#N/A</definedName>
    <definedName name="_________________________TPE1704" localSheetId="4">#N/A</definedName>
    <definedName name="_________________________TPE1704" localSheetId="5">#N/A</definedName>
    <definedName name="_________________________TPE1704">#N/A</definedName>
    <definedName name="_________________________TPE1706" localSheetId="4">#N/A</definedName>
    <definedName name="_________________________TPE1706" localSheetId="5">#N/A</definedName>
    <definedName name="_________________________TPE1706">#N/A</definedName>
    <definedName name="_________________________TPE1708" localSheetId="4">#N/A</definedName>
    <definedName name="_________________________TPE1708" localSheetId="5">#N/A</definedName>
    <definedName name="_________________________TPE1708">#N/A</definedName>
    <definedName name="_________________________TPE1710" localSheetId="4">#N/A</definedName>
    <definedName name="_________________________TPE1710" localSheetId="5">#N/A</definedName>
    <definedName name="_________________________TPE1710">#N/A</definedName>
    <definedName name="_________________________TPE1735" localSheetId="4">#N/A</definedName>
    <definedName name="_________________________TPE1735" localSheetId="5">#N/A</definedName>
    <definedName name="_________________________TPE1735">#N/A</definedName>
    <definedName name="_________________________TPE1763" localSheetId="4">#N/A</definedName>
    <definedName name="_________________________TPE1763" localSheetId="5">#N/A</definedName>
    <definedName name="_________________________TPE1763">#N/A</definedName>
    <definedName name="_________________________TPE1790" localSheetId="4">#N/A</definedName>
    <definedName name="_________________________TPE1790" localSheetId="5">#N/A</definedName>
    <definedName name="_________________________TPE1790">#N/A</definedName>
    <definedName name="_________________________TPF12" localSheetId="4">[2]BASE!$D$217</definedName>
    <definedName name="_________________________TPF12" localSheetId="5">[2]BASE!$D$217</definedName>
    <definedName name="_________________________TPF12">[2]BASE!$D$217</definedName>
    <definedName name="_________________________TUZ22" localSheetId="4">'[2]BASE ORIGINAL'!#REF!</definedName>
    <definedName name="_________________________TUZ22" localSheetId="5">'[2]BASE ORIGINAL'!#REF!</definedName>
    <definedName name="_________________________TUZ22">'[2]BASE ORIGINAL'!#REF!</definedName>
    <definedName name="_________________________TUZ36" localSheetId="4">'[2]BASE ORIGINAL'!#REF!</definedName>
    <definedName name="_________________________TUZ36" localSheetId="5">'[2]BASE ORIGINAL'!#REF!</definedName>
    <definedName name="_________________________TUZ36">'[2]BASE ORIGINAL'!#REF!</definedName>
    <definedName name="_________________________TZ2110" localSheetId="4">[2]BASE!$D$79</definedName>
    <definedName name="_________________________TZ2110" localSheetId="5">[2]BASE!$D$79</definedName>
    <definedName name="_________________________TZ2110">[2]BASE!$D$79</definedName>
    <definedName name="_________________________TZ214" localSheetId="4">#N/A</definedName>
    <definedName name="_________________________TZ214" localSheetId="5">#N/A</definedName>
    <definedName name="_________________________TZ214">#N/A</definedName>
    <definedName name="_________________________TZ216" localSheetId="4">#N/A</definedName>
    <definedName name="_________________________TZ216" localSheetId="5">#N/A</definedName>
    <definedName name="_________________________TZ216">#N/A</definedName>
    <definedName name="_________________________TZ268">[4]BASE!$D$85</definedName>
    <definedName name="_________________________TZ323" localSheetId="4">'[2]BASE ORIGINAL'!#REF!</definedName>
    <definedName name="_________________________TZ323" localSheetId="5">'[2]BASE ORIGINAL'!#REF!</definedName>
    <definedName name="_________________________TZ323">'[2]BASE ORIGINAL'!#REF!</definedName>
    <definedName name="_________________________TZ324" localSheetId="4">'[2]BASE ORIGINAL'!#REF!</definedName>
    <definedName name="_________________________TZ324" localSheetId="5">'[2]BASE ORIGINAL'!#REF!</definedName>
    <definedName name="_________________________TZ324">'[2]BASE ORIGINAL'!#REF!</definedName>
    <definedName name="_________________________TZ32510" localSheetId="4">#N/A</definedName>
    <definedName name="_________________________TZ32510" localSheetId="5">#N/A</definedName>
    <definedName name="_________________________TZ32510">#N/A</definedName>
    <definedName name="________________________ADH12" localSheetId="4">[2]BASE!$D$218</definedName>
    <definedName name="________________________ADH12" localSheetId="5">[2]BASE!$D$218</definedName>
    <definedName name="________________________ADH12">[2]BASE!$D$218</definedName>
    <definedName name="________________________ADM12" localSheetId="4">[2]BASE!$D$219</definedName>
    <definedName name="________________________ADM12" localSheetId="5">[2]BASE!$D$219</definedName>
    <definedName name="________________________ADM12">[2]BASE!$D$219</definedName>
    <definedName name="________________________ADM4" localSheetId="4">[2]BASE!$D$120</definedName>
    <definedName name="________________________ADM4" localSheetId="5">[2]BASE!$D$120</definedName>
    <definedName name="________________________ADM4">[2]BASE!$D$120</definedName>
    <definedName name="________________________AIU1" localSheetId="4">#REF!</definedName>
    <definedName name="________________________AIU1" localSheetId="5">#REF!</definedName>
    <definedName name="________________________AIU1">#REF!</definedName>
    <definedName name="________________________AIU2">[3]BASE!$C$5</definedName>
    <definedName name="________________________BAZ10" localSheetId="4">[2]BASE!$D$270</definedName>
    <definedName name="________________________BAZ10" localSheetId="5">[2]BASE!$D$270</definedName>
    <definedName name="________________________BAZ10">[2]BASE!$D$270</definedName>
    <definedName name="________________________BLO20" localSheetId="4">[2]BASE!$D$56</definedName>
    <definedName name="________________________BLO20" localSheetId="5">[2]BASE!$D$56</definedName>
    <definedName name="________________________BLO20">[2]BASE!$D$56</definedName>
    <definedName name="________________________CAN28" localSheetId="4">[2]BASE!$D$315</definedName>
    <definedName name="________________________CAN28" localSheetId="5">[2]BASE!$D$315</definedName>
    <definedName name="________________________CAN28">[2]BASE!$D$315</definedName>
    <definedName name="________________________Cod1" localSheetId="4">#REF!</definedName>
    <definedName name="________________________Cod1" localSheetId="5">#REF!</definedName>
    <definedName name="________________________Cod1">#REF!</definedName>
    <definedName name="________________________CUA44" localSheetId="4">[2]BASE!$D$253</definedName>
    <definedName name="________________________CUA44" localSheetId="5">[2]BASE!$D$253</definedName>
    <definedName name="________________________CUA44">[2]BASE!$D$253</definedName>
    <definedName name="________________________LA124" localSheetId="4">[2]BASE!$D$64</definedName>
    <definedName name="________________________LA124" localSheetId="5">[2]BASE!$D$64</definedName>
    <definedName name="________________________LA124">[2]BASE!$D$64</definedName>
    <definedName name="________________________LAC18">[4]BASE!$D$252</definedName>
    <definedName name="________________________Po2">[5]REAJUSTESACTA1PROVI!#REF!</definedName>
    <definedName name="________________________R84JH">[4]BASE!$D$172</definedName>
    <definedName name="________________________REP43">[6]BASE!$D$136</definedName>
    <definedName name="________________________TEP44" localSheetId="4">#N/A</definedName>
    <definedName name="________________________TEP44" localSheetId="5">#N/A</definedName>
    <definedName name="________________________TEP44">#N/A</definedName>
    <definedName name="________________________TPE1132" localSheetId="4">#N/A</definedName>
    <definedName name="________________________TPE1132" localSheetId="5">#N/A</definedName>
    <definedName name="________________________TPE1132">#N/A</definedName>
    <definedName name="________________________TPE12" localSheetId="4">#REF!</definedName>
    <definedName name="________________________TPE12" localSheetId="5">#REF!</definedName>
    <definedName name="________________________TPE12">#REF!</definedName>
    <definedName name="________________________TPE1331" localSheetId="4">#N/A</definedName>
    <definedName name="________________________TPE1331" localSheetId="5">#N/A</definedName>
    <definedName name="________________________TPE1331">#N/A</definedName>
    <definedName name="________________________TPE1702" localSheetId="4">#N/A</definedName>
    <definedName name="________________________TPE1702" localSheetId="5">#N/A</definedName>
    <definedName name="________________________TPE1702">#N/A</definedName>
    <definedName name="________________________TPE1703" localSheetId="4">#N/A</definedName>
    <definedName name="________________________TPE1703" localSheetId="5">#N/A</definedName>
    <definedName name="________________________TPE1703">#N/A</definedName>
    <definedName name="________________________TPE1704" localSheetId="4">#N/A</definedName>
    <definedName name="________________________TPE1704" localSheetId="5">#N/A</definedName>
    <definedName name="________________________TPE1704">#N/A</definedName>
    <definedName name="________________________TPE1706" localSheetId="4">#N/A</definedName>
    <definedName name="________________________TPE1706" localSheetId="5">#N/A</definedName>
    <definedName name="________________________TPE1706">#N/A</definedName>
    <definedName name="________________________TPE1708" localSheetId="4">#N/A</definedName>
    <definedName name="________________________TPE1708" localSheetId="5">#N/A</definedName>
    <definedName name="________________________TPE1708">#N/A</definedName>
    <definedName name="________________________TPE1710" localSheetId="4">#N/A</definedName>
    <definedName name="________________________TPE1710" localSheetId="5">#N/A</definedName>
    <definedName name="________________________TPE1710">#N/A</definedName>
    <definedName name="________________________TPE1735" localSheetId="4">#N/A</definedName>
    <definedName name="________________________TPE1735" localSheetId="5">#N/A</definedName>
    <definedName name="________________________TPE1735">#N/A</definedName>
    <definedName name="________________________TPE1763" localSheetId="4">#N/A</definedName>
    <definedName name="________________________TPE1763" localSheetId="5">#N/A</definedName>
    <definedName name="________________________TPE1763">#N/A</definedName>
    <definedName name="________________________TPE1790" localSheetId="4">#N/A</definedName>
    <definedName name="________________________TPE1790" localSheetId="5">#N/A</definedName>
    <definedName name="________________________TPE1790">#N/A</definedName>
    <definedName name="________________________TPF12" localSheetId="4">[2]BASE!$D$217</definedName>
    <definedName name="________________________TPF12" localSheetId="5">[2]BASE!$D$217</definedName>
    <definedName name="________________________TPF12">[2]BASE!$D$217</definedName>
    <definedName name="________________________TUZ22" localSheetId="4">'[2]BASE ORIGINAL'!#REF!</definedName>
    <definedName name="________________________TUZ22" localSheetId="5">'[2]BASE ORIGINAL'!#REF!</definedName>
    <definedName name="________________________TUZ22">'[2]BASE ORIGINAL'!#REF!</definedName>
    <definedName name="________________________TUZ36" localSheetId="4">'[2]BASE ORIGINAL'!#REF!</definedName>
    <definedName name="________________________TUZ36" localSheetId="5">'[2]BASE ORIGINAL'!#REF!</definedName>
    <definedName name="________________________TUZ36">'[2]BASE ORIGINAL'!#REF!</definedName>
    <definedName name="________________________TZ2110" localSheetId="4">[2]BASE!$D$79</definedName>
    <definedName name="________________________TZ2110" localSheetId="5">[2]BASE!$D$79</definedName>
    <definedName name="________________________TZ2110">[2]BASE!$D$79</definedName>
    <definedName name="________________________TZ214" localSheetId="4">#N/A</definedName>
    <definedName name="________________________TZ214" localSheetId="5">#N/A</definedName>
    <definedName name="________________________TZ214">#N/A</definedName>
    <definedName name="________________________TZ216" localSheetId="4">#N/A</definedName>
    <definedName name="________________________TZ216" localSheetId="5">#N/A</definedName>
    <definedName name="________________________TZ216">#N/A</definedName>
    <definedName name="________________________TZ268">[4]BASE!$D$85</definedName>
    <definedName name="________________________TZ323" localSheetId="4">'[2]BASE ORIGINAL'!#REF!</definedName>
    <definedName name="________________________TZ323" localSheetId="5">'[2]BASE ORIGINAL'!#REF!</definedName>
    <definedName name="________________________TZ323">'[2]BASE ORIGINAL'!#REF!</definedName>
    <definedName name="________________________TZ324" localSheetId="4">'[2]BASE ORIGINAL'!#REF!</definedName>
    <definedName name="________________________TZ324" localSheetId="5">'[2]BASE ORIGINAL'!#REF!</definedName>
    <definedName name="________________________TZ324">'[2]BASE ORIGINAL'!#REF!</definedName>
    <definedName name="________________________TZ32510" localSheetId="4">#N/A</definedName>
    <definedName name="________________________TZ32510" localSheetId="5">#N/A</definedName>
    <definedName name="________________________TZ32510">#N/A</definedName>
    <definedName name="_______________________ADH12" localSheetId="4">[2]BASE!$D$218</definedName>
    <definedName name="_______________________ADH12" localSheetId="5">[2]BASE!$D$218</definedName>
    <definedName name="_______________________ADH12">[2]BASE!$D$218</definedName>
    <definedName name="_______________________ADM12" localSheetId="4">[2]BASE!$D$219</definedName>
    <definedName name="_______________________ADM12" localSheetId="5">[2]BASE!$D$219</definedName>
    <definedName name="_______________________ADM12">[2]BASE!$D$219</definedName>
    <definedName name="_______________________ADM4" localSheetId="4">[2]BASE!$D$120</definedName>
    <definedName name="_______________________ADM4" localSheetId="5">[2]BASE!$D$120</definedName>
    <definedName name="_______________________ADM4">[2]BASE!$D$120</definedName>
    <definedName name="_______________________AIU1" localSheetId="4">#REF!</definedName>
    <definedName name="_______________________AIU1" localSheetId="5">#REF!</definedName>
    <definedName name="_______________________AIU1">#REF!</definedName>
    <definedName name="_______________________AIU2">[3]BASE!$C$5</definedName>
    <definedName name="_______________________BAZ10" localSheetId="4">[2]BASE!$D$270</definedName>
    <definedName name="_______________________BAZ10" localSheetId="5">[2]BASE!$D$270</definedName>
    <definedName name="_______________________BAZ10">[2]BASE!$D$270</definedName>
    <definedName name="_______________________BLO20" localSheetId="4">[2]BASE!$D$56</definedName>
    <definedName name="_______________________BLO20" localSheetId="5">[2]BASE!$D$56</definedName>
    <definedName name="_______________________BLO20">[2]BASE!$D$56</definedName>
    <definedName name="_______________________CAN28" localSheetId="4">[2]BASE!$D$315</definedName>
    <definedName name="_______________________CAN28" localSheetId="5">[2]BASE!$D$315</definedName>
    <definedName name="_______________________CAN28">[2]BASE!$D$315</definedName>
    <definedName name="_______________________Cod1" localSheetId="4">#REF!</definedName>
    <definedName name="_______________________Cod1" localSheetId="5">#REF!</definedName>
    <definedName name="_______________________Cod1">#REF!</definedName>
    <definedName name="_______________________CUA44" localSheetId="4">[2]BASE!$D$253</definedName>
    <definedName name="_______________________CUA44" localSheetId="5">[2]BASE!$D$253</definedName>
    <definedName name="_______________________CUA44">[2]BASE!$D$253</definedName>
    <definedName name="_______________________LA124" localSheetId="4">[2]BASE!$D$64</definedName>
    <definedName name="_______________________LA124" localSheetId="5">[2]BASE!$D$64</definedName>
    <definedName name="_______________________LA124">[2]BASE!$D$64</definedName>
    <definedName name="_______________________LAC18">[4]BASE!$D$252</definedName>
    <definedName name="_______________________Po2">[5]REAJUSTESACTA1PROVI!#REF!</definedName>
    <definedName name="_______________________R84JH">[4]BASE!$D$172</definedName>
    <definedName name="_______________________REP43">[6]BASE!$D$136</definedName>
    <definedName name="_______________________TEP44" localSheetId="4">#N/A</definedName>
    <definedName name="_______________________TEP44" localSheetId="5">#N/A</definedName>
    <definedName name="_______________________TEP44">#N/A</definedName>
    <definedName name="_______________________TPE1132" localSheetId="4">#N/A</definedName>
    <definedName name="_______________________TPE1132" localSheetId="5">#N/A</definedName>
    <definedName name="_______________________TPE1132">#N/A</definedName>
    <definedName name="_______________________TPE12" localSheetId="4">#REF!</definedName>
    <definedName name="_______________________TPE12" localSheetId="5">#REF!</definedName>
    <definedName name="_______________________TPE12">#REF!</definedName>
    <definedName name="_______________________TPE1331" localSheetId="4">#N/A</definedName>
    <definedName name="_______________________TPE1331" localSheetId="5">#N/A</definedName>
    <definedName name="_______________________TPE1331">#N/A</definedName>
    <definedName name="_______________________TPE1702" localSheetId="4">#N/A</definedName>
    <definedName name="_______________________TPE1702" localSheetId="5">#N/A</definedName>
    <definedName name="_______________________TPE1702">#N/A</definedName>
    <definedName name="_______________________TPE1703" localSheetId="4">#N/A</definedName>
    <definedName name="_______________________TPE1703" localSheetId="5">#N/A</definedName>
    <definedName name="_______________________TPE1703">#N/A</definedName>
    <definedName name="_______________________TPE1704" localSheetId="4">#N/A</definedName>
    <definedName name="_______________________TPE1704" localSheetId="5">#N/A</definedName>
    <definedName name="_______________________TPE1704">#N/A</definedName>
    <definedName name="_______________________TPE1706" localSheetId="4">#N/A</definedName>
    <definedName name="_______________________TPE1706" localSheetId="5">#N/A</definedName>
    <definedName name="_______________________TPE1706">#N/A</definedName>
    <definedName name="_______________________TPE1708" localSheetId="4">#N/A</definedName>
    <definedName name="_______________________TPE1708" localSheetId="5">#N/A</definedName>
    <definedName name="_______________________TPE1708">#N/A</definedName>
    <definedName name="_______________________TPE1710" localSheetId="4">#N/A</definedName>
    <definedName name="_______________________TPE1710" localSheetId="5">#N/A</definedName>
    <definedName name="_______________________TPE1710">#N/A</definedName>
    <definedName name="_______________________TPE1735" localSheetId="4">#N/A</definedName>
    <definedName name="_______________________TPE1735" localSheetId="5">#N/A</definedName>
    <definedName name="_______________________TPE1735">#N/A</definedName>
    <definedName name="_______________________TPE1763" localSheetId="4">#N/A</definedName>
    <definedName name="_______________________TPE1763" localSheetId="5">#N/A</definedName>
    <definedName name="_______________________TPE1763">#N/A</definedName>
    <definedName name="_______________________TPE1790" localSheetId="4">#N/A</definedName>
    <definedName name="_______________________TPE1790" localSheetId="5">#N/A</definedName>
    <definedName name="_______________________TPE1790">#N/A</definedName>
    <definedName name="_______________________TPF12" localSheetId="4">[2]BASE!$D$217</definedName>
    <definedName name="_______________________TPF12" localSheetId="5">[2]BASE!$D$217</definedName>
    <definedName name="_______________________TPF12">[2]BASE!$D$217</definedName>
    <definedName name="_______________________TUZ22" localSheetId="4">'[2]BASE ORIGINAL'!#REF!</definedName>
    <definedName name="_______________________TUZ22" localSheetId="5">'[2]BASE ORIGINAL'!#REF!</definedName>
    <definedName name="_______________________TUZ22">'[2]BASE ORIGINAL'!#REF!</definedName>
    <definedName name="_______________________TUZ36" localSheetId="4">'[2]BASE ORIGINAL'!#REF!</definedName>
    <definedName name="_______________________TUZ36" localSheetId="5">'[2]BASE ORIGINAL'!#REF!</definedName>
    <definedName name="_______________________TUZ36">'[2]BASE ORIGINAL'!#REF!</definedName>
    <definedName name="_______________________TZ2110" localSheetId="4">[2]BASE!$D$79</definedName>
    <definedName name="_______________________TZ2110" localSheetId="5">[2]BASE!$D$79</definedName>
    <definedName name="_______________________TZ2110">[2]BASE!$D$79</definedName>
    <definedName name="_______________________TZ214" localSheetId="4">#N/A</definedName>
    <definedName name="_______________________TZ214" localSheetId="5">#N/A</definedName>
    <definedName name="_______________________TZ214">#N/A</definedName>
    <definedName name="_______________________TZ216" localSheetId="4">#N/A</definedName>
    <definedName name="_______________________TZ216" localSheetId="5">#N/A</definedName>
    <definedName name="_______________________TZ216">#N/A</definedName>
    <definedName name="_______________________TZ268">[4]BASE!$D$85</definedName>
    <definedName name="_______________________TZ323" localSheetId="4">'[2]BASE ORIGINAL'!#REF!</definedName>
    <definedName name="_______________________TZ323" localSheetId="5">'[2]BASE ORIGINAL'!#REF!</definedName>
    <definedName name="_______________________TZ323">'[2]BASE ORIGINAL'!#REF!</definedName>
    <definedName name="_______________________TZ324" localSheetId="4">'[2]BASE ORIGINAL'!#REF!</definedName>
    <definedName name="_______________________TZ324" localSheetId="5">'[2]BASE ORIGINAL'!#REF!</definedName>
    <definedName name="_______________________TZ324">'[2]BASE ORIGINAL'!#REF!</definedName>
    <definedName name="_______________________TZ32510" localSheetId="4">#N/A</definedName>
    <definedName name="_______________________TZ32510" localSheetId="5">#N/A</definedName>
    <definedName name="_______________________TZ32510">#N/A</definedName>
    <definedName name="______________________ADH12" localSheetId="4">[2]BASE!$D$218</definedName>
    <definedName name="______________________ADH12" localSheetId="5">[2]BASE!$D$218</definedName>
    <definedName name="______________________ADH12">[2]BASE!$D$218</definedName>
    <definedName name="______________________ADM12" localSheetId="4">[2]BASE!$D$219</definedName>
    <definedName name="______________________ADM12" localSheetId="5">[2]BASE!$D$219</definedName>
    <definedName name="______________________ADM12">[2]BASE!$D$219</definedName>
    <definedName name="______________________ADM4" localSheetId="4">[2]BASE!$D$120</definedName>
    <definedName name="______________________ADM4" localSheetId="5">[2]BASE!$D$120</definedName>
    <definedName name="______________________ADM4">[2]BASE!$D$120</definedName>
    <definedName name="______________________AIU1" localSheetId="4">#REF!</definedName>
    <definedName name="______________________AIU1" localSheetId="5">#REF!</definedName>
    <definedName name="______________________AIU1">#REF!</definedName>
    <definedName name="______________________AIU2">[3]BASE!$C$5</definedName>
    <definedName name="______________________AIU3">[10]BASE!$C$3</definedName>
    <definedName name="______________________BAZ10" localSheetId="4">[2]BASE!$D$270</definedName>
    <definedName name="______________________BAZ10" localSheetId="5">[2]BASE!$D$270</definedName>
    <definedName name="______________________BAZ10">[2]BASE!$D$270</definedName>
    <definedName name="______________________BLO20" localSheetId="4">[2]BASE!$D$56</definedName>
    <definedName name="______________________BLO20" localSheetId="5">[2]BASE!$D$56</definedName>
    <definedName name="______________________BLO20">[2]BASE!$D$56</definedName>
    <definedName name="______________________CAN28" localSheetId="4">[2]BASE!$D$315</definedName>
    <definedName name="______________________CAN28" localSheetId="5">[2]BASE!$D$315</definedName>
    <definedName name="______________________CAN28">[2]BASE!$D$315</definedName>
    <definedName name="______________________Cod1" localSheetId="4">#REF!</definedName>
    <definedName name="______________________Cod1" localSheetId="5">#REF!</definedName>
    <definedName name="______________________Cod1">#REF!</definedName>
    <definedName name="______________________CUA44" localSheetId="4">[2]BASE!$D$253</definedName>
    <definedName name="______________________CUA44" localSheetId="5">[2]BASE!$D$253</definedName>
    <definedName name="______________________CUA44">[2]BASE!$D$253</definedName>
    <definedName name="______________________LA124" localSheetId="4">[2]BASE!$D$64</definedName>
    <definedName name="______________________LA124" localSheetId="5">[2]BASE!$D$64</definedName>
    <definedName name="______________________LA124">[2]BASE!$D$64</definedName>
    <definedName name="______________________LAC18">[4]BASE!$D$252</definedName>
    <definedName name="______________________Po2">[5]REAJUSTESACTA1PROVI!#REF!</definedName>
    <definedName name="______________________R84JH">[4]BASE!$D$172</definedName>
    <definedName name="______________________REP43">[6]BASE!$D$136</definedName>
    <definedName name="______________________TEP44" localSheetId="4">#N/A</definedName>
    <definedName name="______________________TEP44" localSheetId="5">#N/A</definedName>
    <definedName name="______________________TEP44">#N/A</definedName>
    <definedName name="______________________TPE1132" localSheetId="4">#N/A</definedName>
    <definedName name="______________________TPE1132" localSheetId="5">#N/A</definedName>
    <definedName name="______________________TPE1132">#N/A</definedName>
    <definedName name="______________________TPE12" localSheetId="4">#REF!</definedName>
    <definedName name="______________________TPE12" localSheetId="5">#REF!</definedName>
    <definedName name="______________________TPE12">#REF!</definedName>
    <definedName name="______________________TPE1331" localSheetId="4">#N/A</definedName>
    <definedName name="______________________TPE1331" localSheetId="5">#N/A</definedName>
    <definedName name="______________________TPE1331">#N/A</definedName>
    <definedName name="______________________TPE1702" localSheetId="4">#N/A</definedName>
    <definedName name="______________________TPE1702" localSheetId="5">#N/A</definedName>
    <definedName name="______________________TPE1702">#N/A</definedName>
    <definedName name="______________________TPE1703" localSheetId="4">#N/A</definedName>
    <definedName name="______________________TPE1703" localSheetId="5">#N/A</definedName>
    <definedName name="______________________TPE1703">#N/A</definedName>
    <definedName name="______________________TPE1704" localSheetId="4">#N/A</definedName>
    <definedName name="______________________TPE1704" localSheetId="5">#N/A</definedName>
    <definedName name="______________________TPE1704">#N/A</definedName>
    <definedName name="______________________TPE1706" localSheetId="4">#N/A</definedName>
    <definedName name="______________________TPE1706" localSheetId="5">#N/A</definedName>
    <definedName name="______________________TPE1706">#N/A</definedName>
    <definedName name="______________________TPE1708" localSheetId="4">#N/A</definedName>
    <definedName name="______________________TPE1708" localSheetId="5">#N/A</definedName>
    <definedName name="______________________TPE1708">#N/A</definedName>
    <definedName name="______________________TPE1710" localSheetId="4">#N/A</definedName>
    <definedName name="______________________TPE1710" localSheetId="5">#N/A</definedName>
    <definedName name="______________________TPE1710">#N/A</definedName>
    <definedName name="______________________TPE1735" localSheetId="4">#N/A</definedName>
    <definedName name="______________________TPE1735" localSheetId="5">#N/A</definedName>
    <definedName name="______________________TPE1735">#N/A</definedName>
    <definedName name="______________________TPE1763" localSheetId="4">#N/A</definedName>
    <definedName name="______________________TPE1763" localSheetId="5">#N/A</definedName>
    <definedName name="______________________TPE1763">#N/A</definedName>
    <definedName name="______________________TPE1790" localSheetId="4">#N/A</definedName>
    <definedName name="______________________TPE1790" localSheetId="5">#N/A</definedName>
    <definedName name="______________________TPE1790">#N/A</definedName>
    <definedName name="______________________TPF12" localSheetId="4">[2]BASE!$D$217</definedName>
    <definedName name="______________________TPF12" localSheetId="5">[2]BASE!$D$217</definedName>
    <definedName name="______________________TPF12">[2]BASE!$D$217</definedName>
    <definedName name="______________________TUZ22" localSheetId="4">'[2]BASE ORIGINAL'!#REF!</definedName>
    <definedName name="______________________TUZ22" localSheetId="5">'[2]BASE ORIGINAL'!#REF!</definedName>
    <definedName name="______________________TUZ22">'[2]BASE ORIGINAL'!#REF!</definedName>
    <definedName name="______________________TUZ36" localSheetId="4">'[2]BASE ORIGINAL'!#REF!</definedName>
    <definedName name="______________________TUZ36" localSheetId="5">'[2]BASE ORIGINAL'!#REF!</definedName>
    <definedName name="______________________TUZ36">'[2]BASE ORIGINAL'!#REF!</definedName>
    <definedName name="______________________TZ2110" localSheetId="4">[2]BASE!$D$79</definedName>
    <definedName name="______________________TZ2110" localSheetId="5">[2]BASE!$D$79</definedName>
    <definedName name="______________________TZ2110">[2]BASE!$D$79</definedName>
    <definedName name="______________________TZ214" localSheetId="4">#N/A</definedName>
    <definedName name="______________________TZ214" localSheetId="5">#N/A</definedName>
    <definedName name="______________________TZ214">#N/A</definedName>
    <definedName name="______________________TZ216" localSheetId="4">#N/A</definedName>
    <definedName name="______________________TZ216" localSheetId="5">#N/A</definedName>
    <definedName name="______________________TZ216">#N/A</definedName>
    <definedName name="______________________TZ268">[4]BASE!$D$85</definedName>
    <definedName name="______________________TZ323" localSheetId="4">'[2]BASE ORIGINAL'!#REF!</definedName>
    <definedName name="______________________TZ323" localSheetId="5">'[2]BASE ORIGINAL'!#REF!</definedName>
    <definedName name="______________________TZ323">'[2]BASE ORIGINAL'!#REF!</definedName>
    <definedName name="______________________TZ324" localSheetId="4">'[2]BASE ORIGINAL'!#REF!</definedName>
    <definedName name="______________________TZ324" localSheetId="5">'[2]BASE ORIGINAL'!#REF!</definedName>
    <definedName name="______________________TZ324">'[2]BASE ORIGINAL'!#REF!</definedName>
    <definedName name="______________________TZ32510" localSheetId="4">#N/A</definedName>
    <definedName name="______________________TZ32510" localSheetId="5">#N/A</definedName>
    <definedName name="______________________TZ32510">#N/A</definedName>
    <definedName name="_____________________ADH12" localSheetId="4">[2]BASE!$D$218</definedName>
    <definedName name="_____________________ADH12" localSheetId="5">[2]BASE!$D$218</definedName>
    <definedName name="_____________________ADH12">[2]BASE!$D$218</definedName>
    <definedName name="_____________________ADM12" localSheetId="4">[2]BASE!$D$219</definedName>
    <definedName name="_____________________ADM12" localSheetId="5">[2]BASE!$D$219</definedName>
    <definedName name="_____________________ADM12">[2]BASE!$D$219</definedName>
    <definedName name="_____________________ADM4" localSheetId="4">[2]BASE!$D$120</definedName>
    <definedName name="_____________________ADM4" localSheetId="5">[2]BASE!$D$120</definedName>
    <definedName name="_____________________ADM4">[2]BASE!$D$120</definedName>
    <definedName name="_____________________AIU1" localSheetId="4">#REF!</definedName>
    <definedName name="_____________________AIU1" localSheetId="5">#REF!</definedName>
    <definedName name="_____________________AIU1">#REF!</definedName>
    <definedName name="_____________________AIU2">[3]BASE!$C$5</definedName>
    <definedName name="_____________________AIU3">[11]BASE!$C$3</definedName>
    <definedName name="_____________________BAZ10" localSheetId="4">[2]BASE!$D$270</definedName>
    <definedName name="_____________________BAZ10" localSheetId="5">[2]BASE!$D$270</definedName>
    <definedName name="_____________________BAZ10">[2]BASE!$D$270</definedName>
    <definedName name="_____________________BLO20" localSheetId="4">[2]BASE!$D$56</definedName>
    <definedName name="_____________________BLO20" localSheetId="5">[2]BASE!$D$56</definedName>
    <definedName name="_____________________BLO20">[2]BASE!$D$56</definedName>
    <definedName name="_____________________CAN28" localSheetId="4">[2]BASE!$D$315</definedName>
    <definedName name="_____________________CAN28" localSheetId="5">[2]BASE!$D$315</definedName>
    <definedName name="_____________________CAN28">[2]BASE!$D$315</definedName>
    <definedName name="_____________________Cod1" localSheetId="4">#REF!</definedName>
    <definedName name="_____________________Cod1" localSheetId="5">#REF!</definedName>
    <definedName name="_____________________Cod1">#REF!</definedName>
    <definedName name="_____________________CUA44" localSheetId="4">[2]BASE!$D$253</definedName>
    <definedName name="_____________________CUA44" localSheetId="5">[2]BASE!$D$253</definedName>
    <definedName name="_____________________CUA44">[2]BASE!$D$253</definedName>
    <definedName name="_____________________LA124" localSheetId="4">[2]BASE!$D$64</definedName>
    <definedName name="_____________________LA124" localSheetId="5">[2]BASE!$D$64</definedName>
    <definedName name="_____________________LA124">[2]BASE!$D$64</definedName>
    <definedName name="_____________________LAC18">[4]BASE!$D$252</definedName>
    <definedName name="_____________________Po2">[5]REAJUSTESACTA1PROVI!#REF!</definedName>
    <definedName name="_____________________R84JH">[4]BASE!$D$172</definedName>
    <definedName name="_____________________REP43">[6]BASE!$D$136</definedName>
    <definedName name="_____________________TEP44" localSheetId="4">#N/A</definedName>
    <definedName name="_____________________TEP44" localSheetId="5">#N/A</definedName>
    <definedName name="_____________________TEP44">#N/A</definedName>
    <definedName name="_____________________TPE1132" localSheetId="4">#N/A</definedName>
    <definedName name="_____________________TPE1132" localSheetId="5">#N/A</definedName>
    <definedName name="_____________________TPE1132">#N/A</definedName>
    <definedName name="_____________________TPE12" localSheetId="4">#REF!</definedName>
    <definedName name="_____________________TPE12" localSheetId="5">#REF!</definedName>
    <definedName name="_____________________TPE12">#REF!</definedName>
    <definedName name="_____________________TPE1331" localSheetId="4">#N/A</definedName>
    <definedName name="_____________________TPE1331" localSheetId="5">#N/A</definedName>
    <definedName name="_____________________TPE1331">#N/A</definedName>
    <definedName name="_____________________TPE1702" localSheetId="4">#N/A</definedName>
    <definedName name="_____________________TPE1702" localSheetId="5">#N/A</definedName>
    <definedName name="_____________________TPE1702">#N/A</definedName>
    <definedName name="_____________________TPE1703" localSheetId="4">#N/A</definedName>
    <definedName name="_____________________TPE1703" localSheetId="5">#N/A</definedName>
    <definedName name="_____________________TPE1703">#N/A</definedName>
    <definedName name="_____________________TPE1704" localSheetId="4">#N/A</definedName>
    <definedName name="_____________________TPE1704" localSheetId="5">#N/A</definedName>
    <definedName name="_____________________TPE1704">#N/A</definedName>
    <definedName name="_____________________TPE1706" localSheetId="4">#N/A</definedName>
    <definedName name="_____________________TPE1706" localSheetId="5">#N/A</definedName>
    <definedName name="_____________________TPE1706">#N/A</definedName>
    <definedName name="_____________________TPE1708" localSheetId="4">#N/A</definedName>
    <definedName name="_____________________TPE1708" localSheetId="5">#N/A</definedName>
    <definedName name="_____________________TPE1708">#N/A</definedName>
    <definedName name="_____________________TPE1710" localSheetId="4">#N/A</definedName>
    <definedName name="_____________________TPE1710" localSheetId="5">#N/A</definedName>
    <definedName name="_____________________TPE1710">#N/A</definedName>
    <definedName name="_____________________TPE1735" localSheetId="4">#N/A</definedName>
    <definedName name="_____________________TPE1735" localSheetId="5">#N/A</definedName>
    <definedName name="_____________________TPE1735">#N/A</definedName>
    <definedName name="_____________________TPE1763" localSheetId="4">#N/A</definedName>
    <definedName name="_____________________TPE1763" localSheetId="5">#N/A</definedName>
    <definedName name="_____________________TPE1763">#N/A</definedName>
    <definedName name="_____________________TPE1790" localSheetId="4">#N/A</definedName>
    <definedName name="_____________________TPE1790" localSheetId="5">#N/A</definedName>
    <definedName name="_____________________TPE1790">#N/A</definedName>
    <definedName name="_____________________TPF12" localSheetId="4">[2]BASE!$D$217</definedName>
    <definedName name="_____________________TPF12" localSheetId="5">[2]BASE!$D$217</definedName>
    <definedName name="_____________________TPF12">[2]BASE!$D$217</definedName>
    <definedName name="_____________________TUZ22" localSheetId="4">'[2]BASE ORIGINAL'!#REF!</definedName>
    <definedName name="_____________________TUZ22" localSheetId="5">'[2]BASE ORIGINAL'!#REF!</definedName>
    <definedName name="_____________________TUZ22">'[2]BASE ORIGINAL'!#REF!</definedName>
    <definedName name="_____________________TUZ36" localSheetId="4">'[2]BASE ORIGINAL'!#REF!</definedName>
    <definedName name="_____________________TUZ36" localSheetId="5">'[2]BASE ORIGINAL'!#REF!</definedName>
    <definedName name="_____________________TUZ36">'[2]BASE ORIGINAL'!#REF!</definedName>
    <definedName name="_____________________TZ2110" localSheetId="4">[2]BASE!$D$79</definedName>
    <definedName name="_____________________TZ2110" localSheetId="5">[2]BASE!$D$79</definedName>
    <definedName name="_____________________TZ2110">[2]BASE!$D$79</definedName>
    <definedName name="_____________________TZ214" localSheetId="4">#N/A</definedName>
    <definedName name="_____________________TZ214" localSheetId="5">#N/A</definedName>
    <definedName name="_____________________TZ214">#N/A</definedName>
    <definedName name="_____________________TZ216" localSheetId="4">#N/A</definedName>
    <definedName name="_____________________TZ216" localSheetId="5">#N/A</definedName>
    <definedName name="_____________________TZ216">#N/A</definedName>
    <definedName name="_____________________TZ268">[4]BASE!$D$85</definedName>
    <definedName name="_____________________TZ323" localSheetId="4">'[2]BASE ORIGINAL'!#REF!</definedName>
    <definedName name="_____________________TZ323" localSheetId="5">'[2]BASE ORIGINAL'!#REF!</definedName>
    <definedName name="_____________________TZ323">'[2]BASE ORIGINAL'!#REF!</definedName>
    <definedName name="_____________________TZ324" localSheetId="4">'[2]BASE ORIGINAL'!#REF!</definedName>
    <definedName name="_____________________TZ324" localSheetId="5">'[2]BASE ORIGINAL'!#REF!</definedName>
    <definedName name="_____________________TZ324">'[2]BASE ORIGINAL'!#REF!</definedName>
    <definedName name="_____________________TZ32510" localSheetId="4">#N/A</definedName>
    <definedName name="_____________________TZ32510" localSheetId="5">#N/A</definedName>
    <definedName name="_____________________TZ32510">#N/A</definedName>
    <definedName name="____________________ADH12" localSheetId="4">[2]BASE!$D$218</definedName>
    <definedName name="____________________ADH12" localSheetId="5">[2]BASE!$D$218</definedName>
    <definedName name="____________________ADH12">[2]BASE!$D$218</definedName>
    <definedName name="____________________ADM12" localSheetId="4">[2]BASE!$D$219</definedName>
    <definedName name="____________________ADM12" localSheetId="5">[2]BASE!$D$219</definedName>
    <definedName name="____________________ADM12">[2]BASE!$D$219</definedName>
    <definedName name="____________________ADM4" localSheetId="4">[2]BASE!$D$120</definedName>
    <definedName name="____________________ADM4" localSheetId="5">[2]BASE!$D$120</definedName>
    <definedName name="____________________ADM4">[2]BASE!$D$120</definedName>
    <definedName name="____________________AIU1" localSheetId="4">#REF!</definedName>
    <definedName name="____________________AIU1" localSheetId="5">#REF!</definedName>
    <definedName name="____________________AIU1">#REF!</definedName>
    <definedName name="____________________AIU2">[3]BASE!$C$5</definedName>
    <definedName name="____________________AIU3">[11]BASE!$C$3</definedName>
    <definedName name="____________________BAZ10" localSheetId="4">[2]BASE!$D$270</definedName>
    <definedName name="____________________BAZ10" localSheetId="5">[2]BASE!$D$270</definedName>
    <definedName name="____________________BAZ10">[2]BASE!$D$270</definedName>
    <definedName name="____________________BLO20" localSheetId="4">[2]BASE!$D$56</definedName>
    <definedName name="____________________BLO20" localSheetId="5">[2]BASE!$D$56</definedName>
    <definedName name="____________________BLO20">[2]BASE!$D$56</definedName>
    <definedName name="____________________CAN28" localSheetId="4">[2]BASE!$D$315</definedName>
    <definedName name="____________________CAN28" localSheetId="5">[2]BASE!$D$315</definedName>
    <definedName name="____________________CAN28">[2]BASE!$D$315</definedName>
    <definedName name="____________________Cod1" localSheetId="4">#REF!</definedName>
    <definedName name="____________________Cod1" localSheetId="5">#REF!</definedName>
    <definedName name="____________________Cod1">#REF!</definedName>
    <definedName name="____________________CUA44" localSheetId="4">[2]BASE!$D$253</definedName>
    <definedName name="____________________CUA44" localSheetId="5">[2]BASE!$D$253</definedName>
    <definedName name="____________________CUA44">[2]BASE!$D$253</definedName>
    <definedName name="____________________LA124" localSheetId="4">[2]BASE!$D$64</definedName>
    <definedName name="____________________LA124" localSheetId="5">[2]BASE!$D$64</definedName>
    <definedName name="____________________LA124">[2]BASE!$D$64</definedName>
    <definedName name="____________________LAC18">[4]BASE!$D$252</definedName>
    <definedName name="____________________Po2">[5]REAJUSTESACTA1PROVI!#REF!</definedName>
    <definedName name="____________________R84JH">[4]BASE!$D$172</definedName>
    <definedName name="____________________REP43">[6]BASE!$D$136</definedName>
    <definedName name="____________________TEP44" localSheetId="4">#N/A</definedName>
    <definedName name="____________________TEP44" localSheetId="5">#N/A</definedName>
    <definedName name="____________________TEP44">#N/A</definedName>
    <definedName name="____________________TPE1132" localSheetId="4">#N/A</definedName>
    <definedName name="____________________TPE1132" localSheetId="5">#N/A</definedName>
    <definedName name="____________________TPE1132">#N/A</definedName>
    <definedName name="____________________TPE12" localSheetId="4">#REF!</definedName>
    <definedName name="____________________TPE12" localSheetId="5">#REF!</definedName>
    <definedName name="____________________TPE12">#REF!</definedName>
    <definedName name="____________________TPE1331" localSheetId="4">#N/A</definedName>
    <definedName name="____________________TPE1331" localSheetId="5">#N/A</definedName>
    <definedName name="____________________TPE1331">#N/A</definedName>
    <definedName name="____________________TPE1702" localSheetId="4">#N/A</definedName>
    <definedName name="____________________TPE1702" localSheetId="5">#N/A</definedName>
    <definedName name="____________________TPE1702">#N/A</definedName>
    <definedName name="____________________TPE1703" localSheetId="4">#N/A</definedName>
    <definedName name="____________________TPE1703" localSheetId="5">#N/A</definedName>
    <definedName name="____________________TPE1703">#N/A</definedName>
    <definedName name="____________________TPE1704" localSheetId="4">#N/A</definedName>
    <definedName name="____________________TPE1704" localSheetId="5">#N/A</definedName>
    <definedName name="____________________TPE1704">#N/A</definedName>
    <definedName name="____________________TPE1706" localSheetId="4">#N/A</definedName>
    <definedName name="____________________TPE1706" localSheetId="5">#N/A</definedName>
    <definedName name="____________________TPE1706">#N/A</definedName>
    <definedName name="____________________TPE1708" localSheetId="4">#N/A</definedName>
    <definedName name="____________________TPE1708" localSheetId="5">#N/A</definedName>
    <definedName name="____________________TPE1708">#N/A</definedName>
    <definedName name="____________________TPE1710" localSheetId="4">#N/A</definedName>
    <definedName name="____________________TPE1710" localSheetId="5">#N/A</definedName>
    <definedName name="____________________TPE1710">#N/A</definedName>
    <definedName name="____________________TPE1735" localSheetId="4">#N/A</definedName>
    <definedName name="____________________TPE1735" localSheetId="5">#N/A</definedName>
    <definedName name="____________________TPE1735">#N/A</definedName>
    <definedName name="____________________TPE1763" localSheetId="4">#N/A</definedName>
    <definedName name="____________________TPE1763" localSheetId="5">#N/A</definedName>
    <definedName name="____________________TPE1763">#N/A</definedName>
    <definedName name="____________________TPE1790" localSheetId="4">#N/A</definedName>
    <definedName name="____________________TPE1790" localSheetId="5">#N/A</definedName>
    <definedName name="____________________TPE1790">#N/A</definedName>
    <definedName name="____________________TPF12" localSheetId="4">[2]BASE!$D$217</definedName>
    <definedName name="____________________TPF12" localSheetId="5">[2]BASE!$D$217</definedName>
    <definedName name="____________________TPF12">[2]BASE!$D$217</definedName>
    <definedName name="____________________TUZ22" localSheetId="4">'[2]BASE ORIGINAL'!#REF!</definedName>
    <definedName name="____________________TUZ22" localSheetId="5">'[2]BASE ORIGINAL'!#REF!</definedName>
    <definedName name="____________________TUZ22">'[2]BASE ORIGINAL'!#REF!</definedName>
    <definedName name="____________________TUZ36" localSheetId="4">'[2]BASE ORIGINAL'!#REF!</definedName>
    <definedName name="____________________TUZ36" localSheetId="5">'[2]BASE ORIGINAL'!#REF!</definedName>
    <definedName name="____________________TUZ36">'[2]BASE ORIGINAL'!#REF!</definedName>
    <definedName name="____________________TZ2110" localSheetId="4">[2]BASE!$D$79</definedName>
    <definedName name="____________________TZ2110" localSheetId="5">[2]BASE!$D$79</definedName>
    <definedName name="____________________TZ2110">[2]BASE!$D$79</definedName>
    <definedName name="____________________TZ214" localSheetId="4">#N/A</definedName>
    <definedName name="____________________TZ214" localSheetId="5">#N/A</definedName>
    <definedName name="____________________TZ214">#N/A</definedName>
    <definedName name="____________________TZ216" localSheetId="4">#N/A</definedName>
    <definedName name="____________________TZ216" localSheetId="5">#N/A</definedName>
    <definedName name="____________________TZ216">#N/A</definedName>
    <definedName name="____________________TZ268">[4]BASE!$D$85</definedName>
    <definedName name="____________________TZ323" localSheetId="4">'[2]BASE ORIGINAL'!#REF!</definedName>
    <definedName name="____________________TZ323" localSheetId="5">'[2]BASE ORIGINAL'!#REF!</definedName>
    <definedName name="____________________TZ323">'[2]BASE ORIGINAL'!#REF!</definedName>
    <definedName name="____________________TZ324" localSheetId="4">'[2]BASE ORIGINAL'!#REF!</definedName>
    <definedName name="____________________TZ324" localSheetId="5">'[2]BASE ORIGINAL'!#REF!</definedName>
    <definedName name="____________________TZ324">'[2]BASE ORIGINAL'!#REF!</definedName>
    <definedName name="____________________TZ32510" localSheetId="4">#N/A</definedName>
    <definedName name="____________________TZ32510" localSheetId="5">#N/A</definedName>
    <definedName name="____________________TZ32510">#N/A</definedName>
    <definedName name="___________________ADH12" localSheetId="4">[2]BASE!$D$218</definedName>
    <definedName name="___________________ADH12" localSheetId="5">[2]BASE!$D$218</definedName>
    <definedName name="___________________ADH12">[2]BASE!$D$218</definedName>
    <definedName name="___________________ADM12" localSheetId="4">[2]BASE!$D$219</definedName>
    <definedName name="___________________ADM12" localSheetId="5">[2]BASE!$D$219</definedName>
    <definedName name="___________________ADM12">[2]BASE!$D$219</definedName>
    <definedName name="___________________ADM4" localSheetId="4">[2]BASE!$D$120</definedName>
    <definedName name="___________________ADM4" localSheetId="5">[2]BASE!$D$120</definedName>
    <definedName name="___________________ADM4">[2]BASE!$D$120</definedName>
    <definedName name="___________________AIU1" localSheetId="4">#REF!</definedName>
    <definedName name="___________________AIU1" localSheetId="5">#REF!</definedName>
    <definedName name="___________________AIU1">#REF!</definedName>
    <definedName name="___________________AIU2">[3]BASE!$C$5</definedName>
    <definedName name="___________________AIU3">[11]BASE!$C$3</definedName>
    <definedName name="___________________BAZ10" localSheetId="4">[2]BASE!$D$270</definedName>
    <definedName name="___________________BAZ10" localSheetId="5">[2]BASE!$D$270</definedName>
    <definedName name="___________________BAZ10">[2]BASE!$D$270</definedName>
    <definedName name="___________________BLO20" localSheetId="4">[2]BASE!$D$56</definedName>
    <definedName name="___________________BLO20" localSheetId="5">[2]BASE!$D$56</definedName>
    <definedName name="___________________BLO20">[2]BASE!$D$56</definedName>
    <definedName name="___________________CAN28" localSheetId="4">[2]BASE!$D$315</definedName>
    <definedName name="___________________CAN28" localSheetId="5">[2]BASE!$D$315</definedName>
    <definedName name="___________________CAN28">[2]BASE!$D$315</definedName>
    <definedName name="___________________Cod1" localSheetId="4">#REF!</definedName>
    <definedName name="___________________Cod1" localSheetId="5">#REF!</definedName>
    <definedName name="___________________Cod1">#REF!</definedName>
    <definedName name="___________________CUA44" localSheetId="4">[2]BASE!$D$253</definedName>
    <definedName name="___________________CUA44" localSheetId="5">[2]BASE!$D$253</definedName>
    <definedName name="___________________CUA44">[2]BASE!$D$253</definedName>
    <definedName name="___________________LA124" localSheetId="4">[2]BASE!$D$64</definedName>
    <definedName name="___________________LA124" localSheetId="5">[2]BASE!$D$64</definedName>
    <definedName name="___________________LA124">[2]BASE!$D$64</definedName>
    <definedName name="___________________LAC18">[4]BASE!$D$252</definedName>
    <definedName name="___________________Po2">[5]REAJUSTESACTA1PROVI!#REF!</definedName>
    <definedName name="___________________R84JH">[4]BASE!$D$172</definedName>
    <definedName name="___________________REP43">[6]BASE!$D$136</definedName>
    <definedName name="___________________TEP44" localSheetId="4">#N/A</definedName>
    <definedName name="___________________TEP44" localSheetId="5">#N/A</definedName>
    <definedName name="___________________TEP44">#N/A</definedName>
    <definedName name="___________________TPE1132" localSheetId="4">#N/A</definedName>
    <definedName name="___________________TPE1132" localSheetId="5">#N/A</definedName>
    <definedName name="___________________TPE1132">#N/A</definedName>
    <definedName name="___________________TPE12" localSheetId="4">#REF!</definedName>
    <definedName name="___________________TPE12" localSheetId="5">#REF!</definedName>
    <definedName name="___________________TPE12">#REF!</definedName>
    <definedName name="___________________TPE1331" localSheetId="4">#N/A</definedName>
    <definedName name="___________________TPE1331" localSheetId="5">#N/A</definedName>
    <definedName name="___________________TPE1331">#N/A</definedName>
    <definedName name="___________________TPE1702" localSheetId="4">#N/A</definedName>
    <definedName name="___________________TPE1702" localSheetId="5">#N/A</definedName>
    <definedName name="___________________TPE1702">#N/A</definedName>
    <definedName name="___________________TPE1703" localSheetId="4">#N/A</definedName>
    <definedName name="___________________TPE1703" localSheetId="5">#N/A</definedName>
    <definedName name="___________________TPE1703">#N/A</definedName>
    <definedName name="___________________TPE1704" localSheetId="4">#N/A</definedName>
    <definedName name="___________________TPE1704" localSheetId="5">#N/A</definedName>
    <definedName name="___________________TPE1704">#N/A</definedName>
    <definedName name="___________________TPE1706" localSheetId="4">#N/A</definedName>
    <definedName name="___________________TPE1706" localSheetId="5">#N/A</definedName>
    <definedName name="___________________TPE1706">#N/A</definedName>
    <definedName name="___________________TPE1708" localSheetId="4">#N/A</definedName>
    <definedName name="___________________TPE1708" localSheetId="5">#N/A</definedName>
    <definedName name="___________________TPE1708">#N/A</definedName>
    <definedName name="___________________TPE1710" localSheetId="4">#N/A</definedName>
    <definedName name="___________________TPE1710" localSheetId="5">#N/A</definedName>
    <definedName name="___________________TPE1710">#N/A</definedName>
    <definedName name="___________________TPE1735" localSheetId="4">#N/A</definedName>
    <definedName name="___________________TPE1735" localSheetId="5">#N/A</definedName>
    <definedName name="___________________TPE1735">#N/A</definedName>
    <definedName name="___________________TPE1763" localSheetId="4">#N/A</definedName>
    <definedName name="___________________TPE1763" localSheetId="5">#N/A</definedName>
    <definedName name="___________________TPE1763">#N/A</definedName>
    <definedName name="___________________TPE1790" localSheetId="4">#N/A</definedName>
    <definedName name="___________________TPE1790" localSheetId="5">#N/A</definedName>
    <definedName name="___________________TPE1790">#N/A</definedName>
    <definedName name="___________________TPF12" localSheetId="4">[2]BASE!$D$217</definedName>
    <definedName name="___________________TPF12" localSheetId="5">[2]BASE!$D$217</definedName>
    <definedName name="___________________TPF12">[2]BASE!$D$217</definedName>
    <definedName name="___________________TUZ22" localSheetId="4">'[2]BASE ORIGINAL'!#REF!</definedName>
    <definedName name="___________________TUZ22" localSheetId="5">'[2]BASE ORIGINAL'!#REF!</definedName>
    <definedName name="___________________TUZ22">'[2]BASE ORIGINAL'!#REF!</definedName>
    <definedName name="___________________TUZ36" localSheetId="4">'[2]BASE ORIGINAL'!#REF!</definedName>
    <definedName name="___________________TUZ36" localSheetId="5">'[2]BASE ORIGINAL'!#REF!</definedName>
    <definedName name="___________________TUZ36">'[2]BASE ORIGINAL'!#REF!</definedName>
    <definedName name="___________________TZ2110" localSheetId="4">[2]BASE!$D$79</definedName>
    <definedName name="___________________TZ2110" localSheetId="5">[2]BASE!$D$79</definedName>
    <definedName name="___________________TZ2110">[2]BASE!$D$79</definedName>
    <definedName name="___________________TZ214" localSheetId="4">#N/A</definedName>
    <definedName name="___________________TZ214" localSheetId="5">#N/A</definedName>
    <definedName name="___________________TZ214">#N/A</definedName>
    <definedName name="___________________TZ216" localSheetId="4">#N/A</definedName>
    <definedName name="___________________TZ216" localSheetId="5">#N/A</definedName>
    <definedName name="___________________TZ216">#N/A</definedName>
    <definedName name="___________________TZ268">[4]BASE!$D$85</definedName>
    <definedName name="___________________TZ323" localSheetId="4">'[2]BASE ORIGINAL'!#REF!</definedName>
    <definedName name="___________________TZ323" localSheetId="5">'[2]BASE ORIGINAL'!#REF!</definedName>
    <definedName name="___________________TZ323">'[2]BASE ORIGINAL'!#REF!</definedName>
    <definedName name="___________________TZ324" localSheetId="4">'[2]BASE ORIGINAL'!#REF!</definedName>
    <definedName name="___________________TZ324" localSheetId="5">'[2]BASE ORIGINAL'!#REF!</definedName>
    <definedName name="___________________TZ324">'[2]BASE ORIGINAL'!#REF!</definedName>
    <definedName name="___________________TZ32510" localSheetId="4">#N/A</definedName>
    <definedName name="___________________TZ32510" localSheetId="5">#N/A</definedName>
    <definedName name="___________________TZ32510">#N/A</definedName>
    <definedName name="__________________ADH12" localSheetId="4">[2]BASE!$D$218</definedName>
    <definedName name="__________________ADH12" localSheetId="5">[2]BASE!$D$218</definedName>
    <definedName name="__________________ADH12">[2]BASE!$D$218</definedName>
    <definedName name="__________________ADM12" localSheetId="4">[2]BASE!$D$219</definedName>
    <definedName name="__________________ADM12" localSheetId="5">[2]BASE!$D$219</definedName>
    <definedName name="__________________ADM12">[2]BASE!$D$219</definedName>
    <definedName name="__________________ADM4" localSheetId="4">[2]BASE!$D$120</definedName>
    <definedName name="__________________ADM4" localSheetId="5">[2]BASE!$D$120</definedName>
    <definedName name="__________________ADM4">[2]BASE!$D$120</definedName>
    <definedName name="__________________AIU1" localSheetId="4">#REF!</definedName>
    <definedName name="__________________AIU1" localSheetId="5">#REF!</definedName>
    <definedName name="__________________AIU1">#REF!</definedName>
    <definedName name="__________________AIU2">[3]BASE!$C$5</definedName>
    <definedName name="__________________AIU3">[11]BASE!$C$3</definedName>
    <definedName name="__________________BAZ10" localSheetId="4">[2]BASE!$D$270</definedName>
    <definedName name="__________________BAZ10" localSheetId="5">[2]BASE!$D$270</definedName>
    <definedName name="__________________BAZ10">[2]BASE!$D$270</definedName>
    <definedName name="__________________BLO20" localSheetId="4">[2]BASE!$D$56</definedName>
    <definedName name="__________________BLO20" localSheetId="5">[2]BASE!$D$56</definedName>
    <definedName name="__________________BLO20">[2]BASE!$D$56</definedName>
    <definedName name="__________________CAN28" localSheetId="4">[2]BASE!$D$315</definedName>
    <definedName name="__________________CAN28" localSheetId="5">[2]BASE!$D$315</definedName>
    <definedName name="__________________CAN28">[2]BASE!$D$315</definedName>
    <definedName name="__________________Cod1" localSheetId="4">#REF!</definedName>
    <definedName name="__________________Cod1" localSheetId="5">#REF!</definedName>
    <definedName name="__________________Cod1">#REF!</definedName>
    <definedName name="__________________CUA44" localSheetId="4">[2]BASE!$D$253</definedName>
    <definedName name="__________________CUA44" localSheetId="5">[2]BASE!$D$253</definedName>
    <definedName name="__________________CUA44">[2]BASE!$D$253</definedName>
    <definedName name="__________________LA124" localSheetId="4">[2]BASE!$D$64</definedName>
    <definedName name="__________________LA124" localSheetId="5">[2]BASE!$D$64</definedName>
    <definedName name="__________________LA124">[2]BASE!$D$64</definedName>
    <definedName name="__________________LAC18">[4]BASE!$D$252</definedName>
    <definedName name="__________________Po2">[5]REAJUSTESACTA1PROVI!#REF!</definedName>
    <definedName name="__________________R84JH">[4]BASE!$D$172</definedName>
    <definedName name="__________________REP43">[6]BASE!$D$136</definedName>
    <definedName name="__________________TEP44" localSheetId="4">#N/A</definedName>
    <definedName name="__________________TEP44" localSheetId="5">#N/A</definedName>
    <definedName name="__________________TEP44">#N/A</definedName>
    <definedName name="__________________TPE1132" localSheetId="4">#N/A</definedName>
    <definedName name="__________________TPE1132" localSheetId="5">#N/A</definedName>
    <definedName name="__________________TPE1132">#N/A</definedName>
    <definedName name="__________________TPE12" localSheetId="4">#REF!</definedName>
    <definedName name="__________________TPE12" localSheetId="5">#REF!</definedName>
    <definedName name="__________________TPE12">#REF!</definedName>
    <definedName name="__________________TPE1331" localSheetId="4">#N/A</definedName>
    <definedName name="__________________TPE1331" localSheetId="5">#N/A</definedName>
    <definedName name="__________________TPE1331">#N/A</definedName>
    <definedName name="__________________TPE1702" localSheetId="4">#N/A</definedName>
    <definedName name="__________________TPE1702" localSheetId="5">#N/A</definedName>
    <definedName name="__________________TPE1702">#N/A</definedName>
    <definedName name="__________________TPE1703" localSheetId="4">#N/A</definedName>
    <definedName name="__________________TPE1703" localSheetId="5">#N/A</definedName>
    <definedName name="__________________TPE1703">#N/A</definedName>
    <definedName name="__________________TPE1704" localSheetId="4">#N/A</definedName>
    <definedName name="__________________TPE1704" localSheetId="5">#N/A</definedName>
    <definedName name="__________________TPE1704">#N/A</definedName>
    <definedName name="__________________TPE1706" localSheetId="4">#N/A</definedName>
    <definedName name="__________________TPE1706" localSheetId="5">#N/A</definedName>
    <definedName name="__________________TPE1706">#N/A</definedName>
    <definedName name="__________________TPE1708" localSheetId="4">#N/A</definedName>
    <definedName name="__________________TPE1708" localSheetId="5">#N/A</definedName>
    <definedName name="__________________TPE1708">#N/A</definedName>
    <definedName name="__________________TPE1710" localSheetId="4">#N/A</definedName>
    <definedName name="__________________TPE1710" localSheetId="5">#N/A</definedName>
    <definedName name="__________________TPE1710">#N/A</definedName>
    <definedName name="__________________TPE1735" localSheetId="4">#N/A</definedName>
    <definedName name="__________________TPE1735" localSheetId="5">#N/A</definedName>
    <definedName name="__________________TPE1735">#N/A</definedName>
    <definedName name="__________________TPE1763" localSheetId="4">#N/A</definedName>
    <definedName name="__________________TPE1763" localSheetId="5">#N/A</definedName>
    <definedName name="__________________TPE1763">#N/A</definedName>
    <definedName name="__________________TPE1790" localSheetId="4">#N/A</definedName>
    <definedName name="__________________TPE1790" localSheetId="5">#N/A</definedName>
    <definedName name="__________________TPE1790">#N/A</definedName>
    <definedName name="__________________TPF12" localSheetId="4">[2]BASE!$D$217</definedName>
    <definedName name="__________________TPF12" localSheetId="5">[2]BASE!$D$217</definedName>
    <definedName name="__________________TPF12">[2]BASE!$D$217</definedName>
    <definedName name="__________________TUZ22" localSheetId="4">'[2]BASE ORIGINAL'!#REF!</definedName>
    <definedName name="__________________TUZ22" localSheetId="5">'[2]BASE ORIGINAL'!#REF!</definedName>
    <definedName name="__________________TUZ22">'[2]BASE ORIGINAL'!#REF!</definedName>
    <definedName name="__________________TUZ36" localSheetId="4">'[2]BASE ORIGINAL'!#REF!</definedName>
    <definedName name="__________________TUZ36" localSheetId="5">'[2]BASE ORIGINAL'!#REF!</definedName>
    <definedName name="__________________TUZ36">'[2]BASE ORIGINAL'!#REF!</definedName>
    <definedName name="__________________TZ2110" localSheetId="4">[2]BASE!$D$79</definedName>
    <definedName name="__________________TZ2110" localSheetId="5">[2]BASE!$D$79</definedName>
    <definedName name="__________________TZ2110">[2]BASE!$D$79</definedName>
    <definedName name="__________________TZ214" localSheetId="4">#N/A</definedName>
    <definedName name="__________________TZ214" localSheetId="5">#N/A</definedName>
    <definedName name="__________________TZ214">#N/A</definedName>
    <definedName name="__________________TZ216" localSheetId="4">#N/A</definedName>
    <definedName name="__________________TZ216" localSheetId="5">#N/A</definedName>
    <definedName name="__________________TZ216">#N/A</definedName>
    <definedName name="__________________TZ268">[4]BASE!$D$85</definedName>
    <definedName name="__________________TZ323" localSheetId="4">'[2]BASE ORIGINAL'!#REF!</definedName>
    <definedName name="__________________TZ323" localSheetId="5">'[2]BASE ORIGINAL'!#REF!</definedName>
    <definedName name="__________________TZ323">'[2]BASE ORIGINAL'!#REF!</definedName>
    <definedName name="__________________TZ324" localSheetId="4">'[2]BASE ORIGINAL'!#REF!</definedName>
    <definedName name="__________________TZ324" localSheetId="5">'[2]BASE ORIGINAL'!#REF!</definedName>
    <definedName name="__________________TZ324">'[2]BASE ORIGINAL'!#REF!</definedName>
    <definedName name="__________________TZ32510" localSheetId="4">#N/A</definedName>
    <definedName name="__________________TZ32510" localSheetId="5">#N/A</definedName>
    <definedName name="__________________TZ32510">#N/A</definedName>
    <definedName name="_________________ADH12" localSheetId="4">[2]BASE!$D$218</definedName>
    <definedName name="_________________ADH12" localSheetId="5">[2]BASE!$D$218</definedName>
    <definedName name="_________________ADH12">[2]BASE!$D$218</definedName>
    <definedName name="_________________ADM12" localSheetId="4">[2]BASE!$D$219</definedName>
    <definedName name="_________________ADM12" localSheetId="5">[2]BASE!$D$219</definedName>
    <definedName name="_________________ADM12">[2]BASE!$D$219</definedName>
    <definedName name="_________________ADM4" localSheetId="4">[2]BASE!$D$120</definedName>
    <definedName name="_________________ADM4" localSheetId="5">[2]BASE!$D$120</definedName>
    <definedName name="_________________ADM4">[2]BASE!$D$120</definedName>
    <definedName name="_________________AIU1" localSheetId="4">#REF!</definedName>
    <definedName name="_________________AIU1" localSheetId="5">#REF!</definedName>
    <definedName name="_________________AIU1">#REF!</definedName>
    <definedName name="_________________AIU2">[3]BASE!$C$5</definedName>
    <definedName name="_________________AIU3">[11]BASE!$C$3</definedName>
    <definedName name="_________________BAZ10" localSheetId="4">[2]BASE!$D$270</definedName>
    <definedName name="_________________BAZ10" localSheetId="5">[2]BASE!$D$270</definedName>
    <definedName name="_________________BAZ10">[2]BASE!$D$270</definedName>
    <definedName name="_________________BLO20" localSheetId="4">[2]BASE!$D$56</definedName>
    <definedName name="_________________BLO20" localSheetId="5">[2]BASE!$D$56</definedName>
    <definedName name="_________________BLO20">[2]BASE!$D$56</definedName>
    <definedName name="_________________CAN28" localSheetId="4">[2]BASE!$D$315</definedName>
    <definedName name="_________________CAN28" localSheetId="5">[2]BASE!$D$315</definedName>
    <definedName name="_________________CAN28">[2]BASE!$D$315</definedName>
    <definedName name="_________________Cod1" localSheetId="4">#REF!</definedName>
    <definedName name="_________________Cod1" localSheetId="5">#REF!</definedName>
    <definedName name="_________________Cod1">#REF!</definedName>
    <definedName name="_________________CUA44" localSheetId="4">[2]BASE!$D$253</definedName>
    <definedName name="_________________CUA44" localSheetId="5">[2]BASE!$D$253</definedName>
    <definedName name="_________________CUA44">[2]BASE!$D$253</definedName>
    <definedName name="_________________LA124" localSheetId="4">[2]BASE!$D$64</definedName>
    <definedName name="_________________LA124" localSheetId="5">[2]BASE!$D$64</definedName>
    <definedName name="_________________LA124">[2]BASE!$D$64</definedName>
    <definedName name="_________________LAC18">[4]BASE!$D$252</definedName>
    <definedName name="_________________Po2">[5]REAJUSTESACTA1PROVI!#REF!</definedName>
    <definedName name="_________________R84JH">[4]BASE!$D$172</definedName>
    <definedName name="_________________REP43">[6]BASE!$D$136</definedName>
    <definedName name="_________________TEP44" localSheetId="4">#N/A</definedName>
    <definedName name="_________________TEP44" localSheetId="5">#N/A</definedName>
    <definedName name="_________________TEP44">#N/A</definedName>
    <definedName name="_________________TPE1132" localSheetId="4">#N/A</definedName>
    <definedName name="_________________TPE1132" localSheetId="5">#N/A</definedName>
    <definedName name="_________________TPE1132">#N/A</definedName>
    <definedName name="_________________TPE12" localSheetId="4">#REF!</definedName>
    <definedName name="_________________TPE12" localSheetId="5">#REF!</definedName>
    <definedName name="_________________TPE12">#REF!</definedName>
    <definedName name="_________________TPE1331" localSheetId="4">#N/A</definedName>
    <definedName name="_________________TPE1331" localSheetId="5">#N/A</definedName>
    <definedName name="_________________TPE1331">#N/A</definedName>
    <definedName name="_________________TPE1702" localSheetId="4">#N/A</definedName>
    <definedName name="_________________TPE1702" localSheetId="5">#N/A</definedName>
    <definedName name="_________________TPE1702">#N/A</definedName>
    <definedName name="_________________TPE1703" localSheetId="4">#N/A</definedName>
    <definedName name="_________________TPE1703" localSheetId="5">#N/A</definedName>
    <definedName name="_________________TPE1703">#N/A</definedName>
    <definedName name="_________________TPE1704" localSheetId="4">#N/A</definedName>
    <definedName name="_________________TPE1704" localSheetId="5">#N/A</definedName>
    <definedName name="_________________TPE1704">#N/A</definedName>
    <definedName name="_________________TPE1706" localSheetId="4">#N/A</definedName>
    <definedName name="_________________TPE1706" localSheetId="5">#N/A</definedName>
    <definedName name="_________________TPE1706">#N/A</definedName>
    <definedName name="_________________TPE1708" localSheetId="4">#N/A</definedName>
    <definedName name="_________________TPE1708" localSheetId="5">#N/A</definedName>
    <definedName name="_________________TPE1708">#N/A</definedName>
    <definedName name="_________________TPE1710" localSheetId="4">#N/A</definedName>
    <definedName name="_________________TPE1710" localSheetId="5">#N/A</definedName>
    <definedName name="_________________TPE1710">#N/A</definedName>
    <definedName name="_________________TPE1735" localSheetId="4">#N/A</definedName>
    <definedName name="_________________TPE1735" localSheetId="5">#N/A</definedName>
    <definedName name="_________________TPE1735">#N/A</definedName>
    <definedName name="_________________TPE1763" localSheetId="4">#N/A</definedName>
    <definedName name="_________________TPE1763" localSheetId="5">#N/A</definedName>
    <definedName name="_________________TPE1763">#N/A</definedName>
    <definedName name="_________________TPE1790" localSheetId="4">#N/A</definedName>
    <definedName name="_________________TPE1790" localSheetId="5">#N/A</definedName>
    <definedName name="_________________TPE1790">#N/A</definedName>
    <definedName name="_________________TPF12" localSheetId="4">[2]BASE!$D$217</definedName>
    <definedName name="_________________TPF12" localSheetId="5">[2]BASE!$D$217</definedName>
    <definedName name="_________________TPF12">[2]BASE!$D$217</definedName>
    <definedName name="_________________TUZ22" localSheetId="4">'[2]BASE ORIGINAL'!#REF!</definedName>
    <definedName name="_________________TUZ22" localSheetId="5">'[2]BASE ORIGINAL'!#REF!</definedName>
    <definedName name="_________________TUZ22">'[2]BASE ORIGINAL'!#REF!</definedName>
    <definedName name="_________________TUZ36" localSheetId="4">'[2]BASE ORIGINAL'!#REF!</definedName>
    <definedName name="_________________TUZ36" localSheetId="5">'[2]BASE ORIGINAL'!#REF!</definedName>
    <definedName name="_________________TUZ36">'[2]BASE ORIGINAL'!#REF!</definedName>
    <definedName name="_________________TZ2110" localSheetId="4">[2]BASE!$D$79</definedName>
    <definedName name="_________________TZ2110" localSheetId="5">[2]BASE!$D$79</definedName>
    <definedName name="_________________TZ2110">[2]BASE!$D$79</definedName>
    <definedName name="_________________TZ214" localSheetId="4">#N/A</definedName>
    <definedName name="_________________TZ214" localSheetId="5">#N/A</definedName>
    <definedName name="_________________TZ214">#N/A</definedName>
    <definedName name="_________________TZ216" localSheetId="4">#N/A</definedName>
    <definedName name="_________________TZ216" localSheetId="5">#N/A</definedName>
    <definedName name="_________________TZ216">#N/A</definedName>
    <definedName name="_________________TZ268">[4]BASE!$D$85</definedName>
    <definedName name="_________________TZ323" localSheetId="4">'[2]BASE ORIGINAL'!#REF!</definedName>
    <definedName name="_________________TZ323" localSheetId="5">'[2]BASE ORIGINAL'!#REF!</definedName>
    <definedName name="_________________TZ323">'[2]BASE ORIGINAL'!#REF!</definedName>
    <definedName name="_________________TZ324" localSheetId="4">'[2]BASE ORIGINAL'!#REF!</definedName>
    <definedName name="_________________TZ324" localSheetId="5">'[2]BASE ORIGINAL'!#REF!</definedName>
    <definedName name="_________________TZ324">'[2]BASE ORIGINAL'!#REF!</definedName>
    <definedName name="_________________TZ32510" localSheetId="4">#N/A</definedName>
    <definedName name="_________________TZ32510" localSheetId="5">#N/A</definedName>
    <definedName name="_________________TZ32510">#N/A</definedName>
    <definedName name="________________ADH12" localSheetId="4">[2]BASE!$D$218</definedName>
    <definedName name="________________ADH12" localSheetId="5">[2]BASE!$D$218</definedName>
    <definedName name="________________ADH12">[2]BASE!$D$218</definedName>
    <definedName name="________________ADM12" localSheetId="4">[2]BASE!$D$219</definedName>
    <definedName name="________________ADM12" localSheetId="5">[2]BASE!$D$219</definedName>
    <definedName name="________________ADM12">[2]BASE!$D$219</definedName>
    <definedName name="________________ADM4" localSheetId="4">[2]BASE!$D$120</definedName>
    <definedName name="________________ADM4" localSheetId="5">[2]BASE!$D$120</definedName>
    <definedName name="________________ADM4">[2]BASE!$D$120</definedName>
    <definedName name="________________AIU1" localSheetId="4">#REF!</definedName>
    <definedName name="________________AIU1" localSheetId="5">#REF!</definedName>
    <definedName name="________________AIU1">#REF!</definedName>
    <definedName name="________________AIU2">[3]BASE!$C$5</definedName>
    <definedName name="________________AIU3">[11]BASE!$C$3</definedName>
    <definedName name="________________BAZ10" localSheetId="4">[2]BASE!$D$270</definedName>
    <definedName name="________________BAZ10" localSheetId="5">[2]BASE!$D$270</definedName>
    <definedName name="________________BAZ10">[2]BASE!$D$270</definedName>
    <definedName name="________________BLO20" localSheetId="4">[2]BASE!$D$56</definedName>
    <definedName name="________________BLO20" localSheetId="5">[2]BASE!$D$56</definedName>
    <definedName name="________________BLO20">[2]BASE!$D$56</definedName>
    <definedName name="________________CAN28" localSheetId="4">[2]BASE!$D$315</definedName>
    <definedName name="________________CAN28" localSheetId="5">[2]BASE!$D$315</definedName>
    <definedName name="________________CAN28">[2]BASE!$D$315</definedName>
    <definedName name="________________Cod1" localSheetId="4">#REF!</definedName>
    <definedName name="________________Cod1" localSheetId="5">#REF!</definedName>
    <definedName name="________________Cod1">#REF!</definedName>
    <definedName name="________________CUA44" localSheetId="4">[2]BASE!$D$253</definedName>
    <definedName name="________________CUA44" localSheetId="5">[2]BASE!$D$253</definedName>
    <definedName name="________________CUA44">[2]BASE!$D$253</definedName>
    <definedName name="________________LA124" localSheetId="4">[2]BASE!$D$64</definedName>
    <definedName name="________________LA124" localSheetId="5">[2]BASE!$D$64</definedName>
    <definedName name="________________LA124">[2]BASE!$D$64</definedName>
    <definedName name="________________LAC18">[4]BASE!$D$252</definedName>
    <definedName name="________________Po2">[5]REAJUSTESACTA1PROVI!#REF!</definedName>
    <definedName name="________________R84JH">[4]BASE!$D$172</definedName>
    <definedName name="________________REP43">[6]BASE!$D$136</definedName>
    <definedName name="________________TEP44" localSheetId="4">#N/A</definedName>
    <definedName name="________________TEP44" localSheetId="5">#N/A</definedName>
    <definedName name="________________TEP44">#N/A</definedName>
    <definedName name="________________TPE1132" localSheetId="4">#N/A</definedName>
    <definedName name="________________TPE1132" localSheetId="5">#N/A</definedName>
    <definedName name="________________TPE1132">#N/A</definedName>
    <definedName name="________________TPE12" localSheetId="4">#REF!</definedName>
    <definedName name="________________TPE12" localSheetId="5">#REF!</definedName>
    <definedName name="________________TPE12">#REF!</definedName>
    <definedName name="________________TPE1331" localSheetId="4">#N/A</definedName>
    <definedName name="________________TPE1331" localSheetId="5">#N/A</definedName>
    <definedName name="________________TPE1331">#N/A</definedName>
    <definedName name="________________TPE1702" localSheetId="4">#N/A</definedName>
    <definedName name="________________TPE1702" localSheetId="5">#N/A</definedName>
    <definedName name="________________TPE1702">#N/A</definedName>
    <definedName name="________________TPE1703" localSheetId="4">#N/A</definedName>
    <definedName name="________________TPE1703" localSheetId="5">#N/A</definedName>
    <definedName name="________________TPE1703">#N/A</definedName>
    <definedName name="________________TPE1704" localSheetId="4">#N/A</definedName>
    <definedName name="________________TPE1704" localSheetId="5">#N/A</definedName>
    <definedName name="________________TPE1704">#N/A</definedName>
    <definedName name="________________TPE1706" localSheetId="4">#N/A</definedName>
    <definedName name="________________TPE1706" localSheetId="5">#N/A</definedName>
    <definedName name="________________TPE1706">#N/A</definedName>
    <definedName name="________________TPE1708" localSheetId="4">#N/A</definedName>
    <definedName name="________________TPE1708" localSheetId="5">#N/A</definedName>
    <definedName name="________________TPE1708">#N/A</definedName>
    <definedName name="________________TPE1710" localSheetId="4">#N/A</definedName>
    <definedName name="________________TPE1710" localSheetId="5">#N/A</definedName>
    <definedName name="________________TPE1710">#N/A</definedName>
    <definedName name="________________TPE1735" localSheetId="4">#N/A</definedName>
    <definedName name="________________TPE1735" localSheetId="5">#N/A</definedName>
    <definedName name="________________TPE1735">#N/A</definedName>
    <definedName name="________________TPE1763" localSheetId="4">#N/A</definedName>
    <definedName name="________________TPE1763" localSheetId="5">#N/A</definedName>
    <definedName name="________________TPE1763">#N/A</definedName>
    <definedName name="________________TPE1790" localSheetId="4">#N/A</definedName>
    <definedName name="________________TPE1790" localSheetId="5">#N/A</definedName>
    <definedName name="________________TPE1790">#N/A</definedName>
    <definedName name="________________TPF12" localSheetId="4">[2]BASE!$D$217</definedName>
    <definedName name="________________TPF12" localSheetId="5">[2]BASE!$D$217</definedName>
    <definedName name="________________TPF12">[2]BASE!$D$217</definedName>
    <definedName name="________________TUZ22" localSheetId="4">'[2]BASE ORIGINAL'!#REF!</definedName>
    <definedName name="________________TUZ22" localSheetId="5">'[2]BASE ORIGINAL'!#REF!</definedName>
    <definedName name="________________TUZ22">'[2]BASE ORIGINAL'!#REF!</definedName>
    <definedName name="________________TUZ36" localSheetId="4">'[2]BASE ORIGINAL'!#REF!</definedName>
    <definedName name="________________TUZ36" localSheetId="5">'[2]BASE ORIGINAL'!#REF!</definedName>
    <definedName name="________________TUZ36">'[2]BASE ORIGINAL'!#REF!</definedName>
    <definedName name="________________TZ2110" localSheetId="4">[2]BASE!$D$79</definedName>
    <definedName name="________________TZ2110" localSheetId="5">[2]BASE!$D$79</definedName>
    <definedName name="________________TZ2110">[2]BASE!$D$79</definedName>
    <definedName name="________________TZ214" localSheetId="4">#N/A</definedName>
    <definedName name="________________TZ214" localSheetId="5">#N/A</definedName>
    <definedName name="________________TZ214">#N/A</definedName>
    <definedName name="________________TZ216" localSheetId="4">#N/A</definedName>
    <definedName name="________________TZ216" localSheetId="5">#N/A</definedName>
    <definedName name="________________TZ216">#N/A</definedName>
    <definedName name="________________TZ268">[4]BASE!$D$85</definedName>
    <definedName name="________________TZ323" localSheetId="4">'[2]BASE ORIGINAL'!#REF!</definedName>
    <definedName name="________________TZ323" localSheetId="5">'[2]BASE ORIGINAL'!#REF!</definedName>
    <definedName name="________________TZ323">'[2]BASE ORIGINAL'!#REF!</definedName>
    <definedName name="________________TZ324" localSheetId="4">'[2]BASE ORIGINAL'!#REF!</definedName>
    <definedName name="________________TZ324" localSheetId="5">'[2]BASE ORIGINAL'!#REF!</definedName>
    <definedName name="________________TZ324">'[2]BASE ORIGINAL'!#REF!</definedName>
    <definedName name="________________TZ32510" localSheetId="4">#N/A</definedName>
    <definedName name="________________TZ32510" localSheetId="5">#N/A</definedName>
    <definedName name="________________TZ32510">#N/A</definedName>
    <definedName name="_______________ADH12" localSheetId="4">[2]BASE!$D$218</definedName>
    <definedName name="_______________ADH12" localSheetId="5">[2]BASE!$D$218</definedName>
    <definedName name="_______________ADH12">[2]BASE!$D$218</definedName>
    <definedName name="_______________ADM12" localSheetId="4">[2]BASE!$D$219</definedName>
    <definedName name="_______________ADM12" localSheetId="5">[2]BASE!$D$219</definedName>
    <definedName name="_______________ADM12">[2]BASE!$D$219</definedName>
    <definedName name="_______________ADM4" localSheetId="4">[2]BASE!$D$120</definedName>
    <definedName name="_______________ADM4" localSheetId="5">[2]BASE!$D$120</definedName>
    <definedName name="_______________ADM4">[2]BASE!$D$120</definedName>
    <definedName name="_______________AIU1" localSheetId="4">#REF!</definedName>
    <definedName name="_______________AIU1" localSheetId="5">#REF!</definedName>
    <definedName name="_______________AIU1">#REF!</definedName>
    <definedName name="_______________AIU2">[3]BASE!$C$5</definedName>
    <definedName name="_______________AIU3">[11]BASE!$C$3</definedName>
    <definedName name="_______________BAZ10" localSheetId="4">[2]BASE!$D$270</definedName>
    <definedName name="_______________BAZ10" localSheetId="5">[2]BASE!$D$270</definedName>
    <definedName name="_______________BAZ10">[2]BASE!$D$270</definedName>
    <definedName name="_______________BLO20" localSheetId="4">[2]BASE!$D$56</definedName>
    <definedName name="_______________BLO20" localSheetId="5">[2]BASE!$D$56</definedName>
    <definedName name="_______________BLO20">[2]BASE!$D$56</definedName>
    <definedName name="_______________CAN28" localSheetId="4">[2]BASE!$D$315</definedName>
    <definedName name="_______________CAN28" localSheetId="5">[2]BASE!$D$315</definedName>
    <definedName name="_______________CAN28">[2]BASE!$D$315</definedName>
    <definedName name="_______________Cod1" localSheetId="4">#REF!</definedName>
    <definedName name="_______________Cod1" localSheetId="5">#REF!</definedName>
    <definedName name="_______________Cod1">#REF!</definedName>
    <definedName name="_______________CUA44" localSheetId="4">[2]BASE!$D$253</definedName>
    <definedName name="_______________CUA44" localSheetId="5">[2]BASE!$D$253</definedName>
    <definedName name="_______________CUA44">[2]BASE!$D$253</definedName>
    <definedName name="_______________LA124" localSheetId="4">[2]BASE!$D$64</definedName>
    <definedName name="_______________LA124" localSheetId="5">[2]BASE!$D$64</definedName>
    <definedName name="_______________LA124">[2]BASE!$D$64</definedName>
    <definedName name="_______________LAC18">[4]BASE!$D$252</definedName>
    <definedName name="_______________Po2">[5]REAJUSTESACTA1PROVI!#REF!</definedName>
    <definedName name="_______________R84JH">[4]BASE!$D$172</definedName>
    <definedName name="_______________REP43">[6]BASE!$D$136</definedName>
    <definedName name="_______________TEP44" localSheetId="4">#N/A</definedName>
    <definedName name="_______________TEP44" localSheetId="5">#N/A</definedName>
    <definedName name="_______________TEP44">#N/A</definedName>
    <definedName name="_______________TPE1132" localSheetId="4">#N/A</definedName>
    <definedName name="_______________TPE1132" localSheetId="5">#N/A</definedName>
    <definedName name="_______________TPE1132">#N/A</definedName>
    <definedName name="_______________TPE12" localSheetId="4">#REF!</definedName>
    <definedName name="_______________TPE12" localSheetId="5">#REF!</definedName>
    <definedName name="_______________TPE12">#REF!</definedName>
    <definedName name="_______________TPE1331" localSheetId="4">#N/A</definedName>
    <definedName name="_______________TPE1331" localSheetId="5">#N/A</definedName>
    <definedName name="_______________TPE1331">#N/A</definedName>
    <definedName name="_______________TPE1702" localSheetId="4">#N/A</definedName>
    <definedName name="_______________TPE1702" localSheetId="5">#N/A</definedName>
    <definedName name="_______________TPE1702">#N/A</definedName>
    <definedName name="_______________TPE1703" localSheetId="4">#N/A</definedName>
    <definedName name="_______________TPE1703" localSheetId="5">#N/A</definedName>
    <definedName name="_______________TPE1703">#N/A</definedName>
    <definedName name="_______________TPE1704" localSheetId="4">#N/A</definedName>
    <definedName name="_______________TPE1704" localSheetId="5">#N/A</definedName>
    <definedName name="_______________TPE1704">#N/A</definedName>
    <definedName name="_______________TPE1706" localSheetId="4">#N/A</definedName>
    <definedName name="_______________TPE1706" localSheetId="5">#N/A</definedName>
    <definedName name="_______________TPE1706">#N/A</definedName>
    <definedName name="_______________TPE1708" localSheetId="4">#N/A</definedName>
    <definedName name="_______________TPE1708" localSheetId="5">#N/A</definedName>
    <definedName name="_______________TPE1708">#N/A</definedName>
    <definedName name="_______________TPE1710" localSheetId="4">#N/A</definedName>
    <definedName name="_______________TPE1710" localSheetId="5">#N/A</definedName>
    <definedName name="_______________TPE1710">#N/A</definedName>
    <definedName name="_______________TPE1735" localSheetId="4">#N/A</definedName>
    <definedName name="_______________TPE1735" localSheetId="5">#N/A</definedName>
    <definedName name="_______________TPE1735">#N/A</definedName>
    <definedName name="_______________TPE1763" localSheetId="4">#N/A</definedName>
    <definedName name="_______________TPE1763" localSheetId="5">#N/A</definedName>
    <definedName name="_______________TPE1763">#N/A</definedName>
    <definedName name="_______________TPE1790" localSheetId="4">#N/A</definedName>
    <definedName name="_______________TPE1790" localSheetId="5">#N/A</definedName>
    <definedName name="_______________TPE1790">#N/A</definedName>
    <definedName name="_______________TPF12" localSheetId="4">[2]BASE!$D$217</definedName>
    <definedName name="_______________TPF12" localSheetId="5">[2]BASE!$D$217</definedName>
    <definedName name="_______________TPF12">[2]BASE!$D$217</definedName>
    <definedName name="_______________TUZ22" localSheetId="4">'[2]BASE ORIGINAL'!#REF!</definedName>
    <definedName name="_______________TUZ22" localSheetId="5">'[2]BASE ORIGINAL'!#REF!</definedName>
    <definedName name="_______________TUZ22">'[2]BASE ORIGINAL'!#REF!</definedName>
    <definedName name="_______________TUZ36" localSheetId="4">'[2]BASE ORIGINAL'!#REF!</definedName>
    <definedName name="_______________TUZ36" localSheetId="5">'[2]BASE ORIGINAL'!#REF!</definedName>
    <definedName name="_______________TUZ36">'[2]BASE ORIGINAL'!#REF!</definedName>
    <definedName name="_______________TZ2110" localSheetId="4">[2]BASE!$D$79</definedName>
    <definedName name="_______________TZ2110" localSheetId="5">[2]BASE!$D$79</definedName>
    <definedName name="_______________TZ2110">[2]BASE!$D$79</definedName>
    <definedName name="_______________TZ214" localSheetId="4">#N/A</definedName>
    <definedName name="_______________TZ214" localSheetId="5">#N/A</definedName>
    <definedName name="_______________TZ214">#N/A</definedName>
    <definedName name="_______________TZ216" localSheetId="4">#N/A</definedName>
    <definedName name="_______________TZ216" localSheetId="5">#N/A</definedName>
    <definedName name="_______________TZ216">#N/A</definedName>
    <definedName name="_______________TZ268">[4]BASE!$D$85</definedName>
    <definedName name="_______________TZ323" localSheetId="4">'[2]BASE ORIGINAL'!#REF!</definedName>
    <definedName name="_______________TZ323" localSheetId="5">'[2]BASE ORIGINAL'!#REF!</definedName>
    <definedName name="_______________TZ323">'[2]BASE ORIGINAL'!#REF!</definedName>
    <definedName name="_______________TZ324" localSheetId="4">'[2]BASE ORIGINAL'!#REF!</definedName>
    <definedName name="_______________TZ324" localSheetId="5">'[2]BASE ORIGINAL'!#REF!</definedName>
    <definedName name="_______________TZ324">'[2]BASE ORIGINAL'!#REF!</definedName>
    <definedName name="_______________TZ32510" localSheetId="4">#N/A</definedName>
    <definedName name="_______________TZ32510" localSheetId="5">#N/A</definedName>
    <definedName name="_______________TZ32510">#N/A</definedName>
    <definedName name="______________ADH12" localSheetId="4">[2]BASE!$D$218</definedName>
    <definedName name="______________ADH12" localSheetId="5">[2]BASE!$D$218</definedName>
    <definedName name="______________ADH12">[2]BASE!$D$218</definedName>
    <definedName name="______________ADM12" localSheetId="4">[2]BASE!$D$219</definedName>
    <definedName name="______________ADM12" localSheetId="5">[2]BASE!$D$219</definedName>
    <definedName name="______________ADM12">[2]BASE!$D$219</definedName>
    <definedName name="______________ADM4" localSheetId="4">[2]BASE!$D$120</definedName>
    <definedName name="______________ADM4" localSheetId="5">[2]BASE!$D$120</definedName>
    <definedName name="______________ADM4">[2]BASE!$D$120</definedName>
    <definedName name="______________AIU1" localSheetId="4">#REF!</definedName>
    <definedName name="______________AIU1" localSheetId="5">#REF!</definedName>
    <definedName name="______________AIU1">#REF!</definedName>
    <definedName name="______________AIU2">[3]BASE!$C$5</definedName>
    <definedName name="______________AIU3">[11]BASE!$C$3</definedName>
    <definedName name="______________BAZ10" localSheetId="4">[2]BASE!$D$270</definedName>
    <definedName name="______________BAZ10" localSheetId="5">[2]BASE!$D$270</definedName>
    <definedName name="______________BAZ10">[2]BASE!$D$270</definedName>
    <definedName name="______________BLO20" localSheetId="4">[2]BASE!$D$56</definedName>
    <definedName name="______________BLO20" localSheetId="5">[2]BASE!$D$56</definedName>
    <definedName name="______________BLO20">[2]BASE!$D$56</definedName>
    <definedName name="______________CAN28" localSheetId="4">[2]BASE!$D$315</definedName>
    <definedName name="______________CAN28" localSheetId="5">[2]BASE!$D$315</definedName>
    <definedName name="______________CAN28">[2]BASE!$D$315</definedName>
    <definedName name="______________Cod1" localSheetId="4">#REF!</definedName>
    <definedName name="______________Cod1" localSheetId="5">#REF!</definedName>
    <definedName name="______________Cod1">#REF!</definedName>
    <definedName name="______________CUA44" localSheetId="4">[2]BASE!$D$253</definedName>
    <definedName name="______________CUA44" localSheetId="5">[2]BASE!$D$253</definedName>
    <definedName name="______________CUA44">[2]BASE!$D$253</definedName>
    <definedName name="______________LA124" localSheetId="4">[2]BASE!$D$64</definedName>
    <definedName name="______________LA124" localSheetId="5">[2]BASE!$D$64</definedName>
    <definedName name="______________LA124">[2]BASE!$D$64</definedName>
    <definedName name="______________LAC18">[4]BASE!$D$252</definedName>
    <definedName name="______________Po2">[5]REAJUSTESACTA1PROVI!#REF!</definedName>
    <definedName name="______________R84JH">[4]BASE!$D$172</definedName>
    <definedName name="______________REP43">[6]BASE!$D$136</definedName>
    <definedName name="______________TEP44" localSheetId="4">#N/A</definedName>
    <definedName name="______________TEP44" localSheetId="5">#N/A</definedName>
    <definedName name="______________TEP44">#N/A</definedName>
    <definedName name="______________TPE1132" localSheetId="4">#N/A</definedName>
    <definedName name="______________TPE1132" localSheetId="5">#N/A</definedName>
    <definedName name="______________TPE1132">#N/A</definedName>
    <definedName name="______________TPE12" localSheetId="4">#REF!</definedName>
    <definedName name="______________TPE12" localSheetId="5">#REF!</definedName>
    <definedName name="______________TPE12">#REF!</definedName>
    <definedName name="______________TPE1331" localSheetId="4">#N/A</definedName>
    <definedName name="______________TPE1331" localSheetId="5">#N/A</definedName>
    <definedName name="______________TPE1331">#N/A</definedName>
    <definedName name="______________TPE1702" localSheetId="4">#N/A</definedName>
    <definedName name="______________TPE1702" localSheetId="5">#N/A</definedName>
    <definedName name="______________TPE1702">#N/A</definedName>
    <definedName name="______________TPE1703" localSheetId="4">#N/A</definedName>
    <definedName name="______________TPE1703" localSheetId="5">#N/A</definedName>
    <definedName name="______________TPE1703">#N/A</definedName>
    <definedName name="______________TPE1704" localSheetId="4">#N/A</definedName>
    <definedName name="______________TPE1704" localSheetId="5">#N/A</definedName>
    <definedName name="______________TPE1704">#N/A</definedName>
    <definedName name="______________TPE1706" localSheetId="4">#N/A</definedName>
    <definedName name="______________TPE1706" localSheetId="5">#N/A</definedName>
    <definedName name="______________TPE1706">#N/A</definedName>
    <definedName name="______________TPE1708" localSheetId="4">#N/A</definedName>
    <definedName name="______________TPE1708" localSheetId="5">#N/A</definedName>
    <definedName name="______________TPE1708">#N/A</definedName>
    <definedName name="______________TPE1710" localSheetId="4">#N/A</definedName>
    <definedName name="______________TPE1710" localSheetId="5">#N/A</definedName>
    <definedName name="______________TPE1710">#N/A</definedName>
    <definedName name="______________TPE1735" localSheetId="4">#N/A</definedName>
    <definedName name="______________TPE1735" localSheetId="5">#N/A</definedName>
    <definedName name="______________TPE1735">#N/A</definedName>
    <definedName name="______________TPE1763" localSheetId="4">#N/A</definedName>
    <definedName name="______________TPE1763" localSheetId="5">#N/A</definedName>
    <definedName name="______________TPE1763">#N/A</definedName>
    <definedName name="______________TPE1790" localSheetId="4">#N/A</definedName>
    <definedName name="______________TPE1790" localSheetId="5">#N/A</definedName>
    <definedName name="______________TPE1790">#N/A</definedName>
    <definedName name="______________TPF12" localSheetId="4">[2]BASE!$D$217</definedName>
    <definedName name="______________TPF12" localSheetId="5">[2]BASE!$D$217</definedName>
    <definedName name="______________TPF12">[2]BASE!$D$217</definedName>
    <definedName name="______________TUZ22" localSheetId="4">'[2]BASE ORIGINAL'!#REF!</definedName>
    <definedName name="______________TUZ22" localSheetId="5">'[2]BASE ORIGINAL'!#REF!</definedName>
    <definedName name="______________TUZ22">'[2]BASE ORIGINAL'!#REF!</definedName>
    <definedName name="______________TUZ36" localSheetId="4">'[2]BASE ORIGINAL'!#REF!</definedName>
    <definedName name="______________TUZ36" localSheetId="5">'[2]BASE ORIGINAL'!#REF!</definedName>
    <definedName name="______________TUZ36">'[2]BASE ORIGINAL'!#REF!</definedName>
    <definedName name="______________TZ2110" localSheetId="4">[2]BASE!$D$79</definedName>
    <definedName name="______________TZ2110" localSheetId="5">[2]BASE!$D$79</definedName>
    <definedName name="______________TZ2110">[2]BASE!$D$79</definedName>
    <definedName name="______________TZ214" localSheetId="4">#N/A</definedName>
    <definedName name="______________TZ214" localSheetId="5">#N/A</definedName>
    <definedName name="______________TZ214">#N/A</definedName>
    <definedName name="______________TZ216" localSheetId="4">#N/A</definedName>
    <definedName name="______________TZ216" localSheetId="5">#N/A</definedName>
    <definedName name="______________TZ216">#N/A</definedName>
    <definedName name="______________TZ268">[4]BASE!$D$85</definedName>
    <definedName name="______________TZ323" localSheetId="4">'[2]BASE ORIGINAL'!#REF!</definedName>
    <definedName name="______________TZ323" localSheetId="5">'[2]BASE ORIGINAL'!#REF!</definedName>
    <definedName name="______________TZ323">'[2]BASE ORIGINAL'!#REF!</definedName>
    <definedName name="______________TZ324" localSheetId="4">'[2]BASE ORIGINAL'!#REF!</definedName>
    <definedName name="______________TZ324" localSheetId="5">'[2]BASE ORIGINAL'!#REF!</definedName>
    <definedName name="______________TZ324">'[2]BASE ORIGINAL'!#REF!</definedName>
    <definedName name="______________TZ32510" localSheetId="4">#N/A</definedName>
    <definedName name="______________TZ32510" localSheetId="5">#N/A</definedName>
    <definedName name="______________TZ32510">#N/A</definedName>
    <definedName name="_____________ADH12" localSheetId="4">[2]BASE!$D$218</definedName>
    <definedName name="_____________ADH12" localSheetId="5">[2]BASE!$D$218</definedName>
    <definedName name="_____________ADH12">[2]BASE!$D$218</definedName>
    <definedName name="_____________ADM12" localSheetId="4">[2]BASE!$D$219</definedName>
    <definedName name="_____________ADM12" localSheetId="5">[2]BASE!$D$219</definedName>
    <definedName name="_____________ADM12">[2]BASE!$D$219</definedName>
    <definedName name="_____________ADM4" localSheetId="4">[2]BASE!$D$120</definedName>
    <definedName name="_____________ADM4" localSheetId="5">[2]BASE!$D$120</definedName>
    <definedName name="_____________ADM4">[2]BASE!$D$120</definedName>
    <definedName name="_____________AIU1" localSheetId="4">#REF!</definedName>
    <definedName name="_____________AIU1" localSheetId="5">#REF!</definedName>
    <definedName name="_____________AIU1">#REF!</definedName>
    <definedName name="_____________AIU2">[3]BASE!$C$5</definedName>
    <definedName name="_____________AIU3">[12]BASE!$C$3</definedName>
    <definedName name="_____________BAZ10" localSheetId="4">[2]BASE!$D$270</definedName>
    <definedName name="_____________BAZ10" localSheetId="5">[2]BASE!$D$270</definedName>
    <definedName name="_____________BAZ10">[2]BASE!$D$270</definedName>
    <definedName name="_____________BLO20" localSheetId="4">[2]BASE!$D$56</definedName>
    <definedName name="_____________BLO20" localSheetId="5">[2]BASE!$D$56</definedName>
    <definedName name="_____________BLO20">[2]BASE!$D$56</definedName>
    <definedName name="_____________CAN28" localSheetId="4">[2]BASE!$D$315</definedName>
    <definedName name="_____________CAN28" localSheetId="5">[2]BASE!$D$315</definedName>
    <definedName name="_____________CAN28">[2]BASE!$D$315</definedName>
    <definedName name="_____________Cod1" localSheetId="4">#REF!</definedName>
    <definedName name="_____________Cod1" localSheetId="5">#REF!</definedName>
    <definedName name="_____________Cod1">#REF!</definedName>
    <definedName name="_____________CUA44" localSheetId="4">[2]BASE!$D$253</definedName>
    <definedName name="_____________CUA44" localSheetId="5">[2]BASE!$D$253</definedName>
    <definedName name="_____________CUA44">[2]BASE!$D$253</definedName>
    <definedName name="_____________LA124" localSheetId="4">[2]BASE!$D$64</definedName>
    <definedName name="_____________LA124" localSheetId="5">[2]BASE!$D$64</definedName>
    <definedName name="_____________LA124">[2]BASE!$D$64</definedName>
    <definedName name="_____________LAC18">[4]BASE!$D$252</definedName>
    <definedName name="_____________Po2">[5]REAJUSTESACTA1PROVI!#REF!</definedName>
    <definedName name="_____________R84JH">[4]BASE!$D$172</definedName>
    <definedName name="_____________REP43">[6]BASE!$D$136</definedName>
    <definedName name="_____________TEP44" localSheetId="4">#N/A</definedName>
    <definedName name="_____________TEP44" localSheetId="5">#N/A</definedName>
    <definedName name="_____________TEP44">#N/A</definedName>
    <definedName name="_____________TPE1132" localSheetId="4">#N/A</definedName>
    <definedName name="_____________TPE1132" localSheetId="5">#N/A</definedName>
    <definedName name="_____________TPE1132">#N/A</definedName>
    <definedName name="_____________TPE12" localSheetId="4">#REF!</definedName>
    <definedName name="_____________TPE12" localSheetId="5">#REF!</definedName>
    <definedName name="_____________TPE12">#REF!</definedName>
    <definedName name="_____________TPE1331" localSheetId="4">#N/A</definedName>
    <definedName name="_____________TPE1331" localSheetId="5">#N/A</definedName>
    <definedName name="_____________TPE1331">#N/A</definedName>
    <definedName name="_____________TPE1702" localSheetId="4">#N/A</definedName>
    <definedName name="_____________TPE1702" localSheetId="5">#N/A</definedName>
    <definedName name="_____________TPE1702">#N/A</definedName>
    <definedName name="_____________TPE1703" localSheetId="4">#N/A</definedName>
    <definedName name="_____________TPE1703" localSheetId="5">#N/A</definedName>
    <definedName name="_____________TPE1703">#N/A</definedName>
    <definedName name="_____________TPE1704" localSheetId="4">#N/A</definedName>
    <definedName name="_____________TPE1704" localSheetId="5">#N/A</definedName>
    <definedName name="_____________TPE1704">#N/A</definedName>
    <definedName name="_____________TPE1706" localSheetId="4">#N/A</definedName>
    <definedName name="_____________TPE1706" localSheetId="5">#N/A</definedName>
    <definedName name="_____________TPE1706">#N/A</definedName>
    <definedName name="_____________TPE1708" localSheetId="4">#N/A</definedName>
    <definedName name="_____________TPE1708" localSheetId="5">#N/A</definedName>
    <definedName name="_____________TPE1708">#N/A</definedName>
    <definedName name="_____________TPE1710" localSheetId="4">#N/A</definedName>
    <definedName name="_____________TPE1710" localSheetId="5">#N/A</definedName>
    <definedName name="_____________TPE1710">#N/A</definedName>
    <definedName name="_____________TPE1735" localSheetId="4">#N/A</definedName>
    <definedName name="_____________TPE1735" localSheetId="5">#N/A</definedName>
    <definedName name="_____________TPE1735">#N/A</definedName>
    <definedName name="_____________TPE1763" localSheetId="4">#N/A</definedName>
    <definedName name="_____________TPE1763" localSheetId="5">#N/A</definedName>
    <definedName name="_____________TPE1763">#N/A</definedName>
    <definedName name="_____________TPE1790" localSheetId="4">#N/A</definedName>
    <definedName name="_____________TPE1790" localSheetId="5">#N/A</definedName>
    <definedName name="_____________TPE1790">#N/A</definedName>
    <definedName name="_____________TPF12" localSheetId="4">[2]BASE!$D$217</definedName>
    <definedName name="_____________TPF12" localSheetId="5">[2]BASE!$D$217</definedName>
    <definedName name="_____________TPF12">[2]BASE!$D$217</definedName>
    <definedName name="_____________TUZ22" localSheetId="4">'[2]BASE ORIGINAL'!#REF!</definedName>
    <definedName name="_____________TUZ22" localSheetId="5">'[2]BASE ORIGINAL'!#REF!</definedName>
    <definedName name="_____________TUZ22">'[2]BASE ORIGINAL'!#REF!</definedName>
    <definedName name="_____________TUZ36" localSheetId="4">'[2]BASE ORIGINAL'!#REF!</definedName>
    <definedName name="_____________TUZ36" localSheetId="5">'[2]BASE ORIGINAL'!#REF!</definedName>
    <definedName name="_____________TUZ36">'[2]BASE ORIGINAL'!#REF!</definedName>
    <definedName name="_____________TZ2110" localSheetId="4">[2]BASE!$D$79</definedName>
    <definedName name="_____________TZ2110" localSheetId="5">[2]BASE!$D$79</definedName>
    <definedName name="_____________TZ2110">[2]BASE!$D$79</definedName>
    <definedName name="_____________TZ214" localSheetId="4">#N/A</definedName>
    <definedName name="_____________TZ214" localSheetId="5">#N/A</definedName>
    <definedName name="_____________TZ214">#N/A</definedName>
    <definedName name="_____________TZ216" localSheetId="4">#N/A</definedName>
    <definedName name="_____________TZ216" localSheetId="5">#N/A</definedName>
    <definedName name="_____________TZ216">#N/A</definedName>
    <definedName name="_____________TZ268">[4]BASE!$D$85</definedName>
    <definedName name="_____________TZ323" localSheetId="4">'[2]BASE ORIGINAL'!#REF!</definedName>
    <definedName name="_____________TZ323" localSheetId="5">'[2]BASE ORIGINAL'!#REF!</definedName>
    <definedName name="_____________TZ323">'[2]BASE ORIGINAL'!#REF!</definedName>
    <definedName name="_____________TZ324" localSheetId="4">'[2]BASE ORIGINAL'!#REF!</definedName>
    <definedName name="_____________TZ324" localSheetId="5">'[2]BASE ORIGINAL'!#REF!</definedName>
    <definedName name="_____________TZ324">'[2]BASE ORIGINAL'!#REF!</definedName>
    <definedName name="_____________TZ32510" localSheetId="4">#N/A</definedName>
    <definedName name="_____________TZ32510" localSheetId="5">#N/A</definedName>
    <definedName name="_____________TZ32510">#N/A</definedName>
    <definedName name="____________ADH12" localSheetId="4">[2]BASE!$D$218</definedName>
    <definedName name="____________ADH12" localSheetId="5">[2]BASE!$D$218</definedName>
    <definedName name="____________ADH12">[2]BASE!$D$218</definedName>
    <definedName name="____________ADM12" localSheetId="4">[2]BASE!$D$219</definedName>
    <definedName name="____________ADM12" localSheetId="5">[2]BASE!$D$219</definedName>
    <definedName name="____________ADM12">[2]BASE!$D$219</definedName>
    <definedName name="____________ADM4" localSheetId="4">[2]BASE!$D$120</definedName>
    <definedName name="____________ADM4" localSheetId="5">[2]BASE!$D$120</definedName>
    <definedName name="____________ADM4">[2]BASE!$D$120</definedName>
    <definedName name="____________AIU1" localSheetId="4">#REF!</definedName>
    <definedName name="____________AIU1" localSheetId="5">#REF!</definedName>
    <definedName name="____________AIU1">#REF!</definedName>
    <definedName name="____________AIU2">[3]BASE!$C$5</definedName>
    <definedName name="____________AIU3">[13]BASE!$C$3</definedName>
    <definedName name="____________BAZ10" localSheetId="4">[2]BASE!$D$270</definedName>
    <definedName name="____________BAZ10" localSheetId="5">[2]BASE!$D$270</definedName>
    <definedName name="____________BAZ10">[2]BASE!$D$270</definedName>
    <definedName name="____________BLO20" localSheetId="4">[2]BASE!$D$56</definedName>
    <definedName name="____________BLO20" localSheetId="5">[2]BASE!$D$56</definedName>
    <definedName name="____________BLO20">[2]BASE!$D$56</definedName>
    <definedName name="____________CAN28" localSheetId="4">[2]BASE!$D$315</definedName>
    <definedName name="____________CAN28" localSheetId="5">[2]BASE!$D$315</definedName>
    <definedName name="____________CAN28">[2]BASE!$D$315</definedName>
    <definedName name="____________Cod1" localSheetId="4">#REF!</definedName>
    <definedName name="____________Cod1" localSheetId="5">#REF!</definedName>
    <definedName name="____________Cod1">#REF!</definedName>
    <definedName name="____________CUA44" localSheetId="4">[2]BASE!$D$253</definedName>
    <definedName name="____________CUA44" localSheetId="5">[2]BASE!$D$253</definedName>
    <definedName name="____________CUA44">[2]BASE!$D$253</definedName>
    <definedName name="____________LA124" localSheetId="4">[2]BASE!$D$64</definedName>
    <definedName name="____________LA124" localSheetId="5">[2]BASE!$D$64</definedName>
    <definedName name="____________LA124">[2]BASE!$D$64</definedName>
    <definedName name="____________LAC18">[4]BASE!$D$252</definedName>
    <definedName name="____________Po2">[5]REAJUSTESACTA1PROVI!#REF!</definedName>
    <definedName name="____________R84JH">[4]BASE!$D$172</definedName>
    <definedName name="____________REP43">[6]BASE!$D$136</definedName>
    <definedName name="____________TEP44" localSheetId="4">#N/A</definedName>
    <definedName name="____________TEP44" localSheetId="5">#N/A</definedName>
    <definedName name="____________TEP44">#N/A</definedName>
    <definedName name="____________TPE1132" localSheetId="4">#N/A</definedName>
    <definedName name="____________TPE1132" localSheetId="5">#N/A</definedName>
    <definedName name="____________TPE1132">#N/A</definedName>
    <definedName name="____________TPE12" localSheetId="4">#REF!</definedName>
    <definedName name="____________TPE12" localSheetId="5">#REF!</definedName>
    <definedName name="____________TPE12">#REF!</definedName>
    <definedName name="____________TPE1331" localSheetId="4">#N/A</definedName>
    <definedName name="____________TPE1331" localSheetId="5">#N/A</definedName>
    <definedName name="____________TPE1331">#N/A</definedName>
    <definedName name="____________TPE1702" localSheetId="4">#N/A</definedName>
    <definedName name="____________TPE1702" localSheetId="5">#N/A</definedName>
    <definedName name="____________TPE1702">#N/A</definedName>
    <definedName name="____________TPE1703" localSheetId="4">#N/A</definedName>
    <definedName name="____________TPE1703" localSheetId="5">#N/A</definedName>
    <definedName name="____________TPE1703">#N/A</definedName>
    <definedName name="____________TPE1704" localSheetId="4">#N/A</definedName>
    <definedName name="____________TPE1704" localSheetId="5">#N/A</definedName>
    <definedName name="____________TPE1704">#N/A</definedName>
    <definedName name="____________TPE1706" localSheetId="4">#N/A</definedName>
    <definedName name="____________TPE1706" localSheetId="5">#N/A</definedName>
    <definedName name="____________TPE1706">#N/A</definedName>
    <definedName name="____________TPE1708" localSheetId="4">#N/A</definedName>
    <definedName name="____________TPE1708" localSheetId="5">#N/A</definedName>
    <definedName name="____________TPE1708">#N/A</definedName>
    <definedName name="____________TPE1710" localSheetId="4">#N/A</definedName>
    <definedName name="____________TPE1710" localSheetId="5">#N/A</definedName>
    <definedName name="____________TPE1710">#N/A</definedName>
    <definedName name="____________TPE1735" localSheetId="4">#N/A</definedName>
    <definedName name="____________TPE1735" localSheetId="5">#N/A</definedName>
    <definedName name="____________TPE1735">#N/A</definedName>
    <definedName name="____________TPE1763" localSheetId="4">#N/A</definedName>
    <definedName name="____________TPE1763" localSheetId="5">#N/A</definedName>
    <definedName name="____________TPE1763">#N/A</definedName>
    <definedName name="____________TPE1790" localSheetId="4">#N/A</definedName>
    <definedName name="____________TPE1790" localSheetId="5">#N/A</definedName>
    <definedName name="____________TPE1790">#N/A</definedName>
    <definedName name="____________TPF12" localSheetId="4">[2]BASE!$D$217</definedName>
    <definedName name="____________TPF12" localSheetId="5">[2]BASE!$D$217</definedName>
    <definedName name="____________TPF12">[2]BASE!$D$217</definedName>
    <definedName name="____________TUZ22" localSheetId="4">'[2]BASE ORIGINAL'!#REF!</definedName>
    <definedName name="____________TUZ22" localSheetId="5">'[2]BASE ORIGINAL'!#REF!</definedName>
    <definedName name="____________TUZ22">'[2]BASE ORIGINAL'!#REF!</definedName>
    <definedName name="____________TUZ36" localSheetId="4">'[2]BASE ORIGINAL'!#REF!</definedName>
    <definedName name="____________TUZ36" localSheetId="5">'[2]BASE ORIGINAL'!#REF!</definedName>
    <definedName name="____________TUZ36">'[2]BASE ORIGINAL'!#REF!</definedName>
    <definedName name="____________TZ2110" localSheetId="4">[2]BASE!$D$79</definedName>
    <definedName name="____________TZ2110" localSheetId="5">[2]BASE!$D$79</definedName>
    <definedName name="____________TZ2110">[2]BASE!$D$79</definedName>
    <definedName name="____________TZ214" localSheetId="4">#N/A</definedName>
    <definedName name="____________TZ214" localSheetId="5">#N/A</definedName>
    <definedName name="____________TZ214">#N/A</definedName>
    <definedName name="____________TZ216" localSheetId="4">#N/A</definedName>
    <definedName name="____________TZ216" localSheetId="5">#N/A</definedName>
    <definedName name="____________TZ216">#N/A</definedName>
    <definedName name="____________TZ268">[4]BASE!$D$85</definedName>
    <definedName name="____________TZ323" localSheetId="4">'[2]BASE ORIGINAL'!#REF!</definedName>
    <definedName name="____________TZ323" localSheetId="5">'[2]BASE ORIGINAL'!#REF!</definedName>
    <definedName name="____________TZ323">'[2]BASE ORIGINAL'!#REF!</definedName>
    <definedName name="____________TZ324" localSheetId="4">'[2]BASE ORIGINAL'!#REF!</definedName>
    <definedName name="____________TZ324" localSheetId="5">'[2]BASE ORIGINAL'!#REF!</definedName>
    <definedName name="____________TZ324">'[2]BASE ORIGINAL'!#REF!</definedName>
    <definedName name="____________TZ32510" localSheetId="4">#N/A</definedName>
    <definedName name="____________TZ32510" localSheetId="5">#N/A</definedName>
    <definedName name="____________TZ32510">#N/A</definedName>
    <definedName name="___________ADH12" localSheetId="4">[2]BASE!$D$218</definedName>
    <definedName name="___________ADH12" localSheetId="5">[2]BASE!$D$218</definedName>
    <definedName name="___________ADH12">[2]BASE!$D$218</definedName>
    <definedName name="___________ADM12" localSheetId="4">[2]BASE!$D$219</definedName>
    <definedName name="___________ADM12" localSheetId="5">[2]BASE!$D$219</definedName>
    <definedName name="___________ADM12">[2]BASE!$D$219</definedName>
    <definedName name="___________ADM4" localSheetId="4">[2]BASE!$D$120</definedName>
    <definedName name="___________ADM4" localSheetId="5">[2]BASE!$D$120</definedName>
    <definedName name="___________ADM4">[2]BASE!$D$120</definedName>
    <definedName name="___________AIU1" localSheetId="4">#REF!</definedName>
    <definedName name="___________AIU1" localSheetId="5">#REF!</definedName>
    <definedName name="___________AIU1">#REF!</definedName>
    <definedName name="___________AIU2">[3]BASE!$C$5</definedName>
    <definedName name="___________AIU3">[11]BASE!$C$3</definedName>
    <definedName name="___________BAZ10" localSheetId="4">[2]BASE!$D$270</definedName>
    <definedName name="___________BAZ10" localSheetId="5">[2]BASE!$D$270</definedName>
    <definedName name="___________BAZ10">[2]BASE!$D$270</definedName>
    <definedName name="___________BLO20" localSheetId="4">[2]BASE!$D$56</definedName>
    <definedName name="___________BLO20" localSheetId="5">[2]BASE!$D$56</definedName>
    <definedName name="___________BLO20">[2]BASE!$D$56</definedName>
    <definedName name="___________CAN28" localSheetId="4">[2]BASE!$D$315</definedName>
    <definedName name="___________CAN28" localSheetId="5">[2]BASE!$D$315</definedName>
    <definedName name="___________CAN28">[2]BASE!$D$315</definedName>
    <definedName name="___________Cod1" localSheetId="4">#REF!</definedName>
    <definedName name="___________Cod1" localSheetId="5">#REF!</definedName>
    <definedName name="___________Cod1">#REF!</definedName>
    <definedName name="___________CUA44" localSheetId="4">[2]BASE!$D$253</definedName>
    <definedName name="___________CUA44" localSheetId="5">[2]BASE!$D$253</definedName>
    <definedName name="___________CUA44">[2]BASE!$D$253</definedName>
    <definedName name="___________LA124" localSheetId="4">[2]BASE!$D$64</definedName>
    <definedName name="___________LA124" localSheetId="5">[2]BASE!$D$64</definedName>
    <definedName name="___________LA124">[2]BASE!$D$64</definedName>
    <definedName name="___________LAC18">[4]BASE!$D$252</definedName>
    <definedName name="___________Po2">[5]REAJUSTESACTA1PROVI!#REF!</definedName>
    <definedName name="___________R84JH">[4]BASE!$D$172</definedName>
    <definedName name="___________REP43">[6]BASE!$D$136</definedName>
    <definedName name="___________TEP44" localSheetId="4">#N/A</definedName>
    <definedName name="___________TEP44" localSheetId="5">#N/A</definedName>
    <definedName name="___________TEP44">#N/A</definedName>
    <definedName name="___________TPE1132" localSheetId="4">#N/A</definedName>
    <definedName name="___________TPE1132" localSheetId="5">#N/A</definedName>
    <definedName name="___________TPE1132">#N/A</definedName>
    <definedName name="___________TPE12" localSheetId="4">#REF!</definedName>
    <definedName name="___________TPE12" localSheetId="5">#REF!</definedName>
    <definedName name="___________TPE12">#REF!</definedName>
    <definedName name="___________TPE1331" localSheetId="4">#N/A</definedName>
    <definedName name="___________TPE1331" localSheetId="5">#N/A</definedName>
    <definedName name="___________TPE1331">#N/A</definedName>
    <definedName name="___________TPE1702" localSheetId="4">#N/A</definedName>
    <definedName name="___________TPE1702" localSheetId="5">#N/A</definedName>
    <definedName name="___________TPE1702">#N/A</definedName>
    <definedName name="___________TPE1703" localSheetId="4">#N/A</definedName>
    <definedName name="___________TPE1703" localSheetId="5">#N/A</definedName>
    <definedName name="___________TPE1703">#N/A</definedName>
    <definedName name="___________TPE1704" localSheetId="4">#N/A</definedName>
    <definedName name="___________TPE1704" localSheetId="5">#N/A</definedName>
    <definedName name="___________TPE1704">#N/A</definedName>
    <definedName name="___________TPE1706" localSheetId="4">#N/A</definedName>
    <definedName name="___________TPE1706" localSheetId="5">#N/A</definedName>
    <definedName name="___________TPE1706">#N/A</definedName>
    <definedName name="___________TPE1708" localSheetId="4">#N/A</definedName>
    <definedName name="___________TPE1708" localSheetId="5">#N/A</definedName>
    <definedName name="___________TPE1708">#N/A</definedName>
    <definedName name="___________TPE1710" localSheetId="4">#N/A</definedName>
    <definedName name="___________TPE1710" localSheetId="5">#N/A</definedName>
    <definedName name="___________TPE1710">#N/A</definedName>
    <definedName name="___________TPE1735" localSheetId="4">#N/A</definedName>
    <definedName name="___________TPE1735" localSheetId="5">#N/A</definedName>
    <definedName name="___________TPE1735">#N/A</definedName>
    <definedName name="___________TPE1763" localSheetId="4">#N/A</definedName>
    <definedName name="___________TPE1763" localSheetId="5">#N/A</definedName>
    <definedName name="___________TPE1763">#N/A</definedName>
    <definedName name="___________TPE1790" localSheetId="4">#N/A</definedName>
    <definedName name="___________TPE1790" localSheetId="5">#N/A</definedName>
    <definedName name="___________TPE1790">#N/A</definedName>
    <definedName name="___________TPF12" localSheetId="4">[2]BASE!$D$217</definedName>
    <definedName name="___________TPF12" localSheetId="5">[2]BASE!$D$217</definedName>
    <definedName name="___________TPF12">[2]BASE!$D$217</definedName>
    <definedName name="___________TUZ22" localSheetId="4">'[2]BASE ORIGINAL'!#REF!</definedName>
    <definedName name="___________TUZ22" localSheetId="5">'[2]BASE ORIGINAL'!#REF!</definedName>
    <definedName name="___________TUZ22">'[2]BASE ORIGINAL'!#REF!</definedName>
    <definedName name="___________TUZ36" localSheetId="4">'[2]BASE ORIGINAL'!#REF!</definedName>
    <definedName name="___________TUZ36" localSheetId="5">'[2]BASE ORIGINAL'!#REF!</definedName>
    <definedName name="___________TUZ36">'[2]BASE ORIGINAL'!#REF!</definedName>
    <definedName name="___________TZ2110" localSheetId="4">[2]BASE!$D$79</definedName>
    <definedName name="___________TZ2110" localSheetId="5">[2]BASE!$D$79</definedName>
    <definedName name="___________TZ2110">[2]BASE!$D$79</definedName>
    <definedName name="___________TZ214" localSheetId="4">#N/A</definedName>
    <definedName name="___________TZ214" localSheetId="5">#N/A</definedName>
    <definedName name="___________TZ214">#N/A</definedName>
    <definedName name="___________TZ216" localSheetId="4">#N/A</definedName>
    <definedName name="___________TZ216" localSheetId="5">#N/A</definedName>
    <definedName name="___________TZ216">#N/A</definedName>
    <definedName name="___________TZ268">[4]BASE!$D$85</definedName>
    <definedName name="___________TZ323" localSheetId="4">'[2]BASE ORIGINAL'!#REF!</definedName>
    <definedName name="___________TZ323" localSheetId="5">'[2]BASE ORIGINAL'!#REF!</definedName>
    <definedName name="___________TZ323">'[2]BASE ORIGINAL'!#REF!</definedName>
    <definedName name="___________TZ324" localSheetId="4">'[2]BASE ORIGINAL'!#REF!</definedName>
    <definedName name="___________TZ324" localSheetId="5">'[2]BASE ORIGINAL'!#REF!</definedName>
    <definedName name="___________TZ324">'[2]BASE ORIGINAL'!#REF!</definedName>
    <definedName name="___________TZ32510" localSheetId="4">#N/A</definedName>
    <definedName name="___________TZ32510" localSheetId="5">#N/A</definedName>
    <definedName name="___________TZ32510">#N/A</definedName>
    <definedName name="__________ADH12" localSheetId="4">[2]BASE!$D$218</definedName>
    <definedName name="__________ADH12" localSheetId="5">[2]BASE!$D$218</definedName>
    <definedName name="__________ADH12">[2]BASE!$D$218</definedName>
    <definedName name="__________ADM12" localSheetId="4">[2]BASE!$D$219</definedName>
    <definedName name="__________ADM12" localSheetId="5">[2]BASE!$D$219</definedName>
    <definedName name="__________ADM12">[2]BASE!$D$219</definedName>
    <definedName name="__________ADM4" localSheetId="4">[2]BASE!$D$120</definedName>
    <definedName name="__________ADM4" localSheetId="5">[2]BASE!$D$120</definedName>
    <definedName name="__________ADM4">[2]BASE!$D$120</definedName>
    <definedName name="__________AIU1" localSheetId="4">#REF!</definedName>
    <definedName name="__________AIU1" localSheetId="5">#REF!</definedName>
    <definedName name="__________AIU1">#REF!</definedName>
    <definedName name="__________AIU2">[3]BASE!$C$5</definedName>
    <definedName name="__________AIU3">[13]BASE!$C$3</definedName>
    <definedName name="__________BAZ10" localSheetId="4">[2]BASE!$D$270</definedName>
    <definedName name="__________BAZ10" localSheetId="5">[2]BASE!$D$270</definedName>
    <definedName name="__________BAZ10">[2]BASE!$D$270</definedName>
    <definedName name="__________BLO20" localSheetId="4">[2]BASE!$D$56</definedName>
    <definedName name="__________BLO20" localSheetId="5">[2]BASE!$D$56</definedName>
    <definedName name="__________BLO20">[2]BASE!$D$56</definedName>
    <definedName name="__________CAN28" localSheetId="4">[2]BASE!$D$315</definedName>
    <definedName name="__________CAN28" localSheetId="5">[2]BASE!$D$315</definedName>
    <definedName name="__________CAN28">[2]BASE!$D$315</definedName>
    <definedName name="__________Cod1" localSheetId="4">#REF!</definedName>
    <definedName name="__________Cod1" localSheetId="5">#REF!</definedName>
    <definedName name="__________Cod1">#REF!</definedName>
    <definedName name="__________CUA44" localSheetId="4">[2]BASE!$D$253</definedName>
    <definedName name="__________CUA44" localSheetId="5">[2]BASE!$D$253</definedName>
    <definedName name="__________CUA44">[2]BASE!$D$253</definedName>
    <definedName name="__________LA124" localSheetId="4">[2]BASE!$D$64</definedName>
    <definedName name="__________LA124" localSheetId="5">[2]BASE!$D$64</definedName>
    <definedName name="__________LA124">[2]BASE!$D$64</definedName>
    <definedName name="__________LAC18">[4]BASE!$D$252</definedName>
    <definedName name="__________Po2">[5]REAJUSTESACTA1PROVI!#REF!</definedName>
    <definedName name="__________R84JH">[4]BASE!$D$172</definedName>
    <definedName name="__________REP43">[6]BASE!$D$136</definedName>
    <definedName name="__________TEP44" localSheetId="4">#N/A</definedName>
    <definedName name="__________TEP44" localSheetId="5">#N/A</definedName>
    <definedName name="__________TEP44">#N/A</definedName>
    <definedName name="__________TPE1132" localSheetId="4">#N/A</definedName>
    <definedName name="__________TPE1132" localSheetId="5">#N/A</definedName>
    <definedName name="__________TPE1132">#N/A</definedName>
    <definedName name="__________TPE12" localSheetId="4">#REF!</definedName>
    <definedName name="__________TPE12" localSheetId="5">#REF!</definedName>
    <definedName name="__________TPE12">#REF!</definedName>
    <definedName name="__________TPE1331" localSheetId="4">#N/A</definedName>
    <definedName name="__________TPE1331" localSheetId="5">#N/A</definedName>
    <definedName name="__________TPE1331">#N/A</definedName>
    <definedName name="__________TPE1702" localSheetId="4">#N/A</definedName>
    <definedName name="__________TPE1702" localSheetId="5">#N/A</definedName>
    <definedName name="__________TPE1702">#N/A</definedName>
    <definedName name="__________TPE1703" localSheetId="4">#N/A</definedName>
    <definedName name="__________TPE1703" localSheetId="5">#N/A</definedName>
    <definedName name="__________TPE1703">#N/A</definedName>
    <definedName name="__________TPE1704" localSheetId="4">#N/A</definedName>
    <definedName name="__________TPE1704" localSheetId="5">#N/A</definedName>
    <definedName name="__________TPE1704">#N/A</definedName>
    <definedName name="__________TPE1706" localSheetId="4">#N/A</definedName>
    <definedName name="__________TPE1706" localSheetId="5">#N/A</definedName>
    <definedName name="__________TPE1706">#N/A</definedName>
    <definedName name="__________TPE1708" localSheetId="4">#N/A</definedName>
    <definedName name="__________TPE1708" localSheetId="5">#N/A</definedName>
    <definedName name="__________TPE1708">#N/A</definedName>
    <definedName name="__________TPE1710" localSheetId="4">#N/A</definedName>
    <definedName name="__________TPE1710" localSheetId="5">#N/A</definedName>
    <definedName name="__________TPE1710">#N/A</definedName>
    <definedName name="__________TPE1735" localSheetId="4">#N/A</definedName>
    <definedName name="__________TPE1735" localSheetId="5">#N/A</definedName>
    <definedName name="__________TPE1735">#N/A</definedName>
    <definedName name="__________TPE1763" localSheetId="4">#N/A</definedName>
    <definedName name="__________TPE1763" localSheetId="5">#N/A</definedName>
    <definedName name="__________TPE1763">#N/A</definedName>
    <definedName name="__________TPE1790" localSheetId="4">#N/A</definedName>
    <definedName name="__________TPE1790" localSheetId="5">#N/A</definedName>
    <definedName name="__________TPE1790">#N/A</definedName>
    <definedName name="__________TPF12" localSheetId="4">[2]BASE!$D$217</definedName>
    <definedName name="__________TPF12" localSheetId="5">[2]BASE!$D$217</definedName>
    <definedName name="__________TPF12">[2]BASE!$D$217</definedName>
    <definedName name="__________TUZ22" localSheetId="4">'[2]BASE ORIGINAL'!#REF!</definedName>
    <definedName name="__________TUZ22" localSheetId="5">'[2]BASE ORIGINAL'!#REF!</definedName>
    <definedName name="__________TUZ22">'[2]BASE ORIGINAL'!#REF!</definedName>
    <definedName name="__________TUZ36" localSheetId="4">'[2]BASE ORIGINAL'!#REF!</definedName>
    <definedName name="__________TUZ36" localSheetId="5">'[2]BASE ORIGINAL'!#REF!</definedName>
    <definedName name="__________TUZ36">'[2]BASE ORIGINAL'!#REF!</definedName>
    <definedName name="__________TZ2110" localSheetId="4">[2]BASE!$D$79</definedName>
    <definedName name="__________TZ2110" localSheetId="5">[2]BASE!$D$79</definedName>
    <definedName name="__________TZ2110">[2]BASE!$D$79</definedName>
    <definedName name="__________TZ214" localSheetId="4">#N/A</definedName>
    <definedName name="__________TZ214" localSheetId="5">#N/A</definedName>
    <definedName name="__________TZ214">#N/A</definedName>
    <definedName name="__________TZ216" localSheetId="4">#N/A</definedName>
    <definedName name="__________TZ216" localSheetId="5">#N/A</definedName>
    <definedName name="__________TZ216">#N/A</definedName>
    <definedName name="__________TZ268">[4]BASE!$D$85</definedName>
    <definedName name="__________TZ323" localSheetId="4">'[2]BASE ORIGINAL'!#REF!</definedName>
    <definedName name="__________TZ323" localSheetId="5">'[2]BASE ORIGINAL'!#REF!</definedName>
    <definedName name="__________TZ323">'[2]BASE ORIGINAL'!#REF!</definedName>
    <definedName name="__________TZ324" localSheetId="4">'[2]BASE ORIGINAL'!#REF!</definedName>
    <definedName name="__________TZ324" localSheetId="5">'[2]BASE ORIGINAL'!#REF!</definedName>
    <definedName name="__________TZ324">'[2]BASE ORIGINAL'!#REF!</definedName>
    <definedName name="__________TZ32510" localSheetId="4">#N/A</definedName>
    <definedName name="__________TZ32510" localSheetId="5">#N/A</definedName>
    <definedName name="__________TZ32510">#N/A</definedName>
    <definedName name="_________ADH12" localSheetId="4">[2]BASE!$D$218</definedName>
    <definedName name="_________ADH12" localSheetId="5">[2]BASE!$D$218</definedName>
    <definedName name="_________ADH12">[2]BASE!$D$218</definedName>
    <definedName name="_________ADM12" localSheetId="4">[2]BASE!$D$219</definedName>
    <definedName name="_________ADM12" localSheetId="5">[2]BASE!$D$219</definedName>
    <definedName name="_________ADM12">[2]BASE!$D$219</definedName>
    <definedName name="_________ADM4" localSheetId="4">[2]BASE!$D$120</definedName>
    <definedName name="_________ADM4" localSheetId="5">[2]BASE!$D$120</definedName>
    <definedName name="_________ADM4">[2]BASE!$D$120</definedName>
    <definedName name="_________AIU1" localSheetId="4">#REF!</definedName>
    <definedName name="_________AIU1" localSheetId="5">#REF!</definedName>
    <definedName name="_________AIU1">#REF!</definedName>
    <definedName name="_________AIU2">[3]BASE!$C$5</definedName>
    <definedName name="_________AIU3">[11]BASE!$C$3</definedName>
    <definedName name="_________BAZ10" localSheetId="4">[2]BASE!$D$270</definedName>
    <definedName name="_________BAZ10" localSheetId="5">[2]BASE!$D$270</definedName>
    <definedName name="_________BAZ10">[2]BASE!$D$270</definedName>
    <definedName name="_________BLO20" localSheetId="4">[2]BASE!$D$56</definedName>
    <definedName name="_________BLO20" localSheetId="5">[2]BASE!$D$56</definedName>
    <definedName name="_________BLO20">[2]BASE!$D$56</definedName>
    <definedName name="_________CAN28" localSheetId="4">[2]BASE!$D$315</definedName>
    <definedName name="_________CAN28" localSheetId="5">[2]BASE!$D$315</definedName>
    <definedName name="_________CAN28">[2]BASE!$D$315</definedName>
    <definedName name="_________Cod1" localSheetId="4">#REF!</definedName>
    <definedName name="_________Cod1" localSheetId="5">#REF!</definedName>
    <definedName name="_________Cod1">#REF!</definedName>
    <definedName name="_________CUA44" localSheetId="4">[2]BASE!$D$253</definedName>
    <definedName name="_________CUA44" localSheetId="5">[2]BASE!$D$253</definedName>
    <definedName name="_________CUA44">[2]BASE!$D$253</definedName>
    <definedName name="_________LA124" localSheetId="4">[2]BASE!$D$64</definedName>
    <definedName name="_________LA124" localSheetId="5">[2]BASE!$D$64</definedName>
    <definedName name="_________LA124">[2]BASE!$D$64</definedName>
    <definedName name="_________LAC18">[4]BASE!$D$252</definedName>
    <definedName name="_________Po2">[5]REAJUSTESACTA1PROVI!#REF!</definedName>
    <definedName name="_________R84JH">[4]BASE!$D$172</definedName>
    <definedName name="_________REP43">[6]BASE!$D$136</definedName>
    <definedName name="_________TEP44" localSheetId="4">#N/A</definedName>
    <definedName name="_________TEP44" localSheetId="5">#N/A</definedName>
    <definedName name="_________TEP44">#N/A</definedName>
    <definedName name="_________TPE1132" localSheetId="4">#N/A</definedName>
    <definedName name="_________TPE1132" localSheetId="5">#N/A</definedName>
    <definedName name="_________TPE1132">#N/A</definedName>
    <definedName name="_________TPE12" localSheetId="4">#REF!</definedName>
    <definedName name="_________TPE12" localSheetId="5">#REF!</definedName>
    <definedName name="_________TPE12">#REF!</definedName>
    <definedName name="_________TPE1331" localSheetId="4">#N/A</definedName>
    <definedName name="_________TPE1331" localSheetId="5">#N/A</definedName>
    <definedName name="_________TPE1331">#N/A</definedName>
    <definedName name="_________TPE1702" localSheetId="4">#N/A</definedName>
    <definedName name="_________TPE1702" localSheetId="5">#N/A</definedName>
    <definedName name="_________TPE1702">#N/A</definedName>
    <definedName name="_________TPE1703" localSheetId="4">#N/A</definedName>
    <definedName name="_________TPE1703" localSheetId="5">#N/A</definedName>
    <definedName name="_________TPE1703">#N/A</definedName>
    <definedName name="_________TPE1704" localSheetId="4">#N/A</definedName>
    <definedName name="_________TPE1704" localSheetId="5">#N/A</definedName>
    <definedName name="_________TPE1704">#N/A</definedName>
    <definedName name="_________TPE1706" localSheetId="4">#N/A</definedName>
    <definedName name="_________TPE1706" localSheetId="5">#N/A</definedName>
    <definedName name="_________TPE1706">#N/A</definedName>
    <definedName name="_________TPE1708" localSheetId="4">#N/A</definedName>
    <definedName name="_________TPE1708" localSheetId="5">#N/A</definedName>
    <definedName name="_________TPE1708">#N/A</definedName>
    <definedName name="_________TPE1710" localSheetId="4">#N/A</definedName>
    <definedName name="_________TPE1710" localSheetId="5">#N/A</definedName>
    <definedName name="_________TPE1710">#N/A</definedName>
    <definedName name="_________TPE1735" localSheetId="4">#N/A</definedName>
    <definedName name="_________TPE1735" localSheetId="5">#N/A</definedName>
    <definedName name="_________TPE1735">#N/A</definedName>
    <definedName name="_________TPE1763" localSheetId="4">#N/A</definedName>
    <definedName name="_________TPE1763" localSheetId="5">#N/A</definedName>
    <definedName name="_________TPE1763">#N/A</definedName>
    <definedName name="_________TPE1790" localSheetId="4">#N/A</definedName>
    <definedName name="_________TPE1790" localSheetId="5">#N/A</definedName>
    <definedName name="_________TPE1790">#N/A</definedName>
    <definedName name="_________TPF12" localSheetId="4">[2]BASE!$D$217</definedName>
    <definedName name="_________TPF12" localSheetId="5">[2]BASE!$D$217</definedName>
    <definedName name="_________TPF12">[2]BASE!$D$217</definedName>
    <definedName name="_________TUZ22" localSheetId="4">'[2]BASE ORIGINAL'!#REF!</definedName>
    <definedName name="_________TUZ22" localSheetId="5">'[2]BASE ORIGINAL'!#REF!</definedName>
    <definedName name="_________TUZ22">'[2]BASE ORIGINAL'!#REF!</definedName>
    <definedName name="_________TUZ36" localSheetId="4">'[2]BASE ORIGINAL'!#REF!</definedName>
    <definedName name="_________TUZ36" localSheetId="5">'[2]BASE ORIGINAL'!#REF!</definedName>
    <definedName name="_________TUZ36">'[2]BASE ORIGINAL'!#REF!</definedName>
    <definedName name="_________TZ2110" localSheetId="4">[2]BASE!$D$79</definedName>
    <definedName name="_________TZ2110" localSheetId="5">[2]BASE!$D$79</definedName>
    <definedName name="_________TZ2110">[2]BASE!$D$79</definedName>
    <definedName name="_________TZ213" localSheetId="9">[2]BASE!$D$85</definedName>
    <definedName name="_________TZ213">[2]BASE!$D$85</definedName>
    <definedName name="_________TZ214" localSheetId="4">#N/A</definedName>
    <definedName name="_________TZ214" localSheetId="5">#N/A</definedName>
    <definedName name="_________TZ214">#N/A</definedName>
    <definedName name="_________TZ216" localSheetId="4">#N/A</definedName>
    <definedName name="_________TZ216" localSheetId="5">#N/A</definedName>
    <definedName name="_________TZ216">#N/A</definedName>
    <definedName name="_________TZ268">[4]BASE!$D$85</definedName>
    <definedName name="_________TZ323" localSheetId="4">'[2]BASE ORIGINAL'!#REF!</definedName>
    <definedName name="_________TZ323" localSheetId="5">'[2]BASE ORIGINAL'!#REF!</definedName>
    <definedName name="_________TZ323">'[2]BASE ORIGINAL'!#REF!</definedName>
    <definedName name="_________TZ324" localSheetId="4">'[2]BASE ORIGINAL'!#REF!</definedName>
    <definedName name="_________TZ324" localSheetId="5">'[2]BASE ORIGINAL'!#REF!</definedName>
    <definedName name="_________TZ324">'[2]BASE ORIGINAL'!#REF!</definedName>
    <definedName name="_________TZ32510" localSheetId="4">#N/A</definedName>
    <definedName name="_________TZ32510" localSheetId="5">#N/A</definedName>
    <definedName name="_________TZ32510">#N/A</definedName>
    <definedName name="________ADH12" localSheetId="4">[2]BASE!$D$218</definedName>
    <definedName name="________ADH12" localSheetId="5">[2]BASE!$D$218</definedName>
    <definedName name="________ADH12">[2]BASE!$D$218</definedName>
    <definedName name="________ADM12" localSheetId="4">[2]BASE!$D$219</definedName>
    <definedName name="________ADM12" localSheetId="5">[2]BASE!$D$219</definedName>
    <definedName name="________ADM12">[2]BASE!$D$219</definedName>
    <definedName name="________ADM4" localSheetId="4">[2]BASE!$D$120</definedName>
    <definedName name="________ADM4" localSheetId="5">[2]BASE!$D$120</definedName>
    <definedName name="________ADM4">[2]BASE!$D$120</definedName>
    <definedName name="________AIU1" localSheetId="4">#REF!</definedName>
    <definedName name="________AIU1" localSheetId="5">#REF!</definedName>
    <definedName name="________AIU1">#REF!</definedName>
    <definedName name="________AIU2">[3]BASE!$C$5</definedName>
    <definedName name="________AIU3">[11]BASE!$C$3</definedName>
    <definedName name="________BAZ10" localSheetId="4">[2]BASE!$D$270</definedName>
    <definedName name="________BAZ10" localSheetId="5">[2]BASE!$D$270</definedName>
    <definedName name="________BAZ10">[2]BASE!$D$270</definedName>
    <definedName name="________BLO20" localSheetId="4">[2]BASE!$D$56</definedName>
    <definedName name="________BLO20" localSheetId="5">[2]BASE!$D$56</definedName>
    <definedName name="________BLO20">[2]BASE!$D$56</definedName>
    <definedName name="________CAN28" localSheetId="4">[2]BASE!$D$315</definedName>
    <definedName name="________CAN28" localSheetId="5">[2]BASE!$D$315</definedName>
    <definedName name="________CAN28">[2]BASE!$D$315</definedName>
    <definedName name="________Cod1" localSheetId="4">#REF!</definedName>
    <definedName name="________Cod1" localSheetId="5">#REF!</definedName>
    <definedName name="________Cod1">#REF!</definedName>
    <definedName name="________CUA44" localSheetId="4">[2]BASE!$D$253</definedName>
    <definedName name="________CUA44" localSheetId="5">[2]BASE!$D$253</definedName>
    <definedName name="________CUA44">[2]BASE!$D$253</definedName>
    <definedName name="________LA124" localSheetId="4">[2]BASE!$D$64</definedName>
    <definedName name="________LA124" localSheetId="5">[2]BASE!$D$64</definedName>
    <definedName name="________LA124">[2]BASE!$D$64</definedName>
    <definedName name="________LAC18">[4]BASE!$D$252</definedName>
    <definedName name="________Po2">[5]REAJUSTESACTA1PROVI!#REF!</definedName>
    <definedName name="________R84JH">[4]BASE!$D$172</definedName>
    <definedName name="________REP43">[6]BASE!$D$136</definedName>
    <definedName name="________TEP44" localSheetId="4">#N/A</definedName>
    <definedName name="________TEP44" localSheetId="5">#N/A</definedName>
    <definedName name="________TEP44">#N/A</definedName>
    <definedName name="________TPE1132" localSheetId="4">#N/A</definedName>
    <definedName name="________TPE1132" localSheetId="5">#N/A</definedName>
    <definedName name="________TPE1132">#N/A</definedName>
    <definedName name="________TPE12" localSheetId="4">#REF!</definedName>
    <definedName name="________TPE12" localSheetId="5">#REF!</definedName>
    <definedName name="________TPE12">#REF!</definedName>
    <definedName name="________TPE1331" localSheetId="4">#N/A</definedName>
    <definedName name="________TPE1331" localSheetId="5">#N/A</definedName>
    <definedName name="________TPE1331">#N/A</definedName>
    <definedName name="________TPE1702" localSheetId="4">#N/A</definedName>
    <definedName name="________TPE1702" localSheetId="5">#N/A</definedName>
    <definedName name="________TPE1702">#N/A</definedName>
    <definedName name="________TPE1703" localSheetId="4">#N/A</definedName>
    <definedName name="________TPE1703" localSheetId="5">#N/A</definedName>
    <definedName name="________TPE1703">#N/A</definedName>
    <definedName name="________TPE1704" localSheetId="4">#N/A</definedName>
    <definedName name="________TPE1704" localSheetId="5">#N/A</definedName>
    <definedName name="________TPE1704">#N/A</definedName>
    <definedName name="________TPE1706" localSheetId="4">#N/A</definedName>
    <definedName name="________TPE1706" localSheetId="5">#N/A</definedName>
    <definedName name="________TPE1706">#N/A</definedName>
    <definedName name="________TPE1708" localSheetId="4">#N/A</definedName>
    <definedName name="________TPE1708" localSheetId="5">#N/A</definedName>
    <definedName name="________TPE1708">#N/A</definedName>
    <definedName name="________TPE1710" localSheetId="4">#N/A</definedName>
    <definedName name="________TPE1710" localSheetId="5">#N/A</definedName>
    <definedName name="________TPE1710">#N/A</definedName>
    <definedName name="________TPE1735" localSheetId="4">#N/A</definedName>
    <definedName name="________TPE1735" localSheetId="5">#N/A</definedName>
    <definedName name="________TPE1735">#N/A</definedName>
    <definedName name="________TPE1763" localSheetId="4">#N/A</definedName>
    <definedName name="________TPE1763" localSheetId="5">#N/A</definedName>
    <definedName name="________TPE1763">#N/A</definedName>
    <definedName name="________TPE1790" localSheetId="4">#N/A</definedName>
    <definedName name="________TPE1790" localSheetId="5">#N/A</definedName>
    <definedName name="________TPE1790">#N/A</definedName>
    <definedName name="________TPF12" localSheetId="4">[2]BASE!$D$217</definedName>
    <definedName name="________TPF12" localSheetId="5">[2]BASE!$D$217</definedName>
    <definedName name="________TPF12">[2]BASE!$D$217</definedName>
    <definedName name="________TUZ22" localSheetId="4">'[2]BASE ORIGINAL'!#REF!</definedName>
    <definedName name="________TUZ22" localSheetId="5">'[2]BASE ORIGINAL'!#REF!</definedName>
    <definedName name="________TUZ22">'[2]BASE ORIGINAL'!#REF!</definedName>
    <definedName name="________TUZ36" localSheetId="4">'[2]BASE ORIGINAL'!#REF!</definedName>
    <definedName name="________TUZ36" localSheetId="5">'[2]BASE ORIGINAL'!#REF!</definedName>
    <definedName name="________TUZ36">'[2]BASE ORIGINAL'!#REF!</definedName>
    <definedName name="________TZ2110" localSheetId="4">[2]BASE!$D$79</definedName>
    <definedName name="________TZ2110" localSheetId="5">[2]BASE!$D$79</definedName>
    <definedName name="________TZ2110">[2]BASE!$D$79</definedName>
    <definedName name="________TZ213">[14]BASE!$D$87</definedName>
    <definedName name="________TZ214" localSheetId="4">#N/A</definedName>
    <definedName name="________TZ214" localSheetId="5">#N/A</definedName>
    <definedName name="________TZ214">#N/A</definedName>
    <definedName name="________TZ216" localSheetId="4">#N/A</definedName>
    <definedName name="________TZ216" localSheetId="5">#N/A</definedName>
    <definedName name="________TZ216">#N/A</definedName>
    <definedName name="________TZ268">[4]BASE!$D$85</definedName>
    <definedName name="________TZ323" localSheetId="4">'[2]BASE ORIGINAL'!#REF!</definedName>
    <definedName name="________TZ323" localSheetId="5">'[2]BASE ORIGINAL'!#REF!</definedName>
    <definedName name="________TZ323">'[2]BASE ORIGINAL'!#REF!</definedName>
    <definedName name="________TZ324" localSheetId="4">'[2]BASE ORIGINAL'!#REF!</definedName>
    <definedName name="________TZ324" localSheetId="5">'[2]BASE ORIGINAL'!#REF!</definedName>
    <definedName name="________TZ324">'[2]BASE ORIGINAL'!#REF!</definedName>
    <definedName name="________TZ32510" localSheetId="4">#N/A</definedName>
    <definedName name="________TZ32510" localSheetId="5">#N/A</definedName>
    <definedName name="________TZ32510">#N/A</definedName>
    <definedName name="_______ADH12" localSheetId="4">[2]BASE!$D$218</definedName>
    <definedName name="_______ADH12" localSheetId="5">[2]BASE!$D$218</definedName>
    <definedName name="_______ADH12">[2]BASE!$D$218</definedName>
    <definedName name="_______ADM12" localSheetId="4">[2]BASE!$D$219</definedName>
    <definedName name="_______ADM12" localSheetId="5">[2]BASE!$D$219</definedName>
    <definedName name="_______ADM12">[2]BASE!$D$219</definedName>
    <definedName name="_______ADM4" localSheetId="4">[2]BASE!$D$120</definedName>
    <definedName name="_______ADM4" localSheetId="5">[2]BASE!$D$120</definedName>
    <definedName name="_______ADM4">[2]BASE!$D$120</definedName>
    <definedName name="_______AIU1" localSheetId="4">#REF!</definedName>
    <definedName name="_______AIU1" localSheetId="5">#REF!</definedName>
    <definedName name="_______AIU1">#REF!</definedName>
    <definedName name="_______AIU2">[3]BASE!$C$5</definedName>
    <definedName name="_______AIU3">[11]BASE!$C$3</definedName>
    <definedName name="_______BAZ10" localSheetId="4">[2]BASE!$D$270</definedName>
    <definedName name="_______BAZ10" localSheetId="5">[2]BASE!$D$270</definedName>
    <definedName name="_______BAZ10">[2]BASE!$D$270</definedName>
    <definedName name="_______BLO20" localSheetId="4">[2]BASE!$D$56</definedName>
    <definedName name="_______BLO20" localSheetId="5">[2]BASE!$D$56</definedName>
    <definedName name="_______BLO20">[2]BASE!$D$56</definedName>
    <definedName name="_______CAN28" localSheetId="4">[2]BASE!$D$315</definedName>
    <definedName name="_______CAN28" localSheetId="5">[2]BASE!$D$315</definedName>
    <definedName name="_______CAN28">[2]BASE!$D$315</definedName>
    <definedName name="_______Cod1" localSheetId="4">#REF!</definedName>
    <definedName name="_______Cod1" localSheetId="5">#REF!</definedName>
    <definedName name="_______Cod1">#REF!</definedName>
    <definedName name="_______CUA44" localSheetId="4">[2]BASE!$D$253</definedName>
    <definedName name="_______CUA44" localSheetId="5">[2]BASE!$D$253</definedName>
    <definedName name="_______CUA44">[2]BASE!$D$253</definedName>
    <definedName name="_______LA124" localSheetId="4">[2]BASE!$D$64</definedName>
    <definedName name="_______LA124" localSheetId="5">[2]BASE!$D$64</definedName>
    <definedName name="_______LA124">[2]BASE!$D$64</definedName>
    <definedName name="_______LAC18">[4]BASE!$D$252</definedName>
    <definedName name="_______Po2">[5]REAJUSTESACTA1PROVI!#REF!</definedName>
    <definedName name="_______R84JH">[4]BASE!$D$172</definedName>
    <definedName name="_______REP43">[6]BASE!$D$136</definedName>
    <definedName name="_______TEP44" localSheetId="4">#N/A</definedName>
    <definedName name="_______TEP44" localSheetId="5">#N/A</definedName>
    <definedName name="_______TEP44" localSheetId="0">[2]BASE!$D$116</definedName>
    <definedName name="_______TEP44">#N/A</definedName>
    <definedName name="_______TPE1132" localSheetId="4">#N/A</definedName>
    <definedName name="_______TPE1132" localSheetId="5">#N/A</definedName>
    <definedName name="_______TPE1132">#N/A</definedName>
    <definedName name="_______TPE12" localSheetId="4">#REF!</definedName>
    <definedName name="_______TPE12" localSheetId="5">#REF!</definedName>
    <definedName name="_______TPE12">#REF!</definedName>
    <definedName name="_______TPE1331" localSheetId="4">#N/A</definedName>
    <definedName name="_______TPE1331" localSheetId="5">#N/A</definedName>
    <definedName name="_______TPE1331">#N/A</definedName>
    <definedName name="_______TPE1702" localSheetId="4">#N/A</definedName>
    <definedName name="_______TPE1702" localSheetId="5">#N/A</definedName>
    <definedName name="_______TPE1702">#N/A</definedName>
    <definedName name="_______TPE1703" localSheetId="4">#N/A</definedName>
    <definedName name="_______TPE1703" localSheetId="5">#N/A</definedName>
    <definedName name="_______TPE1703">#N/A</definedName>
    <definedName name="_______TPE1704" localSheetId="4">#N/A</definedName>
    <definedName name="_______TPE1704" localSheetId="5">#N/A</definedName>
    <definedName name="_______TPE1704">#N/A</definedName>
    <definedName name="_______TPE1706" localSheetId="4">#N/A</definedName>
    <definedName name="_______TPE1706" localSheetId="5">#N/A</definedName>
    <definedName name="_______TPE1706">#N/A</definedName>
    <definedName name="_______TPE1708" localSheetId="4">#N/A</definedName>
    <definedName name="_______TPE1708" localSheetId="5">#N/A</definedName>
    <definedName name="_______TPE1708">#N/A</definedName>
    <definedName name="_______TPE1710" localSheetId="4">#N/A</definedName>
    <definedName name="_______TPE1710" localSheetId="5">#N/A</definedName>
    <definedName name="_______TPE1710">#N/A</definedName>
    <definedName name="_______TPE1735" localSheetId="4">#N/A</definedName>
    <definedName name="_______TPE1735" localSheetId="5">#N/A</definedName>
    <definedName name="_______TPE1735">#N/A</definedName>
    <definedName name="_______TPE1763" localSheetId="4">#N/A</definedName>
    <definedName name="_______TPE1763" localSheetId="5">#N/A</definedName>
    <definedName name="_______TPE1763">#N/A</definedName>
    <definedName name="_______TPE1790" localSheetId="4">#N/A</definedName>
    <definedName name="_______TPE1790" localSheetId="5">#N/A</definedName>
    <definedName name="_______TPE1790">#N/A</definedName>
    <definedName name="_______TPF12" localSheetId="4">[2]BASE!$D$217</definedName>
    <definedName name="_______TPF12" localSheetId="5">[2]BASE!$D$217</definedName>
    <definedName name="_______TPF12">[2]BASE!$D$217</definedName>
    <definedName name="_______TUZ22" localSheetId="4">'[2]BASE ORIGINAL'!#REF!</definedName>
    <definedName name="_______TUZ22" localSheetId="5">'[2]BASE ORIGINAL'!#REF!</definedName>
    <definedName name="_______TUZ22">'[2]BASE ORIGINAL'!#REF!</definedName>
    <definedName name="_______TUZ36" localSheetId="4">'[2]BASE ORIGINAL'!#REF!</definedName>
    <definedName name="_______TUZ36" localSheetId="5">'[2]BASE ORIGINAL'!#REF!</definedName>
    <definedName name="_______TUZ36">'[2]BASE ORIGINAL'!#REF!</definedName>
    <definedName name="_______TZ2110" localSheetId="4">[2]BASE!$D$79</definedName>
    <definedName name="_______TZ2110" localSheetId="5">[2]BASE!$D$79</definedName>
    <definedName name="_______TZ2110">[2]BASE!$D$79</definedName>
    <definedName name="_______TZ213">[11]BASE!$D$89</definedName>
    <definedName name="_______TZ214" localSheetId="4">#N/A</definedName>
    <definedName name="_______TZ214" localSheetId="5">#N/A</definedName>
    <definedName name="_______TZ214" localSheetId="0">[2]BASE!$D$86</definedName>
    <definedName name="_______TZ214">#N/A</definedName>
    <definedName name="_______TZ216" localSheetId="4">#N/A</definedName>
    <definedName name="_______TZ216" localSheetId="5">#N/A</definedName>
    <definedName name="_______TZ216">#N/A</definedName>
    <definedName name="_______TZ268">[4]BASE!$D$85</definedName>
    <definedName name="_______TZ323" localSheetId="4">'[2]BASE ORIGINAL'!#REF!</definedName>
    <definedName name="_______TZ323" localSheetId="5">'[2]BASE ORIGINAL'!#REF!</definedName>
    <definedName name="_______TZ323">'[2]BASE ORIGINAL'!#REF!</definedName>
    <definedName name="_______TZ324" localSheetId="4">'[2]BASE ORIGINAL'!#REF!</definedName>
    <definedName name="_______TZ324" localSheetId="5">'[2]BASE ORIGINAL'!#REF!</definedName>
    <definedName name="_______TZ324">'[2]BASE ORIGINAL'!#REF!</definedName>
    <definedName name="_______TZ32510" localSheetId="4">#N/A</definedName>
    <definedName name="_______TZ32510" localSheetId="5">#N/A</definedName>
    <definedName name="_______TZ32510">#N/A</definedName>
    <definedName name="______ADH12" localSheetId="4">[2]BASE!$D$218</definedName>
    <definedName name="______ADH12" localSheetId="5">[2]BASE!$D$218</definedName>
    <definedName name="______ADH12">[2]BASE!$D$218</definedName>
    <definedName name="______ADM12" localSheetId="4">[2]BASE!$D$219</definedName>
    <definedName name="______ADM12" localSheetId="5">[2]BASE!$D$219</definedName>
    <definedName name="______ADM12">[2]BASE!$D$219</definedName>
    <definedName name="______ADM4" localSheetId="4">[2]BASE!$D$120</definedName>
    <definedName name="______ADM4" localSheetId="5">[2]BASE!$D$120</definedName>
    <definedName name="______ADM4" localSheetId="0">[2]BASE!$D$133</definedName>
    <definedName name="______ADM4">[2]BASE!$D$120</definedName>
    <definedName name="______AIU1" localSheetId="4">#REF!</definedName>
    <definedName name="______AIU1" localSheetId="5">#REF!</definedName>
    <definedName name="______AIU1">#REF!</definedName>
    <definedName name="______AIU2">[3]BASE!$C$5</definedName>
    <definedName name="______AIU3">[11]BASE!$C$3</definedName>
    <definedName name="______BAZ10" localSheetId="4">[2]BASE!$D$270</definedName>
    <definedName name="______BAZ10" localSheetId="5">[2]BASE!$D$270</definedName>
    <definedName name="______BAZ10">[2]BASE!$D$270</definedName>
    <definedName name="______BLO20" localSheetId="4">[2]BASE!$D$56</definedName>
    <definedName name="______BLO20" localSheetId="5">[2]BASE!$D$56</definedName>
    <definedName name="______BLO20" localSheetId="0">[15]BASE!$D$64</definedName>
    <definedName name="______BLO20">[2]BASE!$D$56</definedName>
    <definedName name="______CAN28" localSheetId="4">[2]BASE!$D$315</definedName>
    <definedName name="______CAN28" localSheetId="5">[2]BASE!$D$315</definedName>
    <definedName name="______CAN28">[2]BASE!$D$315</definedName>
    <definedName name="______Cod1" localSheetId="4">#REF!</definedName>
    <definedName name="______Cod1" localSheetId="5">#REF!</definedName>
    <definedName name="______Cod1">#REF!</definedName>
    <definedName name="______CUA44" localSheetId="4">[2]BASE!$D$253</definedName>
    <definedName name="______CUA44" localSheetId="5">[2]BASE!$D$253</definedName>
    <definedName name="______CUA44">[2]BASE!$D$253</definedName>
    <definedName name="______LA124" localSheetId="4">[2]BASE!$D$64</definedName>
    <definedName name="______LA124" localSheetId="5">[2]BASE!$D$64</definedName>
    <definedName name="______LA124">[2]BASE!$D$64</definedName>
    <definedName name="______LAC18">[4]BASE!$D$252</definedName>
    <definedName name="______Po2">[5]REAJUSTESACTA1PROVI!#REF!</definedName>
    <definedName name="______R84JH">[4]BASE!$D$172</definedName>
    <definedName name="______REP43">[6]BASE!$D$136</definedName>
    <definedName name="______TEP44" localSheetId="4">#REF!</definedName>
    <definedName name="______TEP44" localSheetId="5">#REF!</definedName>
    <definedName name="______TEP44" localSheetId="0">[7]BASE!$D$116</definedName>
    <definedName name="______TEP44">#REF!</definedName>
    <definedName name="______TPE1132" localSheetId="4">#N/A</definedName>
    <definedName name="______TPE1132" localSheetId="5">#N/A</definedName>
    <definedName name="______TPE1132">#N/A</definedName>
    <definedName name="______TPE12" localSheetId="4">#REF!</definedName>
    <definedName name="______TPE12" localSheetId="5">#REF!</definedName>
    <definedName name="______TPE12">#REF!</definedName>
    <definedName name="______TPE1331" localSheetId="4">#N/A</definedName>
    <definedName name="______TPE1331" localSheetId="5">#N/A</definedName>
    <definedName name="______TPE1331">#N/A</definedName>
    <definedName name="______TPE1702" localSheetId="4">#N/A</definedName>
    <definedName name="______TPE1702" localSheetId="5">#N/A</definedName>
    <definedName name="______TPE1702">#N/A</definedName>
    <definedName name="______TPE1703" localSheetId="4">#N/A</definedName>
    <definedName name="______TPE1703" localSheetId="5">#N/A</definedName>
    <definedName name="______TPE1703">#N/A</definedName>
    <definedName name="______TPE1704" localSheetId="4">#N/A</definedName>
    <definedName name="______TPE1704" localSheetId="5">#N/A</definedName>
    <definedName name="______TPE1704">#N/A</definedName>
    <definedName name="______TPE1706" localSheetId="4">#N/A</definedName>
    <definedName name="______TPE1706" localSheetId="5">#N/A</definedName>
    <definedName name="______TPE1706">#N/A</definedName>
    <definedName name="______TPE1708" localSheetId="4">#N/A</definedName>
    <definedName name="______TPE1708" localSheetId="5">#N/A</definedName>
    <definedName name="______TPE1708">#N/A</definedName>
    <definedName name="______TPE1710" localSheetId="4">#N/A</definedName>
    <definedName name="______TPE1710" localSheetId="5">#N/A</definedName>
    <definedName name="______TPE1710">#N/A</definedName>
    <definedName name="______TPE1735" localSheetId="4">#N/A</definedName>
    <definedName name="______TPE1735" localSheetId="5">#N/A</definedName>
    <definedName name="______TPE1735">#N/A</definedName>
    <definedName name="______TPE1763" localSheetId="4">#N/A</definedName>
    <definedName name="______TPE1763" localSheetId="5">#N/A</definedName>
    <definedName name="______TPE1763">#N/A</definedName>
    <definedName name="______TPE1790" localSheetId="4">#N/A</definedName>
    <definedName name="______TPE1790" localSheetId="5">#N/A</definedName>
    <definedName name="______TPE1790">#N/A</definedName>
    <definedName name="______TPF12" localSheetId="4">[2]BASE!$D$217</definedName>
    <definedName name="______TPF12" localSheetId="5">[2]BASE!$D$217</definedName>
    <definedName name="______TPF12">[2]BASE!$D$217</definedName>
    <definedName name="______TUZ22" localSheetId="4">'[2]BASE ORIGINAL'!#REF!</definedName>
    <definedName name="______TUZ22" localSheetId="5">'[2]BASE ORIGINAL'!#REF!</definedName>
    <definedName name="______TUZ22">'[2]BASE ORIGINAL'!#REF!</definedName>
    <definedName name="______TUZ36" localSheetId="4">'[2]BASE ORIGINAL'!#REF!</definedName>
    <definedName name="______TUZ36" localSheetId="5">'[2]BASE ORIGINAL'!#REF!</definedName>
    <definedName name="______TUZ36">'[2]BASE ORIGINAL'!#REF!</definedName>
    <definedName name="______TZ2110" localSheetId="4">[2]BASE!$D$79</definedName>
    <definedName name="______TZ2110" localSheetId="5">[2]BASE!$D$79</definedName>
    <definedName name="______TZ2110">[2]BASE!$D$79</definedName>
    <definedName name="______TZ213">[15]BASE!$D$89</definedName>
    <definedName name="______TZ214" localSheetId="4">#N/A</definedName>
    <definedName name="______TZ214" localSheetId="5">#N/A</definedName>
    <definedName name="______TZ214" localSheetId="0">[7]BASE!$D$86</definedName>
    <definedName name="______TZ214">#N/A</definedName>
    <definedName name="______TZ216" localSheetId="4">#REF!</definedName>
    <definedName name="______TZ216" localSheetId="5">#REF!</definedName>
    <definedName name="______TZ216" localSheetId="0">[2]BASE!$D$87</definedName>
    <definedName name="______TZ216">#REF!</definedName>
    <definedName name="______TZ268">[4]BASE!$D$85</definedName>
    <definedName name="______TZ323" localSheetId="4">'[2]BASE ORIGINAL'!#REF!</definedName>
    <definedName name="______TZ323" localSheetId="5">'[2]BASE ORIGINAL'!#REF!</definedName>
    <definedName name="______TZ323">'[2]BASE ORIGINAL'!#REF!</definedName>
    <definedName name="______TZ324" localSheetId="4">'[2]BASE ORIGINAL'!#REF!</definedName>
    <definedName name="______TZ324" localSheetId="5">'[2]BASE ORIGINAL'!#REF!</definedName>
    <definedName name="______TZ324">'[2]BASE ORIGINAL'!#REF!</definedName>
    <definedName name="______TZ32510" localSheetId="4">#N/A</definedName>
    <definedName name="______TZ32510" localSheetId="5">#N/A</definedName>
    <definedName name="______TZ32510">#N/A</definedName>
    <definedName name="_____ADH12" localSheetId="4">[2]BASE!$D$218</definedName>
    <definedName name="_____ADH12" localSheetId="5">[2]BASE!$D$218</definedName>
    <definedName name="_____ADH12">[2]BASE!$D$218</definedName>
    <definedName name="_____ADM12" localSheetId="4">[2]BASE!$D$219</definedName>
    <definedName name="_____ADM12" localSheetId="5">[2]BASE!$D$219</definedName>
    <definedName name="_____ADM12">[2]BASE!$D$219</definedName>
    <definedName name="_____ADM4" localSheetId="4">[2]BASE!$D$120</definedName>
    <definedName name="_____ADM4" localSheetId="5">[2]BASE!$D$120</definedName>
    <definedName name="_____ADM4" localSheetId="0">[1]BASE!$D$120</definedName>
    <definedName name="_____ADM4">[2]BASE!$D$120</definedName>
    <definedName name="_____AIU1" localSheetId="4">#REF!</definedName>
    <definedName name="_____AIU1" localSheetId="5">#REF!</definedName>
    <definedName name="_____AIU1">#REF!</definedName>
    <definedName name="_____AIU2">[3]BASE!$C$5</definedName>
    <definedName name="_____AIU3">[11]BASE!$C$3</definedName>
    <definedName name="_____BAZ10" localSheetId="4">[2]BASE!$D$270</definedName>
    <definedName name="_____BAZ10" localSheetId="5">[2]BASE!$D$270</definedName>
    <definedName name="_____BAZ10">[2]BASE!$D$270</definedName>
    <definedName name="_____BLO20" localSheetId="4">[2]BASE!$D$56</definedName>
    <definedName name="_____BLO20" localSheetId="5">[2]BASE!$D$56</definedName>
    <definedName name="_____BLO20" localSheetId="0">[2]BASE!$D$62</definedName>
    <definedName name="_____BLO20">[2]BASE!$D$56</definedName>
    <definedName name="_____CAN28" localSheetId="4">[2]BASE!$D$315</definedName>
    <definedName name="_____CAN28" localSheetId="5">[2]BASE!$D$315</definedName>
    <definedName name="_____CAN28">[2]BASE!$D$315</definedName>
    <definedName name="_____Cod1" localSheetId="4">#REF!</definedName>
    <definedName name="_____Cod1" localSheetId="5">#REF!</definedName>
    <definedName name="_____Cod1">#REF!</definedName>
    <definedName name="_____CUA44" localSheetId="4">[2]BASE!$D$253</definedName>
    <definedName name="_____CUA44" localSheetId="5">[2]BASE!$D$253</definedName>
    <definedName name="_____CUA44">[2]BASE!$D$253</definedName>
    <definedName name="_____LA124" localSheetId="4">[2]BASE!$D$64</definedName>
    <definedName name="_____LA124" localSheetId="5">[2]BASE!$D$64</definedName>
    <definedName name="_____LA124">[2]BASE!$D$64</definedName>
    <definedName name="_____LAC18">[4]BASE!$D$252</definedName>
    <definedName name="_____Po2">[5]REAJUSTESACTA1PROVI!#REF!</definedName>
    <definedName name="_____R84JH">[4]BASE!$D$172</definedName>
    <definedName name="_____REP43">[6]BASE!$D$136</definedName>
    <definedName name="_____TEP44" localSheetId="4">#N/A</definedName>
    <definedName name="_____TEP44" localSheetId="5">#N/A</definedName>
    <definedName name="_____TEP44" localSheetId="0">[15]BASE!$D$122</definedName>
    <definedName name="_____TEP44">#N/A</definedName>
    <definedName name="_____TPE1132" localSheetId="4">#REF!</definedName>
    <definedName name="_____TPE1132" localSheetId="5">#REF!</definedName>
    <definedName name="_____TPE1132">#REF!</definedName>
    <definedName name="_____TPE12" localSheetId="4">#REF!</definedName>
    <definedName name="_____TPE12" localSheetId="5">#REF!</definedName>
    <definedName name="_____TPE12">#REF!</definedName>
    <definedName name="_____TPE1331" localSheetId="4">#REF!</definedName>
    <definedName name="_____TPE1331" localSheetId="5">#REF!</definedName>
    <definedName name="_____TPE1331">#REF!</definedName>
    <definedName name="_____TPE1702" localSheetId="4">#REF!</definedName>
    <definedName name="_____TPE1702" localSheetId="5">#REF!</definedName>
    <definedName name="_____TPE1702">#REF!</definedName>
    <definedName name="_____TPE1703" localSheetId="4">#REF!</definedName>
    <definedName name="_____TPE1703" localSheetId="5">#REF!</definedName>
    <definedName name="_____TPE1703">#REF!</definedName>
    <definedName name="_____TPE1704" localSheetId="4">#REF!</definedName>
    <definedName name="_____TPE1704" localSheetId="5">#REF!</definedName>
    <definedName name="_____TPE1704">#REF!</definedName>
    <definedName name="_____TPE1706" localSheetId="4">#REF!</definedName>
    <definedName name="_____TPE1706" localSheetId="5">#REF!</definedName>
    <definedName name="_____TPE1706">#REF!</definedName>
    <definedName name="_____TPE1708" localSheetId="4">#REF!</definedName>
    <definedName name="_____TPE1708" localSheetId="5">#REF!</definedName>
    <definedName name="_____TPE1708">#REF!</definedName>
    <definedName name="_____TPE1710" localSheetId="4">#REF!</definedName>
    <definedName name="_____TPE1710" localSheetId="5">#REF!</definedName>
    <definedName name="_____TPE1710">#REF!</definedName>
    <definedName name="_____TPE1735" localSheetId="4">#REF!</definedName>
    <definedName name="_____TPE1735" localSheetId="5">#REF!</definedName>
    <definedName name="_____TPE1735">#REF!</definedName>
    <definedName name="_____TPE1763" localSheetId="4">#REF!</definedName>
    <definedName name="_____TPE1763" localSheetId="5">#REF!</definedName>
    <definedName name="_____TPE1763">#REF!</definedName>
    <definedName name="_____TPE1790" localSheetId="4">#REF!</definedName>
    <definedName name="_____TPE1790" localSheetId="5">#REF!</definedName>
    <definedName name="_____TPE1790">#REF!</definedName>
    <definedName name="_____TPF12" localSheetId="4">[2]BASE!$D$217</definedName>
    <definedName name="_____TPF12" localSheetId="5">[2]BASE!$D$217</definedName>
    <definedName name="_____TPF12">[2]BASE!$D$217</definedName>
    <definedName name="_____TUZ22" localSheetId="4">#REF!</definedName>
    <definedName name="_____TUZ22" localSheetId="5">#REF!</definedName>
    <definedName name="_____TUZ22">#REF!</definedName>
    <definedName name="_____TUZ36" localSheetId="4">#REF!</definedName>
    <definedName name="_____TUZ36" localSheetId="5">#REF!</definedName>
    <definedName name="_____TUZ36">#REF!</definedName>
    <definedName name="_____TZ2110" localSheetId="4">[2]BASE!$D$79</definedName>
    <definedName name="_____TZ2110" localSheetId="5">[2]BASE!$D$79</definedName>
    <definedName name="_____TZ2110">[2]BASE!$D$79</definedName>
    <definedName name="_____TZ213">[11]BASE!$D$89</definedName>
    <definedName name="_____TZ214" localSheetId="4">#REF!</definedName>
    <definedName name="_____TZ214" localSheetId="5">#REF!</definedName>
    <definedName name="_____TZ214" localSheetId="0">[15]BASE!$D$90</definedName>
    <definedName name="_____TZ214">#REF!</definedName>
    <definedName name="_____TZ216" localSheetId="4">#N/A</definedName>
    <definedName name="_____TZ216" localSheetId="5">#N/A</definedName>
    <definedName name="_____TZ216" localSheetId="0">[7]BASE!$D$87</definedName>
    <definedName name="_____TZ216">#N/A</definedName>
    <definedName name="_____TZ268">[4]BASE!$D$85</definedName>
    <definedName name="_____TZ323" localSheetId="4">#REF!</definedName>
    <definedName name="_____TZ323" localSheetId="5">#REF!</definedName>
    <definedName name="_____TZ323">#REF!</definedName>
    <definedName name="_____TZ324" localSheetId="4">#REF!</definedName>
    <definedName name="_____TZ324" localSheetId="5">#REF!</definedName>
    <definedName name="_____TZ324">#REF!</definedName>
    <definedName name="_____TZ32510" localSheetId="4">#REF!</definedName>
    <definedName name="_____TZ32510" localSheetId="5">#REF!</definedName>
    <definedName name="_____TZ32510">#REF!</definedName>
    <definedName name="____ADH12" localSheetId="4">[2]BASE!$D$218</definedName>
    <definedName name="____ADH12" localSheetId="5">[2]BASE!$D$218</definedName>
    <definedName name="____ADH12" localSheetId="0">[2]BASE!$D$341</definedName>
    <definedName name="____ADH12">[2]BASE!$D$218</definedName>
    <definedName name="____ADM12" localSheetId="4">[2]BASE!$D$219</definedName>
    <definedName name="____ADM12" localSheetId="5">[2]BASE!$D$219</definedName>
    <definedName name="____ADM12" localSheetId="0">[2]BASE!$D$342</definedName>
    <definedName name="____ADM12">[2]BASE!$D$219</definedName>
    <definedName name="____ADM4" localSheetId="4">[2]BASE!$D$120</definedName>
    <definedName name="____ADM4" localSheetId="5">[2]BASE!$D$120</definedName>
    <definedName name="____ADM4" localSheetId="0">[15]BASE!$D$141</definedName>
    <definedName name="____ADM4">[2]BASE!$D$120</definedName>
    <definedName name="____AIU1" localSheetId="4">#REF!</definedName>
    <definedName name="____AIU1" localSheetId="5">#REF!</definedName>
    <definedName name="____AIU1">#REF!</definedName>
    <definedName name="____AIU2">[3]BASE!$C$5</definedName>
    <definedName name="____AIU3">[11]BASE!$C$3</definedName>
    <definedName name="____BAZ10" localSheetId="4">[2]BASE!$D$270</definedName>
    <definedName name="____BAZ10" localSheetId="5">[2]BASE!$D$270</definedName>
    <definedName name="____BAZ10" localSheetId="0">[2]BASE!$D$394</definedName>
    <definedName name="____BAZ10">[2]BASE!$D$270</definedName>
    <definedName name="____BLO20" localSheetId="4">[2]BASE!$D$56</definedName>
    <definedName name="____BLO20" localSheetId="5">[2]BASE!$D$56</definedName>
    <definedName name="____BLO20" localSheetId="0">[1]BASE!$D$56</definedName>
    <definedName name="____BLO20">[2]BASE!$D$56</definedName>
    <definedName name="____CAN28" localSheetId="4">[2]BASE!$D$315</definedName>
    <definedName name="____CAN28" localSheetId="5">[2]BASE!$D$315</definedName>
    <definedName name="____CAN28" localSheetId="0">[2]BASE!$D$450</definedName>
    <definedName name="____CAN28">[2]BASE!$D$315</definedName>
    <definedName name="____Cod1" localSheetId="4">#REF!</definedName>
    <definedName name="____Cod1" localSheetId="5">#REF!</definedName>
    <definedName name="____Cod1">#REF!</definedName>
    <definedName name="____CUA44" localSheetId="4">[2]BASE!$D$253</definedName>
    <definedName name="____CUA44" localSheetId="5">[2]BASE!$D$253</definedName>
    <definedName name="____CUA44" localSheetId="0">[2]BASE!$D$377</definedName>
    <definedName name="____CUA44">[2]BASE!$D$253</definedName>
    <definedName name="____FYB02" localSheetId="9">[2]BASE!$D$360</definedName>
    <definedName name="____FYB02">[2]BASE!$D$360</definedName>
    <definedName name="____FYB03">[15]BASE!$D$399</definedName>
    <definedName name="____LA124" localSheetId="4">[2]BASE!$D$64</definedName>
    <definedName name="____LA124" localSheetId="5">[2]BASE!$D$64</definedName>
    <definedName name="____LA124" localSheetId="0">[2]BASE!$D$70</definedName>
    <definedName name="____LA124">[2]BASE!$D$64</definedName>
    <definedName name="____LAC18" localSheetId="0">[2]BASE!$D$386</definedName>
    <definedName name="____LAC18">[4]BASE!$D$252</definedName>
    <definedName name="____Pa1">#REF!</definedName>
    <definedName name="____Pa2">#REF!</definedName>
    <definedName name="____Pa3">#REF!</definedName>
    <definedName name="____Pa4">#REF!</definedName>
    <definedName name="____Po2">[5]REAJUSTESACTA1PROVI!#REF!</definedName>
    <definedName name="____R84JH" localSheetId="0">[2]BASE!$D$293</definedName>
    <definedName name="____R84JH">[4]BASE!$D$172</definedName>
    <definedName name="____REP43">[6]BASE!$D$136</definedName>
    <definedName name="____TEP44" localSheetId="4">#N/A</definedName>
    <definedName name="____TEP44" localSheetId="5">#N/A</definedName>
    <definedName name="____TEP44" localSheetId="0">[11]BASE!$D$122</definedName>
    <definedName name="____TEP44">#N/A</definedName>
    <definedName name="____TPE1132" localSheetId="4">#N/A</definedName>
    <definedName name="____TPE1132" localSheetId="5">#N/A</definedName>
    <definedName name="____TPE1132">#N/A</definedName>
    <definedName name="____TPE12" localSheetId="4">#REF!</definedName>
    <definedName name="____TPE12" localSheetId="5">#REF!</definedName>
    <definedName name="____TPE12">#REF!</definedName>
    <definedName name="____TPE1331" localSheetId="4">#N/A</definedName>
    <definedName name="____TPE1331" localSheetId="5">#N/A</definedName>
    <definedName name="____TPE1331">#N/A</definedName>
    <definedName name="____TPE1702" localSheetId="4">#N/A</definedName>
    <definedName name="____TPE1702" localSheetId="5">#N/A</definedName>
    <definedName name="____TPE1702">#N/A</definedName>
    <definedName name="____TPE1703" localSheetId="4">#N/A</definedName>
    <definedName name="____TPE1703" localSheetId="5">#N/A</definedName>
    <definedName name="____TPE1703">#N/A</definedName>
    <definedName name="____TPE1704" localSheetId="4">#N/A</definedName>
    <definedName name="____TPE1704" localSheetId="5">#N/A</definedName>
    <definedName name="____TPE1704">#N/A</definedName>
    <definedName name="____TPE1706" localSheetId="4">#N/A</definedName>
    <definedName name="____TPE1706" localSheetId="5">#N/A</definedName>
    <definedName name="____TPE1706">#N/A</definedName>
    <definedName name="____TPE1708" localSheetId="4">#N/A</definedName>
    <definedName name="____TPE1708" localSheetId="5">#N/A</definedName>
    <definedName name="____TPE1708">#N/A</definedName>
    <definedName name="____TPE1710" localSheetId="4">#N/A</definedName>
    <definedName name="____TPE1710" localSheetId="5">#N/A</definedName>
    <definedName name="____TPE1710">#N/A</definedName>
    <definedName name="____TPE1735" localSheetId="4">#N/A</definedName>
    <definedName name="____TPE1735" localSheetId="5">#N/A</definedName>
    <definedName name="____TPE1735">#N/A</definedName>
    <definedName name="____TPE1763" localSheetId="4">#N/A</definedName>
    <definedName name="____TPE1763" localSheetId="5">#N/A</definedName>
    <definedName name="____TPE1763">#N/A</definedName>
    <definedName name="____TPE1790" localSheetId="4">#N/A</definedName>
    <definedName name="____TPE1790" localSheetId="5">#N/A</definedName>
    <definedName name="____TPE1790">#N/A</definedName>
    <definedName name="____TPF12" localSheetId="4">[2]BASE!$D$217</definedName>
    <definedName name="____TPF12" localSheetId="5">[2]BASE!$D$217</definedName>
    <definedName name="____TPF12" localSheetId="0">[2]BASE!$D$340</definedName>
    <definedName name="____TPF12">[2]BASE!$D$217</definedName>
    <definedName name="____TUZ22" localSheetId="4">'[2]BASE ORIGINAL'!#REF!</definedName>
    <definedName name="____TUZ22" localSheetId="5">'[2]BASE ORIGINAL'!#REF!</definedName>
    <definedName name="____TUZ22">'[2]BASE ORIGINAL'!#REF!</definedName>
    <definedName name="____TUZ36" localSheetId="4">'[2]BASE ORIGINAL'!#REF!</definedName>
    <definedName name="____TUZ36" localSheetId="5">'[2]BASE ORIGINAL'!#REF!</definedName>
    <definedName name="____TUZ36">'[2]BASE ORIGINAL'!#REF!</definedName>
    <definedName name="____TZ2110" localSheetId="4">[2]BASE!$D$79</definedName>
    <definedName name="____TZ2110" localSheetId="5">[2]BASE!$D$79</definedName>
    <definedName name="____TZ2110">[2]BASE!$D$79</definedName>
    <definedName name="____TZ212" localSheetId="9">[2]BASE!$D$83</definedName>
    <definedName name="____TZ212">[2]BASE!$D$83</definedName>
    <definedName name="____TZ213">[11]BASE!$D$89</definedName>
    <definedName name="____TZ214" localSheetId="4">#N/A</definedName>
    <definedName name="____TZ214" localSheetId="5">#N/A</definedName>
    <definedName name="____TZ214" localSheetId="0">[11]BASE!$D$90</definedName>
    <definedName name="____TZ214">#N/A</definedName>
    <definedName name="____TZ216" localSheetId="4">#N/A</definedName>
    <definedName name="____TZ216" localSheetId="5">#N/A</definedName>
    <definedName name="____TZ216" localSheetId="0">[16]BASE!$D$88</definedName>
    <definedName name="____TZ216">#N/A</definedName>
    <definedName name="____TZ263">[15]BASE!$D$99</definedName>
    <definedName name="____TZ268" localSheetId="0">[2]BASE!$D$98</definedName>
    <definedName name="____TZ268">[4]BASE!$D$85</definedName>
    <definedName name="____TZ323" localSheetId="4">'[2]BASE ORIGINAL'!#REF!</definedName>
    <definedName name="____TZ323" localSheetId="5">'[2]BASE ORIGINAL'!#REF!</definedName>
    <definedName name="____TZ323">'[2]BASE ORIGINAL'!#REF!</definedName>
    <definedName name="____TZ324" localSheetId="4">'[2]BASE ORIGINAL'!#REF!</definedName>
    <definedName name="____TZ324" localSheetId="5">'[2]BASE ORIGINAL'!#REF!</definedName>
    <definedName name="____TZ324">'[2]BASE ORIGINAL'!#REF!</definedName>
    <definedName name="____TZ32510" localSheetId="4">#N/A</definedName>
    <definedName name="____TZ32510" localSheetId="5">#N/A</definedName>
    <definedName name="____TZ32510">#N/A</definedName>
    <definedName name="___ADH12" localSheetId="4">[2]BASE!$D$218</definedName>
    <definedName name="___ADH12" localSheetId="5">[2]BASE!$D$218</definedName>
    <definedName name="___ADH12" localSheetId="0">[1]BASE!$D$218</definedName>
    <definedName name="___ADH12">[2]BASE!$D$218</definedName>
    <definedName name="___ADM12" localSheetId="4">[2]BASE!$D$219</definedName>
    <definedName name="___ADM12" localSheetId="5">[2]BASE!$D$219</definedName>
    <definedName name="___ADM12" localSheetId="0">[1]BASE!$D$219</definedName>
    <definedName name="___ADM12">[2]BASE!$D$219</definedName>
    <definedName name="___ADM2" localSheetId="9">[2]BASE!$D$131</definedName>
    <definedName name="___ADM2">[2]BASE!$D$131</definedName>
    <definedName name="___ADM4" localSheetId="4">#REF!</definedName>
    <definedName name="___ADM4" localSheetId="5">#REF!</definedName>
    <definedName name="___ADM4" localSheetId="0">#REF!</definedName>
    <definedName name="___ADM4">#REF!</definedName>
    <definedName name="___AIU1" localSheetId="4">#REF!</definedName>
    <definedName name="___AIU1" localSheetId="5">#REF!</definedName>
    <definedName name="___AIU1" localSheetId="0">#REF!</definedName>
    <definedName name="___AIU1">#REF!</definedName>
    <definedName name="___AIU2" localSheetId="0">[17]BASE!$C$5</definedName>
    <definedName name="___AIU2">[3]BASE!$C$5</definedName>
    <definedName name="___AIU3" localSheetId="9">#N/A</definedName>
    <definedName name="___AIU3">#N/A</definedName>
    <definedName name="___BAZ10" localSheetId="4">[2]BASE!$D$270</definedName>
    <definedName name="___BAZ10" localSheetId="5">[2]BASE!$D$270</definedName>
    <definedName name="___BAZ10" localSheetId="0">[1]BASE!$D$270</definedName>
    <definedName name="___BAZ10">[2]BASE!$D$270</definedName>
    <definedName name="___BLO20" localSheetId="4">[2]BASE!$D$56</definedName>
    <definedName name="___BLO20" localSheetId="5">[2]BASE!$D$56</definedName>
    <definedName name="___BLO20" localSheetId="0">[18]BASE!$D$64</definedName>
    <definedName name="___BLO20">[2]BASE!$D$56</definedName>
    <definedName name="___C452JH" localSheetId="9">[2]BASE!$D$318</definedName>
    <definedName name="___C452JH">[2]BASE!$D$318</definedName>
    <definedName name="___CAN28" localSheetId="4">[2]BASE!$D$315</definedName>
    <definedName name="___CAN28" localSheetId="5">[2]BASE!$D$315</definedName>
    <definedName name="___CAN28" localSheetId="0">[1]BASE!$D$315</definedName>
    <definedName name="___CAN28">[2]BASE!$D$315</definedName>
    <definedName name="___Cod1" localSheetId="4">#REF!</definedName>
    <definedName name="___Cod1" localSheetId="5">#REF!</definedName>
    <definedName name="___Cod1" localSheetId="0">#REF!</definedName>
    <definedName name="___Cod1">#REF!</definedName>
    <definedName name="___CUA44" localSheetId="4">[2]BASE!$D$253</definedName>
    <definedName name="___CUA44" localSheetId="5">[2]BASE!$D$253</definedName>
    <definedName name="___CUA44" localSheetId="0">[1]BASE!$D$253</definedName>
    <definedName name="___CUA44">[2]BASE!$D$253</definedName>
    <definedName name="___ETF315" localSheetId="9">[2]BASE!$D$461</definedName>
    <definedName name="___ETF315">[2]BASE!$D$461</definedName>
    <definedName name="___FYB02">[11]BASE!$D$397</definedName>
    <definedName name="___LA124" localSheetId="4">[2]BASE!$D$64</definedName>
    <definedName name="___LA124" localSheetId="5">[2]BASE!$D$64</definedName>
    <definedName name="___LA124" localSheetId="0">[1]BASE!$D$64</definedName>
    <definedName name="___LA124">[2]BASE!$D$64</definedName>
    <definedName name="___LAC18" localSheetId="0">[4]BASE!$D$252</definedName>
    <definedName name="___LAC18">[4]BASE!$D$252</definedName>
    <definedName name="___Pa1" localSheetId="4">#REF!</definedName>
    <definedName name="___Pa1" localSheetId="5">#REF!</definedName>
    <definedName name="___Pa1" localSheetId="0">#N/A</definedName>
    <definedName name="___Pa1">#REF!</definedName>
    <definedName name="___Pa2" localSheetId="4">#REF!</definedName>
    <definedName name="___Pa2" localSheetId="5">#REF!</definedName>
    <definedName name="___Pa2" localSheetId="0">#N/A</definedName>
    <definedName name="___Pa2">#REF!</definedName>
    <definedName name="___Pa3" localSheetId="4">#REF!</definedName>
    <definedName name="___Pa3" localSheetId="5">#REF!</definedName>
    <definedName name="___Pa3" localSheetId="0">#N/A</definedName>
    <definedName name="___Pa3">#REF!</definedName>
    <definedName name="___Pa4" localSheetId="4">#REF!</definedName>
    <definedName name="___Pa4" localSheetId="5">#REF!</definedName>
    <definedName name="___Pa4" localSheetId="0">#N/A</definedName>
    <definedName name="___Pa4">#REF!</definedName>
    <definedName name="___Po2" localSheetId="0">[5]REAJUSTESACTA1PROVI!#REF!</definedName>
    <definedName name="___Po2">[5]REAJUSTESACTA1PROVI!#REF!</definedName>
    <definedName name="___R84JH" localSheetId="0">[4]BASE!$D$172</definedName>
    <definedName name="___R84JH">[4]BASE!$D$172</definedName>
    <definedName name="___REP43">[6]BASE!$D$136</definedName>
    <definedName name="___TEP44" localSheetId="4">#N/A</definedName>
    <definedName name="___TEP44" localSheetId="5">#N/A</definedName>
    <definedName name="___TEP44" localSheetId="0">[4]BASE!$D$102</definedName>
    <definedName name="___TEP44">#N/A</definedName>
    <definedName name="___TPE1132" localSheetId="4">#N/A</definedName>
    <definedName name="___TPE1132" localSheetId="5">#N/A</definedName>
    <definedName name="___TPE1132" localSheetId="0">[2]BASE!#REF!</definedName>
    <definedName name="___TPE1132">#N/A</definedName>
    <definedName name="___TPE12" localSheetId="4">#REF!</definedName>
    <definedName name="___TPE12" localSheetId="5">#REF!</definedName>
    <definedName name="___TPE12" localSheetId="0">#REF!</definedName>
    <definedName name="___TPE12">#REF!</definedName>
    <definedName name="___TPE1331" localSheetId="4">#N/A</definedName>
    <definedName name="___TPE1331" localSheetId="5">#N/A</definedName>
    <definedName name="___TPE1331" localSheetId="0">[2]BASE!#REF!</definedName>
    <definedName name="___TPE1331">#N/A</definedName>
    <definedName name="___TPE1702" localSheetId="4">#N/A</definedName>
    <definedName name="___TPE1702" localSheetId="5">#N/A</definedName>
    <definedName name="___TPE1702" localSheetId="0">[2]BASE!#REF!</definedName>
    <definedName name="___TPE1702">#N/A</definedName>
    <definedName name="___TPE1703" localSheetId="4">#N/A</definedName>
    <definedName name="___TPE1703" localSheetId="5">#N/A</definedName>
    <definedName name="___TPE1703" localSheetId="0">[2]BASE!#REF!</definedName>
    <definedName name="___TPE1703">#N/A</definedName>
    <definedName name="___TPE1704" localSheetId="4">#N/A</definedName>
    <definedName name="___TPE1704" localSheetId="5">#N/A</definedName>
    <definedName name="___TPE1704" localSheetId="0">[2]BASE!#REF!</definedName>
    <definedName name="___TPE1704">#N/A</definedName>
    <definedName name="___TPE1706" localSheetId="4">#N/A</definedName>
    <definedName name="___TPE1706" localSheetId="5">#N/A</definedName>
    <definedName name="___TPE1706" localSheetId="0">[2]BASE!#REF!</definedName>
    <definedName name="___TPE1706">#N/A</definedName>
    <definedName name="___TPE1708" localSheetId="4">#N/A</definedName>
    <definedName name="___TPE1708" localSheetId="5">#N/A</definedName>
    <definedName name="___TPE1708" localSheetId="0">[2]BASE!#REF!</definedName>
    <definedName name="___TPE1708">#N/A</definedName>
    <definedName name="___TPE1710" localSheetId="4">#N/A</definedName>
    <definedName name="___TPE1710" localSheetId="5">#N/A</definedName>
    <definedName name="___TPE1710" localSheetId="0">[2]BASE!#REF!</definedName>
    <definedName name="___TPE1710">#N/A</definedName>
    <definedName name="___TPE1735" localSheetId="4">#N/A</definedName>
    <definedName name="___TPE1735" localSheetId="5">#N/A</definedName>
    <definedName name="___TPE1735" localSheetId="0">[2]BASE!#REF!</definedName>
    <definedName name="___TPE1735">#N/A</definedName>
    <definedName name="___TPE1763" localSheetId="4">#N/A</definedName>
    <definedName name="___TPE1763" localSheetId="5">#N/A</definedName>
    <definedName name="___TPE1763" localSheetId="0">[2]BASE!#REF!</definedName>
    <definedName name="___TPE1763">#N/A</definedName>
    <definedName name="___TPE1790" localSheetId="4">#N/A</definedName>
    <definedName name="___TPE1790" localSheetId="5">#N/A</definedName>
    <definedName name="___TPE1790" localSheetId="0">[2]BASE!#REF!</definedName>
    <definedName name="___TPE1790">#N/A</definedName>
    <definedName name="___TPF12" localSheetId="4">[2]BASE!$D$217</definedName>
    <definedName name="___TPF12" localSheetId="5">[2]BASE!$D$217</definedName>
    <definedName name="___TPF12" localSheetId="0">[1]BASE!$D$217</definedName>
    <definedName name="___TPF12">[2]BASE!$D$217</definedName>
    <definedName name="___TPN1003" localSheetId="9">[2]BASE!$D$151</definedName>
    <definedName name="___TPN1003">[2]BASE!$D$151</definedName>
    <definedName name="___TUZ22" localSheetId="4">'[2]BASE ORIGINAL'!#REF!</definedName>
    <definedName name="___TUZ22" localSheetId="5">'[2]BASE ORIGINAL'!#REF!</definedName>
    <definedName name="___TUZ22" localSheetId="0">[2]BASE!#REF!</definedName>
    <definedName name="___TUZ22">'[2]BASE ORIGINAL'!#REF!</definedName>
    <definedName name="___TUZ36" localSheetId="4">'[2]BASE ORIGINAL'!#REF!</definedName>
    <definedName name="___TUZ36" localSheetId="5">'[2]BASE ORIGINAL'!#REF!</definedName>
    <definedName name="___TUZ36" localSheetId="0">[2]BASE!#REF!</definedName>
    <definedName name="___TUZ36">'[2]BASE ORIGINAL'!#REF!</definedName>
    <definedName name="___TZ2110" localSheetId="4">[2]BASE!$D$79</definedName>
    <definedName name="___TZ2110" localSheetId="5">[2]BASE!$D$79</definedName>
    <definedName name="___TZ2110" localSheetId="0">[2]BASE!$D$89</definedName>
    <definedName name="___TZ2110">[2]BASE!$D$79</definedName>
    <definedName name="___TZ212">[11]BASE!$D$86</definedName>
    <definedName name="___TZ213">[11]BASE!$D$89</definedName>
    <definedName name="___TZ214" localSheetId="4">#N/A</definedName>
    <definedName name="___TZ214" localSheetId="5">#N/A</definedName>
    <definedName name="___TZ214" localSheetId="0">[16]BASE!$D$87</definedName>
    <definedName name="___TZ214">#N/A</definedName>
    <definedName name="___TZ216" localSheetId="4">#N/A</definedName>
    <definedName name="___TZ216" localSheetId="5">#N/A</definedName>
    <definedName name="___TZ216" localSheetId="0">[4]BASE!$D$76</definedName>
    <definedName name="___TZ216">#N/A</definedName>
    <definedName name="___TZ268" localSheetId="0">[4]BASE!$D$85</definedName>
    <definedName name="___TZ268">[4]BASE!$D$85</definedName>
    <definedName name="___TZ323" localSheetId="4">'[2]BASE ORIGINAL'!#REF!</definedName>
    <definedName name="___TZ323" localSheetId="5">'[2]BASE ORIGINAL'!#REF!</definedName>
    <definedName name="___TZ323" localSheetId="0">[2]BASE!#REF!</definedName>
    <definedName name="___TZ323">'[2]BASE ORIGINAL'!#REF!</definedName>
    <definedName name="___TZ324" localSheetId="4">'[2]BASE ORIGINAL'!#REF!</definedName>
    <definedName name="___TZ324" localSheetId="5">'[2]BASE ORIGINAL'!#REF!</definedName>
    <definedName name="___TZ324" localSheetId="0">[2]BASE!#REF!</definedName>
    <definedName name="___TZ324">'[2]BASE ORIGINAL'!#REF!</definedName>
    <definedName name="___TZ32510" localSheetId="4">#N/A</definedName>
    <definedName name="___TZ32510" localSheetId="5">#N/A</definedName>
    <definedName name="___TZ32510" localSheetId="0">[2]BASE!$D$106</definedName>
    <definedName name="___TZ32510">#N/A</definedName>
    <definedName name="__ADH12" localSheetId="4">[2]BASE!$D$218</definedName>
    <definedName name="__ADH12" localSheetId="5">[2]BASE!$D$218</definedName>
    <definedName name="__ADH12" localSheetId="0">[4]BASE!$D$209</definedName>
    <definedName name="__ADH12" localSheetId="1">[1]BASE!$D$218</definedName>
    <definedName name="__ADH12">[2]BASE!$D$218</definedName>
    <definedName name="__ADM12" localSheetId="4">[2]BASE!$D$219</definedName>
    <definedName name="__ADM12" localSheetId="5">[2]BASE!$D$219</definedName>
    <definedName name="__ADM12" localSheetId="0">[4]BASE!$D$210</definedName>
    <definedName name="__ADM12" localSheetId="1">[1]BASE!$D$219</definedName>
    <definedName name="__ADM12">[2]BASE!$D$219</definedName>
    <definedName name="__ADM2" localSheetId="9">[16]BASE!$D$132</definedName>
    <definedName name="__ADM2">[16]BASE!$D$132</definedName>
    <definedName name="__ADM3" localSheetId="9">[16]BASE!$D$133</definedName>
    <definedName name="__ADM3">[16]BASE!$D$133</definedName>
    <definedName name="__ADM4" localSheetId="4">#REF!</definedName>
    <definedName name="__ADM4" localSheetId="5">#REF!</definedName>
    <definedName name="__ADM4" localSheetId="0">#REF!</definedName>
    <definedName name="__ADM4" localSheetId="1">[1]BASE!$D$120</definedName>
    <definedName name="__ADM4">#REF!</definedName>
    <definedName name="__AIU1" localSheetId="4">#REF!</definedName>
    <definedName name="__AIU1" localSheetId="5">#REF!</definedName>
    <definedName name="__AIU1" localSheetId="0">#REF!</definedName>
    <definedName name="__AIU1">#REF!</definedName>
    <definedName name="__AIU2" localSheetId="0">[3]BASE!$C$5</definedName>
    <definedName name="__AIU2">[3]BASE!$C$5</definedName>
    <definedName name="__AIU3" localSheetId="9">#N/A</definedName>
    <definedName name="__AIU3">#N/A</definedName>
    <definedName name="__AIU5" localSheetId="4">#N/A</definedName>
    <definedName name="__AIU5" localSheetId="5">#N/A</definedName>
    <definedName name="__AIU5" localSheetId="0">#N/A</definedName>
    <definedName name="__AIU5">#N/A</definedName>
    <definedName name="__BAZ10" localSheetId="4">[2]BASE!$D$270</definedName>
    <definedName name="__BAZ10" localSheetId="5">[2]BASE!$D$270</definedName>
    <definedName name="__BAZ10" localSheetId="0">[4]BASE!$D$260</definedName>
    <definedName name="__BAZ10" localSheetId="1">[1]BASE!$D$270</definedName>
    <definedName name="__BAZ10">[2]BASE!$D$270</definedName>
    <definedName name="__BLO20" localSheetId="4">[2]BASE!$D$56</definedName>
    <definedName name="__BLO20" localSheetId="5">[2]BASE!$D$56</definedName>
    <definedName name="__BLO20" localSheetId="0">[4]BASE!$D$56</definedName>
    <definedName name="__BLO20" localSheetId="1">[1]BASE!$D$56</definedName>
    <definedName name="__BLO20">[2]BASE!$D$56</definedName>
    <definedName name="__C452JH">[19]BASE!$D$342</definedName>
    <definedName name="__CAN28" localSheetId="4">[2]BASE!$D$315</definedName>
    <definedName name="__CAN28" localSheetId="5">[2]BASE!$D$315</definedName>
    <definedName name="__CAN28" localSheetId="0">[4]BASE!$D$305</definedName>
    <definedName name="__CAN28" localSheetId="1">[1]BASE!$D$315</definedName>
    <definedName name="__CAN28">[2]BASE!$D$315</definedName>
    <definedName name="__Cod1" localSheetId="4">#REF!</definedName>
    <definedName name="__Cod1" localSheetId="5">#REF!</definedName>
    <definedName name="__Cod1" localSheetId="0">#N/A</definedName>
    <definedName name="__Cod1">#REF!</definedName>
    <definedName name="__CUA44" localSheetId="4">[2]BASE!$D$253</definedName>
    <definedName name="__CUA44" localSheetId="5">[2]BASE!$D$253</definedName>
    <definedName name="__CUA44" localSheetId="0">[4]BASE!$D$244</definedName>
    <definedName name="__CUA44" localSheetId="1">[1]BASE!$D$253</definedName>
    <definedName name="__CUA44">[2]BASE!$D$253</definedName>
    <definedName name="__ETF315">[20]BASE!$D$493</definedName>
    <definedName name="__FYB02">[11]BASE!$D$397</definedName>
    <definedName name="__FYB03" localSheetId="9">[2]BASE!$D$361</definedName>
    <definedName name="__FYB03">[2]BASE!$D$361</definedName>
    <definedName name="__LA124" localSheetId="4">[2]BASE!$D$64</definedName>
    <definedName name="__LA124" localSheetId="5">[2]BASE!$D$64</definedName>
    <definedName name="__LA124" localSheetId="0">[4]BASE!$D$64</definedName>
    <definedName name="__LA124" localSheetId="1">[1]BASE!$D$64</definedName>
    <definedName name="__LA124">[2]BASE!$D$64</definedName>
    <definedName name="__LAC18" localSheetId="0">[4]BASE!$D$252</definedName>
    <definedName name="__LAC18">[4]BASE!$D$252</definedName>
    <definedName name="__Pa1" localSheetId="4">#REF!</definedName>
    <definedName name="__Pa1" localSheetId="5">#REF!</definedName>
    <definedName name="__Pa1" localSheetId="0">#REF!</definedName>
    <definedName name="__Pa1">#REF!</definedName>
    <definedName name="__Pa2" localSheetId="4">#REF!</definedName>
    <definedName name="__Pa2" localSheetId="5">#REF!</definedName>
    <definedName name="__Pa2" localSheetId="0">#REF!</definedName>
    <definedName name="__Pa2">#REF!</definedName>
    <definedName name="__Pa3" localSheetId="4">#REF!</definedName>
    <definedName name="__Pa3" localSheetId="5">#REF!</definedName>
    <definedName name="__Pa3" localSheetId="0">#REF!</definedName>
    <definedName name="__Pa3">#REF!</definedName>
    <definedName name="__Pa4" localSheetId="4">#REF!</definedName>
    <definedName name="__Pa4" localSheetId="5">#REF!</definedName>
    <definedName name="__Pa4" localSheetId="0">#REF!</definedName>
    <definedName name="__Pa4">#REF!</definedName>
    <definedName name="__Po2" localSheetId="0">[5]REAJUSTESACTA1PROVI!#REF!</definedName>
    <definedName name="__Po2">[5]REAJUSTESACTA1PROVI!#REF!</definedName>
    <definedName name="__R32JH" localSheetId="9">[2]BASE!$D$299</definedName>
    <definedName name="__R32JH">[2]BASE!$D$299</definedName>
    <definedName name="__R42JH" localSheetId="9">[2]BASE!$D$298</definedName>
    <definedName name="__R42JH">[2]BASE!$D$298</definedName>
    <definedName name="__R43JH" localSheetId="9">[2]BASE!$D$297</definedName>
    <definedName name="__R43JH">[2]BASE!$D$297</definedName>
    <definedName name="__R84JH" localSheetId="0">[4]BASE!$D$172</definedName>
    <definedName name="__R84JH">[4]BASE!$D$172</definedName>
    <definedName name="__REP43">[6]BASE!$D$136</definedName>
    <definedName name="__ST206" localSheetId="9">[2]BASE!$D$251</definedName>
    <definedName name="__ST206">[2]BASE!$D$251</definedName>
    <definedName name="__SY126" localSheetId="9">[2]BASE!$D$260</definedName>
    <definedName name="__SY126">[2]BASE!$D$260</definedName>
    <definedName name="__SY186" localSheetId="9">[2]BASE!$D$263</definedName>
    <definedName name="__SY186">[2]BASE!$D$263</definedName>
    <definedName name="__TEE32" localSheetId="9">[2]BASE!$D$178</definedName>
    <definedName name="__TEE32">[2]BASE!$D$178</definedName>
    <definedName name="__TEE33">[21]BASE!$D$187</definedName>
    <definedName name="__TEP44" localSheetId="4">#REF!</definedName>
    <definedName name="__TEP44" localSheetId="5">#REF!</definedName>
    <definedName name="__TEP44" localSheetId="0">#REF!</definedName>
    <definedName name="__TEP44">#REF!</definedName>
    <definedName name="__TES66" localSheetId="9">[2]BASE!$D$206</definedName>
    <definedName name="__TES66">[2]BASE!$D$206</definedName>
    <definedName name="__TPE1132" localSheetId="4">#N/A</definedName>
    <definedName name="__TPE1132" localSheetId="5">#N/A</definedName>
    <definedName name="__TPE1132" localSheetId="0">[7]BASE!#REF!</definedName>
    <definedName name="__TPE1132">#N/A</definedName>
    <definedName name="__TPE12" localSheetId="4">#REF!</definedName>
    <definedName name="__TPE12" localSheetId="5">#REF!</definedName>
    <definedName name="__TPE12" localSheetId="0">#REF!</definedName>
    <definedName name="__TPE12">#REF!</definedName>
    <definedName name="__TPE1331" localSheetId="4">#N/A</definedName>
    <definedName name="__TPE1331" localSheetId="5">#N/A</definedName>
    <definedName name="__TPE1331" localSheetId="0">[7]BASE!#REF!</definedName>
    <definedName name="__TPE1331">#N/A</definedName>
    <definedName name="__TPE1702" localSheetId="4">#N/A</definedName>
    <definedName name="__TPE1702" localSheetId="5">#N/A</definedName>
    <definedName name="__TPE1702" localSheetId="0">[7]BASE!#REF!</definedName>
    <definedName name="__TPE1702">#N/A</definedName>
    <definedName name="__TPE1703" localSheetId="4">#N/A</definedName>
    <definedName name="__TPE1703" localSheetId="5">#N/A</definedName>
    <definedName name="__TPE1703" localSheetId="0">[7]BASE!#REF!</definedName>
    <definedName name="__TPE1703">#N/A</definedName>
    <definedName name="__TPE1704" localSheetId="4">#N/A</definedName>
    <definedName name="__TPE1704" localSheetId="5">#N/A</definedName>
    <definedName name="__TPE1704" localSheetId="0">[7]BASE!#REF!</definedName>
    <definedName name="__TPE1704">#N/A</definedName>
    <definedName name="__TPE1706" localSheetId="4">#N/A</definedName>
    <definedName name="__TPE1706" localSheetId="5">#N/A</definedName>
    <definedName name="__TPE1706" localSheetId="0">[7]BASE!#REF!</definedName>
    <definedName name="__TPE1706">#N/A</definedName>
    <definedName name="__TPE1708" localSheetId="4">#N/A</definedName>
    <definedName name="__TPE1708" localSheetId="5">#N/A</definedName>
    <definedName name="__TPE1708" localSheetId="0">[7]BASE!#REF!</definedName>
    <definedName name="__TPE1708">#N/A</definedName>
    <definedName name="__TPE1710" localSheetId="4">#N/A</definedName>
    <definedName name="__TPE1710" localSheetId="5">#N/A</definedName>
    <definedName name="__TPE1710" localSheetId="0">[7]BASE!#REF!</definedName>
    <definedName name="__TPE1710">#N/A</definedName>
    <definedName name="__TPE1735" localSheetId="4">#N/A</definedName>
    <definedName name="__TPE1735" localSheetId="5">#N/A</definedName>
    <definedName name="__TPE1735" localSheetId="0">[7]BASE!#REF!</definedName>
    <definedName name="__TPE1735">#N/A</definedName>
    <definedName name="__TPE1763" localSheetId="4">#N/A</definedName>
    <definedName name="__TPE1763" localSheetId="5">#N/A</definedName>
    <definedName name="__TPE1763" localSheetId="0">[7]BASE!#REF!</definedName>
    <definedName name="__TPE1763">#N/A</definedName>
    <definedName name="__TPE1790" localSheetId="4">#N/A</definedName>
    <definedName name="__TPE1790" localSheetId="5">#N/A</definedName>
    <definedName name="__TPE1790" localSheetId="0">[7]BASE!#REF!</definedName>
    <definedName name="__TPE1790">#N/A</definedName>
    <definedName name="__TPE8016" localSheetId="9">[2]BASE!$D$146</definedName>
    <definedName name="__TPE8016">[2]BASE!$D$146</definedName>
    <definedName name="__TPF12" localSheetId="4">[2]BASE!$D$217</definedName>
    <definedName name="__TPF12" localSheetId="5">[2]BASE!$D$217</definedName>
    <definedName name="__TPF12" localSheetId="0">[4]BASE!$D$208</definedName>
    <definedName name="__TPF12" localSheetId="1">[1]BASE!$D$217</definedName>
    <definedName name="__TPF12">[2]BASE!$D$217</definedName>
    <definedName name="__TPN1002" localSheetId="9">[2]BASE!$D$150</definedName>
    <definedName name="__TPN1002">[2]BASE!$D$150</definedName>
    <definedName name="__TPN1003">[21]BASE!$D$158</definedName>
    <definedName name="__TPN1606" localSheetId="9">[2]BASE!$D$171</definedName>
    <definedName name="__TPN1606">[2]BASE!$D$171</definedName>
    <definedName name="__TUZ22" localSheetId="4">'[2]BASE ORIGINAL'!#REF!</definedName>
    <definedName name="__TUZ22" localSheetId="5">'[2]BASE ORIGINAL'!#REF!</definedName>
    <definedName name="__TUZ22" localSheetId="0">'[9]BASE ORIGINAL'!#REF!</definedName>
    <definedName name="__TUZ22">'[2]BASE ORIGINAL'!#REF!</definedName>
    <definedName name="__TUZ36" localSheetId="4">'[2]BASE ORIGINAL'!#REF!</definedName>
    <definedName name="__TUZ36" localSheetId="5">'[2]BASE ORIGINAL'!#REF!</definedName>
    <definedName name="__TUZ36" localSheetId="0">'[9]BASE ORIGINAL'!#REF!</definedName>
    <definedName name="__TUZ36">'[2]BASE ORIGINAL'!#REF!</definedName>
    <definedName name="__TZ2110" localSheetId="4">[2]BASE!$D$79</definedName>
    <definedName name="__TZ2110" localSheetId="5">[2]BASE!$D$79</definedName>
    <definedName name="__TZ2110" localSheetId="0">[1]BASE!$D$79</definedName>
    <definedName name="__TZ2110" localSheetId="1">[1]BASE!$D$79</definedName>
    <definedName name="__TZ2110">[2]BASE!$D$79</definedName>
    <definedName name="__TZ2114" localSheetId="9">[2]BASE!$D$91</definedName>
    <definedName name="__TZ2114">[2]BASE!$D$91</definedName>
    <definedName name="__TZ212" localSheetId="4">[22]BASE!$D$84</definedName>
    <definedName name="__TZ212" localSheetId="5">[22]BASE!$D$84</definedName>
    <definedName name="__TZ212" localSheetId="0">[16]BASE!$D$84</definedName>
    <definedName name="__TZ212">[22]BASE!$D$84</definedName>
    <definedName name="__TZ213">[23]BASE!$D$89</definedName>
    <definedName name="__TZ214" localSheetId="4">#N/A</definedName>
    <definedName name="__TZ214" localSheetId="5">#N/A</definedName>
    <definedName name="__TZ214" localSheetId="0">[4]BASE!$D$75</definedName>
    <definedName name="__TZ214">#N/A</definedName>
    <definedName name="__TZ216" localSheetId="4">#REF!</definedName>
    <definedName name="__TZ216" localSheetId="5">#REF!</definedName>
    <definedName name="__TZ216" localSheetId="0">#REF!</definedName>
    <definedName name="__TZ216">#REF!</definedName>
    <definedName name="__TZ218" localSheetId="9">[4]BASE!$D$77</definedName>
    <definedName name="__TZ218">[4]BASE!$D$77</definedName>
    <definedName name="__TZ225" localSheetId="9">[2]BASE!$D$84</definedName>
    <definedName name="__TZ225">[2]BASE!$D$84</definedName>
    <definedName name="__TZ262" localSheetId="9">[2]BASE!$D$94</definedName>
    <definedName name="__TZ262">[2]BASE!$D$94</definedName>
    <definedName name="__TZ263" localSheetId="9">[2]BASE!$D$95</definedName>
    <definedName name="__TZ263">[2]BASE!$D$95</definedName>
    <definedName name="__TZ268" localSheetId="0">[4]BASE!$D$85</definedName>
    <definedName name="__TZ268">[4]BASE!$D$85</definedName>
    <definedName name="__TZ323" localSheetId="4">'[2]BASE ORIGINAL'!#REF!</definedName>
    <definedName name="__TZ323" localSheetId="5">'[2]BASE ORIGINAL'!#REF!</definedName>
    <definedName name="__TZ323" localSheetId="0">'[9]BASE ORIGINAL'!#REF!</definedName>
    <definedName name="__TZ323">'[2]BASE ORIGINAL'!#REF!</definedName>
    <definedName name="__TZ324" localSheetId="4">'[2]BASE ORIGINAL'!#REF!</definedName>
    <definedName name="__TZ324" localSheetId="5">'[2]BASE ORIGINAL'!#REF!</definedName>
    <definedName name="__TZ324" localSheetId="0">'[9]BASE ORIGINAL'!#REF!</definedName>
    <definedName name="__TZ324">'[2]BASE ORIGINAL'!#REF!</definedName>
    <definedName name="__TZ32510" localSheetId="4">#N/A</definedName>
    <definedName name="__TZ32510" localSheetId="5">#N/A</definedName>
    <definedName name="__TZ32510" localSheetId="0">[7]BASE!$D$106</definedName>
    <definedName name="__TZ32510">#N/A</definedName>
    <definedName name="__TZ3254" localSheetId="9">[2]BASE!$D$103</definedName>
    <definedName name="__TZ3254">[2]BASE!$D$103</definedName>
    <definedName name="__TZ3256" localSheetId="9">[2]BASE!$D$104</definedName>
    <definedName name="__TZ3256">[2]BASE!$D$104</definedName>
    <definedName name="__TZ416" localSheetId="9">[2]BASE!$D$110</definedName>
    <definedName name="__TZ416">[2]BASE!$D$110</definedName>
    <definedName name="__UDD08" localSheetId="9">[4]BASE!$D$257</definedName>
    <definedName name="__UDD08">[4]BASE!$D$257</definedName>
    <definedName name="_30__AIU" localSheetId="9">#REF!</definedName>
    <definedName name="_30__AIU" localSheetId="0">#REF!</definedName>
    <definedName name="_30__AIU">#REF!</definedName>
    <definedName name="_ADH12" localSheetId="0">[24]BASE!$D$218</definedName>
    <definedName name="_ADH12" localSheetId="1">[1]BASE!$D$218</definedName>
    <definedName name="_ADH12">[1]BASE!$D$218</definedName>
    <definedName name="_ADM12" localSheetId="0">[24]BASE!$D$219</definedName>
    <definedName name="_ADM12" localSheetId="1">[1]BASE!$D$219</definedName>
    <definedName name="_ADM12">[1]BASE!$D$219</definedName>
    <definedName name="_ADM2" localSheetId="4">#REF!</definedName>
    <definedName name="_ADM2" localSheetId="5">#REF!</definedName>
    <definedName name="_ADM2" localSheetId="0">[25]BASE!$D$182</definedName>
    <definedName name="_ADM2">#REF!</definedName>
    <definedName name="_ADM3" localSheetId="4">#REF!</definedName>
    <definedName name="_ADM3" localSheetId="5">#REF!</definedName>
    <definedName name="_ADM3" localSheetId="0">[2]BASE!$D$132</definedName>
    <definedName name="_ADM3">#REF!</definedName>
    <definedName name="_ADM4" localSheetId="0">[24]BASE!$D$120</definedName>
    <definedName name="_ADM4" localSheetId="1">[1]BASE!$D$120</definedName>
    <definedName name="_ADM4">[1]BASE!$D$120</definedName>
    <definedName name="_ADP1" localSheetId="4">#REF!</definedName>
    <definedName name="_ADP1" localSheetId="5">#REF!</definedName>
    <definedName name="_ADP1" localSheetId="0">[2]BASE!$D$185</definedName>
    <definedName name="_ADP1">#REF!</definedName>
    <definedName name="_AIU1" localSheetId="4">#N/A</definedName>
    <definedName name="_AIU1" localSheetId="5">#N/A</definedName>
    <definedName name="_AIU1" localSheetId="0">#N/A</definedName>
    <definedName name="_AIU1">#N/A</definedName>
    <definedName name="_AIU2">[3]BASE!$C$5</definedName>
    <definedName name="_AIU3">[11]BASE!$C$3</definedName>
    <definedName name="_BAZ10" localSheetId="0">[24]BASE!$D$270</definedName>
    <definedName name="_BAZ10" localSheetId="1">[1]BASE!$D$270</definedName>
    <definedName name="_BAZ10">[1]BASE!$D$270</definedName>
    <definedName name="_BLO20" localSheetId="0">[24]BASE!$D$56</definedName>
    <definedName name="_BLO20" localSheetId="1">[1]BASE!$D$56</definedName>
    <definedName name="_BLO20">[1]BASE!$D$56</definedName>
    <definedName name="_C2256JH" localSheetId="9">[2]BASE!$D$323</definedName>
    <definedName name="_C2256JH">[2]BASE!$D$323</definedName>
    <definedName name="_C452JH">[11]BASE!$D$342</definedName>
    <definedName name="_CAN28" localSheetId="0">[24]BASE!$D$315</definedName>
    <definedName name="_CAN28" localSheetId="1">[1]BASE!$D$315</definedName>
    <definedName name="_CAN28">[1]BASE!$D$315</definedName>
    <definedName name="_Cod1" localSheetId="4">#N/A</definedName>
    <definedName name="_Cod1" localSheetId="5">#N/A</definedName>
    <definedName name="_Cod1" localSheetId="0">#N/A</definedName>
    <definedName name="_Cod1">#N/A</definedName>
    <definedName name="_CUA44" localSheetId="0">[24]BASE!$D$253</definedName>
    <definedName name="_CUA44" localSheetId="1">[1]BASE!$D$253</definedName>
    <definedName name="_CUA44">[1]BASE!$D$253</definedName>
    <definedName name="_EEF110" localSheetId="4">#REF!</definedName>
    <definedName name="_EEF110" localSheetId="5">#REF!</definedName>
    <definedName name="_EEF110">#REF!</definedName>
    <definedName name="_ETF315" localSheetId="4">#REF!</definedName>
    <definedName name="_ETF315" localSheetId="5">#REF!</definedName>
    <definedName name="_ETF315" localSheetId="0">[25]BASE!$D$1775</definedName>
    <definedName name="_ETF315">#REF!</definedName>
    <definedName name="_Fill" localSheetId="4" hidden="1">#REF!</definedName>
    <definedName name="_Fill" localSheetId="5" hidden="1">#REF!</definedName>
    <definedName name="_Fill" localSheetId="0" hidden="1">#REF!</definedName>
    <definedName name="_Fill" hidden="1">#REF!</definedName>
    <definedName name="_xlnm._FilterDatabase" localSheetId="4" hidden="1">'A.P.U. 2023'!$A$286:$G$296</definedName>
    <definedName name="_xlnm._FilterDatabase" localSheetId="3" hidden="1">'FICHAS '!$A$5:$BT$60</definedName>
    <definedName name="_xlnm._FilterDatabase" localSheetId="2" hidden="1">'ppto sistema septico'!$A$10:$AM$56</definedName>
    <definedName name="_xlnm._FilterDatabase" localSheetId="8" hidden="1">'Salarios y transporte'!$B$47:$K$126</definedName>
    <definedName name="_FYB02" localSheetId="4">#REF!</definedName>
    <definedName name="_FYB02" localSheetId="5">#REF!</definedName>
    <definedName name="_FYB02" localSheetId="0">[25]BASE!$D$1663</definedName>
    <definedName name="_FYB02">#REF!</definedName>
    <definedName name="_FYB03" localSheetId="4">#REF!</definedName>
    <definedName name="_FYB03" localSheetId="5">#REF!</definedName>
    <definedName name="_FYB03" localSheetId="0">[25]BASE!$D$1664</definedName>
    <definedName name="_FYB03">#REF!</definedName>
    <definedName name="_FYB04" localSheetId="4">#REF!</definedName>
    <definedName name="_FYB04" localSheetId="5">#REF!</definedName>
    <definedName name="_FYB04" localSheetId="0">[2]BASE!$D$362</definedName>
    <definedName name="_FYB04">#REF!</definedName>
    <definedName name="_FYB08" localSheetId="4">#REF!</definedName>
    <definedName name="_FYB08" localSheetId="5">#REF!</definedName>
    <definedName name="_FYB08" localSheetId="0">[2]BASE!$D$363</definedName>
    <definedName name="_FYB08">#REF!</definedName>
    <definedName name="_FYB10" localSheetId="4">#REF!</definedName>
    <definedName name="_FYB10" localSheetId="5">#REF!</definedName>
    <definedName name="_FYB10" localSheetId="0">[2]BASE!$D$364</definedName>
    <definedName name="_FYB10">#REF!</definedName>
    <definedName name="_LA124" localSheetId="0">[24]BASE!$D$64</definedName>
    <definedName name="_LA124" localSheetId="1">[1]BASE!$D$64</definedName>
    <definedName name="_LA124">[1]BASE!$D$64</definedName>
    <definedName name="_LAC18">[4]BASE!$D$252</definedName>
    <definedName name="_Order1" hidden="1">255</definedName>
    <definedName name="_Order2" hidden="1">255</definedName>
    <definedName name="_Pa1" localSheetId="4">#REF!</definedName>
    <definedName name="_Pa1" localSheetId="5">#REF!</definedName>
    <definedName name="_Pa1" localSheetId="0">'[26]Paral. 1'!$E$1:$E$65536</definedName>
    <definedName name="_Pa1">'[26]Paral. 1'!$E$1:$E$65536</definedName>
    <definedName name="_Pa2" localSheetId="4">#REF!</definedName>
    <definedName name="_Pa2" localSheetId="5">#REF!</definedName>
    <definedName name="_Pa2" localSheetId="0">'[26]Paral. 2'!$E$1:$E$65536</definedName>
    <definedName name="_Pa2">'[26]Paral. 2'!$E$1:$E$65536</definedName>
    <definedName name="_Pa3" localSheetId="4">#REF!</definedName>
    <definedName name="_Pa3" localSheetId="5">#REF!</definedName>
    <definedName name="_Pa3" localSheetId="0">'[26]Paral. 3'!$E$1:$E$65536</definedName>
    <definedName name="_Pa3">'[26]Paral. 3'!$E$1:$E$65536</definedName>
    <definedName name="_Pa4" localSheetId="4">#REF!</definedName>
    <definedName name="_Pa4" localSheetId="5">#REF!</definedName>
    <definedName name="_Pa4" localSheetId="0">[26]Paral.4!$E$1:$E$65536</definedName>
    <definedName name="_Pa4">[26]Paral.4!$E$1:$E$65536</definedName>
    <definedName name="_Po2" localSheetId="0">[5]REAJUSTESACTA1PROVI!#REF!</definedName>
    <definedName name="_Po2">[5]REAJUSTESACTA1PROVI!#REF!</definedName>
    <definedName name="_Po3" localSheetId="0">[5]REAJUSTESACTA1PROVI!#REF!</definedName>
    <definedName name="_Po3">[5]REAJUSTESACTA1PROVI!#REF!</definedName>
    <definedName name="_R108BB" localSheetId="4">#REF!</definedName>
    <definedName name="_R108BB" localSheetId="5">#REF!</definedName>
    <definedName name="_R108BB">#REF!</definedName>
    <definedName name="_R1210JH" localSheetId="4">#REF!</definedName>
    <definedName name="_R1210JH" localSheetId="5">#REF!</definedName>
    <definedName name="_R1210JH">#REF!</definedName>
    <definedName name="_R126EXBB" localSheetId="4">#REF!</definedName>
    <definedName name="_R126EXBB" localSheetId="5">#REF!</definedName>
    <definedName name="_R126EXBB">#REF!</definedName>
    <definedName name="_R32EL" localSheetId="4">#REF!</definedName>
    <definedName name="_R32EL" localSheetId="5">#REF!</definedName>
    <definedName name="_R32EL">#REF!</definedName>
    <definedName name="_R32JH" localSheetId="4">#REF!</definedName>
    <definedName name="_R32JH" localSheetId="5">#REF!</definedName>
    <definedName name="_R32JH" localSheetId="0">[25]BASE!$D$1600</definedName>
    <definedName name="_R32JH">#REF!</definedName>
    <definedName name="_R42JH" localSheetId="4">#REF!</definedName>
    <definedName name="_R42JH" localSheetId="5">#REF!</definedName>
    <definedName name="_R42JH" localSheetId="0">[25]BASE!$D$1599</definedName>
    <definedName name="_R42JH">#REF!</definedName>
    <definedName name="_R43JH" localSheetId="4">#REF!</definedName>
    <definedName name="_R43JH" localSheetId="5">#REF!</definedName>
    <definedName name="_R43JH" localSheetId="0">[25]BASE!$D$1598</definedName>
    <definedName name="_R43JH">#REF!</definedName>
    <definedName name="_R63BB" localSheetId="4">#REF!</definedName>
    <definedName name="_R63BB" localSheetId="5">#REF!</definedName>
    <definedName name="_R63BB" localSheetId="0">[2]BASE!$D$302</definedName>
    <definedName name="_R63BB">#REF!</definedName>
    <definedName name="_R63JH" localSheetId="4">#REF!</definedName>
    <definedName name="_R63JH" localSheetId="5">#REF!</definedName>
    <definedName name="_R63JH" localSheetId="0">[2]BASE!$D$296</definedName>
    <definedName name="_R63JH">#REF!</definedName>
    <definedName name="_R64BB" localSheetId="4">#REF!</definedName>
    <definedName name="_R64BB" localSheetId="5">#REF!</definedName>
    <definedName name="_R64BB" localSheetId="0">[2]BASE!$D$301</definedName>
    <definedName name="_R64BB">#REF!</definedName>
    <definedName name="_R64JH" localSheetId="4">#REF!</definedName>
    <definedName name="_R64JH" localSheetId="5">#REF!</definedName>
    <definedName name="_R64JH" localSheetId="0">[2]BASE!$D$295</definedName>
    <definedName name="_R64JH">#REF!</definedName>
    <definedName name="_R83JH" localSheetId="4">#REF!</definedName>
    <definedName name="_R83JH" localSheetId="5">#REF!</definedName>
    <definedName name="_R83JH" localSheetId="0">[2]BASE!$D$294</definedName>
    <definedName name="_R83JH">#REF!</definedName>
    <definedName name="_R84JH">[4]BASE!$D$172</definedName>
    <definedName name="_R86JH" localSheetId="4">#REF!</definedName>
    <definedName name="_R86JH" localSheetId="5">#REF!</definedName>
    <definedName name="_R86JH" localSheetId="0">[2]BASE!$D$292</definedName>
    <definedName name="_R86JH">#REF!</definedName>
    <definedName name="_RED104" localSheetId="4">#REF!</definedName>
    <definedName name="_RED104" localSheetId="5">#REF!</definedName>
    <definedName name="_RED104">#REF!</definedName>
    <definedName name="_RED106" localSheetId="4">#REF!</definedName>
    <definedName name="_RED106" localSheetId="5">#REF!</definedName>
    <definedName name="_RED106">#REF!</definedName>
    <definedName name="_RED1210" localSheetId="4">#REF!</definedName>
    <definedName name="_RED1210" localSheetId="5">#REF!</definedName>
    <definedName name="_RED1210">#REF!</definedName>
    <definedName name="_RED32" localSheetId="4">#REF!</definedName>
    <definedName name="_RED32" localSheetId="5">#REF!</definedName>
    <definedName name="_RED32" localSheetId="0">[2]BASE!$D$180</definedName>
    <definedName name="_RED32">#REF!</definedName>
    <definedName name="_red42" localSheetId="4">#REF!</definedName>
    <definedName name="_red42" localSheetId="5">#REF!</definedName>
    <definedName name="_red42">#REF!</definedName>
    <definedName name="_RED43" localSheetId="4">#REF!</definedName>
    <definedName name="_RED43" localSheetId="5">#REF!</definedName>
    <definedName name="_RED43">#REF!</definedName>
    <definedName name="_REP21" localSheetId="4">#REF!</definedName>
    <definedName name="_REP21" localSheetId="5">#REF!</definedName>
    <definedName name="_REP21" localSheetId="0">[2]BASE!$D$134</definedName>
    <definedName name="_REP21">#REF!</definedName>
    <definedName name="_REP42" localSheetId="4">#REF!</definedName>
    <definedName name="_REP42" localSheetId="5">#REF!</definedName>
    <definedName name="_REP42" localSheetId="0">[2]BASE!$D$135</definedName>
    <definedName name="_REP42">#REF!</definedName>
    <definedName name="_REP43">[6]BASE!$D$136</definedName>
    <definedName name="_RES64" localSheetId="4">#REF!</definedName>
    <definedName name="_RES64" localSheetId="5">#REF!</definedName>
    <definedName name="_RES64" localSheetId="0">[2]BASE!$D$209</definedName>
    <definedName name="_RES64">#REF!</definedName>
    <definedName name="_SMMLV" localSheetId="4">'[27]8.2 PRESTACIONES'!$F$14</definedName>
    <definedName name="_SMMLV" localSheetId="5">'[27]8.2 PRESTACIONES'!$F$14</definedName>
    <definedName name="_SMMLV" localSheetId="0">'[28]8.2 PRESTACIONES'!$F$14</definedName>
    <definedName name="_SMMLV">'[27]8.2 PRESTACIONES'!$F$14</definedName>
    <definedName name="_ST106" localSheetId="4">#REF!</definedName>
    <definedName name="_ST106" localSheetId="5">#REF!</definedName>
    <definedName name="_ST106" localSheetId="0">[2]BASE!$D$247</definedName>
    <definedName name="_ST106">#REF!</definedName>
    <definedName name="_ST126" localSheetId="4">#REF!</definedName>
    <definedName name="_ST126" localSheetId="5">#REF!</definedName>
    <definedName name="_ST126" localSheetId="0">[2]BASE!$D$248</definedName>
    <definedName name="_ST126">#REF!</definedName>
    <definedName name="_ST146" localSheetId="4">#REF!</definedName>
    <definedName name="_ST146" localSheetId="5">#REF!</definedName>
    <definedName name="_ST146" localSheetId="0">[2]BASE!$D$267</definedName>
    <definedName name="_ST146">#REF!</definedName>
    <definedName name="_ST166" localSheetId="4">#REF!</definedName>
    <definedName name="_ST166" localSheetId="5">#REF!</definedName>
    <definedName name="_ST166" localSheetId="0">[2]BASE!$D$249</definedName>
    <definedName name="_ST166">#REF!</definedName>
    <definedName name="_ST186" localSheetId="4">#REF!</definedName>
    <definedName name="_ST186" localSheetId="5">#REF!</definedName>
    <definedName name="_ST186" localSheetId="0">[2]BASE!$D$250</definedName>
    <definedName name="_ST186">#REF!</definedName>
    <definedName name="_ST206" localSheetId="4">#REF!</definedName>
    <definedName name="_ST206" localSheetId="5">#REF!</definedName>
    <definedName name="_ST206" localSheetId="0">[25]BASE!$D$1549</definedName>
    <definedName name="_ST206">#REF!</definedName>
    <definedName name="_ST86" localSheetId="4">#REF!</definedName>
    <definedName name="_ST86" localSheetId="5">#REF!</definedName>
    <definedName name="_ST86" localSheetId="0">[2]BASE!$D$246</definedName>
    <definedName name="_ST86">#REF!</definedName>
    <definedName name="_SY104" localSheetId="4">#REF!</definedName>
    <definedName name="_SY104" localSheetId="5">#REF!</definedName>
    <definedName name="_SY104">#REF!</definedName>
    <definedName name="_SY106" localSheetId="4">#REF!</definedName>
    <definedName name="_SY106" localSheetId="5">#REF!</definedName>
    <definedName name="_SY106" localSheetId="0">[2]BASE!$D$258</definedName>
    <definedName name="_SY106">#REF!</definedName>
    <definedName name="_SY124" localSheetId="4">#REF!</definedName>
    <definedName name="_SY124" localSheetId="5">#REF!</definedName>
    <definedName name="_SY124">#REF!</definedName>
    <definedName name="_SY126" localSheetId="4">#REF!</definedName>
    <definedName name="_SY126" localSheetId="5">#REF!</definedName>
    <definedName name="_SY126" localSheetId="0">[25]BASE!$D$1558</definedName>
    <definedName name="_SY126">#REF!</definedName>
    <definedName name="_SY164" localSheetId="4">#REF!</definedName>
    <definedName name="_SY164" localSheetId="5">#REF!</definedName>
    <definedName name="_SY164">#REF!</definedName>
    <definedName name="_SY166" localSheetId="4">#REF!</definedName>
    <definedName name="_SY166" localSheetId="5">#REF!</definedName>
    <definedName name="_SY166" localSheetId="0">[2]BASE!$D$262</definedName>
    <definedName name="_SY166">#REF!</definedName>
    <definedName name="_SY186" localSheetId="4">#REF!</definedName>
    <definedName name="_SY186" localSheetId="5">#REF!</definedName>
    <definedName name="_SY186" localSheetId="0">[25]BASE!$D$1561</definedName>
    <definedName name="_SY186">#REF!</definedName>
    <definedName name="_SY206" localSheetId="4">#REF!</definedName>
    <definedName name="_SY206" localSheetId="5">#REF!</definedName>
    <definedName name="_SY206" localSheetId="0">[2]BASE!$D$264</definedName>
    <definedName name="_SY206">#REF!</definedName>
    <definedName name="_SY64" localSheetId="4">#REF!</definedName>
    <definedName name="_SY64" localSheetId="5">#REF!</definedName>
    <definedName name="_SY64">#REF!</definedName>
    <definedName name="_SY84" localSheetId="4">#REF!</definedName>
    <definedName name="_SY84" localSheetId="5">#REF!</definedName>
    <definedName name="_SY84">#REF!</definedName>
    <definedName name="_SY86" localSheetId="4">#REF!</definedName>
    <definedName name="_SY86" localSheetId="5">#REF!</definedName>
    <definedName name="_SY86" localSheetId="0">[2]BASE!$D$256</definedName>
    <definedName name="_SY86">#REF!</definedName>
    <definedName name="_T22JH" localSheetId="4">[25]BASE!$D$1578</definedName>
    <definedName name="_T22JH" localSheetId="5">[25]BASE!$D$1578</definedName>
    <definedName name="_T22JH" localSheetId="0">[25]BASE!$D$1578</definedName>
    <definedName name="_T22JH">[25]BASE!$D$1578</definedName>
    <definedName name="_T32JH" localSheetId="4">[25]BASE!$D$1577</definedName>
    <definedName name="_T32JH" localSheetId="5">[25]BASE!$D$1577</definedName>
    <definedName name="_T32JH" localSheetId="0">[25]BASE!$D$1577</definedName>
    <definedName name="_T32JH">[25]BASE!$D$1577</definedName>
    <definedName name="_T33JH" localSheetId="4">[25]BASE!$D$1576</definedName>
    <definedName name="_T33JH" localSheetId="5">[25]BASE!$D$1576</definedName>
    <definedName name="_T33JH" localSheetId="0">[25]BASE!$D$1576</definedName>
    <definedName name="_T33JH">[25]BASE!$D$1576</definedName>
    <definedName name="_T42JH" localSheetId="4">[25]BASE!$D$1575</definedName>
    <definedName name="_T42JH" localSheetId="5">[25]BASE!$D$1575</definedName>
    <definedName name="_T42JH" localSheetId="0">[25]BASE!$D$1575</definedName>
    <definedName name="_T42JH">[25]BASE!$D$1575</definedName>
    <definedName name="_T43JH" localSheetId="4">[25]BASE!$D$1574</definedName>
    <definedName name="_T43JH" localSheetId="5">[25]BASE!$D$1574</definedName>
    <definedName name="_T43JH" localSheetId="0">[25]BASE!$D$1574</definedName>
    <definedName name="_T43JH">[25]BASE!$D$1574</definedName>
    <definedName name="_T44JH" localSheetId="4">[25]BASE!$D$1569</definedName>
    <definedName name="_T44JH" localSheetId="5">[25]BASE!$D$1569</definedName>
    <definedName name="_T44JH" localSheetId="0">[25]BASE!$D$1569</definedName>
    <definedName name="_T44JH">[25]BASE!$D$1569</definedName>
    <definedName name="_T62JH" localSheetId="4">[25]BASE!$D$1573</definedName>
    <definedName name="_T62JH" localSheetId="5">[25]BASE!$D$1573</definedName>
    <definedName name="_T62JH" localSheetId="0">[25]BASE!$D$1573</definedName>
    <definedName name="_T62JH">[25]BASE!$D$1573</definedName>
    <definedName name="_TABLA" localSheetId="4">[29]BASE!$D$1610</definedName>
    <definedName name="_TABLA" localSheetId="5">[29]BASE!$D$1610</definedName>
    <definedName name="_TABLA" localSheetId="0">[25]BASE!$D$1682</definedName>
    <definedName name="_TABLA">[29]BASE!$D$1610</definedName>
    <definedName name="_Table1_Out" localSheetId="4" hidden="1">[30]CARBOCOL!#REF!</definedName>
    <definedName name="_Table1_Out" localSheetId="5" hidden="1">[30]CARBOCOL!#REF!</definedName>
    <definedName name="_Table1_Out" localSheetId="0" hidden="1">[30]CARBOCOL!#REF!</definedName>
    <definedName name="_Table1_Out" hidden="1">[30]CARBOCOL!#REF!</definedName>
    <definedName name="_Table2_In2" localSheetId="4" hidden="1">[31]ANUAL1!#REF!</definedName>
    <definedName name="_Table2_In2" localSheetId="5" hidden="1">[31]ANUAL1!#REF!</definedName>
    <definedName name="_Table2_In2" localSheetId="0" hidden="1">[31]ANUAL1!#REF!</definedName>
    <definedName name="_Table2_In2" hidden="1">[31]ANUAL1!#REF!</definedName>
    <definedName name="_Table2_Out" localSheetId="4" hidden="1">[30]CARBOCOL!#REF!</definedName>
    <definedName name="_Table2_Out" localSheetId="5" hidden="1">[30]CARBOCOL!#REF!</definedName>
    <definedName name="_Table2_Out" localSheetId="0" hidden="1">[30]CARBOCOL!#REF!</definedName>
    <definedName name="_Table2_Out" hidden="1">[30]CARBOCOL!#REF!</definedName>
    <definedName name="_TACOM" localSheetId="4">[25]BASE!$D$1765</definedName>
    <definedName name="_TACOM" localSheetId="5">[25]BASE!$D$1765</definedName>
    <definedName name="_TACOM" localSheetId="0">[25]BASE!$D$1765</definedName>
    <definedName name="_TACOM">[25]BASE!$D$1765</definedName>
    <definedName name="_TACOR" localSheetId="4">[29]BASE!$D$108</definedName>
    <definedName name="_TACOR" localSheetId="5">[29]BASE!$D$108</definedName>
    <definedName name="_TACOR" localSheetId="0">[25]BASE!$D$1763</definedName>
    <definedName name="_TACOR">[29]BASE!$D$108</definedName>
    <definedName name="_TAP2" localSheetId="4">#REF!</definedName>
    <definedName name="_TAP2" localSheetId="5">#REF!</definedName>
    <definedName name="_TAP2" localSheetId="0">[25]BASE!$D$1480</definedName>
    <definedName name="_TAP2">#REF!</definedName>
    <definedName name="_TAPAM" localSheetId="4">[25]BASE!$D$1654</definedName>
    <definedName name="_TAPAM" localSheetId="5">[25]BASE!$D$1654</definedName>
    <definedName name="_TAPAM" localSheetId="0">[25]BASE!$D$1654</definedName>
    <definedName name="_TAPAM">[25]BASE!$D$1654</definedName>
    <definedName name="_TASP1" localSheetId="4">[25]BASE!$D$1635</definedName>
    <definedName name="_TASP1" localSheetId="5">[25]BASE!$D$1635</definedName>
    <definedName name="_TASP1" localSheetId="0">[25]BASE!$D$1635</definedName>
    <definedName name="_TASP1">[25]BASE!$D$1635</definedName>
    <definedName name="_TASP2" localSheetId="4">[25]BASE!$D$1636</definedName>
    <definedName name="_TASP2" localSheetId="5">[25]BASE!$D$1636</definedName>
    <definedName name="_TASP2" localSheetId="0">[25]BASE!$D$1636</definedName>
    <definedName name="_TASP2">[25]BASE!$D$1636</definedName>
    <definedName name="_TEE1" localSheetId="4">#REF!</definedName>
    <definedName name="_TEE1" localSheetId="5">#REF!</definedName>
    <definedName name="_TEE1" localSheetId="0">[2]BASE!$D$176</definedName>
    <definedName name="_TEE1">#REF!</definedName>
    <definedName name="_TEE1010" localSheetId="4">#REF!</definedName>
    <definedName name="_TEE1010" localSheetId="5">#REF!</definedName>
    <definedName name="_TEE1010">#REF!</definedName>
    <definedName name="_TEE2" localSheetId="4">#REF!</definedName>
    <definedName name="_TEE2" localSheetId="5">#REF!</definedName>
    <definedName name="_TEE2" localSheetId="0">[2]BASE!$D$177</definedName>
    <definedName name="_TEE2">#REF!</definedName>
    <definedName name="_TEE32" localSheetId="4">#REF!</definedName>
    <definedName name="_TEE32" localSheetId="5">#REF!</definedName>
    <definedName name="_TEE32" localSheetId="0">[25]BASE!$D$1465</definedName>
    <definedName name="_TEE32">#REF!</definedName>
    <definedName name="_TEE33" localSheetId="4">#REF!</definedName>
    <definedName name="_TEE33" localSheetId="5">#REF!</definedName>
    <definedName name="_TEE33" localSheetId="0">[2]BASE!$D$179</definedName>
    <definedName name="_TEE33">#REF!</definedName>
    <definedName name="_TEJAB" localSheetId="4">[25]BASE!$D$77</definedName>
    <definedName name="_TEJAB" localSheetId="5">[25]BASE!$D$77</definedName>
    <definedName name="_TEJAB" localSheetId="0">[25]BASE!$D$77</definedName>
    <definedName name="_TEJAB">[25]BASE!$D$77</definedName>
    <definedName name="_TEJAJ" localSheetId="4">[25]BASE!$D$1681</definedName>
    <definedName name="_TEJAJ" localSheetId="5">[25]BASE!$D$1681</definedName>
    <definedName name="_TEJAJ" localSheetId="0">[25]BASE!$D$1681</definedName>
    <definedName name="_TEJAJ">[25]BASE!$D$1681</definedName>
    <definedName name="_TELEP" localSheetId="4">[29]BASE!$D$107</definedName>
    <definedName name="_TELEP" localSheetId="5">[29]BASE!$D$107</definedName>
    <definedName name="_TELEP" localSheetId="0">[25]BASE!$D$1762</definedName>
    <definedName name="_TELEP">[29]BASE!$D$107</definedName>
    <definedName name="_TEP44" localSheetId="4">[7]BASE!$D$116</definedName>
    <definedName name="_TEP44" localSheetId="5">[7]BASE!$D$116</definedName>
    <definedName name="_TEP44" localSheetId="0">[7]BASE!$D$116</definedName>
    <definedName name="_TEP44">[7]BASE!$D$116</definedName>
    <definedName name="_TES44" localSheetId="4">#REF!</definedName>
    <definedName name="_TES44" localSheetId="5">#REF!</definedName>
    <definedName name="_TES44" localSheetId="0">[2]BASE!$D$205</definedName>
    <definedName name="_TES44">#REF!</definedName>
    <definedName name="_TES64" localSheetId="4">#REF!</definedName>
    <definedName name="_TES64" localSheetId="5">#REF!</definedName>
    <definedName name="_TES64" localSheetId="0">[2]BASE!$D$207</definedName>
    <definedName name="_TES64">#REF!</definedName>
    <definedName name="_TES66" localSheetId="4">#REF!</definedName>
    <definedName name="_TES66" localSheetId="5">#REF!</definedName>
    <definedName name="_TES66" localSheetId="0">[16]BASE!$D$207</definedName>
    <definedName name="_TES66">#REF!</definedName>
    <definedName name="_TGALV" localSheetId="4">[25]BASE!$D$1662</definedName>
    <definedName name="_TGALV" localSheetId="5">[25]BASE!$D$1662</definedName>
    <definedName name="_TGALV" localSheetId="0">[25]BASE!$D$1662</definedName>
    <definedName name="_TGALV">[25]BASE!$D$1662</definedName>
    <definedName name="_THF12" localSheetId="4">#REF!</definedName>
    <definedName name="_THF12" localSheetId="5">#REF!</definedName>
    <definedName name="_THF12" localSheetId="0">[2]BASE!$D$281</definedName>
    <definedName name="_THF12">#REF!</definedName>
    <definedName name="_TNL24" localSheetId="4">#REF!</definedName>
    <definedName name="_TNL24" localSheetId="5">#REF!</definedName>
    <definedName name="_TNL24" localSheetId="0">[2]BASE!$D$220</definedName>
    <definedName name="_TNL24">#REF!</definedName>
    <definedName name="_TNL27" localSheetId="4">#REF!</definedName>
    <definedName name="_TNL27" localSheetId="5">#REF!</definedName>
    <definedName name="_TNL27" localSheetId="0">[2]BASE!$D$221</definedName>
    <definedName name="_TNL27">#REF!</definedName>
    <definedName name="_TNL30" localSheetId="4">#REF!</definedName>
    <definedName name="_TNL30" localSheetId="5">#REF!</definedName>
    <definedName name="_TNL30" localSheetId="0">[2]BASE!$D$222</definedName>
    <definedName name="_TNL30">#REF!</definedName>
    <definedName name="_TNL33" localSheetId="4">#REF!</definedName>
    <definedName name="_TNL33" localSheetId="5">#REF!</definedName>
    <definedName name="_TNL33" localSheetId="0">[2]BASE!$D$223</definedName>
    <definedName name="_TNL33">#REF!</definedName>
    <definedName name="_TNL36" localSheetId="4">#REF!</definedName>
    <definedName name="_TNL36" localSheetId="5">#REF!</definedName>
    <definedName name="_TNL36" localSheetId="0">[2]BASE!$D$224</definedName>
    <definedName name="_TNL36">#REF!</definedName>
    <definedName name="_TNL39" localSheetId="4">#REF!</definedName>
    <definedName name="_TNL39" localSheetId="5">#REF!</definedName>
    <definedName name="_TNL39" localSheetId="0">[2]BASE!$D$225</definedName>
    <definedName name="_TNL39">#REF!</definedName>
    <definedName name="_TNL42" localSheetId="4">#REF!</definedName>
    <definedName name="_TNL42" localSheetId="5">#REF!</definedName>
    <definedName name="_TNL42">#REF!</definedName>
    <definedName name="_TNL45" localSheetId="4">#REF!</definedName>
    <definedName name="_TNL45" localSheetId="5">#REF!</definedName>
    <definedName name="_TNL45" localSheetId="0">[2]BASE!$D$227</definedName>
    <definedName name="_TNL45">#REF!</definedName>
    <definedName name="_TNL48" localSheetId="4">#REF!</definedName>
    <definedName name="_TNL48" localSheetId="5">#REF!</definedName>
    <definedName name="_TNL48" localSheetId="0">[2]BASE!$D$228</definedName>
    <definedName name="_TNL48">#REF!</definedName>
    <definedName name="_TNL51" localSheetId="4">#REF!</definedName>
    <definedName name="_TNL51" localSheetId="5">#REF!</definedName>
    <definedName name="_TNL51">#REF!</definedName>
    <definedName name="_TNL54" localSheetId="4">#REF!</definedName>
    <definedName name="_TNL54" localSheetId="5">#REF!</definedName>
    <definedName name="_TNL54">#REF!</definedName>
    <definedName name="_TNL60" localSheetId="4">#REF!</definedName>
    <definedName name="_TNL60" localSheetId="5">#REF!</definedName>
    <definedName name="_TNL60">#REF!</definedName>
    <definedName name="_TNOV10" localSheetId="4">[29]BASE!$D$1253</definedName>
    <definedName name="_TNOV10" localSheetId="5">[29]BASE!$D$1253</definedName>
    <definedName name="_TNOV10" localSheetId="0">[25]BASE!$D$1512</definedName>
    <definedName name="_TNOV10">[29]BASE!$D$1253</definedName>
    <definedName name="_TNOV12" localSheetId="4">[29]BASE!$D$1254</definedName>
    <definedName name="_TNOV12" localSheetId="5">[29]BASE!$D$1254</definedName>
    <definedName name="_TNOV12" localSheetId="0">[25]BASE!$D$1513</definedName>
    <definedName name="_TNOV12">[29]BASE!$D$1254</definedName>
    <definedName name="_TNOV16" localSheetId="4">[25]BASE!$D$1514</definedName>
    <definedName name="_TNOV16" localSheetId="5">[25]BASE!$D$1514</definedName>
    <definedName name="_TNOV16" localSheetId="0">[25]BASE!$D$1514</definedName>
    <definedName name="_TNOV16">[25]BASE!$D$1514</definedName>
    <definedName name="_TNOV18" localSheetId="4">[29]BASE!$D$1256</definedName>
    <definedName name="_TNOV18" localSheetId="5">[29]BASE!$D$1256</definedName>
    <definedName name="_TNOV18" localSheetId="0">[25]BASE!$D$1515</definedName>
    <definedName name="_TNOV18">[29]BASE!$D$1256</definedName>
    <definedName name="_TNOV20" localSheetId="4">[29]BASE!$D$1257</definedName>
    <definedName name="_TNOV20" localSheetId="5">[29]BASE!$D$1257</definedName>
    <definedName name="_TNOV20" localSheetId="0">[25]BASE!$D$1516</definedName>
    <definedName name="_TNOV20">[29]BASE!$D$1257</definedName>
    <definedName name="_TNOV6" localSheetId="4">[29]BASE!$D$1251</definedName>
    <definedName name="_TNOV6" localSheetId="5">[29]BASE!$D$1251</definedName>
    <definedName name="_TNOV6" localSheetId="0">[25]BASE!$D$1510</definedName>
    <definedName name="_TNOV6">[29]BASE!$D$1251</definedName>
    <definedName name="_TNOV8" localSheetId="4">[29]BASE!$D$1252</definedName>
    <definedName name="_TNOV8" localSheetId="5">[29]BASE!$D$1252</definedName>
    <definedName name="_TNOV8" localSheetId="0">[25]BASE!$D$1511</definedName>
    <definedName name="_TNOV8">[29]BASE!$D$1252</definedName>
    <definedName name="_TORNI" localSheetId="4">[25]BASE!$D$1692</definedName>
    <definedName name="_TORNI" localSheetId="5">[25]BASE!$D$1692</definedName>
    <definedName name="_TORNI" localSheetId="0">[25]BASE!$D$1692</definedName>
    <definedName name="_TORNI">[25]BASE!$D$1692</definedName>
    <definedName name="_TPE1132" localSheetId="4">[7]BASE!#REF!</definedName>
    <definedName name="_TPE1132" localSheetId="5">[7]BASE!#REF!</definedName>
    <definedName name="_TPE1132" localSheetId="0">[7]BASE!#REF!</definedName>
    <definedName name="_TPE1132">[7]BASE!#REF!</definedName>
    <definedName name="_TPE12" localSheetId="4">#N/A</definedName>
    <definedName name="_TPE12" localSheetId="5">#N/A</definedName>
    <definedName name="_TPE12" localSheetId="0">#N/A</definedName>
    <definedName name="_TPE12">#N/A</definedName>
    <definedName name="_TPE1331" localSheetId="4">[7]BASE!#REF!</definedName>
    <definedName name="_TPE1331" localSheetId="5">[7]BASE!#REF!</definedName>
    <definedName name="_TPE1331" localSheetId="0">[7]BASE!#REF!</definedName>
    <definedName name="_TPE1331">[7]BASE!#REF!</definedName>
    <definedName name="_TPE1701" localSheetId="4">#REF!</definedName>
    <definedName name="_TPE1701" localSheetId="5">#REF!</definedName>
    <definedName name="_TPE1701" localSheetId="0">[2]BASE!$D$144</definedName>
    <definedName name="_TPE1701">#REF!</definedName>
    <definedName name="_TPE1702" localSheetId="4">[7]BASE!#REF!</definedName>
    <definedName name="_TPE1702" localSheetId="5">[7]BASE!#REF!</definedName>
    <definedName name="_TPE1702" localSheetId="0">[7]BASE!#REF!</definedName>
    <definedName name="_TPE1702">[7]BASE!#REF!</definedName>
    <definedName name="_TPE1703" localSheetId="4">[7]BASE!#REF!</definedName>
    <definedName name="_TPE1703" localSheetId="5">[7]BASE!#REF!</definedName>
    <definedName name="_TPE1703" localSheetId="0">[7]BASE!#REF!</definedName>
    <definedName name="_TPE1703">[7]BASE!#REF!</definedName>
    <definedName name="_TPE1704" localSheetId="4">[7]BASE!#REF!</definedName>
    <definedName name="_TPE1704" localSheetId="5">[7]BASE!#REF!</definedName>
    <definedName name="_TPE1704" localSheetId="0">[7]BASE!#REF!</definedName>
    <definedName name="_TPE1704">[7]BASE!#REF!</definedName>
    <definedName name="_TPE1706" localSheetId="4">[7]BASE!#REF!</definedName>
    <definedName name="_TPE1706" localSheetId="5">[7]BASE!#REF!</definedName>
    <definedName name="_TPE1706" localSheetId="0">[7]BASE!#REF!</definedName>
    <definedName name="_TPE1706">[7]BASE!#REF!</definedName>
    <definedName name="_TPE1708" localSheetId="4">[7]BASE!#REF!</definedName>
    <definedName name="_TPE1708" localSheetId="5">[7]BASE!#REF!</definedName>
    <definedName name="_TPE1708" localSheetId="0">[7]BASE!#REF!</definedName>
    <definedName name="_TPE1708">[7]BASE!#REF!</definedName>
    <definedName name="_TPE1710" localSheetId="4">[7]BASE!#REF!</definedName>
    <definedName name="_TPE1710" localSheetId="5">[7]BASE!#REF!</definedName>
    <definedName name="_TPE1710" localSheetId="0">[7]BASE!#REF!</definedName>
    <definedName name="_TPE1710">[7]BASE!#REF!</definedName>
    <definedName name="_TPE1735" localSheetId="4">[7]BASE!#REF!</definedName>
    <definedName name="_TPE1735" localSheetId="5">[7]BASE!#REF!</definedName>
    <definedName name="_TPE1735" localSheetId="0">[7]BASE!#REF!</definedName>
    <definedName name="_TPE1735">[7]BASE!#REF!</definedName>
    <definedName name="_TPE1763" localSheetId="4">[7]BASE!#REF!</definedName>
    <definedName name="_TPE1763" localSheetId="5">[7]BASE!#REF!</definedName>
    <definedName name="_TPE1763" localSheetId="0">[7]BASE!#REF!</definedName>
    <definedName name="_TPE1763">[7]BASE!#REF!</definedName>
    <definedName name="_TPE1790" localSheetId="4">[7]BASE!#REF!</definedName>
    <definedName name="_TPE1790" localSheetId="5">[7]BASE!#REF!</definedName>
    <definedName name="_TPE1790" localSheetId="0">[7]BASE!#REF!</definedName>
    <definedName name="_TPE1790">[7]BASE!#REF!</definedName>
    <definedName name="_TPE8016" localSheetId="4">#REF!</definedName>
    <definedName name="_TPE8016" localSheetId="5">#REF!</definedName>
    <definedName name="_TPE8016" localSheetId="0">[16]BASE!$D$147</definedName>
    <definedName name="_TPE8016">#REF!</definedName>
    <definedName name="_TPE8020" localSheetId="4">#REF!</definedName>
    <definedName name="_TPE8020" localSheetId="5">#REF!</definedName>
    <definedName name="_TPE8020" localSheetId="0">[2]BASE!$D$147</definedName>
    <definedName name="_TPE8020">#REF!</definedName>
    <definedName name="_TPE8025" localSheetId="4">#REF!</definedName>
    <definedName name="_TPE8025" localSheetId="5">#REF!</definedName>
    <definedName name="_TPE8025" localSheetId="0">[2]BASE!$D$148</definedName>
    <definedName name="_TPE8025">#REF!</definedName>
    <definedName name="_TPF12" localSheetId="0">[24]BASE!$D$217</definedName>
    <definedName name="_TPF12" localSheetId="1">[1]BASE!$D$217</definedName>
    <definedName name="_TPF12">[1]BASE!$D$217</definedName>
    <definedName name="_TPN1002" localSheetId="4">#REF!</definedName>
    <definedName name="_TPN1002" localSheetId="5">#REF!</definedName>
    <definedName name="_TPN1002" localSheetId="0">[25]BASE!$D$1432</definedName>
    <definedName name="_TPN1002">#REF!</definedName>
    <definedName name="_TPN1003" localSheetId="4">#REF!</definedName>
    <definedName name="_TPN1003" localSheetId="5">#REF!</definedName>
    <definedName name="_TPN1003" localSheetId="0">[25]BASE!$D$1434</definedName>
    <definedName name="_TPN1003">#REF!</definedName>
    <definedName name="_TPN1004" localSheetId="4">#REF!</definedName>
    <definedName name="_TPN1004" localSheetId="5">#REF!</definedName>
    <definedName name="_TPN1004" localSheetId="0">[2]BASE!$D$152</definedName>
    <definedName name="_TPN1004">#REF!</definedName>
    <definedName name="_TPN1006" localSheetId="4">#REF!</definedName>
    <definedName name="_TPN1006" localSheetId="5">#REF!</definedName>
    <definedName name="_TPN1006" localSheetId="0">[2]BASE!$D$153</definedName>
    <definedName name="_TPN1006">#REF!</definedName>
    <definedName name="_TPN10075" localSheetId="4">#REF!</definedName>
    <definedName name="_TPN10075" localSheetId="5">#REF!</definedName>
    <definedName name="_TPN10075">#REF!</definedName>
    <definedName name="_TPN1008" localSheetId="4">#REF!</definedName>
    <definedName name="_TPN1008" localSheetId="5">#REF!</definedName>
    <definedName name="_TPN1008" localSheetId="0">[2]BASE!$D$154</definedName>
    <definedName name="_TPN1008">#REF!</definedName>
    <definedName name="_TPN1010" localSheetId="4">#REF!</definedName>
    <definedName name="_TPN1010" localSheetId="5">#REF!</definedName>
    <definedName name="_TPN1010">#REF!</definedName>
    <definedName name="_TPN1012" localSheetId="4">#REF!</definedName>
    <definedName name="_TPN1012" localSheetId="5">#REF!</definedName>
    <definedName name="_TPN1012">#REF!</definedName>
    <definedName name="_TPN1202" localSheetId="4">#REF!</definedName>
    <definedName name="_TPN1202" localSheetId="5">#REF!</definedName>
    <definedName name="_TPN1202" localSheetId="0">[2]BASE!$D$160</definedName>
    <definedName name="_TPN1202">#REF!</definedName>
    <definedName name="_TPN1203" localSheetId="4">#REF!</definedName>
    <definedName name="_TPN1203" localSheetId="5">#REF!</definedName>
    <definedName name="_TPN1203" localSheetId="0">[2]BASE!$D$161</definedName>
    <definedName name="_TPN1203">#REF!</definedName>
    <definedName name="_TPN1204" localSheetId="4">#REF!</definedName>
    <definedName name="_TPN1204" localSheetId="5">#REF!</definedName>
    <definedName name="_TPN1204" localSheetId="0">[2]BASE!$D$162</definedName>
    <definedName name="_TPN1204">#REF!</definedName>
    <definedName name="_TPN1206" localSheetId="4">#REF!</definedName>
    <definedName name="_TPN1206" localSheetId="5">#REF!</definedName>
    <definedName name="_TPN1206" localSheetId="0">[2]BASE!$D$163</definedName>
    <definedName name="_TPN1206">#REF!</definedName>
    <definedName name="_TPN1208" localSheetId="4">#REF!</definedName>
    <definedName name="_TPN1208" localSheetId="5">#REF!</definedName>
    <definedName name="_TPN1208" localSheetId="0">[2]BASE!$D$164</definedName>
    <definedName name="_TPN1208">#REF!</definedName>
    <definedName name="_TPN1210" localSheetId="4">#REF!</definedName>
    <definedName name="_TPN1210" localSheetId="5">#REF!</definedName>
    <definedName name="_TPN1210">#REF!</definedName>
    <definedName name="_TPN1212" localSheetId="4">#REF!</definedName>
    <definedName name="_TPN1212" localSheetId="5">#REF!</definedName>
    <definedName name="_TPN1212">#REF!</definedName>
    <definedName name="_TPN1225" localSheetId="4">#REF!</definedName>
    <definedName name="_TPN1225" localSheetId="5">#REF!</definedName>
    <definedName name="_TPN1225">#REF!</definedName>
    <definedName name="_TPN1232" localSheetId="4">#REF!</definedName>
    <definedName name="_TPN1232" localSheetId="5">#REF!</definedName>
    <definedName name="_TPN1232">#REF!</definedName>
    <definedName name="_TPN16012" localSheetId="4">#REF!</definedName>
    <definedName name="_TPN16012" localSheetId="5">#REF!</definedName>
    <definedName name="_TPN16012" localSheetId="0">[2]BASE!$D$167</definedName>
    <definedName name="_TPN16012">#REF!</definedName>
    <definedName name="_TPN1602" localSheetId="4">#REF!</definedName>
    <definedName name="_TPN1602" localSheetId="5">#REF!</definedName>
    <definedName name="_TPN1602" localSheetId="0">[2]BASE!$D$168</definedName>
    <definedName name="_TPN1602">#REF!</definedName>
    <definedName name="_TPN1603" localSheetId="4">#REF!</definedName>
    <definedName name="_TPN1603" localSheetId="5">#REF!</definedName>
    <definedName name="_TPN1603" localSheetId="0">[2]BASE!$D$169</definedName>
    <definedName name="_TPN1603">#REF!</definedName>
    <definedName name="_TPN1604" localSheetId="4">#REF!</definedName>
    <definedName name="_TPN1604" localSheetId="5">#REF!</definedName>
    <definedName name="_TPN1604" localSheetId="0">[2]BASE!$D$170</definedName>
    <definedName name="_TPN1604">#REF!</definedName>
    <definedName name="_TPN1606" localSheetId="4">#REF!</definedName>
    <definedName name="_TPN1606" localSheetId="5">#REF!</definedName>
    <definedName name="_TPN1606" localSheetId="0">[32]BASE!$D$869</definedName>
    <definedName name="_TPN1606">#REF!</definedName>
    <definedName name="_TPN1608" localSheetId="4">#REF!</definedName>
    <definedName name="_TPN1608" localSheetId="5">#REF!</definedName>
    <definedName name="_TPN1608" localSheetId="0">[2]BASE!$D$172</definedName>
    <definedName name="_TPN1608">#REF!</definedName>
    <definedName name="_TPN1610" localSheetId="4">#REF!</definedName>
    <definedName name="_TPN1610" localSheetId="5">#REF!</definedName>
    <definedName name="_TPN1610">#REF!</definedName>
    <definedName name="_TPN1611" localSheetId="4">[33]BASE!$D$893</definedName>
    <definedName name="_TPN1611" localSheetId="5">[33]BASE!$D$893</definedName>
    <definedName name="_TPN1611" localSheetId="0">[33]BASE!$D$893</definedName>
    <definedName name="_TPN1611">[33]BASE!$D$893</definedName>
    <definedName name="_TPN2096" localSheetId="9">[32]BASE!$D$876</definedName>
    <definedName name="_TPN2096">[32]BASE!$D$876</definedName>
    <definedName name="_TPVCME" localSheetId="4">[25]BASE!$D$92</definedName>
    <definedName name="_TPVCME" localSheetId="5">[25]BASE!$D$92</definedName>
    <definedName name="_TPVCME" localSheetId="0">[25]BASE!$D$92</definedName>
    <definedName name="_TPVCME">[25]BASE!$D$92</definedName>
    <definedName name="_TPVCP1" localSheetId="4">[25]BASE!$D$93</definedName>
    <definedName name="_TPVCP1" localSheetId="5">[25]BASE!$D$93</definedName>
    <definedName name="_TPVCP1" localSheetId="0">[25]BASE!$D$93</definedName>
    <definedName name="_TPVCP1">[25]BASE!$D$93</definedName>
    <definedName name="_TR114" localSheetId="4">#REF!</definedName>
    <definedName name="_TR114" localSheetId="5">#REF!</definedName>
    <definedName name="_TR114" localSheetId="0">[2]BASE!$D$266</definedName>
    <definedName name="_TR114">#REF!</definedName>
    <definedName name="_TRANAG" localSheetId="4">[29]BASE!$D$135</definedName>
    <definedName name="_TRANAG" localSheetId="5">[29]BASE!$D$135</definedName>
    <definedName name="_TRANAG" localSheetId="0">[25]BASE!$D$1793</definedName>
    <definedName name="_TRANAG">[29]BASE!$D$135</definedName>
    <definedName name="_TRANAR" localSheetId="4">[29]BASE!$D$129</definedName>
    <definedName name="_TRANAR" localSheetId="5">[29]BASE!$D$129</definedName>
    <definedName name="_TRANAR" localSheetId="0">[25]BASE!$D$1784</definedName>
    <definedName name="_TRANAR">[29]BASE!$D$129</definedName>
    <definedName name="_TRANS" localSheetId="4">[29]BASE!$D$130</definedName>
    <definedName name="_TRANS" localSheetId="5">[29]BASE!$D$130</definedName>
    <definedName name="_TRANS" localSheetId="0">[25]BASE!$D$1785</definedName>
    <definedName name="_TRANS">[29]BASE!$D$130</definedName>
    <definedName name="_TRITM" localSheetId="4">[25]BASE!$D$72</definedName>
    <definedName name="_TRITM" localSheetId="5">[25]BASE!$D$72</definedName>
    <definedName name="_TRITM" localSheetId="0">[25]BASE!$D$72</definedName>
    <definedName name="_TRITM">[25]BASE!$D$72</definedName>
    <definedName name="_TRITU" localSheetId="4">[29]BASE!$D$63</definedName>
    <definedName name="_TRITU" localSheetId="5">[29]BASE!$D$63</definedName>
    <definedName name="_TRITU" localSheetId="0">[25]BASE!$D$66</definedName>
    <definedName name="_TRITU">[29]BASE!$D$63</definedName>
    <definedName name="_TUBS4" localSheetId="4">[25]BASE!$D$1489</definedName>
    <definedName name="_TUBS4" localSheetId="5">[25]BASE!$D$1489</definedName>
    <definedName name="_TUBS4" localSheetId="0">[25]BASE!$D$1489</definedName>
    <definedName name="_TUBS4">[25]BASE!$D$1489</definedName>
    <definedName name="_TUBS6" localSheetId="4">[25]BASE!$D$1490</definedName>
    <definedName name="_TUBS6" localSheetId="5">[25]BASE!$D$1490</definedName>
    <definedName name="_TUBS6" localSheetId="0">[25]BASE!$D$1490</definedName>
    <definedName name="_TUBS6">[25]BASE!$D$1490</definedName>
    <definedName name="_TUZ22" localSheetId="4">'[9]BASE ORIGINAL'!#REF!</definedName>
    <definedName name="_TUZ22" localSheetId="5">'[9]BASE ORIGINAL'!#REF!</definedName>
    <definedName name="_TUZ22" localSheetId="0">'[9]BASE ORIGINAL'!#REF!</definedName>
    <definedName name="_TUZ22">'[9]BASE ORIGINAL'!#REF!</definedName>
    <definedName name="_TUZ36" localSheetId="4">'[9]BASE ORIGINAL'!#REF!</definedName>
    <definedName name="_TUZ36" localSheetId="5">'[9]BASE ORIGINAL'!#REF!</definedName>
    <definedName name="_TUZ36" localSheetId="0">'[9]BASE ORIGINAL'!#REF!</definedName>
    <definedName name="_TUZ36">'[9]BASE ORIGINAL'!#REF!</definedName>
    <definedName name="_TZ133" localSheetId="4">[33]BASE!$D$162</definedName>
    <definedName name="_TZ133" localSheetId="5">[33]BASE!$D$162</definedName>
    <definedName name="_TZ133" localSheetId="0">[33]BASE!$D$162</definedName>
    <definedName name="_TZ133">[33]BASE!$D$162</definedName>
    <definedName name="_TZ2110" localSheetId="0">[24]BASE!$D$79</definedName>
    <definedName name="_TZ2110" localSheetId="1">[1]BASE!$D$79</definedName>
    <definedName name="_TZ2110">[1]BASE!$D$79</definedName>
    <definedName name="_TZ2112" localSheetId="4">#REF!</definedName>
    <definedName name="_TZ2112" localSheetId="5">#REF!</definedName>
    <definedName name="_TZ2112" localSheetId="0">[2]BASE!$D$90</definedName>
    <definedName name="_TZ2112">#REF!</definedName>
    <definedName name="_TZ2114" localSheetId="4">#REF!</definedName>
    <definedName name="_TZ2114" localSheetId="5">#REF!</definedName>
    <definedName name="_TZ2114" localSheetId="0">[16]BASE!$D$92</definedName>
    <definedName name="_TZ2114">#REF!</definedName>
    <definedName name="_TZ2116" localSheetId="4">#REF!</definedName>
    <definedName name="_TZ2116" localSheetId="5">#REF!</definedName>
    <definedName name="_TZ2116" localSheetId="0">[2]BASE!$D$92</definedName>
    <definedName name="_TZ2116">#REF!</definedName>
    <definedName name="_TZ212" localSheetId="4">#REF!</definedName>
    <definedName name="_TZ212" localSheetId="5">#REF!</definedName>
    <definedName name="_TZ212" localSheetId="0">[25]BASE!$D$95</definedName>
    <definedName name="_TZ212">#REF!</definedName>
    <definedName name="_TZ213" localSheetId="4">#REF!</definedName>
    <definedName name="_TZ213" localSheetId="5">#REF!</definedName>
    <definedName name="_TZ213" localSheetId="0">[25]BASE!$D$97</definedName>
    <definedName name="_TZ213">#REF!</definedName>
    <definedName name="_TZ214" localSheetId="4">[7]BASE!$D$86</definedName>
    <definedName name="_TZ214" localSheetId="5">[7]BASE!$D$86</definedName>
    <definedName name="_TZ214" localSheetId="0">[7]BASE!$D$86</definedName>
    <definedName name="_TZ214">[7]BASE!$D$86</definedName>
    <definedName name="_TZ216" localSheetId="4">[7]BASE!$D$87</definedName>
    <definedName name="_TZ216" localSheetId="5">[7]BASE!$D$87</definedName>
    <definedName name="_TZ216" localSheetId="0">[7]BASE!$D$87</definedName>
    <definedName name="_TZ216">[7]BASE!$D$87</definedName>
    <definedName name="_TZ218" localSheetId="4">#REF!</definedName>
    <definedName name="_TZ218" localSheetId="5">#REF!</definedName>
    <definedName name="_TZ218" localSheetId="0">[2]BASE!$D$88</definedName>
    <definedName name="_TZ218">#REF!</definedName>
    <definedName name="_TZ225" localSheetId="4">#REF!</definedName>
    <definedName name="_TZ225" localSheetId="5">#REF!</definedName>
    <definedName name="_TZ225" localSheetId="0">[16]BASE!$D$85</definedName>
    <definedName name="_TZ225">#REF!</definedName>
    <definedName name="_TZ2610" localSheetId="4">#REF!</definedName>
    <definedName name="_TZ2610" localSheetId="5">#REF!</definedName>
    <definedName name="_TZ2610" localSheetId="0">[2]BASE!$D$99</definedName>
    <definedName name="_TZ2610">#REF!</definedName>
    <definedName name="_TZ2612" localSheetId="4">#REF!</definedName>
    <definedName name="_TZ2612" localSheetId="5">#REF!</definedName>
    <definedName name="_TZ2612">#REF!</definedName>
    <definedName name="_TZ262" localSheetId="4">#REF!</definedName>
    <definedName name="_TZ262" localSheetId="5">#REF!</definedName>
    <definedName name="_TZ262" localSheetId="0">[16]BASE!$D$95</definedName>
    <definedName name="_TZ262">#REF!</definedName>
    <definedName name="_TZ263" localSheetId="4">#REF!</definedName>
    <definedName name="_TZ263" localSheetId="5">#REF!</definedName>
    <definedName name="_TZ263" localSheetId="0">[16]BASE!$D$96</definedName>
    <definedName name="_TZ263">#REF!</definedName>
    <definedName name="_TZ264" localSheetId="4">#REF!</definedName>
    <definedName name="_TZ264" localSheetId="5">#REF!</definedName>
    <definedName name="_TZ264" localSheetId="0">[2]BASE!$D$96</definedName>
    <definedName name="_TZ264">#REF!</definedName>
    <definedName name="_TZ266" localSheetId="4">#REF!</definedName>
    <definedName name="_TZ266" localSheetId="5">#REF!</definedName>
    <definedName name="_TZ266" localSheetId="0">[2]BASE!$D$97</definedName>
    <definedName name="_TZ266">#REF!</definedName>
    <definedName name="_TZ268">[4]BASE!$D$85</definedName>
    <definedName name="_TZ323" localSheetId="4">'[9]BASE ORIGINAL'!#REF!</definedName>
    <definedName name="_TZ323" localSheetId="5">'[9]BASE ORIGINAL'!#REF!</definedName>
    <definedName name="_TZ323" localSheetId="0">'[9]BASE ORIGINAL'!#REF!</definedName>
    <definedName name="_TZ323">'[9]BASE ORIGINAL'!#REF!</definedName>
    <definedName name="_TZ324" localSheetId="4">'[9]BASE ORIGINAL'!#REF!</definedName>
    <definedName name="_TZ324" localSheetId="5">'[9]BASE ORIGINAL'!#REF!</definedName>
    <definedName name="_TZ324" localSheetId="0">'[9]BASE ORIGINAL'!#REF!</definedName>
    <definedName name="_TZ324">'[9]BASE ORIGINAL'!#REF!</definedName>
    <definedName name="_TZ32510" localSheetId="4">[7]BASE!$D$106</definedName>
    <definedName name="_TZ32510" localSheetId="5">[7]BASE!$D$106</definedName>
    <definedName name="_TZ32510" localSheetId="0">[7]BASE!$D$106</definedName>
    <definedName name="_TZ32510">[7]BASE!$D$106</definedName>
    <definedName name="_TZ32512" localSheetId="4">#REF!</definedName>
    <definedName name="_TZ32512" localSheetId="5">#REF!</definedName>
    <definedName name="_TZ32512">#REF!</definedName>
    <definedName name="_TZ3253" localSheetId="4">#REF!</definedName>
    <definedName name="_TZ3253" localSheetId="5">#REF!</definedName>
    <definedName name="_TZ3253" localSheetId="0">[2]BASE!$D$102</definedName>
    <definedName name="_TZ3253">#REF!</definedName>
    <definedName name="_TZ3254" localSheetId="4">#REF!</definedName>
    <definedName name="_TZ3254" localSheetId="5">#REF!</definedName>
    <definedName name="_TZ3254" localSheetId="0">[25]BASE!$D$124</definedName>
    <definedName name="_TZ3254">#REF!</definedName>
    <definedName name="_TZ3256" localSheetId="4">#REF!</definedName>
    <definedName name="_TZ3256" localSheetId="5">#REF!</definedName>
    <definedName name="_TZ3256" localSheetId="0">[25]BASE!$D$125</definedName>
    <definedName name="_TZ3256">#REF!</definedName>
    <definedName name="_TZ3258" localSheetId="4">#REF!</definedName>
    <definedName name="_TZ3258" localSheetId="5">#REF!</definedName>
    <definedName name="_TZ3258">#REF!</definedName>
    <definedName name="_TZ4110" localSheetId="4">#REF!</definedName>
    <definedName name="_TZ4110" localSheetId="5">#REF!</definedName>
    <definedName name="_TZ4110">#REF!</definedName>
    <definedName name="_TZ4112" localSheetId="4">#REF!</definedName>
    <definedName name="_TZ4112" localSheetId="5">#REF!</definedName>
    <definedName name="_TZ4112">#REF!</definedName>
    <definedName name="_TZ414" localSheetId="4">#REF!</definedName>
    <definedName name="_TZ414" localSheetId="5">#REF!</definedName>
    <definedName name="_TZ414">#REF!</definedName>
    <definedName name="_TZ416" localSheetId="4">#REF!</definedName>
    <definedName name="_TZ416" localSheetId="5">#REF!</definedName>
    <definedName name="_TZ416" localSheetId="0">[25]BASE!$D$135</definedName>
    <definedName name="_TZ416">#REF!</definedName>
    <definedName name="_TZ418" localSheetId="4">#REF!</definedName>
    <definedName name="_TZ418" localSheetId="5">#REF!</definedName>
    <definedName name="_TZ418" localSheetId="0">[2]BASE!$D$111</definedName>
    <definedName name="_TZ418">#REF!</definedName>
    <definedName name="_UDD06" localSheetId="4">#REF!</definedName>
    <definedName name="_UDD06" localSheetId="5">#REF!</definedName>
    <definedName name="_UDD06" localSheetId="0">[2]BASE!$D$390</definedName>
    <definedName name="_UDD06">#REF!</definedName>
    <definedName name="_UDD08" localSheetId="4">#REF!</definedName>
    <definedName name="_UDD08" localSheetId="5">#REF!</definedName>
    <definedName name="_UDD08" localSheetId="0">[2]BASE!$D$391</definedName>
    <definedName name="_UDD08">#REF!</definedName>
    <definedName name="_UNI32" localSheetId="4">#REF!</definedName>
    <definedName name="_UNI32" localSheetId="5">#REF!</definedName>
    <definedName name="_UNI32" localSheetId="0">[2]BASE!$D$186</definedName>
    <definedName name="_UNI32">#REF!</definedName>
    <definedName name="_UNL24" localSheetId="4">#REF!</definedName>
    <definedName name="_UNL24" localSheetId="5">#REF!</definedName>
    <definedName name="_UNL24" localSheetId="0">[2]BASE!$D$233</definedName>
    <definedName name="_UNL24">#REF!</definedName>
    <definedName name="_UNL27" localSheetId="4">#REF!</definedName>
    <definedName name="_UNL27" localSheetId="5">#REF!</definedName>
    <definedName name="_UNL27" localSheetId="0">[2]BASE!$D$234</definedName>
    <definedName name="_UNL27">#REF!</definedName>
    <definedName name="_UNL30" localSheetId="4">#REF!</definedName>
    <definedName name="_UNL30" localSheetId="5">#REF!</definedName>
    <definedName name="_UNL30" localSheetId="0">[2]BASE!$D$235</definedName>
    <definedName name="_UNL30">#REF!</definedName>
    <definedName name="_UNL33" localSheetId="4">#REF!</definedName>
    <definedName name="_UNL33" localSheetId="5">#REF!</definedName>
    <definedName name="_UNL33" localSheetId="0">[2]BASE!$D$236</definedName>
    <definedName name="_UNL33">#REF!</definedName>
    <definedName name="_UNL36" localSheetId="4">#REF!</definedName>
    <definedName name="_UNL36" localSheetId="5">#REF!</definedName>
    <definedName name="_UNL36" localSheetId="0">[2]BASE!$D$237</definedName>
    <definedName name="_UNL36">#REF!</definedName>
    <definedName name="_UNL39" localSheetId="4">#REF!</definedName>
    <definedName name="_UNL39" localSheetId="5">#REF!</definedName>
    <definedName name="_UNL39" localSheetId="0">[2]BASE!$D$238</definedName>
    <definedName name="_UNL39">#REF!</definedName>
    <definedName name="_UNL42" localSheetId="4">#REF!</definedName>
    <definedName name="_UNL42" localSheetId="5">#REF!</definedName>
    <definedName name="_UNL42">#REF!</definedName>
    <definedName name="_UNL45" localSheetId="4">#REF!</definedName>
    <definedName name="_UNL45" localSheetId="5">#REF!</definedName>
    <definedName name="_UNL45" localSheetId="0">[2]BASE!$D$240</definedName>
    <definedName name="_UNL45">#REF!</definedName>
    <definedName name="_UNL48" localSheetId="4">#REF!</definedName>
    <definedName name="_UNL48" localSheetId="5">#REF!</definedName>
    <definedName name="_UNL48" localSheetId="0">[2]BASE!$D$241</definedName>
    <definedName name="_UNL48">#REF!</definedName>
    <definedName name="_UNL51" localSheetId="4">#REF!</definedName>
    <definedName name="_UNL51" localSheetId="5">#REF!</definedName>
    <definedName name="_UNL51">#REF!</definedName>
    <definedName name="_UNL54" localSheetId="4">#REF!</definedName>
    <definedName name="_UNL54" localSheetId="5">#REF!</definedName>
    <definedName name="_UNL54">#REF!</definedName>
    <definedName name="_UNL60" localSheetId="4">#REF!</definedName>
    <definedName name="_UNL60" localSheetId="5">#REF!</definedName>
    <definedName name="_UNL60">#REF!</definedName>
    <definedName name="_UREP3" localSheetId="4">[25]BASE!$D$169</definedName>
    <definedName name="_UREP3" localSheetId="5">[25]BASE!$D$169</definedName>
    <definedName name="_UREP3" localSheetId="0">[25]BASE!$D$169</definedName>
    <definedName name="_UREP3">[25]BASE!$D$169</definedName>
    <definedName name="_VCEL2" localSheetId="4">[25]BASE!$D$1721</definedName>
    <definedName name="_VCEL2" localSheetId="5">[25]BASE!$D$1721</definedName>
    <definedName name="_VCEL2" localSheetId="0">[25]BASE!$D$1721</definedName>
    <definedName name="_VCEL2">[25]BASE!$D$1721</definedName>
    <definedName name="_VCEL3" localSheetId="4">[25]BASE!$D$1720</definedName>
    <definedName name="_VCEL3" localSheetId="5">[25]BASE!$D$1720</definedName>
    <definedName name="_VCEL3" localSheetId="0">[25]BASE!$D$1720</definedName>
    <definedName name="_VCEL3">[25]BASE!$D$1720</definedName>
    <definedName name="_VCELA3" localSheetId="4">[25]BASE!$D$1725</definedName>
    <definedName name="_VCELA3" localSheetId="5">[25]BASE!$D$1725</definedName>
    <definedName name="_VCELA3" localSheetId="0">[25]BASE!$D$1725</definedName>
    <definedName name="_VCELA3">[25]BASE!$D$1725</definedName>
    <definedName name="_VEN04" localSheetId="4">#REF!</definedName>
    <definedName name="_VEN04" localSheetId="5">#REF!</definedName>
    <definedName name="_VEN04">#REF!</definedName>
    <definedName name="_VIAJE" localSheetId="4">[29]BASE!$D$131</definedName>
    <definedName name="_VIAJE" localSheetId="5">[29]BASE!$D$131</definedName>
    <definedName name="_VIAJE" localSheetId="0">[25]BASE!$D$1786</definedName>
    <definedName name="_VIAJE">[29]BASE!$D$131</definedName>
    <definedName name="_VIBGA" localSheetId="4">[29]BASE!$D$99</definedName>
    <definedName name="_VIBGA" localSheetId="5">[29]BASE!$D$99</definedName>
    <definedName name="_VIBGA" localSheetId="0">[25]BASE!$D$1754</definedName>
    <definedName name="_VIBGA">[29]BASE!$D$99</definedName>
    <definedName name="_VIBRE" localSheetId="4">[29]BASE!$D$100</definedName>
    <definedName name="_VIBRE" localSheetId="5">[29]BASE!$D$100</definedName>
    <definedName name="_VIBRE" localSheetId="0">[25]BASE!$D$1755</definedName>
    <definedName name="_VIBRE">[29]BASE!$D$100</definedName>
    <definedName name="_VIDRI" localSheetId="4">[25]BASE!$D$1687</definedName>
    <definedName name="_VIDRI" localSheetId="5">[25]BASE!$D$1687</definedName>
    <definedName name="_VIDRI" localSheetId="0">[25]BASE!$D$1687</definedName>
    <definedName name="_VIDRI">[25]BASE!$D$1687</definedName>
    <definedName name="a" localSheetId="0">[5]REAJUSTESACTA1PROVI!#REF!</definedName>
    <definedName name="a">[34]BASE!$D$8</definedName>
    <definedName name="A_impresión_IM" localSheetId="4">#N/A</definedName>
    <definedName name="A_impresión_IM" localSheetId="5">#N/A</definedName>
    <definedName name="A_impresión_IM" localSheetId="0">#N/A</definedName>
    <definedName name="A_impresión_IM">#N/A</definedName>
    <definedName name="A40FI" localSheetId="4">#REF!</definedName>
    <definedName name="A40FI" localSheetId="5">#REF!</definedName>
    <definedName name="A40FI" localSheetId="0">[25]BASE!$D$28</definedName>
    <definedName name="A40FI">#REF!</definedName>
    <definedName name="A40LI" localSheetId="0">[1]BASE!$D$22</definedName>
    <definedName name="A40LI" localSheetId="1">[1]BASE!$D$22</definedName>
    <definedName name="A40LI">[1]BASE!$D$22</definedName>
    <definedName name="A60FI" localSheetId="0">[1]BASE!$D$21</definedName>
    <definedName name="A60FI" localSheetId="1">[1]BASE!$D$21</definedName>
    <definedName name="A60FI">[1]BASE!$D$21</definedName>
    <definedName name="A60FI1" localSheetId="4">#REF!</definedName>
    <definedName name="A60FI1" localSheetId="5">#REF!</definedName>
    <definedName name="A60FI1" localSheetId="0">[32]BASE!$D$26</definedName>
    <definedName name="A60FI1">#REF!</definedName>
    <definedName name="AB" localSheetId="4">#N/A</definedName>
    <definedName name="AB" localSheetId="5">#N/A</definedName>
    <definedName name="AB">#N/A</definedName>
    <definedName name="AC" localSheetId="4">#N/A</definedName>
    <definedName name="AC" localSheetId="5">#N/A</definedName>
    <definedName name="AC">#N/A</definedName>
    <definedName name="ACARRH" localSheetId="4">[33]BASE!$D$136</definedName>
    <definedName name="ACARRH" localSheetId="5">[33]BASE!$D$136</definedName>
    <definedName name="ACARRH" localSheetId="0">[33]BASE!$D$136</definedName>
    <definedName name="ACARRH">[33]BASE!$D$136</definedName>
    <definedName name="ACOM" localSheetId="4">#REF!</definedName>
    <definedName name="ACOM" localSheetId="5">#REF!</definedName>
    <definedName name="ACOM" localSheetId="0">#REF!</definedName>
    <definedName name="ACOM">#REF!</definedName>
    <definedName name="ACOND" localSheetId="0">[1]BASE!$D$215</definedName>
    <definedName name="ACOND" localSheetId="1">[1]BASE!$D$215</definedName>
    <definedName name="ACOND">[1]BASE!$D$215</definedName>
    <definedName name="ACPM" localSheetId="4">#REF!</definedName>
    <definedName name="ACPM" localSheetId="5">#REF!</definedName>
    <definedName name="ACPM">#REF!</definedName>
    <definedName name="Acta" localSheetId="4">#N/A</definedName>
    <definedName name="Acta" localSheetId="5">#N/A</definedName>
    <definedName name="Acta" localSheetId="0">#N/A</definedName>
    <definedName name="Acta">#N/A</definedName>
    <definedName name="Acta1" localSheetId="4">#N/A</definedName>
    <definedName name="Acta1" localSheetId="5">#N/A</definedName>
    <definedName name="Acta1" localSheetId="0">#N/A</definedName>
    <definedName name="Acta1">#N/A</definedName>
    <definedName name="actividad" localSheetId="4">#REF!</definedName>
    <definedName name="actividad" localSheetId="5">#REF!</definedName>
    <definedName name="actividad" localSheetId="0">[35]datos!$D$2:$D$63</definedName>
    <definedName name="actividad">#REF!</definedName>
    <definedName name="actividades" localSheetId="4">'[2]base de datos'!$P$3:$P$62</definedName>
    <definedName name="actividades" localSheetId="5">'[2]base de datos'!$P$3:$P$62</definedName>
    <definedName name="actividades" localSheetId="0">'[2]base de datos'!$P$3:$P$62</definedName>
    <definedName name="actividades">'[2]base de datos'!$P$3:$P$62</definedName>
    <definedName name="AD" localSheetId="4">'[2]BASE ORIGINAL'!#REF!</definedName>
    <definedName name="AD" localSheetId="5">'[2]BASE ORIGINAL'!#REF!</definedName>
    <definedName name="AD">'[2]BASE ORIGINAL'!#REF!</definedName>
    <definedName name="ADMINISTRA">[36]AIU!$C$38</definedName>
    <definedName name="ADMM" localSheetId="4">#REF!</definedName>
    <definedName name="ADMM" localSheetId="5">#REF!</definedName>
    <definedName name="ADMM" localSheetId="0">[25]BASE!$D$181</definedName>
    <definedName name="ADMM">#REF!</definedName>
    <definedName name="AE" localSheetId="4">'[2]BASE ORIGINAL'!#REF!</definedName>
    <definedName name="AE" localSheetId="5">'[2]BASE ORIGINAL'!#REF!</definedName>
    <definedName name="AE">'[2]BASE ORIGINAL'!#REF!</definedName>
    <definedName name="AF" localSheetId="4">'[2]BASE ORIGINAL'!#REF!</definedName>
    <definedName name="AF" localSheetId="5">'[2]BASE ORIGINAL'!#REF!</definedName>
    <definedName name="AF">'[2]BASE ORIGINAL'!#REF!</definedName>
    <definedName name="AG" localSheetId="4">'[2]BASE ORIGINAL'!#REF!</definedName>
    <definedName name="AG" localSheetId="5">'[2]BASE ORIGINAL'!#REF!</definedName>
    <definedName name="ag">'FICHAS '!$N$6</definedName>
    <definedName name="AGRICOLA" localSheetId="0">[37]PRES.AGRI!$B$1:$N$35</definedName>
    <definedName name="AGRICOLA">[38]PRES.AGRI!$B$1:$N$35</definedName>
    <definedName name="AGUA" localSheetId="0">[1]BASE!$D$340</definedName>
    <definedName name="AGUA" localSheetId="1">[1]BASE!$D$340</definedName>
    <definedName name="AGUA">[1]BASE!$D$340</definedName>
    <definedName name="AH" localSheetId="4">#REF!</definedName>
    <definedName name="AH" localSheetId="5">#REF!</definedName>
    <definedName name="AH">#REF!</definedName>
    <definedName name="AI" localSheetId="4">#REF!</definedName>
    <definedName name="AI" localSheetId="5">#REF!</definedName>
    <definedName name="AI">#REF!</definedName>
    <definedName name="AIU" localSheetId="0">[1]BASE!$C$3</definedName>
    <definedName name="AIU" localSheetId="1">[1]BASE!$C$3</definedName>
    <definedName name="AIU">[1]BASE!$C$3</definedName>
    <definedName name="AIU." localSheetId="4">#REF!</definedName>
    <definedName name="AIU." localSheetId="5">#REF!</definedName>
    <definedName name="AIU." localSheetId="0">[39]BASE!$C$3</definedName>
    <definedName name="AIU.">#REF!</definedName>
    <definedName name="AIU_2">[40]AIU!$C$44</definedName>
    <definedName name="aiun" localSheetId="4">#REF!</definedName>
    <definedName name="aiun" localSheetId="5">#REF!</definedName>
    <definedName name="aiun" localSheetId="0">#N/A</definedName>
    <definedName name="aiun">#REF!</definedName>
    <definedName name="AJ">[5]REAJUSTESACTA1PROVI!#REF!</definedName>
    <definedName name="Ajizal" localSheetId="0">#REF!</definedName>
    <definedName name="Ajizal">#REF!</definedName>
    <definedName name="AK" localSheetId="4">#N/A</definedName>
    <definedName name="AK" localSheetId="5">#N/A</definedName>
    <definedName name="AK">#N/A</definedName>
    <definedName name="AL" localSheetId="4">#REF!</definedName>
    <definedName name="AL" localSheetId="5">#REF!</definedName>
    <definedName name="AL">#REF!</definedName>
    <definedName name="ALANR" localSheetId="4">[7]BASE!$D$23</definedName>
    <definedName name="ALANR" localSheetId="5">[7]BASE!$D$23</definedName>
    <definedName name="ALANR" localSheetId="0">[7]BASE!$D$23</definedName>
    <definedName name="ALANR">[7]BASE!$D$23</definedName>
    <definedName name="ale" localSheetId="4">#REF!</definedName>
    <definedName name="ale" localSheetId="5">#REF!</definedName>
    <definedName name="ale" localSheetId="0">[41]BASE!#REF!</definedName>
    <definedName name="ale">#REF!</definedName>
    <definedName name="ALPUA" localSheetId="0">[1]BASE!$D$244</definedName>
    <definedName name="ALPUA" localSheetId="1">[1]BASE!$D$244</definedName>
    <definedName name="ALPUA">[1]BASE!$D$244</definedName>
    <definedName name="AM" localSheetId="4">#N/A</definedName>
    <definedName name="AM" localSheetId="5">#N/A</definedName>
    <definedName name="AM">#N/A</definedName>
    <definedName name="AN" localSheetId="4">#N/A</definedName>
    <definedName name="AN" localSheetId="5">#N/A</definedName>
    <definedName name="AN">#N/A</definedName>
    <definedName name="ANDAM" localSheetId="0">[1]BASE!$D$320</definedName>
    <definedName name="ANDAM" localSheetId="1">[1]BASE!$D$320</definedName>
    <definedName name="ANDAM">[1]BASE!$D$320</definedName>
    <definedName name="ANTRA" localSheetId="4">#REF!</definedName>
    <definedName name="ANTRA" localSheetId="5">#REF!</definedName>
    <definedName name="ANTRA" localSheetId="0">[25]BASE!$D$71</definedName>
    <definedName name="ANTRA">#REF!</definedName>
    <definedName name="AÑO" localSheetId="4">'[2]base de datos'!$Y$3:$Y$11</definedName>
    <definedName name="AÑO" localSheetId="5">'[2]base de datos'!$Y$3:$Y$11</definedName>
    <definedName name="año" localSheetId="0">[35]datos!$H$2:$H$10</definedName>
    <definedName name="AÑO">'[2]base de datos'!$Y$3:$Y$11</definedName>
    <definedName name="AO" localSheetId="4">#N/A</definedName>
    <definedName name="AO" localSheetId="5">#N/A</definedName>
    <definedName name="AO">#N/A</definedName>
    <definedName name="AP" localSheetId="4">#N/A</definedName>
    <definedName name="AP" localSheetId="5">#N/A</definedName>
    <definedName name="AP">#N/A</definedName>
    <definedName name="AQ" localSheetId="4">#N/A</definedName>
    <definedName name="AQ" localSheetId="5">#N/A</definedName>
    <definedName name="AQ">#N/A</definedName>
    <definedName name="AR" localSheetId="4">#N/A</definedName>
    <definedName name="AR" localSheetId="5">#N/A</definedName>
    <definedName name="AR">#N/A</definedName>
    <definedName name="ARANA" localSheetId="4">#REF!</definedName>
    <definedName name="ARANA" localSheetId="5">#REF!</definedName>
    <definedName name="ARANA" localSheetId="0">[2]BASE!$D$459</definedName>
    <definedName name="ARANA">#REF!</definedName>
    <definedName name="Área_de_Cantidades" localSheetId="0">#REF!</definedName>
    <definedName name="Área_de_Cantidades">#REF!</definedName>
    <definedName name="_xlnm.Print_Area" localSheetId="0">'Plan ejecución'!$A$2:$J$16</definedName>
    <definedName name="_xlnm.Print_Area" localSheetId="2">'ppto sistema septico'!$C$1:$AM$84</definedName>
    <definedName name="_xlnm.Print_Area" localSheetId="1">'Presupuesto Convenio '!$A$1:$I$124</definedName>
    <definedName name="_xlnm.Print_Area">#REF!</definedName>
    <definedName name="areaprotegida" localSheetId="4">'[2]base de datos'!$S$3:$S$12</definedName>
    <definedName name="areaprotegida" localSheetId="5">'[2]base de datos'!$S$3:$S$12</definedName>
    <definedName name="areaprotegida" localSheetId="0">'[2]base de datos'!$S$3:$S$12</definedName>
    <definedName name="areaprotegida">'[2]base de datos'!$S$3:$S$12</definedName>
    <definedName name="ARELC" localSheetId="4">[42]BASE!$D$68</definedName>
    <definedName name="ARELC" localSheetId="5">[42]BASE!$D$68</definedName>
    <definedName name="ARELC" localSheetId="0">[42]BASE!$D$68</definedName>
    <definedName name="ARELC">[42]BASE!$D$68</definedName>
    <definedName name="ARELF" localSheetId="4">#REF!</definedName>
    <definedName name="ARELF" localSheetId="5">#REF!</definedName>
    <definedName name="ARELF" localSheetId="0">[25]BASE!$D$73</definedName>
    <definedName name="ARELF">#REF!</definedName>
    <definedName name="ARENC" localSheetId="4">[7]BASE!$D$59</definedName>
    <definedName name="ARENC" localSheetId="5">[7]BASE!$D$59</definedName>
    <definedName name="ARENC" localSheetId="0">[7]BASE!$D$59</definedName>
    <definedName name="ARENC">[7]BASE!$D$59</definedName>
    <definedName name="ARENI" localSheetId="4">#REF!</definedName>
    <definedName name="ARENI" localSheetId="5">#REF!</definedName>
    <definedName name="ARENI" localSheetId="0">[25]BASE!$D$64</definedName>
    <definedName name="ARENI">#REF!</definedName>
    <definedName name="ARENP" localSheetId="0">[1]BASE!$D$51</definedName>
    <definedName name="ARENP" localSheetId="1">[1]BASE!$D$51</definedName>
    <definedName name="ARENP">[1]BASE!$D$51</definedName>
    <definedName name="AS" localSheetId="4">#N/A</definedName>
    <definedName name="AS" localSheetId="5">#N/A</definedName>
    <definedName name="AS">#N/A</definedName>
    <definedName name="AT" localSheetId="4">#N/A</definedName>
    <definedName name="AT" localSheetId="5">#N/A</definedName>
    <definedName name="AT">#N/A</definedName>
    <definedName name="AU" localSheetId="4">#N/A</definedName>
    <definedName name="AU" localSheetId="5">#N/A</definedName>
    <definedName name="AU">#N/A</definedName>
    <definedName name="AV" localSheetId="4">#N/A</definedName>
    <definedName name="AV" localSheetId="5">#N/A</definedName>
    <definedName name="AV">#N/A</definedName>
    <definedName name="AW" localSheetId="4">'[2]BASE ORIGINAL'!#REF!</definedName>
    <definedName name="AW" localSheetId="5">'[2]BASE ORIGINAL'!#REF!</definedName>
    <definedName name="AW">'[2]BASE ORIGINAL'!#REF!</definedName>
    <definedName name="AX" localSheetId="4">'[2]BASE ORIGINAL'!#REF!</definedName>
    <definedName name="AX" localSheetId="5">'[2]BASE ORIGINAL'!#REF!</definedName>
    <definedName name="AX">'[2]BASE ORIGINAL'!#REF!</definedName>
    <definedName name="AY" localSheetId="4">'[2]BASE ORIGINAL'!#REF!</definedName>
    <definedName name="AY" localSheetId="5">'[2]BASE ORIGINAL'!#REF!</definedName>
    <definedName name="AY">'[2]BASE ORIGINAL'!#REF!</definedName>
    <definedName name="AYUDA" localSheetId="0">[1]BASE!$D$10</definedName>
    <definedName name="AYUDA" localSheetId="1">[1]BASE!$D$10</definedName>
    <definedName name="AYUDA">[1]BASE!$D$10</definedName>
    <definedName name="AYUDA_" localSheetId="4">[43]BASE!$D$12</definedName>
    <definedName name="AYUDA_" localSheetId="5">[43]BASE!$D$12</definedName>
    <definedName name="AYUDA_" localSheetId="0">[43]BASE!$D$12</definedName>
    <definedName name="AYUDA_">[43]BASE!$D$12</definedName>
    <definedName name="AYUDR" localSheetId="0">[1]BASE!$D$11</definedName>
    <definedName name="AYUDR" localSheetId="1">[1]BASE!$D$11</definedName>
    <definedName name="AYUDR">[1]BASE!$D$11</definedName>
    <definedName name="AZ" localSheetId="4">'[2]BASE ORIGINAL'!#REF!</definedName>
    <definedName name="AZ" localSheetId="5">'[2]BASE ORIGINAL'!#REF!</definedName>
    <definedName name="AZ">'[2]BASE ORIGINAL'!#REF!</definedName>
    <definedName name="B" localSheetId="4">#N/A</definedName>
    <definedName name="B" localSheetId="5">#N/A</definedName>
    <definedName name="b" localSheetId="0">[5]REAJUSTESACTA1PROVI!#REF!</definedName>
    <definedName name="B">#N/A</definedName>
    <definedName name="BA" localSheetId="4">#REF!</definedName>
    <definedName name="BA" localSheetId="5">#REF!</definedName>
    <definedName name="BA">#REF!</definedName>
    <definedName name="Base" localSheetId="4">#N/A</definedName>
    <definedName name="Base" localSheetId="5">#N/A</definedName>
    <definedName name="BASE" localSheetId="0">#REF!</definedName>
    <definedName name="Base">#N/A</definedName>
    <definedName name="BASEG" localSheetId="4">#REF!</definedName>
    <definedName name="BASEG" localSheetId="5">#REF!</definedName>
    <definedName name="BASEG" localSheetId="0">[25]BASE!$D$56</definedName>
    <definedName name="BASEG">#REF!</definedName>
    <definedName name="BB" localSheetId="4">#REF!</definedName>
    <definedName name="BB" localSheetId="5">#REF!</definedName>
    <definedName name="BB">#REF!</definedName>
    <definedName name="BC">[5]REAJUSTESACTA1PROVI!#REF!</definedName>
    <definedName name="BD" localSheetId="4">#N/A</definedName>
    <definedName name="BD" localSheetId="5">#N/A</definedName>
    <definedName name="BD">#N/A</definedName>
    <definedName name="BE" localSheetId="4">#REF!</definedName>
    <definedName name="BE" localSheetId="5">#REF!</definedName>
    <definedName name="BE">#REF!</definedName>
    <definedName name="BF" localSheetId="4">#N/A</definedName>
    <definedName name="BF" localSheetId="5">#N/A</definedName>
    <definedName name="BF">#N/A</definedName>
    <definedName name="BG" localSheetId="4">#N/A</definedName>
    <definedName name="BG" localSheetId="5">#N/A</definedName>
    <definedName name="BG">#N/A</definedName>
    <definedName name="BH" localSheetId="4">#N/A</definedName>
    <definedName name="BH" localSheetId="5">#N/A</definedName>
    <definedName name="BH">#N/A</definedName>
    <definedName name="BI" localSheetId="4">#N/A</definedName>
    <definedName name="BI" localSheetId="5">#N/A</definedName>
    <definedName name="BI">#N/A</definedName>
    <definedName name="BISCO" localSheetId="0">[4]BASE!$D$253</definedName>
    <definedName name="BISCO">[4]BASE!$D$253</definedName>
    <definedName name="BJ" localSheetId="4">#N/A</definedName>
    <definedName name="BJ" localSheetId="5">#N/A</definedName>
    <definedName name="BJ">#N/A</definedName>
    <definedName name="BK" localSheetId="4">#N/A</definedName>
    <definedName name="BK" localSheetId="5">#N/A</definedName>
    <definedName name="BK">#N/A</definedName>
    <definedName name="BL" localSheetId="4">#N/A</definedName>
    <definedName name="BL" localSheetId="5">#N/A</definedName>
    <definedName name="BL">#N/A</definedName>
    <definedName name="BM" localSheetId="4">#N/A</definedName>
    <definedName name="BM" localSheetId="5">#N/A</definedName>
    <definedName name="BM">#N/A</definedName>
    <definedName name="BN" localSheetId="4">#N/A</definedName>
    <definedName name="BN" localSheetId="5">#N/A</definedName>
    <definedName name="BN">#N/A</definedName>
    <definedName name="BO" localSheetId="4">#N/A</definedName>
    <definedName name="BO" localSheetId="5">#N/A</definedName>
    <definedName name="BO">#N/A</definedName>
    <definedName name="BOMBA" localSheetId="0">[1]BASE!$D$323</definedName>
    <definedName name="BOMBA" localSheetId="1">[1]BASE!$D$323</definedName>
    <definedName name="BOMBA">[1]BASE!$D$323</definedName>
    <definedName name="BOTAD" localSheetId="0">[1]BASE!$D$331</definedName>
    <definedName name="BOTAD" localSheetId="1">[1]BASE!$D$331</definedName>
    <definedName name="BOTAD">[1]BASE!$D$331</definedName>
    <definedName name="BOTADA" localSheetId="4">#REF!</definedName>
    <definedName name="BOTADA" localSheetId="5">#REF!</definedName>
    <definedName name="BOTADA" localSheetId="0">#N/A</definedName>
    <definedName name="BOTADA">#REF!</definedName>
    <definedName name="BOTES" localSheetId="0">[1]BASE!$D$335</definedName>
    <definedName name="BOTES" localSheetId="1">[1]BASE!$D$335</definedName>
    <definedName name="BOTES">[1]BASE!$D$335</definedName>
    <definedName name="BP" localSheetId="4">'[2]BASE ORIGINAL'!#REF!</definedName>
    <definedName name="BP" localSheetId="5">'[2]BASE ORIGINAL'!#REF!</definedName>
    <definedName name="BP">'[2]BASE ORIGINAL'!#REF!</definedName>
    <definedName name="BQ" localSheetId="4">'[2]BASE ORIGINAL'!#REF!</definedName>
    <definedName name="BQ" localSheetId="5">'[2]BASE ORIGINAL'!#REF!</definedName>
    <definedName name="BQ">'[2]BASE ORIGINAL'!#REF!</definedName>
    <definedName name="BR" localSheetId="4">'[2]BASE ORIGINAL'!#REF!</definedName>
    <definedName name="BR" localSheetId="5">'[2]BASE ORIGINAL'!#REF!</definedName>
    <definedName name="BR">'[2]BASE ORIGINAL'!#REF!</definedName>
    <definedName name="BROCH" localSheetId="4">#REF!</definedName>
    <definedName name="BROCH" localSheetId="5">#REF!</definedName>
    <definedName name="BROCH" localSheetId="0">[25]BASE!$D$1679</definedName>
    <definedName name="BROCH">#REF!</definedName>
    <definedName name="BS" localSheetId="4">'[2]BASE ORIGINAL'!#REF!</definedName>
    <definedName name="BS" localSheetId="5">'[2]BASE ORIGINAL'!#REF!</definedName>
    <definedName name="BS">'[2]BASE ORIGINAL'!#REF!</definedName>
    <definedName name="BSOL64" localSheetId="0">[1]BASE!$D$122</definedName>
    <definedName name="BSOL64" localSheetId="1">[1]BASE!$D$122</definedName>
    <definedName name="BSOL64">[1]BASE!$D$122</definedName>
    <definedName name="BT" localSheetId="4">#REF!</definedName>
    <definedName name="BT" localSheetId="5">#REF!</definedName>
    <definedName name="BT">#REF!</definedName>
    <definedName name="BU" localSheetId="4">#REF!</definedName>
    <definedName name="BU" localSheetId="5">#REF!</definedName>
    <definedName name="BU">#REF!</definedName>
    <definedName name="BuiltIn_Print_Area" localSheetId="4">#N/A</definedName>
    <definedName name="BuiltIn_Print_Area" localSheetId="5">#N/A</definedName>
    <definedName name="BuiltIn_Print_Area" localSheetId="0">#REF!</definedName>
    <definedName name="BuiltIn_Print_Area">#N/A</definedName>
    <definedName name="BuiltIn_Print_Area___0" localSheetId="4">#N/A</definedName>
    <definedName name="BuiltIn_Print_Area___0" localSheetId="5">#N/A</definedName>
    <definedName name="BuiltIn_Print_Area___0" localSheetId="0">#REF!</definedName>
    <definedName name="BuiltIn_Print_Area___0">#N/A</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4">#N/A</definedName>
    <definedName name="BuiltIn_Print_Titles" localSheetId="5">#N/A</definedName>
    <definedName name="BuiltIn_Print_Titles" localSheetId="0">#REF!</definedName>
    <definedName name="BuiltIn_Print_Titles">#N/A</definedName>
    <definedName name="BULLDOZ" localSheetId="4">#REF!</definedName>
    <definedName name="BULLDOZ" localSheetId="5">#REF!</definedName>
    <definedName name="BULLDOZ" localSheetId="0">[2]BASE!$D$445</definedName>
    <definedName name="BULLDOZ">#REF!</definedName>
    <definedName name="BV">[5]REAJUSTESACTA1PROVI!#REF!</definedName>
    <definedName name="BW" localSheetId="4">#N/A</definedName>
    <definedName name="BW" localSheetId="5">#N/A</definedName>
    <definedName name="BW">#N/A</definedName>
    <definedName name="BX" localSheetId="4">#REF!</definedName>
    <definedName name="BX" localSheetId="5">#REF!</definedName>
    <definedName name="BX">#REF!</definedName>
    <definedName name="BY" localSheetId="4">#N/A</definedName>
    <definedName name="BY" localSheetId="5">#N/A</definedName>
    <definedName name="BY">#N/A</definedName>
    <definedName name="BZ" localSheetId="4">#N/A</definedName>
    <definedName name="BZ" localSheetId="5">#N/A</definedName>
    <definedName name="BZ">#N/A</definedName>
    <definedName name="C90445L" localSheetId="4">#REF!</definedName>
    <definedName name="C90445L" localSheetId="5">#REF!</definedName>
    <definedName name="C90445L" localSheetId="0">[44]BASE!$D$403</definedName>
    <definedName name="C90445L">#REF!</definedName>
    <definedName name="CA" localSheetId="4">#N/A</definedName>
    <definedName name="CA" localSheetId="5">#N/A</definedName>
    <definedName name="CA">#N/A</definedName>
    <definedName name="caa" localSheetId="4">#REF!</definedName>
    <definedName name="caa" localSheetId="5">#REF!</definedName>
    <definedName name="caa" localSheetId="0">#REF!</definedName>
    <definedName name="caa">#REF!</definedName>
    <definedName name="CABAL" localSheetId="4">[7]BASE!$D$396</definedName>
    <definedName name="CABAL" localSheetId="5">[7]BASE!$D$396</definedName>
    <definedName name="CABAL" localSheetId="0">[7]BASE!$D$396</definedName>
    <definedName name="CABAL">[7]BASE!$D$396</definedName>
    <definedName name="CAJAC" localSheetId="4">#REF!</definedName>
    <definedName name="CAJAC" localSheetId="5">#REF!</definedName>
    <definedName name="CAJAC" localSheetId="0">[2]BASE!$D$385</definedName>
    <definedName name="CAJAC">#REF!</definedName>
    <definedName name="CAJAV" localSheetId="0">[1]BASE!$D$296</definedName>
    <definedName name="CAJAV" localSheetId="1">[1]BASE!$D$296</definedName>
    <definedName name="CAJAV">[1]BASE!$D$296</definedName>
    <definedName name="CAJMI" localSheetId="4">#REF!</definedName>
    <definedName name="CAJMI" localSheetId="5">#REF!</definedName>
    <definedName name="CAJMI">#REF!</definedName>
    <definedName name="CAMBIO" localSheetId="4">#REF!</definedName>
    <definedName name="CAMBIO" localSheetId="5">#REF!</definedName>
    <definedName name="CAMBIO">#REF!</definedName>
    <definedName name="CANAL" localSheetId="4">#REF!</definedName>
    <definedName name="CANAL" localSheetId="5">#REF!</definedName>
    <definedName name="CANAL" localSheetId="0">[2]BASE!$D$388</definedName>
    <definedName name="CANAL">#REF!</definedName>
    <definedName name="CANAL6" localSheetId="0">[1]BASE!$D$264</definedName>
    <definedName name="CANAL6" localSheetId="1">[1]BASE!$D$264</definedName>
    <definedName name="CANAL6">[1]BASE!$D$264</definedName>
    <definedName name="CANGU" localSheetId="0">[1]BASE!$D$308</definedName>
    <definedName name="CANGU" localSheetId="1">[1]BASE!$D$308</definedName>
    <definedName name="CANGU">[1]BASE!$D$308</definedName>
    <definedName name="Cantidad" localSheetId="4">#N/A</definedName>
    <definedName name="Cantidad" localSheetId="5">#N/A</definedName>
    <definedName name="Cantidad" localSheetId="0">#N/A</definedName>
    <definedName name="Cantidad">#N/A</definedName>
    <definedName name="CAP" localSheetId="4">#N/A</definedName>
    <definedName name="CAP" localSheetId="5">#N/A</definedName>
    <definedName name="CAP" localSheetId="0">#N/A</definedName>
    <definedName name="CAP">#N/A</definedName>
    <definedName name="CARGAD" localSheetId="4">#REF!</definedName>
    <definedName name="CARGAD" localSheetId="5">#REF!</definedName>
    <definedName name="CARGAD" localSheetId="0">[2]BASE!$D$442</definedName>
    <definedName name="CARGAD">#REF!</definedName>
    <definedName name="CARGUER">[45]BASE!$D$392</definedName>
    <definedName name="CARRTA" localSheetId="4">#REF!</definedName>
    <definedName name="CARRTA" localSheetId="5">#REF!</definedName>
    <definedName name="CARRTA" localSheetId="0">[2]BASE!$D$447</definedName>
    <definedName name="CARRTA">#REF!</definedName>
    <definedName name="Casa" localSheetId="4">#REF!</definedName>
    <definedName name="Casa" localSheetId="5">#REF!</definedName>
    <definedName name="Casa" localSheetId="0">#REF!</definedName>
    <definedName name="Casa">#REF!</definedName>
    <definedName name="CB" localSheetId="4">#N/A</definedName>
    <definedName name="CB" localSheetId="5">#N/A</definedName>
    <definedName name="CB">#N/A</definedName>
    <definedName name="CC" localSheetId="4">'[2]BASE ORIGINAL'!#REF!</definedName>
    <definedName name="CC" localSheetId="5">'[2]BASE ORIGINAL'!#REF!</definedName>
    <definedName name="CC">'[2]BASE ORIGINAL'!#REF!</definedName>
    <definedName name="CD" localSheetId="4">'[2]BASE ORIGINAL'!#REF!</definedName>
    <definedName name="CD" localSheetId="5">'[2]BASE ORIGINAL'!#REF!</definedName>
    <definedName name="CD">'[2]BASE ORIGINAL'!#REF!</definedName>
    <definedName name="CD454JH" localSheetId="0">[1]BASE!$D$201</definedName>
    <definedName name="CD454JH" localSheetId="1">[1]BASE!$D$201</definedName>
    <definedName name="CD454JH">[1]BASE!$D$201</definedName>
    <definedName name="CE" localSheetId="4">'[2]BASE ORIGINAL'!#REF!</definedName>
    <definedName name="CE" localSheetId="5">'[2]BASE ORIGINAL'!#REF!</definedName>
    <definedName name="CE">'[2]BASE ORIGINAL'!#REF!</definedName>
    <definedName name="CEMEG" localSheetId="0">[1]BASE!$D$55</definedName>
    <definedName name="CEMEG" localSheetId="1">[1]BASE!$D$55</definedName>
    <definedName name="CEMEG">[1]BASE!$D$55</definedName>
    <definedName name="CF" localSheetId="4">'[2]BASE ORIGINAL'!#REF!</definedName>
    <definedName name="CF" localSheetId="5">'[2]BASE ORIGINAL'!#REF!</definedName>
    <definedName name="CF">'[2]BASE ORIGINAL'!#REF!</definedName>
    <definedName name="CG" localSheetId="4">#REF!</definedName>
    <definedName name="CG" localSheetId="5">#REF!</definedName>
    <definedName name="CG">#REF!</definedName>
    <definedName name="CH" localSheetId="4">#REF!</definedName>
    <definedName name="CH" localSheetId="5">#REF!</definedName>
    <definedName name="CH">#REF!</definedName>
    <definedName name="CHAPA" localSheetId="0">[1]BASE!$D$249</definedName>
    <definedName name="CHAPA" localSheetId="1">[1]BASE!$D$249</definedName>
    <definedName name="CHAPA">[1]BASE!$D$249</definedName>
    <definedName name="CI">[5]REAJUSTESACTA1PROVI!#REF!</definedName>
    <definedName name="CJ" localSheetId="4">#N/A</definedName>
    <definedName name="CJ" localSheetId="5">#N/A</definedName>
    <definedName name="CJ">#N/A</definedName>
    <definedName name="CK" localSheetId="4">#REF!</definedName>
    <definedName name="CK" localSheetId="5">#REF!</definedName>
    <definedName name="CK">#REF!</definedName>
    <definedName name="CL" localSheetId="4">#N/A</definedName>
    <definedName name="CL" localSheetId="5">#N/A</definedName>
    <definedName name="CL">#N/A</definedName>
    <definedName name="clav">[15]BASE!$D$78</definedName>
    <definedName name="CLAVO" localSheetId="0">[1]BASE!$D$69</definedName>
    <definedName name="CLAVO" localSheetId="1">[1]BASE!$D$69</definedName>
    <definedName name="CLAVO">[1]BASE!$D$69</definedName>
    <definedName name="CM" localSheetId="4">#N/A</definedName>
    <definedName name="CM" localSheetId="5">#N/A</definedName>
    <definedName name="CM">#N/A</definedName>
    <definedName name="CMMO" localSheetId="4">#REF!</definedName>
    <definedName name="CMMO" localSheetId="5">#REF!</definedName>
    <definedName name="CMMO" localSheetId="0">[25]BASE!$D$1747</definedName>
    <definedName name="CMMO">#REF!</definedName>
    <definedName name="CMMOA" localSheetId="4">[46]BASE!$D$455</definedName>
    <definedName name="CMMOA" localSheetId="5">[46]BASE!$D$455</definedName>
    <definedName name="CMMOA" localSheetId="0">[46]BASE!$D$455</definedName>
    <definedName name="CMMOA">[46]BASE!$D$455</definedName>
    <definedName name="CN" localSheetId="4">#N/A</definedName>
    <definedName name="CN" localSheetId="5">#N/A</definedName>
    <definedName name="CN">#N/A</definedName>
    <definedName name="CO" localSheetId="4">#N/A</definedName>
    <definedName name="CO" localSheetId="5">#N/A</definedName>
    <definedName name="CO">#N/A</definedName>
    <definedName name="CO22JH" localSheetId="4">#REF!</definedName>
    <definedName name="CO22JH" localSheetId="5">#REF!</definedName>
    <definedName name="CO22JH">#REF!</definedName>
    <definedName name="CO23JH" localSheetId="4">#REF!</definedName>
    <definedName name="CO23JH" localSheetId="5">#REF!</definedName>
    <definedName name="CO23JH" localSheetId="0">[2]BASE!$D$321</definedName>
    <definedName name="CO23JH">#REF!</definedName>
    <definedName name="CO456JH" localSheetId="0">[1]BASE!$D$203</definedName>
    <definedName name="CO456JH" localSheetId="1">[1]BASE!$D$203</definedName>
    <definedName name="CO456JH">[1]BASE!$D$203</definedName>
    <definedName name="CO458JH" localSheetId="4">[42]BASE!$D$329</definedName>
    <definedName name="CO458JH" localSheetId="5">[42]BASE!$D$329</definedName>
    <definedName name="CO458JH" localSheetId="0">[42]BASE!$D$329</definedName>
    <definedName name="CO458JH">[42]BASE!$D$329</definedName>
    <definedName name="CO45S2" localSheetId="4">#REF!</definedName>
    <definedName name="CO45S2" localSheetId="5">#REF!</definedName>
    <definedName name="CO45S2">#REF!</definedName>
    <definedName name="CO45S3" localSheetId="4">#REF!</definedName>
    <definedName name="CO45S3" localSheetId="5">#REF!</definedName>
    <definedName name="CO45S3">#REF!</definedName>
    <definedName name="CO45S4" localSheetId="4">#REF!</definedName>
    <definedName name="CO45S4" localSheetId="5">#REF!</definedName>
    <definedName name="CO45S4" localSheetId="0">[2]BASE!$D$202</definedName>
    <definedName name="CO45S4">#REF!</definedName>
    <definedName name="CO45S6" localSheetId="4">[7]BASE!$D$203</definedName>
    <definedName name="CO45S6" localSheetId="5">[7]BASE!$D$203</definedName>
    <definedName name="CO45S6" localSheetId="0">[7]BASE!$D$203</definedName>
    <definedName name="CO45S6">[7]BASE!$D$203</definedName>
    <definedName name="CO902JH" localSheetId="4">#REF!</definedName>
    <definedName name="CO902JH" localSheetId="5">#REF!</definedName>
    <definedName name="CO902JH" localSheetId="0">[2]BASE!$D$309</definedName>
    <definedName name="CO902JH">#REF!</definedName>
    <definedName name="CO903JH" localSheetId="4">#REF!</definedName>
    <definedName name="CO903JH" localSheetId="5">#REF!</definedName>
    <definedName name="CO903JH" localSheetId="0">[2]BASE!$D$310</definedName>
    <definedName name="CO903JH">#REF!</definedName>
    <definedName name="CO904JH" localSheetId="0">[1]BASE!$D$196</definedName>
    <definedName name="CO904JH" localSheetId="1">[1]BASE!$D$196</definedName>
    <definedName name="CO904JH">[1]BASE!$D$196</definedName>
    <definedName name="CO906JH" localSheetId="0">[1]BASE!$D$197</definedName>
    <definedName name="CO906JH" localSheetId="1">[1]BASE!$D$197</definedName>
    <definedName name="CO906JH">[1]BASE!$D$197</definedName>
    <definedName name="CO908JH" localSheetId="4">[42]BASE!$D$328</definedName>
    <definedName name="CO908JH" localSheetId="5">[42]BASE!$D$328</definedName>
    <definedName name="CO908JH" localSheetId="0">[42]BASE!$D$328</definedName>
    <definedName name="CO908JH">[42]BASE!$D$328</definedName>
    <definedName name="CO90P4" localSheetId="4">#REF!</definedName>
    <definedName name="CO90P4" localSheetId="5">#REF!</definedName>
    <definedName name="CO90P4" localSheetId="0">#N/A</definedName>
    <definedName name="CO90P4">#REF!</definedName>
    <definedName name="CO90S2" localSheetId="4">#REF!</definedName>
    <definedName name="CO90S2" localSheetId="5">#REF!</definedName>
    <definedName name="CO90S2">#REF!</definedName>
    <definedName name="CO90S3" localSheetId="4">#REF!</definedName>
    <definedName name="CO90S3" localSheetId="5">#REF!</definedName>
    <definedName name="CO90S3">#REF!</definedName>
    <definedName name="CO90S4" localSheetId="0">[1]BASE!$D$130</definedName>
    <definedName name="CO90S4" localSheetId="1">[1]BASE!$D$130</definedName>
    <definedName name="CO90S4">[1]BASE!$D$130</definedName>
    <definedName name="CO90S6" localSheetId="4">[7]BASE!$D$198</definedName>
    <definedName name="CO90S6" localSheetId="5">[7]BASE!$D$198</definedName>
    <definedName name="CO90S6" localSheetId="0">[7]BASE!$D$198</definedName>
    <definedName name="CO90S6">[7]BASE!$D$198</definedName>
    <definedName name="CO910JH" localSheetId="4">[7]BASE!$D$329</definedName>
    <definedName name="CO910JH" localSheetId="5">[7]BASE!$D$329</definedName>
    <definedName name="CO910JH" localSheetId="0">[7]BASE!$D$329</definedName>
    <definedName name="CO910JH">[7]BASE!$D$329</definedName>
    <definedName name="Cod" localSheetId="4">#N/A</definedName>
    <definedName name="Cod" localSheetId="5">#N/A</definedName>
    <definedName name="Cod" localSheetId="0">#N/A</definedName>
    <definedName name="Cod">#N/A</definedName>
    <definedName name="cod_programa" localSheetId="4">'[2]base de datos'!$M$3:$M$9</definedName>
    <definedName name="cod_programa" localSheetId="5">'[2]base de datos'!$M$3:$M$9</definedName>
    <definedName name="cod_programa" localSheetId="0">'[2]base de datos'!$M$3:$M$9</definedName>
    <definedName name="cod_programa">'[2]base de datos'!$M$3:$M$9</definedName>
    <definedName name="cod_proyecto" localSheetId="4">'[2]base de datos'!$O$3:$O$18</definedName>
    <definedName name="cod_proyecto" localSheetId="5">'[2]base de datos'!$O$3:$O$18</definedName>
    <definedName name="cod_proyecto" localSheetId="0">'[2]base de datos'!$O$3:$O$18</definedName>
    <definedName name="cod_proyecto">'[2]base de datos'!$O$3:$O$18</definedName>
    <definedName name="CODOS" localSheetId="4">#REF!</definedName>
    <definedName name="CODOS" localSheetId="5">#REF!</definedName>
    <definedName name="CODOS" localSheetId="0">#REF!</definedName>
    <definedName name="CODOS">#REF!</definedName>
    <definedName name="ColTap" localSheetId="4">#REF!</definedName>
    <definedName name="ColTap" localSheetId="5">#REF!</definedName>
    <definedName name="ColTap" localSheetId="0">#REF!</definedName>
    <definedName name="ColTap">#REF!</definedName>
    <definedName name="COMN1" localSheetId="0">[47]BASE!#REF!</definedName>
    <definedName name="COMN1">[47]BASE!#REF!</definedName>
    <definedName name="COMPR" localSheetId="4">#REF!</definedName>
    <definedName name="COMPR" localSheetId="5">#REF!</definedName>
    <definedName name="COMPR" localSheetId="0">[25]BASE!$D$1746</definedName>
    <definedName name="COMPR">#REF!</definedName>
    <definedName name="CONM1" localSheetId="0">[1]BASE!$D$309</definedName>
    <definedName name="CONM1" localSheetId="1">[1]BASE!$D$309</definedName>
    <definedName name="CONM1">[1]BASE!$D$309</definedName>
    <definedName name="CONM2" localSheetId="0">[1]BASE!$D$310</definedName>
    <definedName name="CONM2" localSheetId="1">[1]BASE!$D$310</definedName>
    <definedName name="CONM2">[1]BASE!$D$310</definedName>
    <definedName name="CONMI" localSheetId="0">[47]BASE!#REF!</definedName>
    <definedName name="CONMI">[47]BASE!#REF!</definedName>
    <definedName name="CONMX" localSheetId="4">[7]BASE!$D$505</definedName>
    <definedName name="CONMX" localSheetId="5">[7]BASE!$D$505</definedName>
    <definedName name="CONMX" localSheetId="0">[7]BASE!$D$505</definedName>
    <definedName name="CONMX">[7]BASE!$D$505</definedName>
    <definedName name="copia">#REF!</definedName>
    <definedName name="CORTA" localSheetId="0">[1]BASE!$D$319</definedName>
    <definedName name="CORTA" localSheetId="1">[1]BASE!$D$319</definedName>
    <definedName name="CORTA">[1]BASE!$D$319</definedName>
    <definedName name="CORTACT" localSheetId="4">[29]BASE!$D$124</definedName>
    <definedName name="CORTACT" localSheetId="5">[29]BASE!$D$124</definedName>
    <definedName name="CORTACT" localSheetId="0">[25]BASE!$D$1779</definedName>
    <definedName name="CORTACT">[29]BASE!$D$124</definedName>
    <definedName name="cota" localSheetId="0">'[48]Base de Diseño'!$A$1:$D$290</definedName>
    <definedName name="cota">'[48]Base de Diseño'!$A$1:$D$290</definedName>
    <definedName name="COTAS" localSheetId="0">[49]Hoja3!$A$5:$B$154</definedName>
    <definedName name="COTAS">[49]Hoja3!$A$5:$B$154</definedName>
    <definedName name="COYLL" localSheetId="4">'[8]BASE ORIGINAL'!#REF!</definedName>
    <definedName name="COYLL" localSheetId="5">'[8]BASE ORIGINAL'!#REF!</definedName>
    <definedName name="COYLL" localSheetId="0">'[9]BASE ORIGINAL'!#REF!</definedName>
    <definedName name="COYLL">'[8]BASE ORIGINAL'!#REF!</definedName>
    <definedName name="CP" localSheetId="4">#N/A</definedName>
    <definedName name="CP" localSheetId="5">#N/A</definedName>
    <definedName name="CP">#N/A</definedName>
    <definedName name="CP1045PN10" localSheetId="4">#REF!</definedName>
    <definedName name="CP1045PN10" localSheetId="5">#REF!</definedName>
    <definedName name="CP1045PN10">#REF!</definedName>
    <definedName name="CP1090PN10" localSheetId="4">#REF!</definedName>
    <definedName name="CP1090PN10" localSheetId="5">#REF!</definedName>
    <definedName name="CP1090PN10">#REF!</definedName>
    <definedName name="CP1245PN10" localSheetId="4">#REF!</definedName>
    <definedName name="CP1245PN10" localSheetId="5">#REF!</definedName>
    <definedName name="CP1245PN10">#REF!</definedName>
    <definedName name="CP452L" localSheetId="4">#REF!</definedName>
    <definedName name="CP452L" localSheetId="5">#REF!</definedName>
    <definedName name="CP452L" localSheetId="0">[25]BASE!$D$1708</definedName>
    <definedName name="CP452L">#REF!</definedName>
    <definedName name="CP453L" localSheetId="4">#REF!</definedName>
    <definedName name="CP453L" localSheetId="5">#REF!</definedName>
    <definedName name="CP453L" localSheetId="0">[25]BASE!$D$1709</definedName>
    <definedName name="CP453L">#REF!</definedName>
    <definedName name="CP454L" localSheetId="4">[33]BASE!$D$239</definedName>
    <definedName name="CP454L" localSheetId="5">[33]BASE!$D$239</definedName>
    <definedName name="CP454L" localSheetId="0">[33]BASE!$D$239</definedName>
    <definedName name="CP454L">[33]BASE!$D$239</definedName>
    <definedName name="CP902L" localSheetId="4">#REF!</definedName>
    <definedName name="CP902L" localSheetId="5">#REF!</definedName>
    <definedName name="CP902L" localSheetId="0">[25]BASE!$D$1710</definedName>
    <definedName name="CP902L">#REF!</definedName>
    <definedName name="CP903L" localSheetId="4">#REF!</definedName>
    <definedName name="CP903L" localSheetId="5">#REF!</definedName>
    <definedName name="CP903L" localSheetId="0">[25]BASE!$D$1711</definedName>
    <definedName name="CP903L">#REF!</definedName>
    <definedName name="CP904L" localSheetId="4">[7]BASE!$D$421</definedName>
    <definedName name="CP904L" localSheetId="5">[7]BASE!$D$421</definedName>
    <definedName name="CP904L" localSheetId="0">[7]BASE!$D$421</definedName>
    <definedName name="CP904L">[7]BASE!$D$421</definedName>
    <definedName name="CQ" localSheetId="4">#N/A</definedName>
    <definedName name="CQ" localSheetId="5">#N/A</definedName>
    <definedName name="CQ">#N/A</definedName>
    <definedName name="CR" localSheetId="4">#N/A</definedName>
    <definedName name="CR" localSheetId="5">#N/A</definedName>
    <definedName name="CR">#N/A</definedName>
    <definedName name="CR22JH" localSheetId="4">#REF!</definedName>
    <definedName name="CR22JH" localSheetId="5">#REF!</definedName>
    <definedName name="CR22JH" localSheetId="0">[25]BASE!$D$1588</definedName>
    <definedName name="CR22JH">#REF!</definedName>
    <definedName name="CR42JH" localSheetId="4">#REF!</definedName>
    <definedName name="CR42JH" localSheetId="5">#REF!</definedName>
    <definedName name="CR42JH" localSheetId="0">[2]BASE!$D$289</definedName>
    <definedName name="CR42JH">#REF!</definedName>
    <definedName name="CR44JH" localSheetId="4">#REF!</definedName>
    <definedName name="CR44JH" localSheetId="5">#REF!</definedName>
    <definedName name="CR44JH" localSheetId="0">[2]BASE!$D$288</definedName>
    <definedName name="CR44JH">#REF!</definedName>
    <definedName name="CR66JH" localSheetId="0">[1]BASE!$D$178</definedName>
    <definedName name="CR66JH" localSheetId="1">[1]BASE!$D$178</definedName>
    <definedName name="CR66JH">[1]BASE!$D$178</definedName>
    <definedName name="CRAS" localSheetId="4">#REF!</definedName>
    <definedName name="CRAS" localSheetId="5">#REF!</definedName>
    <definedName name="CRAS" localSheetId="0">[16]BASE!$D$72</definedName>
    <definedName name="CRAS">#REF!</definedName>
    <definedName name="CS" localSheetId="4">#N/A</definedName>
    <definedName name="CS" localSheetId="5">#N/A</definedName>
    <definedName name="CS">#N/A</definedName>
    <definedName name="CSIKA" localSheetId="4">[7]BASE!$D$368</definedName>
    <definedName name="CSIKA" localSheetId="5">[7]BASE!$D$368</definedName>
    <definedName name="CSIKA" localSheetId="0">[7]BASE!$D$368</definedName>
    <definedName name="CSIKA">[7]BASE!$D$368</definedName>
    <definedName name="CT" localSheetId="4">#N/A</definedName>
    <definedName name="CT" localSheetId="5">#N/A</definedName>
    <definedName name="CT">#N/A</definedName>
    <definedName name="CT070KG" localSheetId="4">#REF!</definedName>
    <definedName name="CT070KG" localSheetId="5">#REF!</definedName>
    <definedName name="CT070KG">#REF!</definedName>
    <definedName name="CT080KG" localSheetId="4">#REF!</definedName>
    <definedName name="CT080KG" localSheetId="5">#REF!</definedName>
    <definedName name="CT080KG">#REF!</definedName>
    <definedName name="CT110K" localSheetId="0">[45]PRELIM!$B$311</definedName>
    <definedName name="CT110K">[45]PRELIM!$B$311</definedName>
    <definedName name="CT110KG" localSheetId="0">[1]BASE!$D$36</definedName>
    <definedName name="CT110KG" localSheetId="1">[1]BASE!$D$36</definedName>
    <definedName name="CT110KG">[1]BASE!$D$36</definedName>
    <definedName name="CT140K" localSheetId="0">[45]PRELIM!$B$329</definedName>
    <definedName name="CT140K">[45]PRELIM!$B$329</definedName>
    <definedName name="CT140KG" localSheetId="0">[1]BASE!$D$35</definedName>
    <definedName name="CT140KG" localSheetId="1">[1]BASE!$D$35</definedName>
    <definedName name="CT140KG">[1]BASE!$D$35</definedName>
    <definedName name="CT170KG" localSheetId="4">#REF!</definedName>
    <definedName name="CT170KG" localSheetId="5">#REF!</definedName>
    <definedName name="CT170KG" localSheetId="0">'[28]8.2 BASE'!$E$37</definedName>
    <definedName name="CT170KG">#REF!</definedName>
    <definedName name="CT180K" localSheetId="0">[45]PRELIM!$B$346</definedName>
    <definedName name="CT180K">[45]PRELIM!$B$346</definedName>
    <definedName name="CT180KG" localSheetId="4">#REF!</definedName>
    <definedName name="CT180KG" localSheetId="5">#REF!</definedName>
    <definedName name="CT180KG" localSheetId="0">[16]BASE!$D$36</definedName>
    <definedName name="CT180KG">#REF!</definedName>
    <definedName name="CT210K" localSheetId="0">[45]PRELIM!$B$363</definedName>
    <definedName name="CT210K">[45]PRELIM!$B$363</definedName>
    <definedName name="CT210KG" localSheetId="0">[1]BASE!$D$33</definedName>
    <definedName name="CT210KG" localSheetId="1">[1]BASE!$D$33</definedName>
    <definedName name="CT210KG">[1]BASE!$D$33</definedName>
    <definedName name="CT245K" localSheetId="0">[45]PRELIM!$B$380</definedName>
    <definedName name="CT245K">[45]PRELIM!$B$380</definedName>
    <definedName name="CT245KG" localSheetId="0">[1]BASE!$D$32</definedName>
    <definedName name="CT245KG" localSheetId="1">[1]BASE!$D$32</definedName>
    <definedName name="CT245KG">[1]BASE!$D$32</definedName>
    <definedName name="CT280KG" localSheetId="4">[29]BASE!$D$38</definedName>
    <definedName name="CT280KG" localSheetId="5">[29]BASE!$D$38</definedName>
    <definedName name="CT280KG" localSheetId="0">[25]BASE!$D$36</definedName>
    <definedName name="CT280KG">[29]BASE!$D$38</definedName>
    <definedName name="CTC140KG" localSheetId="0">[1]BASE!$D$37</definedName>
    <definedName name="CTC140KG" localSheetId="1">[1]BASE!$D$37</definedName>
    <definedName name="CTC140KG">[1]BASE!$D$37</definedName>
    <definedName name="CU" localSheetId="4">#N/A</definedName>
    <definedName name="CU" localSheetId="5">#N/A</definedName>
    <definedName name="CU">#N/A</definedName>
    <definedName name="cUCA" localSheetId="4">#N/A</definedName>
    <definedName name="cUCA" localSheetId="5">#N/A</definedName>
    <definedName name="cUCA" localSheetId="0">#N/A</definedName>
    <definedName name="cUCA">#N/A</definedName>
    <definedName name="CV" localSheetId="4">'[2]BASE ORIGINAL'!#REF!</definedName>
    <definedName name="CV" localSheetId="5">'[2]BASE ORIGINAL'!#REF!</definedName>
    <definedName name="CV">'[2]BASE ORIGINAL'!#REF!</definedName>
    <definedName name="CVa" localSheetId="4">#REF!</definedName>
    <definedName name="CVa" localSheetId="5">#REF!</definedName>
    <definedName name="CVa" localSheetId="0">#REF!</definedName>
    <definedName name="CVa">#REF!</definedName>
    <definedName name="CW" localSheetId="4">'[2]BASE ORIGINAL'!#REF!</definedName>
    <definedName name="CW" localSheetId="5">'[2]BASE ORIGINAL'!#REF!</definedName>
    <definedName name="CW">'[2]BASE ORIGINAL'!#REF!</definedName>
    <definedName name="Cwvu.ComparEneMar9697." localSheetId="0" hidden="1">'[50]Seguimiento CSF'!#REF!,'[50]Seguimiento CSF'!$A$30:$IV$34,'[50]Seguimiento CSF'!$A$104:$IV$104,'[50]Seguimiento CSF'!#REF!,'[50]Seguimiento CSF'!#REF!,'[50]Seguimiento CSF'!$A$124:$IV$125</definedName>
    <definedName name="Cwvu.ComparEneMar9697." hidden="1">'[50]Seguimiento CSF'!#REF!,'[50]Seguimiento CSF'!$A$30:$IV$34,'[50]Seguimiento CSF'!$A$104:$IV$104,'[50]Seguimiento CSF'!#REF!,'[50]Seguimiento CSF'!#REF!,'[50]Seguimiento CSF'!$A$124:$IV$125</definedName>
    <definedName name="Cwvu.EneFeb." localSheetId="0" hidden="1">'[50]Seguimiento CSF'!#REF!,'[50]Seguimiento CSF'!#REF!</definedName>
    <definedName name="Cwvu.EneFeb." hidden="1">'[50]Seguimiento CSF'!#REF!,'[50]Seguimiento CSF'!#REF!</definedName>
    <definedName name="Cwvu.EneMar." localSheetId="0" hidden="1">'[50]Seguimiento CSF'!#REF!,'[50]Seguimiento CSF'!$A$67:$IV$67,'[50]Seguimiento CSF'!#REF!,'[50]Seguimiento CSF'!#REF!</definedName>
    <definedName name="Cwvu.EneMar." hidden="1">'[50]Seguimiento CSF'!#REF!,'[50]Seguimiento CSF'!$A$67:$IV$67,'[50]Seguimiento CSF'!#REF!,'[50]Seguimiento CSF'!#REF!</definedName>
    <definedName name="Cwvu.Formato._.Corto." localSheetId="0" hidden="1">'[50]Seguimiento CSF'!$A$11:$IV$12,'[50]Seguimiento CSF'!#REF!,'[50]Seguimiento CSF'!$A$45:$IV$46,'[50]Seguimiento CSF'!$A$48:$IV$57,'[50]Seguimiento CSF'!$A$61:$IV$63,'[50]Seguimiento CSF'!$A$65:$IV$66,'[50]Seguimiento CSF'!$A$72:$IV$82,'[50]Seguimiento CSF'!$A$89:$IV$92,'[50]Seguimiento CSF'!$A$114:$IV$116,'[50]Seguimiento CSF'!$A$118:$IV$122,'[50]Seguimiento CSF'!$A$129:$IV$132,'[50]Seguimiento CSF'!$A$134:$IV$135</definedName>
    <definedName name="Cwvu.Formato._.Corto." hidden="1">'[50]Seguimiento CSF'!$A$11:$IV$12,'[50]Seguimiento CSF'!#REF!,'[50]Seguimiento CSF'!$A$45:$IV$46,'[50]Seguimiento CSF'!$A$48:$IV$57,'[50]Seguimiento CSF'!$A$61:$IV$63,'[50]Seguimiento CSF'!$A$65:$IV$66,'[50]Seguimiento CSF'!$A$72:$IV$82,'[50]Seguimiento CSF'!$A$89:$IV$92,'[50]Seguimiento CSF'!$A$114:$IV$116,'[50]Seguimiento CSF'!$A$118:$IV$122,'[50]Seguimiento CSF'!$A$129:$IV$132,'[50]Seguimiento CSF'!$A$134:$IV$135</definedName>
    <definedName name="Cwvu.Formato._.Total." localSheetId="0" hidden="1">'[50]Seguimiento CSF'!#REF!,'[50]Seguimiento CSF'!#REF!,'[50]Seguimiento CSF'!#REF!</definedName>
    <definedName name="Cwvu.Formato._.Total." hidden="1">'[50]Seguimiento CSF'!#REF!,'[50]Seguimiento CSF'!#REF!,'[50]Seguimiento CSF'!#REF!</definedName>
    <definedName name="CX" localSheetId="4">'[2]BASE ORIGINAL'!#REF!</definedName>
    <definedName name="CX" localSheetId="5">'[2]BASE ORIGINAL'!#REF!</definedName>
    <definedName name="CX">'[2]BASE ORIGINAL'!#REF!</definedName>
    <definedName name="CY" localSheetId="4">'[2]BASE ORIGINAL'!#REF!</definedName>
    <definedName name="CY" localSheetId="5">'[2]BASE ORIGINAL'!#REF!</definedName>
    <definedName name="CY">'[2]BASE ORIGINAL'!#REF!</definedName>
    <definedName name="CYLL2" localSheetId="0">[1]BASE!$D$220</definedName>
    <definedName name="CYLL2" localSheetId="1">[1]BASE!$D$220</definedName>
    <definedName name="CYLL2">[1]BASE!$D$220</definedName>
    <definedName name="CYLL3" localSheetId="4">#REF!</definedName>
    <definedName name="CYLL3" localSheetId="5">#REF!</definedName>
    <definedName name="CYLL3" localSheetId="0">[2]BASE!$D$344</definedName>
    <definedName name="CYLL3">#REF!</definedName>
    <definedName name="CYLL4" localSheetId="4">#REF!</definedName>
    <definedName name="CYLL4" localSheetId="5">#REF!</definedName>
    <definedName name="CYLL4" localSheetId="0">[2]BASE!$D$345</definedName>
    <definedName name="CYLL4">#REF!</definedName>
    <definedName name="CYLL6" localSheetId="4">#REF!</definedName>
    <definedName name="CYLL6" localSheetId="5">#REF!</definedName>
    <definedName name="CYLL6" localSheetId="0">[2]BASE!$D$346</definedName>
    <definedName name="CYLL6">#REF!</definedName>
    <definedName name="CZ" localSheetId="4">#REF!</definedName>
    <definedName name="CZ" localSheetId="5">#REF!</definedName>
    <definedName name="CZ">#REF!</definedName>
    <definedName name="d" localSheetId="4">#REF!</definedName>
    <definedName name="d" localSheetId="5">#REF!</definedName>
    <definedName name="d" localSheetId="0">#REF!</definedName>
    <definedName name="d">#REF!</definedName>
    <definedName name="DA" localSheetId="4">#N/A</definedName>
    <definedName name="DA" localSheetId="5">#N/A</definedName>
    <definedName name="DA">#N/A</definedName>
    <definedName name="DATOS" localSheetId="4">#N/A</definedName>
    <definedName name="DATOS" localSheetId="5">#N/A</definedName>
    <definedName name="DATOS" localSheetId="0">#N/A</definedName>
    <definedName name="DATOS">#N/A</definedName>
    <definedName name="Datos_G1" localSheetId="4">#REF!</definedName>
    <definedName name="Datos_G1" localSheetId="5">#REF!</definedName>
    <definedName name="Datos_G1" localSheetId="0">#REF!</definedName>
    <definedName name="Datos_G1">#REF!</definedName>
    <definedName name="Datos_G2" localSheetId="4">#REF!</definedName>
    <definedName name="Datos_G2" localSheetId="5">#REF!</definedName>
    <definedName name="Datos_G2" localSheetId="0">#REF!</definedName>
    <definedName name="Datos_G2">#REF!</definedName>
    <definedName name="Datos_SW_G1" localSheetId="4">#REF!</definedName>
    <definedName name="Datos_SW_G1" localSheetId="5">#REF!</definedName>
    <definedName name="Datos_SW_G1" localSheetId="0">#REF!</definedName>
    <definedName name="Datos_SW_G1">#REF!</definedName>
    <definedName name="Datos_SW_G2" localSheetId="4">#REF!</definedName>
    <definedName name="Datos_SW_G2" localSheetId="5">#REF!</definedName>
    <definedName name="Datos_SW_G2" localSheetId="0">#REF!</definedName>
    <definedName name="Datos_SW_G2">#REF!</definedName>
    <definedName name="datos1" localSheetId="0">'[51]Base de Diseño'!$A$1:$D$204</definedName>
    <definedName name="datos1">'[51]Base de Diseño'!$A$1:$D$204</definedName>
    <definedName name="DB" localSheetId="4">#N/A</definedName>
    <definedName name="DB" localSheetId="5">#N/A</definedName>
    <definedName name="DB">#N/A</definedName>
    <definedName name="DC" localSheetId="4">#N/A</definedName>
    <definedName name="DC" localSheetId="5">#N/A</definedName>
    <definedName name="DC">#N/A</definedName>
    <definedName name="DD" localSheetId="4">'[2]BASE ORIGINAL'!#REF!</definedName>
    <definedName name="DD" localSheetId="5">'[2]BASE ORIGINAL'!#REF!</definedName>
    <definedName name="DD">'[2]BASE ORIGINAL'!#REF!</definedName>
    <definedName name="DE" localSheetId="4">#REF!</definedName>
    <definedName name="DE" localSheetId="5">#REF!</definedName>
    <definedName name="DE" localSheetId="0">[52]BASE!$D$8</definedName>
    <definedName name="DE">#REF!</definedName>
    <definedName name="DEDO"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si" localSheetId="4">#REF!</definedName>
    <definedName name="desi" localSheetId="5">#REF!</definedName>
    <definedName name="desi" localSheetId="0">#REF!</definedName>
    <definedName name="desi">#REF!</definedName>
    <definedName name="design">'[53]Design (3)'!$A$12:$CM$71</definedName>
    <definedName name="design2">[53]Design!$A$24:$CM$66</definedName>
    <definedName name="DF" localSheetId="4">'[2]BASE ORIGINAL'!#REF!</definedName>
    <definedName name="DF" localSheetId="5">'[2]BASE ORIGINAL'!#REF!</definedName>
    <definedName name="DF">'[2]BASE ORIGINAL'!#REF!</definedName>
    <definedName name="DG" localSheetId="4">'[2]BASE ORIGINAL'!#REF!</definedName>
    <definedName name="DG" localSheetId="5">'[2]BASE ORIGINAL'!#REF!</definedName>
    <definedName name="DG">'[2]BASE ORIGINAL'!#REF!</definedName>
    <definedName name="dghfs" localSheetId="0">#REF!</definedName>
    <definedName name="dghfs">#REF!</definedName>
    <definedName name="DH" localSheetId="4">'[2]BASE ORIGINAL'!#REF!</definedName>
    <definedName name="DH" localSheetId="5">'[2]BASE ORIGINAL'!#REF!</definedName>
    <definedName name="DH">'[2]BASE ORIGINAL'!#REF!</definedName>
    <definedName name="DI" localSheetId="4">#REF!</definedName>
    <definedName name="DI" localSheetId="5">#REF!</definedName>
    <definedName name="DI">#REF!</definedName>
    <definedName name="DIA" localSheetId="4">'[2]base de datos'!$V$3:$V$33</definedName>
    <definedName name="DIA" localSheetId="5">'[2]base de datos'!$V$3:$V$33</definedName>
    <definedName name="dia" localSheetId="0">[35]datos!$F$2:$F$32</definedName>
    <definedName name="DIA">'[2]base de datos'!$V$3:$V$33</definedName>
    <definedName name="DIAME" localSheetId="4">#REF!</definedName>
    <definedName name="DIAME" localSheetId="5">#REF!</definedName>
    <definedName name="DIAME" localSheetId="0">#REF!</definedName>
    <definedName name="DIAME">#REF!</definedName>
    <definedName name="diametros" localSheetId="4">#REF!</definedName>
    <definedName name="diametros" localSheetId="5">#REF!</definedName>
    <definedName name="diametros" localSheetId="0">#REF!</definedName>
    <definedName name="diametros">#REF!</definedName>
    <definedName name="DiametrosCodos">'[54]L codos'!$B$2:$V$2</definedName>
    <definedName name="DIANA" localSheetId="4">[7]BASE!#REF!</definedName>
    <definedName name="DIANA" localSheetId="5">[7]BASE!#REF!</definedName>
    <definedName name="DIANA" localSheetId="0">[7]BASE!#REF!</definedName>
    <definedName name="DIANA">[7]BASE!#REF!</definedName>
    <definedName name="DJ" localSheetId="4">#REF!</definedName>
    <definedName name="DJ" localSheetId="5">#REF!</definedName>
    <definedName name="DJ">#REF!</definedName>
    <definedName name="DK">[5]REAJUSTESACTA1PROVI!#REF!</definedName>
    <definedName name="DL" localSheetId="4">#N/A</definedName>
    <definedName name="DL" localSheetId="5">#N/A</definedName>
    <definedName name="DL">#N/A</definedName>
    <definedName name="DM" localSheetId="4">#REF!</definedName>
    <definedName name="DM" localSheetId="5">#REF!</definedName>
    <definedName name="DM">#REF!</definedName>
    <definedName name="DN" localSheetId="4">#N/A</definedName>
    <definedName name="DN" localSheetId="5">#N/A</definedName>
    <definedName name="DN">#N/A</definedName>
    <definedName name="DO" localSheetId="4">#N/A</definedName>
    <definedName name="DO" localSheetId="5">#N/A</definedName>
    <definedName name="DO">#N/A</definedName>
    <definedName name="DP" localSheetId="4">#N/A</definedName>
    <definedName name="DP" localSheetId="5">#N/A</definedName>
    <definedName name="DP">#N/A</definedName>
    <definedName name="DQ" localSheetId="4">#N/A</definedName>
    <definedName name="DQ" localSheetId="5">#N/A</definedName>
    <definedName name="DQ">#N/A</definedName>
    <definedName name="DR" localSheetId="4">#N/A</definedName>
    <definedName name="DR" localSheetId="5">#N/A</definedName>
    <definedName name="DR">#N/A</definedName>
    <definedName name="DS" localSheetId="4">#N/A</definedName>
    <definedName name="DS" localSheetId="5">#N/A</definedName>
    <definedName name="DS">#N/A</definedName>
    <definedName name="DT" localSheetId="4">#N/A</definedName>
    <definedName name="DT" localSheetId="5">#N/A</definedName>
    <definedName name="dt" localSheetId="0">[35]datos!$K$2:$K$10</definedName>
    <definedName name="DT">#N/A</definedName>
    <definedName name="DU" localSheetId="4">#N/A</definedName>
    <definedName name="DU" localSheetId="5">#N/A</definedName>
    <definedName name="DU">#N/A</definedName>
    <definedName name="DUCTO" localSheetId="0">[55]CONDUIT!#REF!</definedName>
    <definedName name="DUCTO">[56]CONDUIT!#REF!</definedName>
    <definedName name="DV" localSheetId="4">#N/A</definedName>
    <definedName name="DV" localSheetId="5">#N/A</definedName>
    <definedName name="DV">#N/A</definedName>
    <definedName name="DW" localSheetId="4">#N/A</definedName>
    <definedName name="DW" localSheetId="5">#N/A</definedName>
    <definedName name="DW">#N/A</definedName>
    <definedName name="DX" localSheetId="4">'[2]BASE ORIGINAL'!#REF!</definedName>
    <definedName name="DX" localSheetId="5">'[2]BASE ORIGINAL'!#REF!</definedName>
    <definedName name="DX">'[2]BASE ORIGINAL'!#REF!</definedName>
    <definedName name="DY" localSheetId="4">'[2]BASE ORIGINAL'!#REF!</definedName>
    <definedName name="DY" localSheetId="5">'[2]BASE ORIGINAL'!#REF!</definedName>
    <definedName name="DY">'[2]BASE ORIGINAL'!#REF!</definedName>
    <definedName name="DZ" localSheetId="4">'[2]BASE ORIGINAL'!#REF!</definedName>
    <definedName name="DZ" localSheetId="5">'[2]BASE ORIGINAL'!#REF!</definedName>
    <definedName name="DZ">'[2]BASE ORIGINAL'!#REF!</definedName>
    <definedName name="E">#REF!</definedName>
    <definedName name="EA" localSheetId="4">'[2]BASE ORIGINAL'!#REF!</definedName>
    <definedName name="EA" localSheetId="5">'[2]BASE ORIGINAL'!#REF!</definedName>
    <definedName name="EA">'[2]BASE ORIGINAL'!#REF!</definedName>
    <definedName name="EB" localSheetId="4">'[2]BASE ORIGINAL'!#REF!</definedName>
    <definedName name="EB" localSheetId="5">'[2]BASE ORIGINAL'!#REF!</definedName>
    <definedName name="EB">'[2]BASE ORIGINAL'!#REF!</definedName>
    <definedName name="EC" localSheetId="4">#REF!</definedName>
    <definedName name="EC" localSheetId="5">#REF!</definedName>
    <definedName name="EC">#REF!</definedName>
    <definedName name="ED" localSheetId="4">#REF!</definedName>
    <definedName name="ED" localSheetId="5">#REF!</definedName>
    <definedName name="ED">#REF!</definedName>
    <definedName name="ee" localSheetId="0">#REF!</definedName>
    <definedName name="ee">#REF!</definedName>
    <definedName name="eeee" localSheetId="9">[2]BASE!$D$13</definedName>
    <definedName name="eeee">[2]BASE!$D$13</definedName>
    <definedName name="EF">[5]REAJUSTESACTA1PROVI!#REF!</definedName>
    <definedName name="EG" localSheetId="4">#N/A</definedName>
    <definedName name="EG" localSheetId="5">#N/A</definedName>
    <definedName name="EG">#N/A</definedName>
    <definedName name="EH" localSheetId="4">#REF!</definedName>
    <definedName name="EH" localSheetId="5">#REF!</definedName>
    <definedName name="EH">#REF!</definedName>
    <definedName name="EI" localSheetId="4">#N/A</definedName>
    <definedName name="EI" localSheetId="5">#N/A</definedName>
    <definedName name="EI">#N/A</definedName>
    <definedName name="EJ" localSheetId="4">#N/A</definedName>
    <definedName name="EJ" localSheetId="5">#N/A</definedName>
    <definedName name="EJ">#N/A</definedName>
    <definedName name="EK" localSheetId="4">#N/A</definedName>
    <definedName name="EK" localSheetId="5">#N/A</definedName>
    <definedName name="EK">#N/A</definedName>
    <definedName name="EL" localSheetId="4">#N/A</definedName>
    <definedName name="EL" localSheetId="5">#N/A</definedName>
    <definedName name="EL">#N/A</definedName>
    <definedName name="electricosAPUS" localSheetId="4">[57]BASE!$C$3</definedName>
    <definedName name="electricosAPUS" localSheetId="5">[57]BASE!$C$3</definedName>
    <definedName name="electricosAPUS">[57]BASE!$C$3</definedName>
    <definedName name="EM" localSheetId="4">#N/A</definedName>
    <definedName name="EM" localSheetId="5">#N/A</definedName>
    <definedName name="EM">#N/A</definedName>
    <definedName name="EN" localSheetId="4">#N/A</definedName>
    <definedName name="EN" localSheetId="5">#N/A</definedName>
    <definedName name="EN">#N/A</definedName>
    <definedName name="Ene" localSheetId="4">[2]ENE!$A$12:$H$34</definedName>
    <definedName name="Ene" localSheetId="5">[2]ENE!$A$12:$H$34</definedName>
    <definedName name="Ene" localSheetId="0">[2]ENE!$A$12:$H$34</definedName>
    <definedName name="Ene">[2]ENE!$A$12:$H$34</definedName>
    <definedName name="Ene_C" localSheetId="4">[2]ENE!$A$35:$H$52</definedName>
    <definedName name="Ene_C" localSheetId="5">[2]ENE!$A$35:$H$52</definedName>
    <definedName name="Ene_C" localSheetId="0">[2]ENE!$A$35:$H$52</definedName>
    <definedName name="Ene_C">[2]ENE!$A$35:$H$52</definedName>
    <definedName name="EneFeb">'[58]Ene-Feb'!$A$12:$H$34</definedName>
    <definedName name="EO" localSheetId="4">#N/A</definedName>
    <definedName name="EO" localSheetId="5">#N/A</definedName>
    <definedName name="EO">#N/A</definedName>
    <definedName name="EP" localSheetId="4">#N/A</definedName>
    <definedName name="EP" localSheetId="5">#N/A</definedName>
    <definedName name="EP">#N/A</definedName>
    <definedName name="EQ" localSheetId="4">#N/A</definedName>
    <definedName name="EQ" localSheetId="5">#N/A</definedName>
    <definedName name="EQ">#N/A</definedName>
    <definedName name="EQPL" localSheetId="4">'[27]8.2 BASE'!$E$1731</definedName>
    <definedName name="EQPL" localSheetId="5">'[27]8.2 BASE'!$E$1731</definedName>
    <definedName name="EQPL" localSheetId="0">'[28]8.2 BASE'!$E$1731</definedName>
    <definedName name="EQPL">'[27]8.2 BASE'!$E$1731</definedName>
    <definedName name="ER" localSheetId="4">#N/A</definedName>
    <definedName name="ER" localSheetId="5">#N/A</definedName>
    <definedName name="ER">#N/A</definedName>
    <definedName name="ES" localSheetId="4">'[2]BASE ORIGINAL'!#REF!</definedName>
    <definedName name="ES" localSheetId="5">'[2]BASE ORIGINAL'!#REF!</definedName>
    <definedName name="ES">'[2]BASE ORIGINAL'!#REF!</definedName>
    <definedName name="ESTAC" localSheetId="0">[1]BASE!$D$242</definedName>
    <definedName name="ESTAC" localSheetId="1">[1]BASE!$D$242</definedName>
    <definedName name="ESTAC">[1]BASE!$D$242</definedName>
    <definedName name="ESTADO_ACUEDUCTO">#REF!</definedName>
    <definedName name="ESTADO_ALCANTARILLADO">#REF!</definedName>
    <definedName name="estadotramite" localSheetId="4">'[2]base de datos'!$U$3:$U$5</definedName>
    <definedName name="estadotramite" localSheetId="5">'[2]base de datos'!$U$3:$U$5</definedName>
    <definedName name="estadotramite" localSheetId="0">'[2]base de datos'!$U$3:$U$5</definedName>
    <definedName name="estadotramite">'[2]base de datos'!$U$3:$U$5</definedName>
    <definedName name="ESTOP" localSheetId="4">#REF!</definedName>
    <definedName name="ESTOP" localSheetId="5">#REF!</definedName>
    <definedName name="ESTOP" localSheetId="0">[25]BASE!$D$1700</definedName>
    <definedName name="ESTOP">#REF!</definedName>
    <definedName name="ET" localSheetId="4">'[2]BASE ORIGINAL'!#REF!</definedName>
    <definedName name="ET" localSheetId="5">'[2]BASE ORIGINAL'!#REF!</definedName>
    <definedName name="ET">'[2]BASE ORIGINAL'!#REF!</definedName>
    <definedName name="EU" localSheetId="4">'[2]BASE ORIGINAL'!#REF!</definedName>
    <definedName name="EU" localSheetId="5">'[2]BASE ORIGINAL'!#REF!</definedName>
    <definedName name="EU">'[2]BASE ORIGINAL'!#REF!</definedName>
    <definedName name="EV" localSheetId="4">'[2]BASE ORIGINAL'!#REF!</definedName>
    <definedName name="EV" localSheetId="5">'[2]BASE ORIGINAL'!#REF!</definedName>
    <definedName name="EV">'[2]BASE ORIGINAL'!#REF!</definedName>
    <definedName name="EW" localSheetId="4">#REF!</definedName>
    <definedName name="EW" localSheetId="5">#REF!</definedName>
    <definedName name="EW">#REF!</definedName>
    <definedName name="EX" localSheetId="4">#REF!</definedName>
    <definedName name="EX" localSheetId="5">#REF!</definedName>
    <definedName name="EX">#REF!</definedName>
    <definedName name="EY">[5]REAJUSTESACTA1PROVI!#REF!</definedName>
    <definedName name="EZ" localSheetId="4">#N/A</definedName>
    <definedName name="EZ" localSheetId="5">#N/A</definedName>
    <definedName name="EZ">#N/A</definedName>
    <definedName name="FA" localSheetId="4">#N/A</definedName>
    <definedName name="FA" localSheetId="5">#N/A</definedName>
    <definedName name="FA">#N/A</definedName>
    <definedName name="FB" localSheetId="4">#N/A</definedName>
    <definedName name="FB" localSheetId="5">#N/A</definedName>
    <definedName name="FB">#N/A</definedName>
    <definedName name="FD" localSheetId="4">#N/A</definedName>
    <definedName name="FD" localSheetId="5">#N/A</definedName>
    <definedName name="FD">#N/A</definedName>
    <definedName name="FE" localSheetId="4">#N/A</definedName>
    <definedName name="FE" localSheetId="5">#N/A</definedName>
    <definedName name="FE">#N/A</definedName>
    <definedName name="Feb" localSheetId="4">[2]FEB!$A$12:$H$33</definedName>
    <definedName name="Feb" localSheetId="5">[2]FEB!$A$12:$H$33</definedName>
    <definedName name="Feb" localSheetId="0">[2]FEB!$A$12:$H$33</definedName>
    <definedName name="Feb">[2]FEB!$A$12:$H$33</definedName>
    <definedName name="Feb_C" localSheetId="4">[2]FEB!$A$35:$H$51</definedName>
    <definedName name="Feb_C" localSheetId="5">[2]FEB!$A$35:$H$51</definedName>
    <definedName name="Feb_C" localSheetId="0">[2]FEB!$A$35:$H$51</definedName>
    <definedName name="Feb_C">[2]FEB!$A$35:$H$51</definedName>
    <definedName name="FFFF"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G" localSheetId="4">[7]BASE!#REF!</definedName>
    <definedName name="FFG" localSheetId="5">[7]BASE!#REF!</definedName>
    <definedName name="FFG" localSheetId="0">[7]BASE!#REF!</definedName>
    <definedName name="FFG">[7]BASE!#REF!</definedName>
    <definedName name="FG" localSheetId="4">'[2]BASE ORIGINAL'!#REF!</definedName>
    <definedName name="FG" localSheetId="5">'[2]BASE ORIGINAL'!#REF!</definedName>
    <definedName name="FG">'[2]BASE ORIGINAL'!#REF!</definedName>
    <definedName name="FH" localSheetId="4">'[2]BASE ORIGINAL'!#REF!</definedName>
    <definedName name="FH" localSheetId="5">'[2]BASE ORIGINAL'!#REF!</definedName>
    <definedName name="FH">'[2]BASE ORIGINAL'!#REF!</definedName>
    <definedName name="FI" localSheetId="4">'[2]BASE ORIGINAL'!#REF!</definedName>
    <definedName name="FI" localSheetId="5">'[2]BASE ORIGINAL'!#REF!</definedName>
    <definedName name="FI">'[2]BASE ORIGINAL'!#REF!</definedName>
    <definedName name="FIELT" localSheetId="0">[1]BASE!$D$256</definedName>
    <definedName name="FIELT" localSheetId="1">[1]BASE!$D$256</definedName>
    <definedName name="FIELT">[1]BASE!$D$256</definedName>
    <definedName name="FILTRANTES" localSheetId="0">'[59]Base de Diseño'!#REF!</definedName>
    <definedName name="FILTRANTES">'[59]Base de Diseño'!#REF!</definedName>
    <definedName name="FJ" localSheetId="4">'[2]BASE ORIGINAL'!#REF!</definedName>
    <definedName name="FJ" localSheetId="5">'[2]BASE ORIGINAL'!#REF!</definedName>
    <definedName name="FJ">'[2]BASE ORIGINAL'!#REF!</definedName>
    <definedName name="FK" localSheetId="4">#REF!</definedName>
    <definedName name="FK" localSheetId="5">#REF!</definedName>
    <definedName name="FK">#REF!</definedName>
    <definedName name="fkdfkdfj" localSheetId="4">#REF!</definedName>
    <definedName name="fkdfkdfj" localSheetId="5">#REF!</definedName>
    <definedName name="fkdfkdfj">#REF!</definedName>
    <definedName name="FL" localSheetId="4">#REF!</definedName>
    <definedName name="FL" localSheetId="5">#REF!</definedName>
    <definedName name="FL">#REF!</definedName>
    <definedName name="FM">[5]REAJUSTESACTA1PROVI!#REF!</definedName>
    <definedName name="FN" localSheetId="4">#N/A</definedName>
    <definedName name="FN" localSheetId="5">#N/A</definedName>
    <definedName name="FN">#N/A</definedName>
    <definedName name="FO" localSheetId="4">#REF!</definedName>
    <definedName name="FO" localSheetId="5">#REF!</definedName>
    <definedName name="FO">#REF!</definedName>
    <definedName name="FORM3" localSheetId="0">[1]BASE!$D$322</definedName>
    <definedName name="FORM3" localSheetId="1">[1]BASE!$D$322</definedName>
    <definedName name="FORM3">[1]BASE!$D$322</definedName>
    <definedName name="FORMA" localSheetId="4">#REF!</definedName>
    <definedName name="FORMA" localSheetId="5">#REF!</definedName>
    <definedName name="FORMA" localSheetId="0">[25]BASE!$D$1767</definedName>
    <definedName name="FORMA">#REF!</definedName>
    <definedName name="FORMATO_5" localSheetId="4">#N/A</definedName>
    <definedName name="FORMATO_5" localSheetId="5">#N/A</definedName>
    <definedName name="FORMATO_5" localSheetId="0">#REF!</definedName>
    <definedName name="FORMATO_5">#N/A</definedName>
    <definedName name="FORMH" localSheetId="0">[1]BASE!$D$321</definedName>
    <definedName name="FORMH" localSheetId="1">[1]BASE!$D$321</definedName>
    <definedName name="FORMH">[1]BASE!$D$321</definedName>
    <definedName name="FORMM" localSheetId="4">#REF!</definedName>
    <definedName name="FORMM" localSheetId="5">#REF!</definedName>
    <definedName name="FORMM" localSheetId="0">[25]BASE!$D$1766</definedName>
    <definedName name="FORMM">#REF!</definedName>
    <definedName name="formularioCantidades" localSheetId="4">#REF!</definedName>
    <definedName name="formularioCantidades" localSheetId="5">#REF!</definedName>
    <definedName name="formularioCantidades" localSheetId="0">#REF!</definedName>
    <definedName name="formularioCantidades">#REF!</definedName>
    <definedName name="FP" localSheetId="4">#N/A</definedName>
    <definedName name="FP" localSheetId="5">#N/A</definedName>
    <definedName name="FP">#N/A</definedName>
    <definedName name="FQ" localSheetId="4">#N/A</definedName>
    <definedName name="FQ" localSheetId="5">#N/A</definedName>
    <definedName name="FQ">#N/A</definedName>
    <definedName name="FR" localSheetId="4">#N/A</definedName>
    <definedName name="FR" localSheetId="5">#N/A</definedName>
    <definedName name="FR">#N/A</definedName>
    <definedName name="FS" localSheetId="4">#N/A</definedName>
    <definedName name="FS" localSheetId="5">#N/A</definedName>
    <definedName name="FS">#N/A</definedName>
    <definedName name="FT" localSheetId="4">#N/A</definedName>
    <definedName name="FT" localSheetId="5">#N/A</definedName>
    <definedName name="FT">#N/A</definedName>
    <definedName name="FU" localSheetId="4">#N/A</definedName>
    <definedName name="FU" localSheetId="5">#N/A</definedName>
    <definedName name="FU">#N/A</definedName>
    <definedName name="FV" localSheetId="4">#N/A</definedName>
    <definedName name="FV" localSheetId="5">#N/A</definedName>
    <definedName name="FV">#N/A</definedName>
    <definedName name="FW" localSheetId="4">#N/A</definedName>
    <definedName name="FW" localSheetId="5">#N/A</definedName>
    <definedName name="FW">#N/A</definedName>
    <definedName name="FX" localSheetId="4">#N/A</definedName>
    <definedName name="FX" localSheetId="5">#N/A</definedName>
    <definedName name="FX">#N/A</definedName>
    <definedName name="FY" localSheetId="4">#N/A</definedName>
    <definedName name="FY" localSheetId="5">#N/A</definedName>
    <definedName name="FY">#N/A</definedName>
    <definedName name="FZ" localSheetId="4">'[2]BASE ORIGINAL'!#REF!</definedName>
    <definedName name="FZ" localSheetId="5">'[2]BASE ORIGINAL'!#REF!</definedName>
    <definedName name="FZ">'[2]BASE ORIGINAL'!#REF!</definedName>
    <definedName name="GA" localSheetId="4">'[2]BASE ORIGINAL'!#REF!</definedName>
    <definedName name="GA" localSheetId="5">'[2]BASE ORIGINAL'!#REF!</definedName>
    <definedName name="GA">'[2]BASE ORIGINAL'!#REF!</definedName>
    <definedName name="GASO" localSheetId="4">#REF!</definedName>
    <definedName name="GASO" localSheetId="5">#REF!</definedName>
    <definedName name="GASO" localSheetId="0">[25]BASE!$D$1796</definedName>
    <definedName name="GASO">#REF!</definedName>
    <definedName name="GB" localSheetId="4">'[2]BASE ORIGINAL'!#REF!</definedName>
    <definedName name="GB" localSheetId="5">'[2]BASE ORIGINAL'!#REF!</definedName>
    <definedName name="GB">'[2]BASE ORIGINAL'!#REF!</definedName>
    <definedName name="GC" localSheetId="4">'[2]BASE ORIGINAL'!#REF!</definedName>
    <definedName name="GC" localSheetId="5">'[2]BASE ORIGINAL'!#REF!</definedName>
    <definedName name="GC">'[2]BASE ORIGINAL'!#REF!</definedName>
    <definedName name="GD" localSheetId="4">#REF!</definedName>
    <definedName name="GD" localSheetId="5">#REF!</definedName>
    <definedName name="GD">#REF!</definedName>
    <definedName name="GE" localSheetId="4">#REF!</definedName>
    <definedName name="GE" localSheetId="5">#REF!</definedName>
    <definedName name="GE">#REF!</definedName>
    <definedName name="GEOT" localSheetId="4">#REF!</definedName>
    <definedName name="GEOT" localSheetId="5">#REF!</definedName>
    <definedName name="GEOT" localSheetId="0">[25]BASE!$D$1683</definedName>
    <definedName name="GEOT">#REF!</definedName>
    <definedName name="GF">[5]REAJUSTESACTA1PROVI!#REF!</definedName>
    <definedName name="GH" localSheetId="4">#N/A</definedName>
    <definedName name="GH" localSheetId="5">#N/A</definedName>
    <definedName name="GH">#N/A</definedName>
    <definedName name="GI" localSheetId="4">#REF!</definedName>
    <definedName name="GI" localSheetId="5">#REF!</definedName>
    <definedName name="GI">#REF!</definedName>
    <definedName name="GJ" localSheetId="4">#N/A</definedName>
    <definedName name="GJ" localSheetId="5">#N/A</definedName>
    <definedName name="GJ">#N/A</definedName>
    <definedName name="GK" localSheetId="4">#N/A</definedName>
    <definedName name="GK" localSheetId="5">#N/A</definedName>
    <definedName name="GK">#N/A</definedName>
    <definedName name="GL" localSheetId="4">#N/A</definedName>
    <definedName name="GL" localSheetId="5">#N/A</definedName>
    <definedName name="GL">#N/A</definedName>
    <definedName name="GM" localSheetId="4">#N/A</definedName>
    <definedName name="GM" localSheetId="5">#N/A</definedName>
    <definedName name="GM">#N/A</definedName>
    <definedName name="GN" localSheetId="4">#N/A</definedName>
    <definedName name="GN" localSheetId="5">#N/A</definedName>
    <definedName name="GN">#N/A</definedName>
    <definedName name="GO" localSheetId="4">#N/A</definedName>
    <definedName name="GO" localSheetId="5">#N/A</definedName>
    <definedName name="GO">#N/A</definedName>
    <definedName name="GP" localSheetId="4">#N/A</definedName>
    <definedName name="GP" localSheetId="5">#N/A</definedName>
    <definedName name="GP">#N/A</definedName>
    <definedName name="GQ" localSheetId="4">#N/A</definedName>
    <definedName name="GQ" localSheetId="5">#N/A</definedName>
    <definedName name="GQ">#N/A</definedName>
    <definedName name="GR" localSheetId="4">#N/A</definedName>
    <definedName name="GR" localSheetId="5">#N/A</definedName>
    <definedName name="GR">#N/A</definedName>
    <definedName name="GRAMA" localSheetId="0">[1]BASE!$D$272</definedName>
    <definedName name="GRAMA" localSheetId="1">[1]BASE!$D$272</definedName>
    <definedName name="GRAMA">[1]BASE!$D$272</definedName>
    <definedName name="GRAP" localSheetId="0">[1]BASE!$D$243</definedName>
    <definedName name="GRAP" localSheetId="1">[1]BASE!$D$243</definedName>
    <definedName name="GRAP">[1]BASE!$D$243</definedName>
    <definedName name="GRAV2" localSheetId="4">#REF!</definedName>
    <definedName name="GRAV2" localSheetId="5">#REF!</definedName>
    <definedName name="GRAV2" localSheetId="0">[25]BASE!$D$69</definedName>
    <definedName name="GRAV2">#REF!</definedName>
    <definedName name="GRAV3" localSheetId="4">[42]BASE!$D$64</definedName>
    <definedName name="GRAV3" localSheetId="5">[42]BASE!$D$64</definedName>
    <definedName name="GRAV3" localSheetId="0">[42]BASE!$D$64</definedName>
    <definedName name="GRAV3">[42]BASE!$D$64</definedName>
    <definedName name="GRAV4">[60]BASE!$D$63</definedName>
    <definedName name="GS" localSheetId="4">'[2]BASE ORIGINAL'!#REF!</definedName>
    <definedName name="GS" localSheetId="5">'[2]BASE ORIGINAL'!#REF!</definedName>
    <definedName name="GS">'[2]BASE ORIGINAL'!#REF!</definedName>
    <definedName name="GT" localSheetId="4">'[2]BASE ORIGINAL'!#REF!</definedName>
    <definedName name="GT" localSheetId="5">'[2]BASE ORIGINAL'!#REF!</definedName>
    <definedName name="GT">'[2]BASE ORIGINAL'!#REF!</definedName>
    <definedName name="GU" localSheetId="4">'[2]BASE ORIGINAL'!#REF!</definedName>
    <definedName name="GU" localSheetId="5">'[2]BASE ORIGINAL'!#REF!</definedName>
    <definedName name="GU">'[2]BASE ORIGINAL'!#REF!</definedName>
    <definedName name="GV" localSheetId="4">'[2]BASE ORIGINAL'!#REF!</definedName>
    <definedName name="GV" localSheetId="5">'[2]BASE ORIGINAL'!#REF!</definedName>
    <definedName name="GV">'[2]BASE ORIGINAL'!#REF!</definedName>
    <definedName name="GW" localSheetId="4">#REF!</definedName>
    <definedName name="GW" localSheetId="5">#REF!</definedName>
    <definedName name="GW">#REF!</definedName>
    <definedName name="GX" localSheetId="4">#REF!</definedName>
    <definedName name="GX" localSheetId="5">#REF!</definedName>
    <definedName name="GX">#REF!</definedName>
    <definedName name="GY">[5]REAJUSTESACTA1PROVI!#REF!</definedName>
    <definedName name="GZ" localSheetId="4">#N/A</definedName>
    <definedName name="GZ" localSheetId="5">#N/A</definedName>
    <definedName name="GZ">#N/A</definedName>
    <definedName name="HA" localSheetId="4">#N/A</definedName>
    <definedName name="HA" localSheetId="5">#N/A</definedName>
    <definedName name="HA">#N/A</definedName>
    <definedName name="HACER"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9"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5"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 localSheetId="4">#N/A</definedName>
    <definedName name="HB" localSheetId="5">#N/A</definedName>
    <definedName name="HB">#N/A</definedName>
    <definedName name="HC" localSheetId="4">#N/A</definedName>
    <definedName name="HC" localSheetId="5">#N/A</definedName>
    <definedName name="HC">#N/A</definedName>
    <definedName name="HC78MH" localSheetId="0">[1]BASE!$D$24</definedName>
    <definedName name="HC78MH" localSheetId="1">[1]BASE!$D$24</definedName>
    <definedName name="HC78MH">[1]BASE!$D$24</definedName>
    <definedName name="HD" localSheetId="4">#N/A</definedName>
    <definedName name="HD" localSheetId="5">#N/A</definedName>
    <definedName name="HD">#N/A</definedName>
    <definedName name="HE" localSheetId="4">#N/A</definedName>
    <definedName name="HE" localSheetId="5">#N/A</definedName>
    <definedName name="HE">#N/A</definedName>
    <definedName name="HF" localSheetId="4">#N/A</definedName>
    <definedName name="HF" localSheetId="5">#N/A</definedName>
    <definedName name="HF">#N/A</definedName>
    <definedName name="HG" localSheetId="4">#N/A</definedName>
    <definedName name="HG" localSheetId="5">#N/A</definedName>
    <definedName name="HG">#N/A</definedName>
    <definedName name="HH" localSheetId="4">#N/A</definedName>
    <definedName name="HH" localSheetId="5">#N/A</definedName>
    <definedName name="HH">#N/A</definedName>
    <definedName name="hhhh"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 localSheetId="4">#N/A</definedName>
    <definedName name="HI" localSheetId="5">#N/A</definedName>
    <definedName name="HI">#N/A</definedName>
    <definedName name="Hid" localSheetId="4">#REF!</definedName>
    <definedName name="Hid" localSheetId="5">#REF!</definedName>
    <definedName name="Hid" localSheetId="0">#REF!</definedName>
    <definedName name="Hid">#REF!</definedName>
    <definedName name="HJ" localSheetId="4">'[2]BASE ORIGINAL'!#REF!</definedName>
    <definedName name="HJ" localSheetId="5">'[2]BASE ORIGINAL'!#REF!</definedName>
    <definedName name="HJ">'[2]BASE ORIGINAL'!#REF!</definedName>
    <definedName name="hjhjh"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9"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5"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 localSheetId="4">'[2]BASE ORIGINAL'!#REF!</definedName>
    <definedName name="HK" localSheetId="5">'[2]BASE ORIGINAL'!#REF!</definedName>
    <definedName name="HK">'[2]BASE ORIGINAL'!#REF!</definedName>
    <definedName name="hkjhjkhkhk" localSheetId="4">#REF!</definedName>
    <definedName name="hkjhjkhkhk" localSheetId="5">#REF!</definedName>
    <definedName name="hkjhjkhkhk">#REF!</definedName>
    <definedName name="HL" localSheetId="4">'[2]BASE ORIGINAL'!#REF!</definedName>
    <definedName name="HL" localSheetId="5">'[2]BASE ORIGINAL'!#REF!</definedName>
    <definedName name="HL">'[2]BASE ORIGINAL'!#REF!</definedName>
    <definedName name="HM" localSheetId="4">'[2]BASE ORIGINAL'!#REF!</definedName>
    <definedName name="HM" localSheetId="5">'[2]BASE ORIGINAL'!#REF!</definedName>
    <definedName name="HM">'[2]BASE ORIGINAL'!#REF!</definedName>
    <definedName name="HM3EB" localSheetId="4">#REF!</definedName>
    <definedName name="HM3EB" localSheetId="5">#REF!</definedName>
    <definedName name="HM3EB">#REF!</definedName>
    <definedName name="HM3JH" localSheetId="4">#REF!</definedName>
    <definedName name="HM3JH" localSheetId="5">#REF!</definedName>
    <definedName name="HM3JH" localSheetId="0">[25]BASE!$D$1741</definedName>
    <definedName name="HM3JH">#REF!</definedName>
    <definedName name="HMHF3" localSheetId="4">'[8]BASE ORIGINAL'!#REF!</definedName>
    <definedName name="HMHF3" localSheetId="5">'[8]BASE ORIGINAL'!#REF!</definedName>
    <definedName name="HMHF3" localSheetId="0">'[9]BASE ORIGINAL'!#REF!</definedName>
    <definedName name="HMHF3">'[8]BASE ORIGINAL'!#REF!</definedName>
    <definedName name="HN" localSheetId="4">#REF!</definedName>
    <definedName name="HN" localSheetId="5">#REF!</definedName>
    <definedName name="HN">#REF!</definedName>
    <definedName name="HO" localSheetId="4">#REF!</definedName>
    <definedName name="HO" localSheetId="5">#REF!</definedName>
    <definedName name="HO">#REF!</definedName>
    <definedName name="HP">[5]REAJUSTESACTA1PROVI!#REF!</definedName>
    <definedName name="HQ" localSheetId="4">#N/A</definedName>
    <definedName name="HQ" localSheetId="5">#N/A</definedName>
    <definedName name="HQ">#N/A</definedName>
    <definedName name="HR" localSheetId="4">#REF!</definedName>
    <definedName name="HR" localSheetId="5">#REF!</definedName>
    <definedName name="HR">#REF!</definedName>
    <definedName name="HS" localSheetId="4">#N/A</definedName>
    <definedName name="HS" localSheetId="5">#N/A</definedName>
    <definedName name="HS">#N/A</definedName>
    <definedName name="HT" localSheetId="4">#N/A</definedName>
    <definedName name="HT" localSheetId="5">#N/A</definedName>
    <definedName name="HT">#N/A</definedName>
    <definedName name="HT75MH" localSheetId="0">[1]BASE!$D$23</definedName>
    <definedName name="HT75MH" localSheetId="1">[1]BASE!$D$23</definedName>
    <definedName name="HT75MH">[1]BASE!$D$23</definedName>
    <definedName name="HU" localSheetId="4">#N/A</definedName>
    <definedName name="HU" localSheetId="5">#N/A</definedName>
    <definedName name="HU">#N/A</definedName>
    <definedName name="HV" localSheetId="4">#N/A</definedName>
    <definedName name="HV" localSheetId="5">#N/A</definedName>
    <definedName name="HV">#N/A</definedName>
    <definedName name="HW" localSheetId="4">#N/A</definedName>
    <definedName name="HW" localSheetId="5">#N/A</definedName>
    <definedName name="HW">#N/A</definedName>
    <definedName name="HX" localSheetId="4">#N/A</definedName>
    <definedName name="HX" localSheetId="5">#N/A</definedName>
    <definedName name="HX">#N/A</definedName>
    <definedName name="HY" localSheetId="4">#N/A</definedName>
    <definedName name="HY" localSheetId="5">#N/A</definedName>
    <definedName name="HY">#N/A</definedName>
    <definedName name="HZ" localSheetId="4">#N/A</definedName>
    <definedName name="HZ" localSheetId="5">#N/A</definedName>
    <definedName name="HZ">#N/A</definedName>
    <definedName name="I" localSheetId="4">#REF!</definedName>
    <definedName name="I" localSheetId="5">#REF!</definedName>
    <definedName name="I" localSheetId="0">#REF!</definedName>
    <definedName name="I">#REF!</definedName>
    <definedName name="I21b55" localSheetId="4">#N/A</definedName>
    <definedName name="I21b55" localSheetId="5">#N/A</definedName>
    <definedName name="I21b55" localSheetId="0">#N/A</definedName>
    <definedName name="I21b55">#N/A</definedName>
    <definedName name="IA" localSheetId="4">#N/A</definedName>
    <definedName name="IA" localSheetId="5">#N/A</definedName>
    <definedName name="IA">#N/A</definedName>
    <definedName name="IB" localSheetId="4">#N/A</definedName>
    <definedName name="IB" localSheetId="5">#N/A</definedName>
    <definedName name="IB">#N/A</definedName>
    <definedName name="IC" localSheetId="4">'[2]BASE ORIGINAL'!#REF!</definedName>
    <definedName name="IC" localSheetId="5">'[2]BASE ORIGINAL'!#REF!</definedName>
    <definedName name="IC">'[2]BASE ORIGINAL'!#REF!</definedName>
    <definedName name="ID" localSheetId="4">'[2]BASE ORIGINAL'!#REF!</definedName>
    <definedName name="ID" localSheetId="5">'[2]BASE ORIGINAL'!#REF!</definedName>
    <definedName name="ID">'[2]BASE ORIGINAL'!#REF!</definedName>
    <definedName name="IE" localSheetId="4">'[2]BASE ORIGINAL'!#REF!</definedName>
    <definedName name="IE" localSheetId="5">'[2]BASE ORIGINAL'!#REF!</definedName>
    <definedName name="IE">'[2]BASE ORIGINAL'!#REF!</definedName>
    <definedName name="IF" localSheetId="4">'[2]BASE ORIGINAL'!#REF!</definedName>
    <definedName name="IF" localSheetId="5">'[2]BASE ORIGINAL'!#REF!</definedName>
    <definedName name="IF">'[2]BASE ORIGINAL'!#REF!</definedName>
    <definedName name="IG" localSheetId="4">#REF!</definedName>
    <definedName name="IG" localSheetId="5">#REF!</definedName>
    <definedName name="IG">#REF!</definedName>
    <definedName name="IH" localSheetId="4">#REF!</definedName>
    <definedName name="IH" localSheetId="5">#REF!</definedName>
    <definedName name="IH">#REF!</definedName>
    <definedName name="II" localSheetId="4" hidden="1">#REF!</definedName>
    <definedName name="II" localSheetId="5" hidden="1">#REF!</definedName>
    <definedName name="II" hidden="1">#REF!</definedName>
    <definedName name="IJ">[5]REAJUSTESACTA1PROVI!#REF!</definedName>
    <definedName name="IK">[5]REAJUSTESACTA1PROVI!#REF!</definedName>
    <definedName name="IL" localSheetId="4" hidden="1">[2]CARBOCOL!#REF!</definedName>
    <definedName name="IL" localSheetId="5" hidden="1">[2]CARBOCOL!#REF!</definedName>
    <definedName name="IL" hidden="1">[2]CARBOCOL!#REF!</definedName>
    <definedName name="IM" localSheetId="4" hidden="1">#N/A</definedName>
    <definedName name="IM" localSheetId="5" hidden="1">#N/A</definedName>
    <definedName name="IM" hidden="1">#N/A</definedName>
    <definedName name="IMPRI" localSheetId="4">#REF!</definedName>
    <definedName name="IMPRI" localSheetId="5">#REF!</definedName>
    <definedName name="IMPRI" localSheetId="0">[25]BASE!$D$1802</definedName>
    <definedName name="IMPRI">#REF!</definedName>
    <definedName name="IN" localSheetId="4" hidden="1">[2]CARBOCOL!#REF!</definedName>
    <definedName name="IN" localSheetId="5" hidden="1">[2]CARBOCOL!#REF!</definedName>
    <definedName name="IN" hidden="1">[2]CARBOCOL!#REF!</definedName>
    <definedName name="indicador" localSheetId="4">'[2]base de datos'!$Q$3:$Q$75</definedName>
    <definedName name="indicador" localSheetId="5">'[2]base de datos'!$Q$3:$Q$75</definedName>
    <definedName name="indicador" localSheetId="0">[35]datos!$E$2:$E$69</definedName>
    <definedName name="indicador">'[2]base de datos'!$Q$3:$Q$75</definedName>
    <definedName name="INSU" localSheetId="4">#N/A</definedName>
    <definedName name="INSU" localSheetId="5">#N/A</definedName>
    <definedName name="INSU" localSheetId="0">#N/A</definedName>
    <definedName name="INSU">#N/A</definedName>
    <definedName name="InTap" localSheetId="4">#REF!</definedName>
    <definedName name="InTap" localSheetId="5">#REF!</definedName>
    <definedName name="InTap" localSheetId="0">#REF!</definedName>
    <definedName name="InTap">#REF!</definedName>
    <definedName name="INTERv">[60]BASE!$C$5</definedName>
    <definedName name="IntVal" localSheetId="4">#REF!</definedName>
    <definedName name="IntVal" localSheetId="5">#REF!</definedName>
    <definedName name="IntVal" localSheetId="0">#REF!</definedName>
    <definedName name="IntVal">#REF!</definedName>
    <definedName name="IO" localSheetId="4">#REF!</definedName>
    <definedName name="IO" localSheetId="5">#REF!</definedName>
    <definedName name="IO">#REF!</definedName>
    <definedName name="IP" localSheetId="4">#REF!</definedName>
    <definedName name="IP" localSheetId="5">#REF!</definedName>
    <definedName name="IP">#REF!</definedName>
    <definedName name="IQ" localSheetId="4">#REF!</definedName>
    <definedName name="IQ" localSheetId="5">#REF!</definedName>
    <definedName name="IQ">#REF!</definedName>
    <definedName name="IR" localSheetId="4">#REF!</definedName>
    <definedName name="IR" localSheetId="5">#REF!</definedName>
    <definedName name="IR">#REF!</definedName>
    <definedName name="IS" localSheetId="4">#REF!</definedName>
    <definedName name="IS" localSheetId="5">#REF!</definedName>
    <definedName name="IS">#REF!</definedName>
    <definedName name="IT" localSheetId="4">#REF!</definedName>
    <definedName name="IT" localSheetId="5">#REF!</definedName>
    <definedName name="IT">#REF!</definedName>
    <definedName name="ItemCodos" localSheetId="4">#REF!</definedName>
    <definedName name="ItemCodos" localSheetId="5">#REF!</definedName>
    <definedName name="ItemCodos" localSheetId="0">#REF!</definedName>
    <definedName name="ItemCodos">#REF!</definedName>
    <definedName name="IU" localSheetId="4">#REF!</definedName>
    <definedName name="IU" localSheetId="5">#REF!</definedName>
    <definedName name="IU">#REF!</definedName>
    <definedName name="IV" localSheetId="4">#REF!</definedName>
    <definedName name="IV" localSheetId="5">#REF!</definedName>
    <definedName name="IV">#REF!</definedName>
    <definedName name="IW" localSheetId="4">#REF!</definedName>
    <definedName name="IW" localSheetId="5">#REF!</definedName>
    <definedName name="IW">#REF!</definedName>
    <definedName name="IX" localSheetId="4">#REF!</definedName>
    <definedName name="IX" localSheetId="5">#REF!</definedName>
    <definedName name="IX">#REF!</definedName>
    <definedName name="IY" localSheetId="4">#REF!</definedName>
    <definedName name="IY" localSheetId="5">#REF!</definedName>
    <definedName name="IY">#REF!</definedName>
    <definedName name="IZ" localSheetId="4">#REF!</definedName>
    <definedName name="IZ" localSheetId="5">#REF!</definedName>
    <definedName name="IZ">#REF!</definedName>
    <definedName name="jdfjkd" localSheetId="0">#REF!</definedName>
    <definedName name="jdfjkd">#REF!</definedName>
    <definedName name="JHHHHH" localSheetId="4">[61]Interventoria!#REF!</definedName>
    <definedName name="JHHHHH" localSheetId="9">[62]Interventoria!#REF!</definedName>
    <definedName name="JHHHHH" localSheetId="5">[61]Interventoria!#REF!</definedName>
    <definedName name="JHHHHH" localSheetId="0">'[63]INTERVENTORIA MOC'!#REF!</definedName>
    <definedName name="JHHHHH">#REF!</definedName>
    <definedName name="JKJKJK"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U" localSheetId="4">#REF!</definedName>
    <definedName name="JU" localSheetId="5">#REF!</definedName>
    <definedName name="JU" localSheetId="0">[52]BASE!$D$473</definedName>
    <definedName name="JU">#REF!</definedName>
    <definedName name="JulAgo">'[58]Jul-Ago'!$A$12:$H$29</definedName>
    <definedName name="JulAgo_C" localSheetId="4">#REF!</definedName>
    <definedName name="JulAgo_C" localSheetId="5">#REF!</definedName>
    <definedName name="JulAgo_C" localSheetId="0">#REF!</definedName>
    <definedName name="JulAgo_C">#REF!</definedName>
    <definedName name="KI" localSheetId="4">#REF!</definedName>
    <definedName name="KI" localSheetId="5">#REF!</definedName>
    <definedName name="KI" localSheetId="0">[52]BASE!$D$8</definedName>
    <definedName name="KI">#REF!</definedName>
    <definedName name="KJH" localSheetId="4">#REF!</definedName>
    <definedName name="KJH" localSheetId="5">#REF!</definedName>
    <definedName name="KJH">#REF!</definedName>
    <definedName name="L" localSheetId="4">#REF!</definedName>
    <definedName name="L" localSheetId="5">#REF!</definedName>
    <definedName name="L">#REF!</definedName>
    <definedName name="LARGUE">[45]BASE!$D$394</definedName>
    <definedName name="LECHOS" localSheetId="4">#REF!</definedName>
    <definedName name="LECHOS" localSheetId="5">#REF!</definedName>
    <definedName name="LECHOS" localSheetId="0">#REF!</definedName>
    <definedName name="LECHOS">#REF!</definedName>
    <definedName name="lechosdos">#REF!</definedName>
    <definedName name="Lestrategicas" localSheetId="4">'[2]base de datos'!$J$3:$J$7</definedName>
    <definedName name="Lestrategicas" localSheetId="5">'[2]base de datos'!$J$3:$J$7</definedName>
    <definedName name="Lestrategicas" localSheetId="0">'[2]base de datos'!$J$3:$J$7</definedName>
    <definedName name="Lestrategicas">'[2]base de datos'!$J$3:$J$7</definedName>
    <definedName name="LIMP" localSheetId="4">#REF!</definedName>
    <definedName name="LIMP" localSheetId="5">#REF!</definedName>
    <definedName name="LIMP" localSheetId="0">[25]BASE!$D$88</definedName>
    <definedName name="LIMP">#REF!</definedName>
    <definedName name="lineas" localSheetId="4">#REF!</definedName>
    <definedName name="lineas" localSheetId="5">#REF!</definedName>
    <definedName name="lineas" localSheetId="0">[35]datos!$A$2:$A$6</definedName>
    <definedName name="lineas">#REF!</definedName>
    <definedName name="LisaCodSAO">#REF!</definedName>
    <definedName name="Listacanti" localSheetId="4">#REF!</definedName>
    <definedName name="Listacanti" localSheetId="5">#REF!</definedName>
    <definedName name="Listacanti" localSheetId="0">#REF!</definedName>
    <definedName name="Listacanti">#REF!</definedName>
    <definedName name="ListaCantidad" localSheetId="4">#REF!</definedName>
    <definedName name="ListaCantidad" localSheetId="5">#REF!</definedName>
    <definedName name="ListaCantidad" localSheetId="0">#REF!</definedName>
    <definedName name="ListaCantidad">#REF!</definedName>
    <definedName name="ListaItem" localSheetId="4">#REF!</definedName>
    <definedName name="ListaItem" localSheetId="5">#REF!</definedName>
    <definedName name="ListaItem" localSheetId="0">#REF!</definedName>
    <definedName name="ListaItem">#REF!</definedName>
    <definedName name="ListaUni" localSheetId="4">#REF!</definedName>
    <definedName name="ListaUni" localSheetId="5">#REF!</definedName>
    <definedName name="ListaUni" localSheetId="0">#REF!</definedName>
    <definedName name="ListaUni">#REF!</definedName>
    <definedName name="LISTON">[45]BASE!$D$395</definedName>
    <definedName name="LKM" localSheetId="4">#REF!</definedName>
    <definedName name="LKM" localSheetId="5">#REF!</definedName>
    <definedName name="LKM" localSheetId="0">[52]BASE!$D$11</definedName>
    <definedName name="LKM">#REF!</definedName>
    <definedName name="LLAC12" localSheetId="4">#REF!</definedName>
    <definedName name="LLAC12" localSheetId="5">#REF!</definedName>
    <definedName name="LLAC12" localSheetId="0">[25]BASE!$D$1651</definedName>
    <definedName name="LLAC12">#REF!</definedName>
    <definedName name="LLAP12" localSheetId="4">#REF!</definedName>
    <definedName name="LLAP12" localSheetId="5">#REF!</definedName>
    <definedName name="LLAP12" localSheetId="0">[25]BASE!$D$1650</definedName>
    <definedName name="LLAP12">#REF!</definedName>
    <definedName name="LONG" localSheetId="4">#REF!</definedName>
    <definedName name="LONG" localSheetId="5">#REF!</definedName>
    <definedName name="LONG" localSheetId="0">#REF!</definedName>
    <definedName name="LONG">#REF!</definedName>
    <definedName name="LUBRI" localSheetId="0">[1]BASE!$D$213</definedName>
    <definedName name="LUBRI" localSheetId="1">[1]BASE!$D$213</definedName>
    <definedName name="LUBRI">[1]BASE!$D$213</definedName>
    <definedName name="LUPVC" localSheetId="0">[1]BASE!$D$70</definedName>
    <definedName name="LUPVC" localSheetId="1">[1]BASE!$D$70</definedName>
    <definedName name="LUPVC">[1]BASE!$D$70</definedName>
    <definedName name="LUPVT" localSheetId="4">#REF!</definedName>
    <definedName name="LUPVT" localSheetId="5">#REF!</definedName>
    <definedName name="LUPVT" localSheetId="0">[25]BASE!$D$87</definedName>
    <definedName name="LUPVT">#REF!</definedName>
    <definedName name="m" localSheetId="4">#REF!</definedName>
    <definedName name="m" localSheetId="5">#REF!</definedName>
    <definedName name="m" localSheetId="0">[64]BASE!$D$8</definedName>
    <definedName name="m">#REF!</definedName>
    <definedName name="M120K" localSheetId="4">#REF!</definedName>
    <definedName name="M120K" localSheetId="5">#REF!</definedName>
    <definedName name="M120K" localSheetId="0">[25]BASE!$D$48</definedName>
    <definedName name="M120K">#REF!</definedName>
    <definedName name="M240K" localSheetId="0">[1]BASE!$D$39</definedName>
    <definedName name="M240K" localSheetId="1">[1]BASE!$D$39</definedName>
    <definedName name="M240K">[1]BASE!$D$39</definedName>
    <definedName name="M280K" localSheetId="0">[1]BASE!$D$38</definedName>
    <definedName name="M280K" localSheetId="1">[1]BASE!$D$38</definedName>
    <definedName name="M280K">[1]BASE!$D$38</definedName>
    <definedName name="MADCJ" localSheetId="0">[1]BASE!$D$269</definedName>
    <definedName name="MADCJ" localSheetId="1">[1]BASE!$D$269</definedName>
    <definedName name="MADCJ">[1]BASE!$D$269</definedName>
    <definedName name="MANTO">[45]BASE!$D$401</definedName>
    <definedName name="Mar" localSheetId="4">[2]MAR!$A$12:$H$33</definedName>
    <definedName name="Mar" localSheetId="5">[2]MAR!$A$12:$H$33</definedName>
    <definedName name="Mar" localSheetId="0">[2]MAR!$A$12:$H$33</definedName>
    <definedName name="Mar">[2]MAR!$A$12:$H$33</definedName>
    <definedName name="Mar_C" localSheetId="4">[2]MAR!$A$35:$H$51</definedName>
    <definedName name="Mar_C" localSheetId="5">[2]MAR!$A$35:$H$51</definedName>
    <definedName name="Mar_C" localSheetId="0">[2]MAR!$A$35:$H$51</definedName>
    <definedName name="Mar_C">[2]MAR!$A$35:$H$51</definedName>
    <definedName name="MARABA" localSheetId="0">[1]BASE!$D$248</definedName>
    <definedName name="MARABA" localSheetId="1">[1]BASE!$D$248</definedName>
    <definedName name="MARABA">[1]BASE!$D$248</definedName>
    <definedName name="MarAbr">'[58]Mar-Abr'!$A$12:$H$34</definedName>
    <definedName name="MaterialTub" localSheetId="4">#REF!</definedName>
    <definedName name="MaterialTub" localSheetId="5">#REF!</definedName>
    <definedName name="MaterialTub" localSheetId="0">#REF!</definedName>
    <definedName name="MaterialTub">#REF!</definedName>
    <definedName name="MATPR" localSheetId="0">[1]BASE!$D$49</definedName>
    <definedName name="MATPR" localSheetId="1">[1]BASE!$D$49</definedName>
    <definedName name="MATPR">[1]BASE!$D$49</definedName>
    <definedName name="MayJun">'[58]May-Jun'!$A$12:$H$32</definedName>
    <definedName name="MayJun_C" localSheetId="4">#REF!</definedName>
    <definedName name="MayJun_C" localSheetId="5">#REF!</definedName>
    <definedName name="MayJun_C" localSheetId="0">#REF!</definedName>
    <definedName name="MayJun_C">#REF!</definedName>
    <definedName name="mc" localSheetId="4">#REF!</definedName>
    <definedName name="mc" localSheetId="5">#REF!</definedName>
    <definedName name="mc" localSheetId="0">#N/A</definedName>
    <definedName name="mc">#REF!</definedName>
    <definedName name="MC4CM" localSheetId="4">#REF!</definedName>
    <definedName name="MC4CM" localSheetId="5">#REF!</definedName>
    <definedName name="MC4CM" localSheetId="0">[25]BASE!$D$1698</definedName>
    <definedName name="MC4CM">#REF!</definedName>
    <definedName name="MEDID" localSheetId="4">#REF!</definedName>
    <definedName name="MEDID" localSheetId="5">#REF!</definedName>
    <definedName name="MEDID" localSheetId="0">[2]BASE!$D$349</definedName>
    <definedName name="MEDID">#REF!</definedName>
    <definedName name="mem" localSheetId="0">[5]REAJUSTESACTA1PROVI!#REF!</definedName>
    <definedName name="mem">[5]REAJUSTESACTA1PROVI!#REF!</definedName>
    <definedName name="MES" localSheetId="4">'[2]base de datos'!$W$3:$W$14</definedName>
    <definedName name="MES" localSheetId="5">'[2]base de datos'!$W$3:$W$14</definedName>
    <definedName name="mes" localSheetId="0">[35]datos!$G$2:$G$13</definedName>
    <definedName name="MES">'[2]base de datos'!$W$3:$W$14</definedName>
    <definedName name="MES_COM" localSheetId="4">'[2]base de datos'!$X$3:$X$14</definedName>
    <definedName name="MES_COM" localSheetId="5">'[2]base de datos'!$X$3:$X$14</definedName>
    <definedName name="MES_COM" localSheetId="0">'[2]base de datos'!$X$3:$X$14</definedName>
    <definedName name="MES_COM">'[2]base de datos'!$X$3:$X$14</definedName>
    <definedName name="mm" localSheetId="4">#REF!</definedName>
    <definedName name="mm" localSheetId="5">#REF!</definedName>
    <definedName name="mm" localSheetId="0">[2]BASE!$D$439</definedName>
    <definedName name="mm">#REF!</definedName>
    <definedName name="MO120K" localSheetId="0">[45]PRELIM!$B$427</definedName>
    <definedName name="MO120K">[45]PRELIM!$B$427</definedName>
    <definedName name="MO240K" localSheetId="0">[45]PRELIM!$B$412</definedName>
    <definedName name="MO240K">[45]PRELIM!$B$412</definedName>
    <definedName name="MO280K" localSheetId="0">[45]PRELIM!$B$397</definedName>
    <definedName name="MO280K">[45]PRELIM!$B$397</definedName>
    <definedName name="MOCARG" localSheetId="4">#REF!</definedName>
    <definedName name="MOCARG" localSheetId="5">#REF!</definedName>
    <definedName name="MOCARG" localSheetId="0">[16]BASE!$D$20</definedName>
    <definedName name="MOCARG">#REF!</definedName>
    <definedName name="MOENC" localSheetId="0">[1]BASE!$D$17</definedName>
    <definedName name="MOENC" localSheetId="1">[1]BASE!$D$17</definedName>
    <definedName name="MOENC">[1]BASE!$D$17</definedName>
    <definedName name="MOIHF" localSheetId="0">[1]BASE!$D$15</definedName>
    <definedName name="MOIHF" localSheetId="1">[1]BASE!$D$15</definedName>
    <definedName name="MOIHF">[1]BASE!$D$15</definedName>
    <definedName name="MOPRE" localSheetId="0">[1]BASE!$D$13</definedName>
    <definedName name="MOPRE" localSheetId="1">[1]BASE!$D$13</definedName>
    <definedName name="MOPRE">[1]BASE!$D$13</definedName>
    <definedName name="MOTOB2">[36]BASE!$D$504</definedName>
    <definedName name="MOTON" localSheetId="4">#REF!</definedName>
    <definedName name="MOTON" localSheetId="5">#REF!</definedName>
    <definedName name="MOTON" localSheetId="0">[2]BASE!$D$443</definedName>
    <definedName name="MOTON">#REF!</definedName>
    <definedName name="MOTOP" localSheetId="0">[1]BASE!$D$12</definedName>
    <definedName name="MOTOP" localSheetId="1">[1]BASE!$D$12</definedName>
    <definedName name="MOTOP">[1]BASE!$D$12</definedName>
    <definedName name="MOVOL" localSheetId="4">#REF!</definedName>
    <definedName name="MOVOL" localSheetId="5">#REF!</definedName>
    <definedName name="MOVOL" localSheetId="0">[25]BASE!$D$16</definedName>
    <definedName name="MOVOL">#REF!</definedName>
    <definedName name="municipio" localSheetId="4">#REF!</definedName>
    <definedName name="municipio" localSheetId="5">#REF!</definedName>
    <definedName name="municipio" localSheetId="0">[35]datos!$J$2:$J$84</definedName>
    <definedName name="municipio">#REF!</definedName>
    <definedName name="municipios" localSheetId="4">'[2]base de datos'!$I$3:$I$86</definedName>
    <definedName name="municipios" localSheetId="5">'[2]base de datos'!$I$3:$I$86</definedName>
    <definedName name="municipios" localSheetId="0">'[65]base de datos'!$I$3:$I$86</definedName>
    <definedName name="municipios">'[2]base de datos'!$I$3:$I$86</definedName>
    <definedName name="NB" localSheetId="4">#REF!</definedName>
    <definedName name="NB" localSheetId="5">#REF!</definedName>
    <definedName name="NB" localSheetId="0">#REF!</definedName>
    <definedName name="NB">#REF!</definedName>
    <definedName name="Niqui" localSheetId="4">#N/A</definedName>
    <definedName name="Niqui" localSheetId="5">#N/A</definedName>
    <definedName name="Niqui" localSheetId="0">#N/A</definedName>
    <definedName name="Niqui">#N/A</definedName>
    <definedName name="Norte" localSheetId="4">#N/A</definedName>
    <definedName name="Norte" localSheetId="5">#N/A</definedName>
    <definedName name="Norte" localSheetId="0">#N/A</definedName>
    <definedName name="Norte">#N/A</definedName>
    <definedName name="NovDic">'[58]Nov-Dic'!$A$12:$H$34</definedName>
    <definedName name="ñ" localSheetId="4">#REF!</definedName>
    <definedName name="ñ" localSheetId="5">#REF!</definedName>
    <definedName name="ñ" localSheetId="0">[52]BASE!$D$8</definedName>
    <definedName name="ñ">#REF!</definedName>
    <definedName name="O" localSheetId="4">#REF!</definedName>
    <definedName name="O" localSheetId="5">#REF!</definedName>
    <definedName name="O" localSheetId="0">[32]BASE!$D$10</definedName>
    <definedName name="O">#REF!</definedName>
    <definedName name="OFICI" localSheetId="0">[1]BASE!$D$9</definedName>
    <definedName name="OFICI" localSheetId="1">[1]BASE!$D$9</definedName>
    <definedName name="OFICI">[1]BASE!$D$9</definedName>
    <definedName name="OFICI_" localSheetId="4">[43]BASE!$D$11</definedName>
    <definedName name="OFICI_" localSheetId="5">[43]BASE!$D$11</definedName>
    <definedName name="OFICI_" localSheetId="0">[43]BASE!$D$11</definedName>
    <definedName name="OFICI_">[43]BASE!$D$11</definedName>
    <definedName name="P150X240" localSheetId="4">#REF!</definedName>
    <definedName name="P150X240" localSheetId="5">#REF!</definedName>
    <definedName name="P150X240" localSheetId="0">[25]BASE!$D$1673</definedName>
    <definedName name="P150X240">#REF!</definedName>
    <definedName name="P80X200" localSheetId="0">[1]BASE!$D$246</definedName>
    <definedName name="P80X200" localSheetId="1">[1]BASE!$D$246</definedName>
    <definedName name="P80X200">[1]BASE!$D$246</definedName>
    <definedName name="P90X200" localSheetId="0">[1]BASE!$D$245</definedName>
    <definedName name="P90X200" localSheetId="1">[1]BASE!$D$245</definedName>
    <definedName name="P90X200">[1]BASE!$D$245</definedName>
    <definedName name="PA14X" localSheetId="4">[7]BASE!$D$371</definedName>
    <definedName name="PA14X" localSheetId="5">[7]BASE!$D$371</definedName>
    <definedName name="PA14X" localSheetId="0">[7]BASE!$D$371</definedName>
    <definedName name="PA14X">[7]BASE!$D$371</definedName>
    <definedName name="PAPA">#REF!</definedName>
    <definedName name="PEGCO" localSheetId="0">[1]BASE!$D$268</definedName>
    <definedName name="PEGCO" localSheetId="1">[1]BASE!$D$268</definedName>
    <definedName name="PEGCO">[1]BASE!$D$268</definedName>
    <definedName name="PERM" localSheetId="4">#N/A</definedName>
    <definedName name="PERM" localSheetId="5">#N/A</definedName>
    <definedName name="PERM" localSheetId="0">#N/A</definedName>
    <definedName name="PERM">#N/A</definedName>
    <definedName name="permisos" localSheetId="4">#REF!</definedName>
    <definedName name="permisos" localSheetId="5">#REF!</definedName>
    <definedName name="permisos" localSheetId="0">[24]BASE!#REF!</definedName>
    <definedName name="permisos">#REF!</definedName>
    <definedName name="PERNO" localSheetId="4">[7]BASE!$D$369</definedName>
    <definedName name="PERNO" localSheetId="5">[7]BASE!$D$369</definedName>
    <definedName name="PERNO" localSheetId="0">[7]BASE!$D$369</definedName>
    <definedName name="PERNO">[7]BASE!$D$369</definedName>
    <definedName name="PIE4A6" localSheetId="4">#REF!</definedName>
    <definedName name="PIE4A6" localSheetId="5">#REF!</definedName>
    <definedName name="PIE4A6" localSheetId="0">[25]BASE!$D$60</definedName>
    <definedName name="PIE4A6">#REF!</definedName>
    <definedName name="PIECR" localSheetId="4">#REF!</definedName>
    <definedName name="PIECR" localSheetId="5">#REF!</definedName>
    <definedName name="PIECR" localSheetId="0">[2]BASE!$D$69</definedName>
    <definedName name="PIECR">#REF!</definedName>
    <definedName name="PIEDR" localSheetId="0">[1]BASE!$D$50</definedName>
    <definedName name="PIEDR" localSheetId="1">[1]BASE!$D$50</definedName>
    <definedName name="PIEDR">[1]BASE!$D$50</definedName>
    <definedName name="PINBAR" localSheetId="0">[1]BASE!$D$250</definedName>
    <definedName name="PINBAR" localSheetId="1">[1]BASE!$D$250</definedName>
    <definedName name="PINBAR">[1]BASE!$D$250</definedName>
    <definedName name="PINBLA" localSheetId="4">#REF!</definedName>
    <definedName name="PINBLA" localSheetId="5">#REF!</definedName>
    <definedName name="PINBLA" localSheetId="0">[25]BASE!$D$1678</definedName>
    <definedName name="PINBLA">#REF!</definedName>
    <definedName name="PLAELE" localSheetId="4">#REF!</definedName>
    <definedName name="PLAELE" localSheetId="5">#REF!</definedName>
    <definedName name="PLAELE" localSheetId="0">[25]BASE!$D$1777</definedName>
    <definedName name="PLAELE">#REF!</definedName>
    <definedName name="PLAST" localSheetId="0">[1]BASE!$D$229</definedName>
    <definedName name="PLAST" localSheetId="1">[1]BASE!$D$229</definedName>
    <definedName name="PLAST">[1]BASE!$D$229</definedName>
    <definedName name="PO" localSheetId="4">#REF!</definedName>
    <definedName name="PO" localSheetId="5">#REF!</definedName>
    <definedName name="PO" localSheetId="0">#REF!</definedName>
    <definedName name="PO">#REF!</definedName>
    <definedName name="POLINOMIAL1" localSheetId="0">[66]CANALETA9!#REF!</definedName>
    <definedName name="POLINOMIAL1">[66]CANALETA9!#REF!</definedName>
    <definedName name="Polynomial" localSheetId="0">#REF!</definedName>
    <definedName name="Polynomial">#REF!</definedName>
    <definedName name="pomch" localSheetId="4">'[2]base de datos'!$R$3:$R$38</definedName>
    <definedName name="pomch" localSheetId="5">'[2]base de datos'!$R$3:$R$38</definedName>
    <definedName name="pomch" localSheetId="0">'[2]base de datos'!$R$3:$R$38</definedName>
    <definedName name="pomch">'[2]base de datos'!$R$3:$R$38</definedName>
    <definedName name="PoMede" localSheetId="0">#REF!</definedName>
    <definedName name="PoMede">#REF!</definedName>
    <definedName name="Ppto" localSheetId="4">#N/A</definedName>
    <definedName name="Ppto" localSheetId="5">#N/A</definedName>
    <definedName name="Ppto" localSheetId="0">#N/A</definedName>
    <definedName name="Ppto">#N/A</definedName>
    <definedName name="PPtoNorte" localSheetId="4">#N/A</definedName>
    <definedName name="PPtoNorte" localSheetId="5">#N/A</definedName>
    <definedName name="PPtoNorte" localSheetId="0">#N/A</definedName>
    <definedName name="PPtoNorte">#N/A</definedName>
    <definedName name="precio" localSheetId="4">#N/A</definedName>
    <definedName name="precio" localSheetId="5">#N/A</definedName>
    <definedName name="precio" localSheetId="0">#N/A</definedName>
    <definedName name="precio">#N/A</definedName>
    <definedName name="precio2" localSheetId="4">#REF!</definedName>
    <definedName name="precio2" localSheetId="5">#REF!</definedName>
    <definedName name="precio2" localSheetId="0">#REF!</definedName>
    <definedName name="precio2">#REF!</definedName>
    <definedName name="PrecioS" localSheetId="4">#N/A</definedName>
    <definedName name="PrecioS" localSheetId="5">#N/A</definedName>
    <definedName name="PrecioS" localSheetId="0">#N/A</definedName>
    <definedName name="PrecioS">#N/A</definedName>
    <definedName name="PRES.AGRI" localSheetId="0">#REF!</definedName>
    <definedName name="PRES.AGRI">#REF!</definedName>
    <definedName name="PRESIPISTO" localSheetId="0">#REF!</definedName>
    <definedName name="PRESIPISTO">#REF!</definedName>
    <definedName name="presta" localSheetId="0">[45]BASE!$D$8</definedName>
    <definedName name="presta">[45]BASE!$D$8</definedName>
    <definedName name="PRINT_AREA_MI" localSheetId="0">#REF!</definedName>
    <definedName name="PRINT_AREA_MI">#REF!</definedName>
    <definedName name="PROF" localSheetId="4">#REF!</definedName>
    <definedName name="PROF" localSheetId="5">#REF!</definedName>
    <definedName name="PROF" localSheetId="0">#REF!</definedName>
    <definedName name="PROF">#REF!</definedName>
    <definedName name="programa" localSheetId="4">#REF!</definedName>
    <definedName name="programa" localSheetId="5">#REF!</definedName>
    <definedName name="programa" localSheetId="0">[35]datos!$B$2:$B$10</definedName>
    <definedName name="programa">#REF!</definedName>
    <definedName name="programas" localSheetId="4">'[2]base de datos'!$L$3:$L$9</definedName>
    <definedName name="programas" localSheetId="5">'[2]base de datos'!$L$3:$L$9</definedName>
    <definedName name="programas" localSheetId="0">'[2]base de datos'!$L$3:$L$9</definedName>
    <definedName name="programas">'[2]base de datos'!$L$3:$L$9</definedName>
    <definedName name="proyectos" localSheetId="4">'[2]base de datos'!$N$3:$N$18</definedName>
    <definedName name="proyectos" localSheetId="5">'[2]base de datos'!$N$3:$N$18</definedName>
    <definedName name="proyectos" localSheetId="0">[35]datos!$C$2:$C$26</definedName>
    <definedName name="proyectos">'[2]base de datos'!$N$3:$N$18</definedName>
    <definedName name="PUNTI" localSheetId="0">[1]BASE!$D$230</definedName>
    <definedName name="PUNTI" localSheetId="1">[1]BASE!$D$230</definedName>
    <definedName name="PUNTI">[1]BASE!$D$230</definedName>
    <definedName name="Q" localSheetId="4">#REF!</definedName>
    <definedName name="Q" localSheetId="5">#REF!</definedName>
    <definedName name="Q" localSheetId="0">[52]BASE!$D$473</definedName>
    <definedName name="Q">#REF!</definedName>
    <definedName name="RASF" localSheetId="4">[67]BASE!$D$75</definedName>
    <definedName name="RASF" localSheetId="5">[67]BASE!$D$75</definedName>
    <definedName name="RASF" localSheetId="0">[67]BASE!$D$75</definedName>
    <definedName name="RASF">[67]BASE!$D$75</definedName>
    <definedName name="REJILLA" localSheetId="4">#REF!</definedName>
    <definedName name="REJILLA" localSheetId="5">#REF!</definedName>
    <definedName name="REJILLA" localSheetId="0">[2]BASE!$D$460</definedName>
    <definedName name="REJILLA">#REF!</definedName>
    <definedName name="RESU" localSheetId="4">#N/A</definedName>
    <definedName name="RESU" localSheetId="5">#N/A</definedName>
    <definedName name="RESU" localSheetId="0">#N/A</definedName>
    <definedName name="RESU">#N/A</definedName>
    <definedName name="resumen" localSheetId="4">#N/A</definedName>
    <definedName name="resumen" localSheetId="5">#N/A</definedName>
    <definedName name="resumen" localSheetId="0">#N/A</definedName>
    <definedName name="resumen">#N/A</definedName>
    <definedName name="RETRO" localSheetId="0">[1]BASE!$D$307</definedName>
    <definedName name="RETRO" localSheetId="1">[1]BASE!$D$307</definedName>
    <definedName name="RETRO">[1]BASE!$D$307</definedName>
    <definedName name="REY" localSheetId="0">'[68]Tabla 1.1'!#REF!</definedName>
    <definedName name="REY">'[68]Tabla 1.1'!#REF!</definedName>
    <definedName name="RLIGA" localSheetId="4">#REF!</definedName>
    <definedName name="RLIGA" localSheetId="5">#REF!</definedName>
    <definedName name="RLIGA" localSheetId="0">[25]BASE!$D$1803</definedName>
    <definedName name="RLIGA">#REF!</definedName>
    <definedName name="Rwvu.ComparEneMar9697." hidden="1">'[50]Seguimiento CSF'!$L$1:$N$65536,'[50]Seguimiento CSF'!$R$1:$BU$65536</definedName>
    <definedName name="Rwvu.EneFeb." hidden="1">'[50]Seguimiento CSF'!$L$1:$N$65536,'[50]Seguimiento CSF'!$Q$1:$AD$65536</definedName>
    <definedName name="Rwvu.Formato._.Corto." hidden="1">'[50]Seguimiento CSF'!$L$1:$N$65536,'[50]Seguimiento CSF'!$R$1:$AD$65536,'[50]Seguimiento CSF'!$AH$1:$AY$65536,'[50]Seguimiento CSF'!$BA$1:$BH$65536,'[50]Seguimiento CSF'!$BJ$1:$BQ$65536,'[50]Seguimiento CSF'!$BS$1:$CF$65536</definedName>
    <definedName name="Rwvu.OPEF._.96." hidden="1">'[50]Resumen OPEF'!$E$1:$J$65536,'[50]Resumen OPEF'!$M$1:$Q$65536</definedName>
    <definedName name="Rwvu.OPEF._.97." localSheetId="0" hidden="1">'[50]Resumen OPEF'!$C$1:$C$65536,'[50]Resumen OPEF'!#REF!,'[50]Resumen OPEF'!$K$1:$Q$65536</definedName>
    <definedName name="Rwvu.OPEF._.97." hidden="1">'[50]Resumen OPEF'!$C$1:$C$65536,'[50]Resumen OPEF'!#REF!,'[50]Resumen OPEF'!$K$1:$Q$65536</definedName>
    <definedName name="Sabaneta" localSheetId="0">#REF!</definedName>
    <definedName name="Sabaneta">#REF!</definedName>
    <definedName name="SAOG7" localSheetId="4">#REF!</definedName>
    <definedName name="SAOG7" localSheetId="5">#REF!</definedName>
    <definedName name="SAOG7" localSheetId="0">#REF!</definedName>
    <definedName name="SAOG7">#REF!</definedName>
    <definedName name="SAOG7OCTUBRE" localSheetId="4">#REF!</definedName>
    <definedName name="SAOG7OCTUBRE" localSheetId="5">#REF!</definedName>
    <definedName name="SAOG7OCTUBRE" localSheetId="0">#REF!</definedName>
    <definedName name="SAOG7OCTUBRE">#REF!</definedName>
    <definedName name="SepOct">'[58]Sep-Oct'!$A$12:$H$30</definedName>
    <definedName name="SepOct_C" localSheetId="4">#REF!</definedName>
    <definedName name="SepOct_C" localSheetId="5">#REF!</definedName>
    <definedName name="SepOct_C" localSheetId="0">#REF!</definedName>
    <definedName name="SepOct_C">#REF!</definedName>
    <definedName name="septico" localSheetId="0">#REF!</definedName>
    <definedName name="septico">#REF!</definedName>
    <definedName name="SHARED_FORMULA_21">#N/A</definedName>
    <definedName name="SIKAD" localSheetId="4">#REF!</definedName>
    <definedName name="SIKAD" localSheetId="5">#REF!</definedName>
    <definedName name="SIKAD" localSheetId="0">[2]BASE!$D$485</definedName>
    <definedName name="SIKAD">#REF!</definedName>
    <definedName name="SLPVC" localSheetId="0">[1]BASE!$D$214</definedName>
    <definedName name="SLPVC" localSheetId="1">[1]BASE!$D$214</definedName>
    <definedName name="SLPVC">[1]BASE!$D$214</definedName>
    <definedName name="SMMLV" localSheetId="4">#REF!</definedName>
    <definedName name="SMMLV" localSheetId="5">#REF!</definedName>
    <definedName name="SMMLV" localSheetId="0">[2]PRESTA!$D$13</definedName>
    <definedName name="SMMLV">#REF!</definedName>
    <definedName name="SOLDA" localSheetId="4">#REF!</definedName>
    <definedName name="SOLDA" localSheetId="5">#REF!</definedName>
    <definedName name="SOLDA" localSheetId="0">[25]BASE!$D$18</definedName>
    <definedName name="SOLDA">#REF!</definedName>
    <definedName name="SOLPVC" localSheetId="4">#REF!</definedName>
    <definedName name="SOLPVC" localSheetId="5">#REF!</definedName>
    <definedName name="SOLPVC" localSheetId="0">[2]BASE!$D$79</definedName>
    <definedName name="SOLPVC">#REF!</definedName>
    <definedName name="SSS" localSheetId="4">#REF!</definedName>
    <definedName name="SSS" localSheetId="5">#REF!</definedName>
    <definedName name="SSS" localSheetId="0">#REF!</definedName>
    <definedName name="SSS">#REF!</definedName>
    <definedName name="ssss" localSheetId="9">#N/A</definedName>
    <definedName name="ssss">#N/A</definedName>
    <definedName name="ssssaaaa" localSheetId="9">[69]BASE!$D$1742</definedName>
    <definedName name="ssssaaaa">[69]BASE!$D$1742</definedName>
    <definedName name="SUBA" localSheetId="4">#N/A</definedName>
    <definedName name="SUBA" localSheetId="5">#N/A</definedName>
    <definedName name="SUBA" localSheetId="0">#N/A</definedName>
    <definedName name="SUBA">#N/A</definedName>
    <definedName name="Sum" localSheetId="0">'[68]Tabla 1.1'!#REF!</definedName>
    <definedName name="Sum">'[68]Tabla 1.1'!#REF!</definedName>
    <definedName name="SUMIN" localSheetId="0">[1]BASE!$D$251</definedName>
    <definedName name="SUMIN" localSheetId="1">[1]BASE!$D$251</definedName>
    <definedName name="SUMIN">[1]BASE!$D$251</definedName>
    <definedName name="SZ" localSheetId="4">#REF!</definedName>
    <definedName name="SZ" localSheetId="5">#REF!</definedName>
    <definedName name="SZ" localSheetId="0">[52]BASE!$D$8</definedName>
    <definedName name="SZ">#REF!</definedName>
    <definedName name="T22JH" localSheetId="4">#REF!</definedName>
    <definedName name="T22JH" localSheetId="5">#REF!</definedName>
    <definedName name="T22JH" localSheetId="0">[2]BASE!$D$280</definedName>
    <definedName name="T22JH">#REF!</definedName>
    <definedName name="T32JH" localSheetId="4">#REF!</definedName>
    <definedName name="T32JH" localSheetId="5">#REF!</definedName>
    <definedName name="T32JH" localSheetId="0">[2]BASE!$D$279</definedName>
    <definedName name="T32JH">#REF!</definedName>
    <definedName name="T33JH" localSheetId="4">#REF!</definedName>
    <definedName name="T33JH" localSheetId="5">#REF!</definedName>
    <definedName name="T33JH" localSheetId="0">[2]BASE!$D$278</definedName>
    <definedName name="T33JH">#REF!</definedName>
    <definedName name="T42JH" localSheetId="4">#REF!</definedName>
    <definedName name="T42JH" localSheetId="5">#REF!</definedName>
    <definedName name="T42JH" localSheetId="0">[2]BASE!$D$277</definedName>
    <definedName name="T42JH">#REF!</definedName>
    <definedName name="T43JH" localSheetId="4">#REF!</definedName>
    <definedName name="T43JH" localSheetId="5">#REF!</definedName>
    <definedName name="T43JH" localSheetId="0">[2]BASE!$D$276</definedName>
    <definedName name="T43JH">#REF!</definedName>
    <definedName name="T44JH" localSheetId="4">#REF!</definedName>
    <definedName name="T44JH" localSheetId="5">#REF!</definedName>
    <definedName name="T44JH" localSheetId="0">[2]BASE!$D$271</definedName>
    <definedName name="T44JH">#REF!</definedName>
    <definedName name="T62JH" localSheetId="4">#REF!</definedName>
    <definedName name="T62JH" localSheetId="5">#REF!</definedName>
    <definedName name="T62JH" localSheetId="0">[2]BASE!$D$275</definedName>
    <definedName name="T62JH">#REF!</definedName>
    <definedName name="T63JH" localSheetId="4">#REF!</definedName>
    <definedName name="T63JH" localSheetId="5">#REF!</definedName>
    <definedName name="T63JH" localSheetId="0">[2]BASE!$D$274</definedName>
    <definedName name="T63JH">#REF!</definedName>
    <definedName name="T64JH" localSheetId="4">#REF!</definedName>
    <definedName name="T64JH" localSheetId="5">#REF!</definedName>
    <definedName name="T64JH" localSheetId="0">[2]BASE!$D$273</definedName>
    <definedName name="T64JH">#REF!</definedName>
    <definedName name="T66JH" localSheetId="0">[1]BASE!$D$163</definedName>
    <definedName name="T66JH" localSheetId="1">[1]BASE!$D$163</definedName>
    <definedName name="T66JH">[1]BASE!$D$163</definedName>
    <definedName name="T82JH" localSheetId="4">#REF!</definedName>
    <definedName name="T82JH" localSheetId="5">#REF!</definedName>
    <definedName name="T82JH" localSheetId="0">[2]BASE!$D$287</definedName>
    <definedName name="T82JH">#REF!</definedName>
    <definedName name="T83JH" localSheetId="4">#REF!</definedName>
    <definedName name="T83JH" localSheetId="5">#REF!</definedName>
    <definedName name="T83JH" localSheetId="0">[2]BASE!$D$286</definedName>
    <definedName name="T83JH">#REF!</definedName>
    <definedName name="T84JH" localSheetId="0">[4]BASE!$D$168</definedName>
    <definedName name="T84JH">[4]BASE!$D$168</definedName>
    <definedName name="T88EB" localSheetId="4">#REF!</definedName>
    <definedName name="T88EB" localSheetId="5">#REF!</definedName>
    <definedName name="T88EB" localSheetId="0">[2]BASE!$D$284</definedName>
    <definedName name="T88EB">#REF!</definedName>
    <definedName name="T88EL" localSheetId="4">#REF!</definedName>
    <definedName name="T88EL" localSheetId="5">#REF!</definedName>
    <definedName name="T88EL" localSheetId="0">[2]BASE!$D$283</definedName>
    <definedName name="T88EL">#REF!</definedName>
    <definedName name="TabBL">'[54]L codos'!$A$3:$V$10</definedName>
    <definedName name="TabCIM">[59]Hoja2!$A$5:$I$38</definedName>
    <definedName name="TABLA" localSheetId="0">[1]BASE!$D$255</definedName>
    <definedName name="TABLA" localSheetId="1">[1]BASE!$D$255</definedName>
    <definedName name="TABLA">[1]BASE!$D$255</definedName>
    <definedName name="TABLILLA">[45]BASE!$D$396</definedName>
    <definedName name="TACOM" localSheetId="0">[1]BASE!$D$316</definedName>
    <definedName name="TACOM" localSheetId="1">[1]BASE!$D$316</definedName>
    <definedName name="TACOM">[1]BASE!$D$316</definedName>
    <definedName name="TACOM1">[4]BASE!$D$306</definedName>
    <definedName name="TACOR" localSheetId="0">[1]BASE!$D$314</definedName>
    <definedName name="TACOR" localSheetId="1">[1]BASE!$D$314</definedName>
    <definedName name="TACOR">[1]BASE!$D$314</definedName>
    <definedName name="TACOR_" localSheetId="4">[43]BASE!$D$457</definedName>
    <definedName name="TACOR_" localSheetId="5">[43]BASE!$D$457</definedName>
    <definedName name="TACOR_" localSheetId="0">[43]BASE!$D$457</definedName>
    <definedName name="TACOR_">[43]BASE!$D$457</definedName>
    <definedName name="TAP2PN10" localSheetId="4">#REF!</definedName>
    <definedName name="TAP2PN10" localSheetId="5">#REF!</definedName>
    <definedName name="TAP2PN10">#REF!</definedName>
    <definedName name="TAPAM" localSheetId="4">#REF!</definedName>
    <definedName name="TAPAM" localSheetId="5">#REF!</definedName>
    <definedName name="TAPAM" localSheetId="0">[2]BASE!$D$351</definedName>
    <definedName name="TAPAM">#REF!</definedName>
    <definedName name="TASP1" localSheetId="4">#REF!</definedName>
    <definedName name="TASP1" localSheetId="5">#REF!</definedName>
    <definedName name="TASP1" localSheetId="0">[2]BASE!$D$332</definedName>
    <definedName name="TASP1">#REF!</definedName>
    <definedName name="TASP2" localSheetId="4">#REF!</definedName>
    <definedName name="TASP2" localSheetId="5">#REF!</definedName>
    <definedName name="TASP2" localSheetId="0">[70]BASE!$D$354</definedName>
    <definedName name="TASP2">#REF!</definedName>
    <definedName name="TASP3" localSheetId="4">#REF!</definedName>
    <definedName name="TASP3" localSheetId="5">#REF!</definedName>
    <definedName name="TASP3" localSheetId="0">[2]BASE!$D$334</definedName>
    <definedName name="TASP3">#REF!</definedName>
    <definedName name="TASP4" localSheetId="4">#REF!</definedName>
    <definedName name="TASP4" localSheetId="5">#REF!</definedName>
    <definedName name="TASP4" localSheetId="0">[2]BASE!$D$335</definedName>
    <definedName name="TASP4">#REF!</definedName>
    <definedName name="TASR4" localSheetId="4">#REF!</definedName>
    <definedName name="TASR4" localSheetId="5">#REF!</definedName>
    <definedName name="TASR4" localSheetId="0">[2]BASE!$D$336</definedName>
    <definedName name="TASR4">#REF!</definedName>
    <definedName name="TEJAB" localSheetId="0">[1]BASE!$D$65</definedName>
    <definedName name="TEJAB" localSheetId="1">[1]BASE!$D$65</definedName>
    <definedName name="TEJAB">[1]BASE!$D$65</definedName>
    <definedName name="TEJAJ" localSheetId="4">[7]BASE!$D$392</definedName>
    <definedName name="TEJAJ" localSheetId="5">[7]BASE!$D$392</definedName>
    <definedName name="TEJAJ" localSheetId="0">[7]BASE!$D$392</definedName>
    <definedName name="TEJAJ">[7]BASE!$D$392</definedName>
    <definedName name="TELEP" localSheetId="0">[1]BASE!$D$313</definedName>
    <definedName name="TELEP" localSheetId="1">[1]BASE!$D$313</definedName>
    <definedName name="TELEP">[1]BASE!$D$313</definedName>
    <definedName name="territoriales" localSheetId="4">'[2]base de datos'!$G$3:$G$11</definedName>
    <definedName name="territoriales" localSheetId="5">'[2]base de datos'!$G$3:$G$11</definedName>
    <definedName name="territoriales" localSheetId="0">'[65]base de datos'!$G$3:$G$11</definedName>
    <definedName name="territoriales">'[2]base de datos'!$G$3:$G$11</definedName>
    <definedName name="TGALV" localSheetId="4">#REF!</definedName>
    <definedName name="TGALV" localSheetId="5">#REF!</definedName>
    <definedName name="TGALV" localSheetId="0">#N/A</definedName>
    <definedName name="TGALV">#REF!</definedName>
    <definedName name="TH10J" localSheetId="4">#REF!</definedName>
    <definedName name="TH10J" localSheetId="5">#REF!</definedName>
    <definedName name="TH10J" localSheetId="0">[2]BASE!$D$282</definedName>
    <definedName name="TH10J">#REF!</definedName>
    <definedName name="THF6JH" localSheetId="4">#REF!</definedName>
    <definedName name="THF6JH" localSheetId="5">#REF!</definedName>
    <definedName name="THF6JH" localSheetId="0">[2]BASE!$D$303</definedName>
    <definedName name="THF6JH">#REF!</definedName>
    <definedName name="THF6RO" localSheetId="0">[1]BASE!$D$190</definedName>
    <definedName name="THF6RO" localSheetId="1">[1]BASE!$D$190</definedName>
    <definedName name="THF6RO">[1]BASE!$D$190</definedName>
    <definedName name="THF8JH" localSheetId="4">#REF!</definedName>
    <definedName name="THF8JH" localSheetId="5">#REF!</definedName>
    <definedName name="THF8JH" localSheetId="0">[2]BASE!$D$304</definedName>
    <definedName name="THF8JH">#REF!</definedName>
    <definedName name="_xlnm.Print_Titles">#N/A</definedName>
    <definedName name="TNOV10" localSheetId="4">#REF!</definedName>
    <definedName name="TNOV10" localSheetId="5">#REF!</definedName>
    <definedName name="TNOV10" localSheetId="0">[2]BASE!$D$213</definedName>
    <definedName name="TNOV10">#REF!</definedName>
    <definedName name="TNOV12" localSheetId="0">[1]BASE!$D$147</definedName>
    <definedName name="TNOV12" localSheetId="1">[1]BASE!$D$147</definedName>
    <definedName name="TNOV12">[1]BASE!$D$147</definedName>
    <definedName name="TNOV16" localSheetId="4">#REF!</definedName>
    <definedName name="TNOV16" localSheetId="5">#REF!</definedName>
    <definedName name="TNOV16" localSheetId="0">[2]BASE!$D$216</definedName>
    <definedName name="TNOV16">#REF!</definedName>
    <definedName name="TNOV18" localSheetId="4">#REF!</definedName>
    <definedName name="TNOV18" localSheetId="5">#REF!</definedName>
    <definedName name="TNOV18" localSheetId="0">[2]BASE!$D$217</definedName>
    <definedName name="TNOV18">#REF!</definedName>
    <definedName name="TNOV20" localSheetId="4">#REF!</definedName>
    <definedName name="TNOV20" localSheetId="5">#REF!</definedName>
    <definedName name="TNOV20" localSheetId="0">[2]BASE!$D$218</definedName>
    <definedName name="TNOV20">#REF!</definedName>
    <definedName name="TNOV6" localSheetId="4">#REF!</definedName>
    <definedName name="TNOV6" localSheetId="5">#REF!</definedName>
    <definedName name="TNOV6" localSheetId="0">[70]BASE!$D$228</definedName>
    <definedName name="TNOV6">#REF!</definedName>
    <definedName name="TNOV8" localSheetId="0">[1]BASE!$D$145</definedName>
    <definedName name="TNOV8" localSheetId="1">[1]BASE!$D$145</definedName>
    <definedName name="TNOV8">[1]BASE!$D$145</definedName>
    <definedName name="TORNI" localSheetId="0">[1]BASE!$D$265</definedName>
    <definedName name="TORNI" localSheetId="1">[1]BASE!$D$265</definedName>
    <definedName name="TORNI">[1]BASE!$D$265</definedName>
    <definedName name="Tot_Act01">#REF!</definedName>
    <definedName name="Tot_Act02">#REF!</definedName>
    <definedName name="Tot_Act03">#REF!</definedName>
    <definedName name="TotalOpti" localSheetId="4">#REF!</definedName>
    <definedName name="TotalOpti" localSheetId="5">#REF!</definedName>
    <definedName name="TotalOpti" localSheetId="0">#REF!</definedName>
    <definedName name="TotalOpti">#REF!</definedName>
    <definedName name="TOTALOPTIM" localSheetId="4">#REF!</definedName>
    <definedName name="TOTALOPTIM" localSheetId="5">#REF!</definedName>
    <definedName name="TOTALOPTIM" localSheetId="0">#REF!</definedName>
    <definedName name="TOTALOPTIM">#REF!</definedName>
    <definedName name="TOTALOPTIMIZACION" localSheetId="4">#REF!</definedName>
    <definedName name="TOTALOPTIMIZACION" localSheetId="5">#REF!</definedName>
    <definedName name="TOTALOPTIMIZACION" localSheetId="0">#REF!</definedName>
    <definedName name="TOTALOPTIMIZACION">#REF!</definedName>
    <definedName name="TOTALREPOS" localSheetId="4">#REF!</definedName>
    <definedName name="TOTALREPOS" localSheetId="5">#REF!</definedName>
    <definedName name="TOTALREPOS" localSheetId="0">#REF!</definedName>
    <definedName name="TOTALREPOS">#REF!</definedName>
    <definedName name="TOTALREPOSICION" localSheetId="4">#REF!</definedName>
    <definedName name="TOTALREPOSICION" localSheetId="5">#REF!</definedName>
    <definedName name="TOTALREPOSICION" localSheetId="0">#REF!</definedName>
    <definedName name="TOTALREPOSICION">#REF!</definedName>
    <definedName name="TPVCME" localSheetId="4">#REF!</definedName>
    <definedName name="TPVCME" localSheetId="5">#REF!</definedName>
    <definedName name="TPVCME" localSheetId="0">[70]BASE!$D$80</definedName>
    <definedName name="TPVCME">#REF!</definedName>
    <definedName name="TPVCP1" localSheetId="4">#REF!</definedName>
    <definedName name="TPVCP1" localSheetId="5">#REF!</definedName>
    <definedName name="TPVCP1" localSheetId="0">[2]BASE!$D$81</definedName>
    <definedName name="TPVCP1">#REF!</definedName>
    <definedName name="TPVCS3" localSheetId="4">'[8]BASE ORIGINAL'!#REF!</definedName>
    <definedName name="TPVCS3" localSheetId="5">'[8]BASE ORIGINAL'!#REF!</definedName>
    <definedName name="TPVCS3" localSheetId="0">'[9]BASE ORIGINAL'!#REF!</definedName>
    <definedName name="TPVCS3">'[8]BASE ORIGINAL'!#REF!</definedName>
    <definedName name="TPVCS4" localSheetId="4">#REF!</definedName>
    <definedName name="TPVCS4" localSheetId="5">#REF!</definedName>
    <definedName name="TPVCS4">#REF!</definedName>
    <definedName name="tramites" localSheetId="4">'[2]base de datos'!$T$3:$T$18</definedName>
    <definedName name="tramites" localSheetId="5">'[2]base de datos'!$T$3:$T$18</definedName>
    <definedName name="tramites" localSheetId="0">'[2]base de datos'!$T$3:$T$18</definedName>
    <definedName name="tramites">'[2]base de datos'!$T$3:$T$18</definedName>
    <definedName name="TRANA" localSheetId="4">'[8]BASE ORIGINAL'!#REF!</definedName>
    <definedName name="TRANA" localSheetId="5">'[8]BASE ORIGINAL'!#REF!</definedName>
    <definedName name="TRANA" localSheetId="0">'[9]BASE ORIGINAL'!#REF!</definedName>
    <definedName name="TRANA">'[8]BASE ORIGINAL'!#REF!</definedName>
    <definedName name="TRANAG" localSheetId="0">[1]BASE!$D$336</definedName>
    <definedName name="TRANAG" localSheetId="1">[1]BASE!$D$336</definedName>
    <definedName name="TRANAG">[1]BASE!$D$336</definedName>
    <definedName name="TRANAR" localSheetId="0">[1]BASE!$D$332</definedName>
    <definedName name="TRANAR" localSheetId="1">[1]BASE!$D$332</definedName>
    <definedName name="TRANAR">[1]BASE!$D$332</definedName>
    <definedName name="TRANS" localSheetId="0">[1]BASE!$D$333</definedName>
    <definedName name="TRANS" localSheetId="1">[1]BASE!$D$333</definedName>
    <definedName name="TRANS">[1]BASE!$D$333</definedName>
    <definedName name="tre" localSheetId="4">#REF!</definedName>
    <definedName name="tre" localSheetId="5">#REF!</definedName>
    <definedName name="tre" localSheetId="0">#REF!</definedName>
    <definedName name="tre">#REF!</definedName>
    <definedName name="TRITM" localSheetId="4">#REF!</definedName>
    <definedName name="TRITM" localSheetId="5">#REF!</definedName>
    <definedName name="TRITM" localSheetId="0">[70]BASE!$D$66</definedName>
    <definedName name="TRITM">#REF!</definedName>
    <definedName name="TRITU" localSheetId="0">[1]BASE!$D$54</definedName>
    <definedName name="TRITU" localSheetId="1">[1]BASE!$D$54</definedName>
    <definedName name="TRITU">[1]BASE!$D$54</definedName>
    <definedName name="TS">[71]INSUMOS!$A$1:$E$65536</definedName>
    <definedName name="TUAC12" localSheetId="4">#REF!</definedName>
    <definedName name="TUAC12" localSheetId="5">#REF!</definedName>
    <definedName name="TUAC12" localSheetId="0">[2]BASE!$D$269</definedName>
    <definedName name="TUAC12">#REF!</definedName>
    <definedName name="TUAC14" localSheetId="4">[72]BASE!$D$271</definedName>
    <definedName name="TUAC14" localSheetId="5">[72]BASE!$D$271</definedName>
    <definedName name="TUAC14" localSheetId="0">[72]BASE!$D$271</definedName>
    <definedName name="TUAC14">[72]BASE!$D$271</definedName>
    <definedName name="TUAC4" localSheetId="4">[72]BASE!$D$268</definedName>
    <definedName name="TUAC4" localSheetId="5">[72]BASE!$D$268</definedName>
    <definedName name="TUAC4" localSheetId="0">[72]BASE!$D$268</definedName>
    <definedName name="TUAC4">[72]BASE!$D$268</definedName>
    <definedName name="TUAC6" localSheetId="4">[72]BASE!$D$269</definedName>
    <definedName name="TUAC6" localSheetId="5">[72]BASE!$D$269</definedName>
    <definedName name="TUAC6" localSheetId="0">[72]BASE!$D$269</definedName>
    <definedName name="TUAC6">[72]BASE!$D$269</definedName>
    <definedName name="TUB8AC" localSheetId="4">#REF!</definedName>
    <definedName name="TUB8AC" localSheetId="5">#REF!</definedName>
    <definedName name="TUB8AC" localSheetId="0">[44]BASE!$D$269</definedName>
    <definedName name="TUB8AC">#REF!</definedName>
    <definedName name="TUBNE" localSheetId="4">#REF!</definedName>
    <definedName name="TUBNE" localSheetId="5">#REF!</definedName>
    <definedName name="TUBNE">#REF!</definedName>
    <definedName name="TUBS2" localSheetId="4">#REF!</definedName>
    <definedName name="TUBS2" localSheetId="5">#REF!</definedName>
    <definedName name="TUBS2">#REF!</definedName>
    <definedName name="TUBS3" localSheetId="0">[1]BASE!$D$124</definedName>
    <definedName name="TUBS3" localSheetId="1">[1]BASE!$D$124</definedName>
    <definedName name="TUBS3">[1]BASE!$D$124</definedName>
    <definedName name="TUBS4" localSheetId="0">[1]BASE!$D$125</definedName>
    <definedName name="TUBS4" localSheetId="1">[1]BASE!$D$125</definedName>
    <definedName name="TUBS4">[1]BASE!$D$125</definedName>
    <definedName name="TUBS6" localSheetId="4">[7]BASE!$D$193</definedName>
    <definedName name="TUBS6" localSheetId="5">[7]BASE!$D$193</definedName>
    <definedName name="TUBS6" localSheetId="0">[7]BASE!$D$193</definedName>
    <definedName name="TUBS6">[7]BASE!$D$193</definedName>
    <definedName name="U_Z" localSheetId="0">#REF!</definedName>
    <definedName name="U_Z">#REF!</definedName>
    <definedName name="UALU" localSheetId="4">[7]BASE!$D$370</definedName>
    <definedName name="UALU" localSheetId="5">[7]BASE!$D$370</definedName>
    <definedName name="UALU" localSheetId="0">[7]BASE!$D$370</definedName>
    <definedName name="UALU">[7]BASE!$D$370</definedName>
    <definedName name="ujhghjh" localSheetId="4">#REF!</definedName>
    <definedName name="ujhghjh" localSheetId="5">#REF!</definedName>
    <definedName name="ujhghjh" localSheetId="0">[39]BASE!$C$3</definedName>
    <definedName name="ujhghjh">#REF!</definedName>
    <definedName name="und" localSheetId="0">[1]BASE!#REF!</definedName>
    <definedName name="und" localSheetId="1">[1]BASE!#REF!</definedName>
    <definedName name="und">[1]BASE!#REF!</definedName>
    <definedName name="UNION_Z" localSheetId="0">#REF!</definedName>
    <definedName name="UNION_Z">#REF!</definedName>
    <definedName name="UNOV30" localSheetId="0">[1]BASE!$D$104</definedName>
    <definedName name="UNOV30" localSheetId="1">[1]BASE!$D$104</definedName>
    <definedName name="UNOV30">[1]BASE!$D$104</definedName>
    <definedName name="UNOV36" localSheetId="0">[1]BASE!$D$105</definedName>
    <definedName name="UNOV36" localSheetId="1">[1]BASE!$D$105</definedName>
    <definedName name="UNOV36">[1]BASE!$D$105</definedName>
    <definedName name="UNPVP4" localSheetId="4">[33]BASE!#REF!</definedName>
    <definedName name="UNPVP4" localSheetId="5">[33]BASE!#REF!</definedName>
    <definedName name="UNPVP4" localSheetId="0">[33]BASE!#REF!</definedName>
    <definedName name="UNPVP4">[33]BASE!#REF!</definedName>
    <definedName name="UNPVP5" localSheetId="4">[33]BASE!#REF!</definedName>
    <definedName name="UNPVP5" localSheetId="5">[33]BASE!#REF!</definedName>
    <definedName name="UNPVP5" localSheetId="0">[33]BASE!#REF!</definedName>
    <definedName name="UNPVP5">[33]BASE!#REF!</definedName>
    <definedName name="UNPVP6" localSheetId="4">[33]BASE!#REF!</definedName>
    <definedName name="UNPVP6" localSheetId="5">[33]BASE!#REF!</definedName>
    <definedName name="UNPVP6" localSheetId="0">[33]BASE!#REF!</definedName>
    <definedName name="UNPVP6">[33]BASE!#REF!</definedName>
    <definedName name="URAP10" localSheetId="4">#REF!</definedName>
    <definedName name="URAP10" localSheetId="5">#REF!</definedName>
    <definedName name="URAP10" localSheetId="0">[2]BASE!$D$118</definedName>
    <definedName name="URAP10">#REF!</definedName>
    <definedName name="URAP2" localSheetId="4">#REF!</definedName>
    <definedName name="URAP2" localSheetId="5">#REF!</definedName>
    <definedName name="URAP2" localSheetId="0">[2]BASE!$D$123</definedName>
    <definedName name="URAP2">#REF!</definedName>
    <definedName name="URAP3" localSheetId="4">#REF!</definedName>
    <definedName name="URAP3" localSheetId="5">#REF!</definedName>
    <definedName name="URAP3" localSheetId="0">[2]BASE!$D$122</definedName>
    <definedName name="URAP3">#REF!</definedName>
    <definedName name="URAP4" localSheetId="4">#REF!</definedName>
    <definedName name="URAP4" localSheetId="5">#REF!</definedName>
    <definedName name="URAP4" localSheetId="0">[16]BASE!$D$122</definedName>
    <definedName name="URAP4">#REF!</definedName>
    <definedName name="URAP6" localSheetId="4">#REF!</definedName>
    <definedName name="URAP6" localSheetId="5">#REF!</definedName>
    <definedName name="URAP6" localSheetId="0">[70]BASE!$D$120</definedName>
    <definedName name="URAP6">#REF!</definedName>
    <definedName name="URAP8" localSheetId="4">#REF!</definedName>
    <definedName name="URAP8" localSheetId="5">#REF!</definedName>
    <definedName name="URAP8" localSheetId="0">[2]BASE!$D$119</definedName>
    <definedName name="URAP8">#REF!</definedName>
    <definedName name="UREP12" localSheetId="4">#REF!</definedName>
    <definedName name="UREP12" localSheetId="5">#REF!</definedName>
    <definedName name="UREP12" localSheetId="0">[2]BASE!$D$124</definedName>
    <definedName name="UREP12">#REF!</definedName>
    <definedName name="UREP2" localSheetId="4">#REF!</definedName>
    <definedName name="UREP2" localSheetId="5">#REF!</definedName>
    <definedName name="UREP2" localSheetId="0">[2]BASE!$D$127</definedName>
    <definedName name="UREP2">#REF!</definedName>
    <definedName name="UREP3" localSheetId="4">#REF!</definedName>
    <definedName name="UREP3" localSheetId="5">#REF!</definedName>
    <definedName name="UREP3" localSheetId="0">[2]BASE!$D$128</definedName>
    <definedName name="UREP3">#REF!</definedName>
    <definedName name="UREP4" localSheetId="4">#REF!</definedName>
    <definedName name="UREP4" localSheetId="5">#REF!</definedName>
    <definedName name="UREP4" localSheetId="0">[2]BASE!$D$129</definedName>
    <definedName name="UREP4">#REF!</definedName>
    <definedName name="UREP6" localSheetId="4">#REF!</definedName>
    <definedName name="UREP6" localSheetId="5">#REF!</definedName>
    <definedName name="UREP6" localSheetId="0">[2]BASE!$D$126</definedName>
    <definedName name="UREP6">#REF!</definedName>
    <definedName name="UREP8" localSheetId="4">#REF!</definedName>
    <definedName name="UREP8" localSheetId="5">#REF!</definedName>
    <definedName name="UREP8" localSheetId="0">[2]BASE!$D$125</definedName>
    <definedName name="UREP8">#REF!</definedName>
    <definedName name="v"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 localSheetId="4">#REF!</definedName>
    <definedName name="VALMA3" localSheetId="5">#REF!</definedName>
    <definedName name="VALMA3" localSheetId="0">[2]BASE!$D$423</definedName>
    <definedName name="VALMA3">#REF!</definedName>
    <definedName name="VALMA4" localSheetId="4">#REF!</definedName>
    <definedName name="VALMA4" localSheetId="5">#REF!</definedName>
    <definedName name="VALMA4" localSheetId="0">[16]BASE!$D$426</definedName>
    <definedName name="VALMA4">#REF!</definedName>
    <definedName name="Var" localSheetId="4">#REF!</definedName>
    <definedName name="Var" localSheetId="5">#REF!</definedName>
    <definedName name="Var" localSheetId="0">#REF!</definedName>
    <definedName name="Var">#REF!</definedName>
    <definedName name="VBOL2" localSheetId="0">[1]BASE!$D$294</definedName>
    <definedName name="VBOL2" localSheetId="1">[1]BASE!$D$294</definedName>
    <definedName name="VBOL2">[1]BASE!$D$294</definedName>
    <definedName name="VBOL4" localSheetId="0">[1]BASE!$D$295</definedName>
    <definedName name="VBOL4" localSheetId="1">[1]BASE!$D$295</definedName>
    <definedName name="VBOL4">[1]BASE!$D$295</definedName>
    <definedName name="VCBB2" localSheetId="4">#REF!</definedName>
    <definedName name="VCBB2" localSheetId="5">#REF!</definedName>
    <definedName name="VCBB2">#REF!</definedName>
    <definedName name="VCBB3" localSheetId="4">#REF!</definedName>
    <definedName name="VCBB3" localSheetId="5">#REF!</definedName>
    <definedName name="VCBB3">#REF!</definedName>
    <definedName name="VCBB8" localSheetId="4">#REF!</definedName>
    <definedName name="VCBB8" localSheetId="5">#REF!</definedName>
    <definedName name="VCBB8">#REF!</definedName>
    <definedName name="VCEL1" localSheetId="4">#REF!</definedName>
    <definedName name="VCEL1" localSheetId="5">#REF!</definedName>
    <definedName name="VCEL1" localSheetId="0">[2]BASE!$D$415</definedName>
    <definedName name="VCEL1">#REF!</definedName>
    <definedName name="VCEL2" localSheetId="4">#REF!</definedName>
    <definedName name="VCEL2" localSheetId="5">#REF!</definedName>
    <definedName name="VCEL2" localSheetId="0">[2]BASE!$D$414</definedName>
    <definedName name="VCEL2">#REF!</definedName>
    <definedName name="VCEL3" localSheetId="0">[1]BASE!$D$285</definedName>
    <definedName name="VCEL3" localSheetId="1">[1]BASE!$D$285</definedName>
    <definedName name="VCEL3">[1]BASE!$D$285</definedName>
    <definedName name="VCEL4" localSheetId="4">#REF!</definedName>
    <definedName name="VCEL4" localSheetId="5">#REF!</definedName>
    <definedName name="VCEL4" localSheetId="0">[2]BASE!$D$412</definedName>
    <definedName name="VCEL4">#REF!</definedName>
    <definedName name="VCEL6" localSheetId="0">[1]BASE!$D$283</definedName>
    <definedName name="VCEL6" localSheetId="1">[1]BASE!$D$283</definedName>
    <definedName name="VCEL6">[1]BASE!$D$283</definedName>
    <definedName name="VCEL8" localSheetId="4">'[8]BASE ORIGINAL'!#REF!</definedName>
    <definedName name="VCEL8" localSheetId="5">'[8]BASE ORIGINAL'!#REF!</definedName>
    <definedName name="VCEL8" localSheetId="0">'[9]BASE ORIGINAL'!#REF!</definedName>
    <definedName name="VCEL8">'[8]BASE ORIGINAL'!#REF!</definedName>
    <definedName name="VCELA2" localSheetId="4">#REF!</definedName>
    <definedName name="VCELA2" localSheetId="5">#REF!</definedName>
    <definedName name="VCELA2" localSheetId="0">[2]BASE!$D$419</definedName>
    <definedName name="VCELA2">#REF!</definedName>
    <definedName name="VCELA3" localSheetId="4">#REF!</definedName>
    <definedName name="VCELA3" localSheetId="5">#REF!</definedName>
    <definedName name="VCELA3" localSheetId="0">[70]BASE!$D$443</definedName>
    <definedName name="VCELA3">#REF!</definedName>
    <definedName name="VCELA4" localSheetId="4">#REF!</definedName>
    <definedName name="VCELA4" localSheetId="5">#REF!</definedName>
    <definedName name="VCELA4" localSheetId="0">[2]BASE!$D$417</definedName>
    <definedName name="VCELA4">#REF!</definedName>
    <definedName name="VCELA6" localSheetId="4">#REF!</definedName>
    <definedName name="VCELA6" localSheetId="5">#REF!</definedName>
    <definedName name="VCELA6">#REF!</definedName>
    <definedName name="VCEVNAEL3" localSheetId="9">[32]BASE!$D$593</definedName>
    <definedName name="VCEVNAEL3">[32]BASE!$D$593</definedName>
    <definedName name="VCHE12" localSheetId="4">#REF!</definedName>
    <definedName name="VCHE12" localSheetId="5">#REF!</definedName>
    <definedName name="VCHE12">#REF!</definedName>
    <definedName name="VCSBVNAEL2" localSheetId="4">[33]BASE!$D$644</definedName>
    <definedName name="VCSBVNAEL2" localSheetId="5">[33]BASE!$D$644</definedName>
    <definedName name="VCSBVNAEL2" localSheetId="0">[33]BASE!$D$644</definedName>
    <definedName name="VCSBVNAEL2">[33]BASE!$D$644</definedName>
    <definedName name="VCSBVNAEL3" localSheetId="4">[33]BASE!$D$645</definedName>
    <definedName name="VCSBVNAEL3" localSheetId="5">[33]BASE!$D$645</definedName>
    <definedName name="VCSBVNAEL3" localSheetId="0">[33]BASE!$D$645</definedName>
    <definedName name="VCSBVNAEL3">[33]BASE!$D$645</definedName>
    <definedName name="VENTI" localSheetId="0">[1]BASE!$D$258</definedName>
    <definedName name="VENTI" localSheetId="1">[1]BASE!$D$258</definedName>
    <definedName name="VENTI">[1]BASE!$D$258</definedName>
    <definedName name="VERT" localSheetId="4">#N/A</definedName>
    <definedName name="VERT" localSheetId="5">#N/A</definedName>
    <definedName name="VERT" localSheetId="0">#N/A</definedName>
    <definedName name="VERT">#N/A</definedName>
    <definedName name="VIAJE" localSheetId="0">[1]BASE!$D$334</definedName>
    <definedName name="VIAJE" localSheetId="1">[1]BASE!$D$334</definedName>
    <definedName name="VIAJE">[1]BASE!$D$334</definedName>
    <definedName name="VIBGA" localSheetId="0">[1]BASE!$D$311</definedName>
    <definedName name="VIBGA" localSheetId="1">[1]BASE!$D$311</definedName>
    <definedName name="VIBGA">[1]BASE!$D$311</definedName>
    <definedName name="VIBRCOM" localSheetId="4">#REF!</definedName>
    <definedName name="VIBRCOM" localSheetId="5">#REF!</definedName>
    <definedName name="VIBRCOM" localSheetId="0">[2]BASE!$D$444</definedName>
    <definedName name="VIBRCOM">#REF!</definedName>
    <definedName name="VIBRE" localSheetId="0">[1]BASE!$D$312</definedName>
    <definedName name="VIBRE" localSheetId="1">[1]BASE!$D$312</definedName>
    <definedName name="VIBRE">[1]BASE!$D$312</definedName>
    <definedName name="VIDRI" localSheetId="0">[1]BASE!$D$259</definedName>
    <definedName name="VIDRI" localSheetId="1">[1]BASE!$D$259</definedName>
    <definedName name="VIDRI">[1]BASE!$D$259</definedName>
    <definedName name="viscosidad" localSheetId="0">#REF!</definedName>
    <definedName name="viscosidad">#REF!</definedName>
    <definedName name="VOLQUET" localSheetId="4">#REF!</definedName>
    <definedName name="VOLQUET" localSheetId="5">#REF!</definedName>
    <definedName name="VOLQUET" localSheetId="0">[2]BASE!$D$446</definedName>
    <definedName name="VOLQUET">#REF!</definedName>
    <definedName name="VPVC2" localSheetId="4">#REF!</definedName>
    <definedName name="VPVC2" localSheetId="5">#REF!</definedName>
    <definedName name="VPVC2" localSheetId="0">[2]BASE!$D$421</definedName>
    <definedName name="VPVC2">#REF!</definedName>
    <definedName name="VVV">[45]BASE!$C$3</definedName>
    <definedName name="wvu.ComparEneMar9697." localSheetId="4"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9"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5"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9"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5"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9"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5"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9"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5"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9"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5"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4"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9"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5"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 localSheetId="4">#REF!</definedName>
    <definedName name="x" localSheetId="5">#REF!</definedName>
    <definedName name="x" localSheetId="0">[73]BASE!$D$8</definedName>
    <definedName name="x">#REF!</definedName>
    <definedName name="Y22EL" localSheetId="4">#REF!</definedName>
    <definedName name="Y22EL" localSheetId="5">#REF!</definedName>
    <definedName name="Y22EL" localSheetId="0">[2]BASE!$D$324</definedName>
    <definedName name="Y22EL">#REF!</definedName>
    <definedName name="Y22JH" localSheetId="4">#REF!</definedName>
    <definedName name="Y22JH" localSheetId="5">#REF!</definedName>
    <definedName name="Y22JH">#REF!</definedName>
    <definedName name="Y32JH" localSheetId="4">#REF!</definedName>
    <definedName name="Y32JH" localSheetId="5">#REF!</definedName>
    <definedName name="Y32JH" localSheetId="0">[2]BASE!$D$327</definedName>
    <definedName name="Y32JH">#REF!</definedName>
    <definedName name="Y33JH" localSheetId="4">#REF!</definedName>
    <definedName name="Y33JH" localSheetId="5">#REF!</definedName>
    <definedName name="Y33JH" localSheetId="0">[2]BASE!$D$326</definedName>
    <definedName name="Y33JH">#REF!</definedName>
    <definedName name="Y42JH" localSheetId="4">#REF!</definedName>
    <definedName name="Y42JH" localSheetId="5">#REF!</definedName>
    <definedName name="Y42JH" localSheetId="0">[2]BASE!$D$328</definedName>
    <definedName name="Y42JH">#REF!</definedName>
    <definedName name="Y43JH" localSheetId="4">#REF!</definedName>
    <definedName name="Y43JH" localSheetId="5">#REF!</definedName>
    <definedName name="Y43JH" localSheetId="0">[2]BASE!$D$329</definedName>
    <definedName name="Y43JH">#REF!</definedName>
    <definedName name="Y44EL" localSheetId="4">#REF!</definedName>
    <definedName name="Y44EL" localSheetId="5">#REF!</definedName>
    <definedName name="Y44EL" localSheetId="0">[2]BASE!$D$330</definedName>
    <definedName name="Y44EL">#REF!</definedName>
    <definedName name="Y44JH" localSheetId="4">#REF!</definedName>
    <definedName name="Y44JH" localSheetId="5">#REF!</definedName>
    <definedName name="Y44JH" localSheetId="0">[2]BASE!$D$331</definedName>
    <definedName name="Y44JH">#REF!</definedName>
    <definedName name="YUYYYY" localSheetId="4">#REF!</definedName>
    <definedName name="YUYYYY" localSheetId="5">#REF!</definedName>
    <definedName name="YUYYYY" localSheetId="0">#REF!</definedName>
    <definedName name="YUYYYY">#REF!</definedName>
    <definedName name="Z_91E95AE5_DCC2_11D0_8DF1_00805F2A002D_.wvu.Cols" hidden="1">'[50]Seguimiento CSF'!$L$1:$N$65536,'[50]Seguimiento CSF'!$R$1:$BU$65536</definedName>
    <definedName name="Z_91E95AE6_DCC2_11D0_8DF1_00805F2A002D_.wvu.Cols" hidden="1">'[50]Seguimiento CSF'!$L$1:$N$65536,'[50]Seguimiento CSF'!$Q$1:$AD$65536</definedName>
    <definedName name="Z_91E95AE6_DCC2_11D0_8DF1_00805F2A002D_.wvu.Rows" localSheetId="0" hidden="1">'[50]Seguimiento CSF'!#REF!,'[50]Seguimiento CSF'!#REF!</definedName>
    <definedName name="Z_91E95AE6_DCC2_11D0_8DF1_00805F2A002D_.wvu.Rows" hidden="1">'[50]Seguimiento CSF'!#REF!,'[50]Seguimiento CSF'!#REF!</definedName>
    <definedName name="Z_91E95AE7_DCC2_11D0_8DF1_00805F2A002D_.wvu.Cols" hidden="1">'[50]Resumen MES OPEF'!$C$1:$C$65536,'[50]Resumen MES OPEF'!$N$1:$N$65536,'[50]Resumen MES OPEF'!$Y$1:$Y$65536,'[50]Resumen MES OPEF'!$AL$1:$AL$65536,'[50]Resumen MES OPEF'!$AV$1:$AV$65536,'[50]Resumen MES OPEF'!$BG$1:$BG$65536,'[50]Resumen MES OPEF'!$BR$1:$BR$65536,'[50]Resumen MES OPEF'!$CC$1:$CC$65536</definedName>
    <definedName name="Z_91E95AE8_DCC2_11D0_8DF1_00805F2A002D_.wvu.Cols" hidden="1">'[50]Seguimiento CSF'!$L$1:$N$65536,'[50]Seguimiento CSF'!$R$1:$AD$65536,'[50]Seguimiento CSF'!$AY$1:$AY$65536,'[50]Seguimiento CSF'!$BH$1:$BH$65536,'[50]Seguimiento CSF'!$BQ$1:$BQ$65536</definedName>
    <definedName name="Z_91E95AE9_DCC2_11D0_8DF1_00805F2A002D_.wvu.Cols" hidden="1">'[50]Seguimiento CSF'!$L$1:$N$65536,'[50]Seguimiento CSF'!$R$1:$AD$65536,'[50]Seguimiento CSF'!$AH$1:$AY$65536,'[50]Seguimiento CSF'!$BA$1:$BH$65536,'[50]Seguimiento CSF'!$BJ$1:$BQ$65536,'[50]Seguimiento CSF'!$BS$1:$CF$65536</definedName>
    <definedName name="Z_91E95AEB_DCC2_11D0_8DF1_00805F2A002D_.wvu.Cols" hidden="1">'[50]Resumen OPEF'!$E$1:$J$65536,'[50]Resumen OPEF'!$M$1:$Q$65536</definedName>
    <definedName name="Z_91E95AEC_DCC2_11D0_8DF1_00805F2A002D_.wvu.Cols" hidden="1">'[50]Resumen OPEF'!$C$1:$C$65536,'[50]Resumen OPEF'!$E$1:$E$65536,'[50]Resumen OPEF'!$H$1:$I$65536,'[50]Resumen OPEF'!$K$1:$L$65536,'[50]Resumen OPEF'!$O$1:$O$65536</definedName>
    <definedName name="zonificacion" localSheetId="4">'[2]base de datos'!$G$14:$G$33</definedName>
    <definedName name="zonificacion" localSheetId="5">'[2]base de datos'!$G$14:$G$33</definedName>
    <definedName name="zonificacion" localSheetId="0">'[65]base de datos'!$G$14:$G$33</definedName>
    <definedName name="zonificacion">'[2]base de datos'!$G$14:$G$33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2" i="34" l="1"/>
  <c r="U122" i="34"/>
  <c r="G21" i="34" l="1"/>
  <c r="N57" i="20"/>
  <c r="G25" i="30"/>
  <c r="D357" i="31"/>
  <c r="D339" i="31"/>
  <c r="C5" i="39"/>
  <c r="F56" i="20"/>
  <c r="G68" i="20" s="1"/>
  <c r="E56" i="20"/>
  <c r="N64" i="20" s="1"/>
  <c r="K56" i="20"/>
  <c r="I56" i="20"/>
  <c r="G69" i="20" l="1"/>
  <c r="G70" i="20" s="1"/>
  <c r="C69" i="20"/>
  <c r="C72" i="20"/>
  <c r="N65" i="20"/>
  <c r="C73" i="20"/>
  <c r="P6" i="20"/>
  <c r="BW7" i="20"/>
  <c r="BX7" i="20"/>
  <c r="BY7" i="20"/>
  <c r="BZ7" i="20"/>
  <c r="CA7" i="20"/>
  <c r="CB7" i="20"/>
  <c r="CC7" i="20"/>
  <c r="CD7" i="20"/>
  <c r="BW8" i="20"/>
  <c r="BX8" i="20"/>
  <c r="BY8" i="20"/>
  <c r="BZ8" i="20"/>
  <c r="CA8" i="20"/>
  <c r="CB8" i="20"/>
  <c r="CC8" i="20"/>
  <c r="CD8" i="20"/>
  <c r="BW9" i="20"/>
  <c r="BX9" i="20"/>
  <c r="BY9" i="20"/>
  <c r="BZ9" i="20"/>
  <c r="CA9" i="20"/>
  <c r="CB9" i="20"/>
  <c r="CC9" i="20"/>
  <c r="CD9" i="20"/>
  <c r="BW10" i="20"/>
  <c r="BX10" i="20"/>
  <c r="BY10" i="20"/>
  <c r="BZ10" i="20"/>
  <c r="CA10" i="20"/>
  <c r="CB10" i="20"/>
  <c r="CC10" i="20"/>
  <c r="CD10" i="20"/>
  <c r="BW11" i="20"/>
  <c r="BX11" i="20"/>
  <c r="BY11" i="20"/>
  <c r="BZ11" i="20"/>
  <c r="CA11" i="20"/>
  <c r="CB11" i="20"/>
  <c r="CC11" i="20"/>
  <c r="CD11" i="20"/>
  <c r="BW12" i="20"/>
  <c r="BX12" i="20"/>
  <c r="BY12" i="20"/>
  <c r="BZ12" i="20"/>
  <c r="CA12" i="20"/>
  <c r="CB12" i="20"/>
  <c r="CC12" i="20"/>
  <c r="CD12" i="20"/>
  <c r="BW13" i="20"/>
  <c r="BX13" i="20"/>
  <c r="BY13" i="20"/>
  <c r="BZ13" i="20"/>
  <c r="CA13" i="20"/>
  <c r="CB13" i="20"/>
  <c r="CC13" i="20"/>
  <c r="CD13" i="20"/>
  <c r="BW14" i="20"/>
  <c r="BX14" i="20"/>
  <c r="BY14" i="20"/>
  <c r="BZ14" i="20"/>
  <c r="CA14" i="20"/>
  <c r="CB14" i="20"/>
  <c r="CC14" i="20"/>
  <c r="CD14" i="20"/>
  <c r="BW15" i="20"/>
  <c r="BX15" i="20"/>
  <c r="BY15" i="20"/>
  <c r="BZ15" i="20"/>
  <c r="CA15" i="20"/>
  <c r="CB15" i="20"/>
  <c r="CC15" i="20"/>
  <c r="CD15" i="20"/>
  <c r="BW16" i="20"/>
  <c r="BX16" i="20"/>
  <c r="BY16" i="20"/>
  <c r="BZ16" i="20"/>
  <c r="CA16" i="20"/>
  <c r="CB16" i="20"/>
  <c r="CC16" i="20"/>
  <c r="CD16" i="20"/>
  <c r="BW17" i="20"/>
  <c r="BX17" i="20"/>
  <c r="BY17" i="20"/>
  <c r="BZ17" i="20"/>
  <c r="CA17" i="20"/>
  <c r="CB17" i="20"/>
  <c r="CC17" i="20"/>
  <c r="CD17" i="20"/>
  <c r="BW18" i="20"/>
  <c r="BX18" i="20"/>
  <c r="BY18" i="20"/>
  <c r="BZ18" i="20"/>
  <c r="CA18" i="20"/>
  <c r="CB18" i="20"/>
  <c r="CC18" i="20"/>
  <c r="CD18" i="20"/>
  <c r="BW19" i="20"/>
  <c r="BX19" i="20"/>
  <c r="BY19" i="20"/>
  <c r="BZ19" i="20"/>
  <c r="CA19" i="20"/>
  <c r="CB19" i="20"/>
  <c r="CC19" i="20"/>
  <c r="CD19" i="20"/>
  <c r="BW20" i="20"/>
  <c r="BX20" i="20"/>
  <c r="BY20" i="20"/>
  <c r="BZ20" i="20"/>
  <c r="CA20" i="20"/>
  <c r="CB20" i="20"/>
  <c r="CC20" i="20"/>
  <c r="CD20" i="20"/>
  <c r="BW21" i="20"/>
  <c r="BX21" i="20"/>
  <c r="BY21" i="20"/>
  <c r="BZ21" i="20"/>
  <c r="CA21" i="20"/>
  <c r="CB21" i="20"/>
  <c r="CC21" i="20"/>
  <c r="CD21" i="20"/>
  <c r="BW22" i="20"/>
  <c r="BX22" i="20"/>
  <c r="BY22" i="20"/>
  <c r="BZ22" i="20"/>
  <c r="CA22" i="20"/>
  <c r="CB22" i="20"/>
  <c r="CC22" i="20"/>
  <c r="CD22" i="20"/>
  <c r="BW23" i="20"/>
  <c r="BX23" i="20"/>
  <c r="BY23" i="20"/>
  <c r="BZ23" i="20"/>
  <c r="CA23" i="20"/>
  <c r="CB23" i="20"/>
  <c r="CC23" i="20"/>
  <c r="CD23" i="20"/>
  <c r="BW24" i="20"/>
  <c r="BX24" i="20"/>
  <c r="BY24" i="20"/>
  <c r="BZ24" i="20"/>
  <c r="CA24" i="20"/>
  <c r="CB24" i="20"/>
  <c r="CC24" i="20"/>
  <c r="CD24" i="20"/>
  <c r="BW25" i="20"/>
  <c r="BX25" i="20"/>
  <c r="BY25" i="20"/>
  <c r="BZ25" i="20"/>
  <c r="CA25" i="20"/>
  <c r="CB25" i="20"/>
  <c r="CC25" i="20"/>
  <c r="CD25" i="20"/>
  <c r="BW26" i="20"/>
  <c r="BX26" i="20"/>
  <c r="BY26" i="20"/>
  <c r="BZ26" i="20"/>
  <c r="CA26" i="20"/>
  <c r="CB26" i="20"/>
  <c r="CC26" i="20"/>
  <c r="CD26" i="20"/>
  <c r="BW27" i="20"/>
  <c r="BX27" i="20"/>
  <c r="BY27" i="20"/>
  <c r="BZ27" i="20"/>
  <c r="CA27" i="20"/>
  <c r="CB27" i="20"/>
  <c r="CC27" i="20"/>
  <c r="CD27" i="20"/>
  <c r="BW28" i="20"/>
  <c r="BX28" i="20"/>
  <c r="BY28" i="20"/>
  <c r="BZ28" i="20"/>
  <c r="CA28" i="20"/>
  <c r="CB28" i="20"/>
  <c r="CC28" i="20"/>
  <c r="CD28" i="20"/>
  <c r="BW29" i="20"/>
  <c r="BX29" i="20"/>
  <c r="BY29" i="20"/>
  <c r="BZ29" i="20"/>
  <c r="CA29" i="20"/>
  <c r="CB29" i="20"/>
  <c r="CC29" i="20"/>
  <c r="CD29" i="20"/>
  <c r="BW30" i="20"/>
  <c r="BX30" i="20"/>
  <c r="BY30" i="20"/>
  <c r="BZ30" i="20"/>
  <c r="CA30" i="20"/>
  <c r="CB30" i="20"/>
  <c r="CC30" i="20"/>
  <c r="CD30" i="20"/>
  <c r="BW31" i="20"/>
  <c r="BX31" i="20"/>
  <c r="BY31" i="20"/>
  <c r="BZ31" i="20"/>
  <c r="CA31" i="20"/>
  <c r="CB31" i="20"/>
  <c r="CC31" i="20"/>
  <c r="CD31" i="20"/>
  <c r="BW32" i="20"/>
  <c r="BX32" i="20"/>
  <c r="BY32" i="20"/>
  <c r="BZ32" i="20"/>
  <c r="CA32" i="20"/>
  <c r="CB32" i="20"/>
  <c r="CC32" i="20"/>
  <c r="CD32" i="20"/>
  <c r="BW33" i="20"/>
  <c r="BX33" i="20"/>
  <c r="BY33" i="20"/>
  <c r="BZ33" i="20"/>
  <c r="CA33" i="20"/>
  <c r="CB33" i="20"/>
  <c r="CC33" i="20"/>
  <c r="CD33" i="20"/>
  <c r="BW34" i="20"/>
  <c r="BX34" i="20"/>
  <c r="BY34" i="20"/>
  <c r="BZ34" i="20"/>
  <c r="CA34" i="20"/>
  <c r="CB34" i="20"/>
  <c r="CC34" i="20"/>
  <c r="CD34" i="20"/>
  <c r="BW35" i="20"/>
  <c r="BX35" i="20"/>
  <c r="BY35" i="20"/>
  <c r="BZ35" i="20"/>
  <c r="CA35" i="20"/>
  <c r="CB35" i="20"/>
  <c r="CC35" i="20"/>
  <c r="CD35" i="20"/>
  <c r="BW36" i="20"/>
  <c r="BX36" i="20"/>
  <c r="BY36" i="20"/>
  <c r="BZ36" i="20"/>
  <c r="CA36" i="20"/>
  <c r="CB36" i="20"/>
  <c r="CC36" i="20"/>
  <c r="CD36" i="20"/>
  <c r="BW37" i="20"/>
  <c r="BX37" i="20"/>
  <c r="BY37" i="20"/>
  <c r="BZ37" i="20"/>
  <c r="CA37" i="20"/>
  <c r="CB37" i="20"/>
  <c r="CC37" i="20"/>
  <c r="CD37" i="20"/>
  <c r="BW38" i="20"/>
  <c r="BX38" i="20"/>
  <c r="BY38" i="20"/>
  <c r="BZ38" i="20"/>
  <c r="CA38" i="20"/>
  <c r="CB38" i="20"/>
  <c r="CC38" i="20"/>
  <c r="CD38" i="20"/>
  <c r="BW39" i="20"/>
  <c r="BX39" i="20"/>
  <c r="BY39" i="20"/>
  <c r="BZ39" i="20"/>
  <c r="CA39" i="20"/>
  <c r="CB39" i="20"/>
  <c r="CC39" i="20"/>
  <c r="CD39" i="20"/>
  <c r="BW40" i="20"/>
  <c r="BX40" i="20"/>
  <c r="BY40" i="20"/>
  <c r="BZ40" i="20"/>
  <c r="CA40" i="20"/>
  <c r="CB40" i="20"/>
  <c r="CC40" i="20"/>
  <c r="CD40" i="20"/>
  <c r="BW41" i="20"/>
  <c r="BX41" i="20"/>
  <c r="BY41" i="20"/>
  <c r="BZ41" i="20"/>
  <c r="CA41" i="20"/>
  <c r="CB41" i="20"/>
  <c r="CC41" i="20"/>
  <c r="CD41" i="20"/>
  <c r="BW42" i="20"/>
  <c r="BX42" i="20"/>
  <c r="BY42" i="20"/>
  <c r="BZ42" i="20"/>
  <c r="CA42" i="20"/>
  <c r="CB42" i="20"/>
  <c r="CC42" i="20"/>
  <c r="CD42" i="20"/>
  <c r="BW43" i="20"/>
  <c r="BX43" i="20"/>
  <c r="BY43" i="20"/>
  <c r="BZ43" i="20"/>
  <c r="CA43" i="20"/>
  <c r="CB43" i="20"/>
  <c r="CC43" i="20"/>
  <c r="CD43" i="20"/>
  <c r="BW44" i="20"/>
  <c r="BX44" i="20"/>
  <c r="BY44" i="20"/>
  <c r="BZ44" i="20"/>
  <c r="CA44" i="20"/>
  <c r="CB44" i="20"/>
  <c r="CC44" i="20"/>
  <c r="CD44" i="20"/>
  <c r="BW45" i="20"/>
  <c r="BX45" i="20"/>
  <c r="BY45" i="20"/>
  <c r="BZ45" i="20"/>
  <c r="CA45" i="20"/>
  <c r="CB45" i="20"/>
  <c r="CC45" i="20"/>
  <c r="CD45" i="20"/>
  <c r="BW46" i="20"/>
  <c r="BX46" i="20"/>
  <c r="BY46" i="20"/>
  <c r="BZ46" i="20"/>
  <c r="CA46" i="20"/>
  <c r="CB46" i="20"/>
  <c r="CC46" i="20"/>
  <c r="CD46" i="20"/>
  <c r="BW47" i="20"/>
  <c r="BX47" i="20"/>
  <c r="BY47" i="20"/>
  <c r="BZ47" i="20"/>
  <c r="CA47" i="20"/>
  <c r="CB47" i="20"/>
  <c r="CC47" i="20"/>
  <c r="CD47" i="20"/>
  <c r="BW48" i="20"/>
  <c r="BX48" i="20"/>
  <c r="BY48" i="20"/>
  <c r="BZ48" i="20"/>
  <c r="CA48" i="20"/>
  <c r="CB48" i="20"/>
  <c r="CC48" i="20"/>
  <c r="CD48" i="20"/>
  <c r="BW49" i="20"/>
  <c r="BX49" i="20"/>
  <c r="BY49" i="20"/>
  <c r="BZ49" i="20"/>
  <c r="CA49" i="20"/>
  <c r="CB49" i="20"/>
  <c r="CC49" i="20"/>
  <c r="CD49" i="20"/>
  <c r="BW50" i="20"/>
  <c r="BX50" i="20"/>
  <c r="BY50" i="20"/>
  <c r="BZ50" i="20"/>
  <c r="CA50" i="20"/>
  <c r="CB50" i="20"/>
  <c r="CC50" i="20"/>
  <c r="CD50" i="20"/>
  <c r="BW51" i="20"/>
  <c r="BX51" i="20"/>
  <c r="BY51" i="20"/>
  <c r="BZ51" i="20"/>
  <c r="CA51" i="20"/>
  <c r="CB51" i="20"/>
  <c r="CC51" i="20"/>
  <c r="CD51" i="20"/>
  <c r="BW52" i="20"/>
  <c r="BX52" i="20"/>
  <c r="BY52" i="20"/>
  <c r="BZ52" i="20"/>
  <c r="CA52" i="20"/>
  <c r="CB52" i="20"/>
  <c r="CC52" i="20"/>
  <c r="CD52" i="20"/>
  <c r="BW53" i="20"/>
  <c r="BX53" i="20"/>
  <c r="BY53" i="20"/>
  <c r="BZ53" i="20"/>
  <c r="CA53" i="20"/>
  <c r="CB53" i="20"/>
  <c r="CC53" i="20"/>
  <c r="CD53" i="20"/>
  <c r="BW54" i="20"/>
  <c r="BX54" i="20"/>
  <c r="BY54" i="20"/>
  <c r="BZ54" i="20"/>
  <c r="CA54" i="20"/>
  <c r="CB54" i="20"/>
  <c r="CC54" i="20"/>
  <c r="CD54" i="20"/>
  <c r="BW55" i="20"/>
  <c r="BX55" i="20"/>
  <c r="BY55" i="20"/>
  <c r="BZ55" i="20"/>
  <c r="CA55" i="20"/>
  <c r="CB55" i="20"/>
  <c r="CC55" i="20"/>
  <c r="CD55" i="20"/>
  <c r="BU7" i="20"/>
  <c r="BU8" i="20"/>
  <c r="BU9" i="20"/>
  <c r="BU10" i="20"/>
  <c r="BU11" i="20"/>
  <c r="BU12" i="20"/>
  <c r="BU13" i="20"/>
  <c r="BU14" i="20"/>
  <c r="BU15" i="20"/>
  <c r="BU16" i="20"/>
  <c r="BU17" i="20"/>
  <c r="BU18" i="20"/>
  <c r="BU19" i="20"/>
  <c r="BU20" i="20"/>
  <c r="BU21" i="20"/>
  <c r="BU22" i="20"/>
  <c r="BU23" i="20"/>
  <c r="BU24" i="20"/>
  <c r="BU25" i="20"/>
  <c r="BU26" i="20"/>
  <c r="BU27" i="20"/>
  <c r="BU28" i="20"/>
  <c r="BU29" i="20"/>
  <c r="BU30" i="20"/>
  <c r="BU31" i="20"/>
  <c r="BU32" i="20"/>
  <c r="BU33" i="20"/>
  <c r="BU34" i="20"/>
  <c r="BU35" i="20"/>
  <c r="BU36" i="20"/>
  <c r="BU37" i="20"/>
  <c r="BU38" i="20"/>
  <c r="BU39" i="20"/>
  <c r="BU40" i="20"/>
  <c r="BU41" i="20"/>
  <c r="BU42" i="20"/>
  <c r="BU43" i="20"/>
  <c r="BU44" i="20"/>
  <c r="BU45" i="20"/>
  <c r="BU46" i="20"/>
  <c r="BU47" i="20"/>
  <c r="BU48" i="20"/>
  <c r="BU49" i="20"/>
  <c r="BU50" i="20"/>
  <c r="BU51" i="20"/>
  <c r="BU52" i="20"/>
  <c r="BU53" i="20"/>
  <c r="BU54" i="20"/>
  <c r="BU55" i="20"/>
  <c r="BJ7" i="20"/>
  <c r="BJ8" i="20"/>
  <c r="BJ9" i="20"/>
  <c r="BJ10" i="20"/>
  <c r="BJ11" i="20"/>
  <c r="BJ12" i="20"/>
  <c r="BJ13" i="20"/>
  <c r="BJ14" i="20"/>
  <c r="BJ15" i="20"/>
  <c r="BJ16" i="20"/>
  <c r="BJ17" i="20"/>
  <c r="BJ18" i="20"/>
  <c r="BJ19" i="20"/>
  <c r="BJ20" i="20"/>
  <c r="BJ21" i="20"/>
  <c r="BJ22" i="20"/>
  <c r="BJ23" i="20"/>
  <c r="BJ24" i="20"/>
  <c r="BJ25" i="20"/>
  <c r="BJ26" i="20"/>
  <c r="BJ27" i="20"/>
  <c r="BJ28" i="20"/>
  <c r="BJ29" i="20"/>
  <c r="BJ30" i="20"/>
  <c r="BJ31" i="20"/>
  <c r="BJ32" i="20"/>
  <c r="BJ33" i="20"/>
  <c r="BJ34" i="20"/>
  <c r="BJ35" i="20"/>
  <c r="BJ36" i="20"/>
  <c r="BJ37" i="20"/>
  <c r="BJ38" i="20"/>
  <c r="BJ39" i="20"/>
  <c r="BJ40" i="20"/>
  <c r="BJ41" i="20"/>
  <c r="BJ42" i="20"/>
  <c r="BJ43" i="20"/>
  <c r="BJ44" i="20"/>
  <c r="BJ45" i="20"/>
  <c r="BJ46" i="20"/>
  <c r="BJ47" i="20"/>
  <c r="BJ48" i="20"/>
  <c r="BJ49" i="20"/>
  <c r="BJ50" i="20"/>
  <c r="BJ51" i="20"/>
  <c r="BJ52" i="20"/>
  <c r="BJ53" i="20"/>
  <c r="BJ54" i="20"/>
  <c r="BJ55" i="20"/>
  <c r="P7" i="20"/>
  <c r="Q7" i="20"/>
  <c r="R7" i="20"/>
  <c r="AJ7" i="20" s="1"/>
  <c r="S7" i="20"/>
  <c r="T7" i="20"/>
  <c r="U7" i="20"/>
  <c r="BQ7" i="20" s="1"/>
  <c r="V7" i="20"/>
  <c r="AN7" i="20" s="1"/>
  <c r="W7" i="20"/>
  <c r="AF7" i="20" s="1"/>
  <c r="P8" i="20"/>
  <c r="Y8" i="20" s="1"/>
  <c r="Q8" i="20"/>
  <c r="Z8" i="20" s="1"/>
  <c r="R8" i="20"/>
  <c r="AJ8" i="20" s="1"/>
  <c r="S8" i="20"/>
  <c r="T8" i="20"/>
  <c r="U8" i="20"/>
  <c r="BQ8" i="20" s="1"/>
  <c r="V8" i="20"/>
  <c r="AN8" i="20" s="1"/>
  <c r="W8" i="20"/>
  <c r="BS8" i="20" s="1"/>
  <c r="P9" i="20"/>
  <c r="Q9" i="20"/>
  <c r="AI9" i="20" s="1"/>
  <c r="R9" i="20"/>
  <c r="S9" i="20"/>
  <c r="AB9" i="20" s="1"/>
  <c r="T9" i="20"/>
  <c r="U9" i="20"/>
  <c r="BQ9" i="20" s="1"/>
  <c r="V9" i="20"/>
  <c r="W9" i="20"/>
  <c r="P10" i="20"/>
  <c r="Y10" i="20" s="1"/>
  <c r="Q10" i="20"/>
  <c r="Z10" i="20" s="1"/>
  <c r="R10" i="20"/>
  <c r="AJ10" i="20" s="1"/>
  <c r="S10" i="20"/>
  <c r="AK10" i="20" s="1"/>
  <c r="T10" i="20"/>
  <c r="U10" i="20"/>
  <c r="BQ10" i="20" s="1"/>
  <c r="V10" i="20"/>
  <c r="AN10" i="20" s="1"/>
  <c r="W10" i="20"/>
  <c r="AF10" i="20" s="1"/>
  <c r="P11" i="20"/>
  <c r="Y11" i="20" s="1"/>
  <c r="Q11" i="20"/>
  <c r="R11" i="20"/>
  <c r="S11" i="20"/>
  <c r="AB11" i="20" s="1"/>
  <c r="T11" i="20"/>
  <c r="AC11" i="20" s="1"/>
  <c r="U11" i="20"/>
  <c r="BQ11" i="20" s="1"/>
  <c r="V11" i="20"/>
  <c r="W11" i="20"/>
  <c r="AF11" i="20" s="1"/>
  <c r="P12" i="20"/>
  <c r="Q12" i="20"/>
  <c r="R12" i="20"/>
  <c r="AJ12" i="20" s="1"/>
  <c r="S12" i="20"/>
  <c r="T12" i="20"/>
  <c r="U12" i="20"/>
  <c r="BQ12" i="20" s="1"/>
  <c r="V12" i="20"/>
  <c r="AN12" i="20" s="1"/>
  <c r="W12" i="20"/>
  <c r="BS12" i="20" s="1"/>
  <c r="P13" i="20"/>
  <c r="Q13" i="20"/>
  <c r="AI13" i="20" s="1"/>
  <c r="R13" i="20"/>
  <c r="S13" i="20"/>
  <c r="T13" i="20"/>
  <c r="U13" i="20"/>
  <c r="AD13" i="20" s="1"/>
  <c r="V13" i="20"/>
  <c r="W13" i="20"/>
  <c r="P14" i="20"/>
  <c r="Q14" i="20"/>
  <c r="BM14" i="20" s="1"/>
  <c r="R14" i="20"/>
  <c r="AJ14" i="20" s="1"/>
  <c r="S14" i="20"/>
  <c r="T14" i="20"/>
  <c r="U14" i="20"/>
  <c r="BQ14" i="20" s="1"/>
  <c r="V14" i="20"/>
  <c r="AN14" i="20" s="1"/>
  <c r="W14" i="20"/>
  <c r="BS14" i="20" s="1"/>
  <c r="P15" i="20"/>
  <c r="Y15" i="20" s="1"/>
  <c r="Q15" i="20"/>
  <c r="R15" i="20"/>
  <c r="S15" i="20"/>
  <c r="T15" i="20"/>
  <c r="U15" i="20"/>
  <c r="V15" i="20"/>
  <c r="AN15" i="20" s="1"/>
  <c r="W15" i="20"/>
  <c r="P16" i="20"/>
  <c r="Q16" i="20"/>
  <c r="AI16" i="20" s="1"/>
  <c r="R16" i="20"/>
  <c r="AJ16" i="20" s="1"/>
  <c r="S16" i="20"/>
  <c r="AT16" i="20" s="1"/>
  <c r="T16" i="20"/>
  <c r="U16" i="20"/>
  <c r="AM16" i="20" s="1"/>
  <c r="V16" i="20"/>
  <c r="AN16" i="20" s="1"/>
  <c r="W16" i="20"/>
  <c r="BS16" i="20" s="1"/>
  <c r="P17" i="20"/>
  <c r="Q17" i="20"/>
  <c r="Z17" i="20" s="1"/>
  <c r="R17" i="20"/>
  <c r="BB17" i="20" s="1"/>
  <c r="S17" i="20"/>
  <c r="AK17" i="20" s="1"/>
  <c r="T17" i="20"/>
  <c r="U17" i="20"/>
  <c r="AD17" i="20" s="1"/>
  <c r="V17" i="20"/>
  <c r="W17" i="20"/>
  <c r="P18" i="20"/>
  <c r="Y18" i="20" s="1"/>
  <c r="Q18" i="20"/>
  <c r="R18" i="20"/>
  <c r="S18" i="20"/>
  <c r="T18" i="20"/>
  <c r="U18" i="20"/>
  <c r="AD18" i="20" s="1"/>
  <c r="V18" i="20"/>
  <c r="AN18" i="20" s="1"/>
  <c r="W18" i="20"/>
  <c r="AO18" i="20" s="1"/>
  <c r="P19" i="20"/>
  <c r="Q19" i="20"/>
  <c r="R19" i="20"/>
  <c r="S19" i="20"/>
  <c r="T19" i="20"/>
  <c r="U19" i="20"/>
  <c r="AM19" i="20" s="1"/>
  <c r="V19" i="20"/>
  <c r="AN19" i="20" s="1"/>
  <c r="W19" i="20"/>
  <c r="AF19" i="20" s="1"/>
  <c r="P20" i="20"/>
  <c r="Y20" i="20" s="1"/>
  <c r="Q20" i="20"/>
  <c r="AI20" i="20" s="1"/>
  <c r="R20" i="20"/>
  <c r="AJ20" i="20" s="1"/>
  <c r="S20" i="20"/>
  <c r="T20" i="20"/>
  <c r="U20" i="20"/>
  <c r="AM20" i="20" s="1"/>
  <c r="V20" i="20"/>
  <c r="AN20" i="20" s="1"/>
  <c r="W20" i="20"/>
  <c r="BS20" i="20" s="1"/>
  <c r="P21" i="20"/>
  <c r="Q21" i="20"/>
  <c r="R21" i="20"/>
  <c r="S21" i="20"/>
  <c r="T21" i="20"/>
  <c r="U21" i="20"/>
  <c r="AM21" i="20" s="1"/>
  <c r="V21" i="20"/>
  <c r="W21" i="20"/>
  <c r="AO21" i="20" s="1"/>
  <c r="P22" i="20"/>
  <c r="Y22" i="20" s="1"/>
  <c r="Q22" i="20"/>
  <c r="BM22" i="20" s="1"/>
  <c r="R22" i="20"/>
  <c r="AJ22" i="20" s="1"/>
  <c r="S22" i="20"/>
  <c r="T22" i="20"/>
  <c r="U22" i="20"/>
  <c r="BQ22" i="20" s="1"/>
  <c r="V22" i="20"/>
  <c r="W22" i="20"/>
  <c r="BS22" i="20" s="1"/>
  <c r="P23" i="20"/>
  <c r="Q23" i="20"/>
  <c r="R23" i="20"/>
  <c r="BN23" i="20" s="1"/>
  <c r="S23" i="20"/>
  <c r="T23" i="20"/>
  <c r="U23" i="20"/>
  <c r="AM23" i="20" s="1"/>
  <c r="V23" i="20"/>
  <c r="AE23" i="20" s="1"/>
  <c r="W23" i="20"/>
  <c r="P24" i="20"/>
  <c r="Q24" i="20"/>
  <c r="BM24" i="20" s="1"/>
  <c r="R24" i="20"/>
  <c r="BN24" i="20" s="1"/>
  <c r="S24" i="20"/>
  <c r="T24" i="20"/>
  <c r="U24" i="20"/>
  <c r="BQ24" i="20" s="1"/>
  <c r="V24" i="20"/>
  <c r="AN24" i="20" s="1"/>
  <c r="W24" i="20"/>
  <c r="AO24" i="20" s="1"/>
  <c r="P25" i="20"/>
  <c r="Q25" i="20"/>
  <c r="R25" i="20"/>
  <c r="AA25" i="20" s="1"/>
  <c r="S25" i="20"/>
  <c r="T25" i="20"/>
  <c r="U25" i="20"/>
  <c r="BQ25" i="20" s="1"/>
  <c r="V25" i="20"/>
  <c r="W25" i="20"/>
  <c r="AF25" i="20" s="1"/>
  <c r="P26" i="20"/>
  <c r="AH26" i="20" s="1"/>
  <c r="Q26" i="20"/>
  <c r="R26" i="20"/>
  <c r="AJ26" i="20" s="1"/>
  <c r="S26" i="20"/>
  <c r="AK26" i="20" s="1"/>
  <c r="T26" i="20"/>
  <c r="AL26" i="20" s="1"/>
  <c r="U26" i="20"/>
  <c r="AM26" i="20" s="1"/>
  <c r="V26" i="20"/>
  <c r="AE26" i="20" s="1"/>
  <c r="W26" i="20"/>
  <c r="P27" i="20"/>
  <c r="AH27" i="20" s="1"/>
  <c r="Q27" i="20"/>
  <c r="R27" i="20"/>
  <c r="AJ27" i="20" s="1"/>
  <c r="S27" i="20"/>
  <c r="AK27" i="20" s="1"/>
  <c r="T27" i="20"/>
  <c r="AL27" i="20" s="1"/>
  <c r="U27" i="20"/>
  <c r="AM27" i="20" s="1"/>
  <c r="V27" i="20"/>
  <c r="AN27" i="20" s="1"/>
  <c r="W27" i="20"/>
  <c r="P28" i="20"/>
  <c r="AH28" i="20" s="1"/>
  <c r="Q28" i="20"/>
  <c r="R28" i="20"/>
  <c r="S28" i="20"/>
  <c r="BO28" i="20" s="1"/>
  <c r="T28" i="20"/>
  <c r="U28" i="20"/>
  <c r="V28" i="20"/>
  <c r="AE28" i="20" s="1"/>
  <c r="W28" i="20"/>
  <c r="AF28" i="20" s="1"/>
  <c r="P29" i="20"/>
  <c r="Q29" i="20"/>
  <c r="R29" i="20"/>
  <c r="S29" i="20"/>
  <c r="T29" i="20"/>
  <c r="U29" i="20"/>
  <c r="V29" i="20"/>
  <c r="AE29" i="20" s="1"/>
  <c r="W29" i="20"/>
  <c r="AF29" i="20" s="1"/>
  <c r="P30" i="20"/>
  <c r="Q30" i="20"/>
  <c r="BM30" i="20" s="1"/>
  <c r="R30" i="20"/>
  <c r="BN30" i="20" s="1"/>
  <c r="S30" i="20"/>
  <c r="BO30" i="20" s="1"/>
  <c r="T30" i="20"/>
  <c r="BP30" i="20" s="1"/>
  <c r="U30" i="20"/>
  <c r="BQ30" i="20" s="1"/>
  <c r="V30" i="20"/>
  <c r="AN30" i="20" s="1"/>
  <c r="W30" i="20"/>
  <c r="BS30" i="20" s="1"/>
  <c r="P31" i="20"/>
  <c r="Q31" i="20"/>
  <c r="R31" i="20"/>
  <c r="S31" i="20"/>
  <c r="T31" i="20"/>
  <c r="U31" i="20"/>
  <c r="V31" i="20"/>
  <c r="BR31" i="20" s="1"/>
  <c r="W31" i="20"/>
  <c r="AO31" i="20" s="1"/>
  <c r="P32" i="20"/>
  <c r="Q32" i="20"/>
  <c r="R32" i="20"/>
  <c r="S32" i="20"/>
  <c r="T32" i="20"/>
  <c r="U32" i="20"/>
  <c r="V32" i="20"/>
  <c r="BF32" i="20" s="1"/>
  <c r="W32" i="20"/>
  <c r="BG32" i="20" s="1"/>
  <c r="P33" i="20"/>
  <c r="Q33" i="20"/>
  <c r="AR33" i="20" s="1"/>
  <c r="R33" i="20"/>
  <c r="S33" i="20"/>
  <c r="T33" i="20"/>
  <c r="U33" i="20"/>
  <c r="V33" i="20"/>
  <c r="AE33" i="20" s="1"/>
  <c r="W33" i="20"/>
  <c r="P34" i="20"/>
  <c r="Q34" i="20"/>
  <c r="R34" i="20"/>
  <c r="AS34" i="20" s="1"/>
  <c r="S34" i="20"/>
  <c r="T34" i="20"/>
  <c r="U34" i="20"/>
  <c r="V34" i="20"/>
  <c r="AN34" i="20" s="1"/>
  <c r="W34" i="20"/>
  <c r="AO34" i="20" s="1"/>
  <c r="P35" i="20"/>
  <c r="Q35" i="20"/>
  <c r="R35" i="20"/>
  <c r="S35" i="20"/>
  <c r="T35" i="20"/>
  <c r="U35" i="20"/>
  <c r="V35" i="20"/>
  <c r="W35" i="20"/>
  <c r="AO35" i="20" s="1"/>
  <c r="P36" i="20"/>
  <c r="Q36" i="20"/>
  <c r="R36" i="20"/>
  <c r="S36" i="20"/>
  <c r="T36" i="20"/>
  <c r="U36" i="20"/>
  <c r="V36" i="20"/>
  <c r="AE36" i="20" s="1"/>
  <c r="W36" i="20"/>
  <c r="AF36" i="20" s="1"/>
  <c r="P37" i="20"/>
  <c r="Q37" i="20"/>
  <c r="R37" i="20"/>
  <c r="S37" i="20"/>
  <c r="T37" i="20"/>
  <c r="U37" i="20"/>
  <c r="V37" i="20"/>
  <c r="AE37" i="20" s="1"/>
  <c r="W37" i="20"/>
  <c r="AF37" i="20" s="1"/>
  <c r="P38" i="20"/>
  <c r="Q38" i="20"/>
  <c r="BM38" i="20" s="1"/>
  <c r="R38" i="20"/>
  <c r="BN38" i="20" s="1"/>
  <c r="S38" i="20"/>
  <c r="T38" i="20"/>
  <c r="BP38" i="20" s="1"/>
  <c r="U38" i="20"/>
  <c r="V38" i="20"/>
  <c r="AN38" i="20" s="1"/>
  <c r="W38" i="20"/>
  <c r="BS38" i="20" s="1"/>
  <c r="P39" i="20"/>
  <c r="Q39" i="20"/>
  <c r="R39" i="20"/>
  <c r="S39" i="20"/>
  <c r="AK39" i="20" s="1"/>
  <c r="T39" i="20"/>
  <c r="U39" i="20"/>
  <c r="V39" i="20"/>
  <c r="AN39" i="20" s="1"/>
  <c r="W39" i="20"/>
  <c r="AO39" i="20" s="1"/>
  <c r="P40" i="20"/>
  <c r="Q40" i="20"/>
  <c r="R40" i="20"/>
  <c r="S40" i="20"/>
  <c r="T40" i="20"/>
  <c r="U40" i="20"/>
  <c r="V40" i="20"/>
  <c r="AE40" i="20" s="1"/>
  <c r="W40" i="20"/>
  <c r="AF40" i="20" s="1"/>
  <c r="P41" i="20"/>
  <c r="Q41" i="20"/>
  <c r="AR41" i="20" s="1"/>
  <c r="R41" i="20"/>
  <c r="AS41" i="20" s="1"/>
  <c r="S41" i="20"/>
  <c r="T41" i="20"/>
  <c r="U41" i="20"/>
  <c r="V41" i="20"/>
  <c r="W41" i="20"/>
  <c r="AF41" i="20" s="1"/>
  <c r="P42" i="20"/>
  <c r="Q42" i="20"/>
  <c r="R42" i="20"/>
  <c r="AS42" i="20" s="1"/>
  <c r="S42" i="20"/>
  <c r="AK42" i="20" s="1"/>
  <c r="T42" i="20"/>
  <c r="U42" i="20"/>
  <c r="V42" i="20"/>
  <c r="AN42" i="20" s="1"/>
  <c r="W42" i="20"/>
  <c r="AO42" i="20" s="1"/>
  <c r="P43" i="20"/>
  <c r="Q43" i="20"/>
  <c r="R43" i="20"/>
  <c r="S43" i="20"/>
  <c r="T43" i="20"/>
  <c r="U43" i="20"/>
  <c r="V43" i="20"/>
  <c r="AN43" i="20" s="1"/>
  <c r="W43" i="20"/>
  <c r="AO43" i="20" s="1"/>
  <c r="P44" i="20"/>
  <c r="Q44" i="20"/>
  <c r="R44" i="20"/>
  <c r="S44" i="20"/>
  <c r="AK44" i="20" s="1"/>
  <c r="T44" i="20"/>
  <c r="U44" i="20"/>
  <c r="V44" i="20"/>
  <c r="AE44" i="20" s="1"/>
  <c r="W44" i="20"/>
  <c r="AF44" i="20" s="1"/>
  <c r="P45" i="20"/>
  <c r="Q45" i="20"/>
  <c r="R45" i="20"/>
  <c r="S45" i="20"/>
  <c r="T45" i="20"/>
  <c r="U45" i="20"/>
  <c r="V45" i="20"/>
  <c r="AE45" i="20" s="1"/>
  <c r="W45" i="20"/>
  <c r="AF45" i="20" s="1"/>
  <c r="P46" i="20"/>
  <c r="Q46" i="20"/>
  <c r="R46" i="20"/>
  <c r="BN46" i="20" s="1"/>
  <c r="S46" i="20"/>
  <c r="BO46" i="20" s="1"/>
  <c r="T46" i="20"/>
  <c r="U46" i="20"/>
  <c r="V46" i="20"/>
  <c r="AN46" i="20" s="1"/>
  <c r="W46" i="20"/>
  <c r="BS46" i="20" s="1"/>
  <c r="P47" i="20"/>
  <c r="Q47" i="20"/>
  <c r="R47" i="20"/>
  <c r="S47" i="20"/>
  <c r="T47" i="20"/>
  <c r="U47" i="20"/>
  <c r="V47" i="20"/>
  <c r="AN47" i="20" s="1"/>
  <c r="W47" i="20"/>
  <c r="AO47" i="20" s="1"/>
  <c r="P48" i="20"/>
  <c r="Q48" i="20"/>
  <c r="R48" i="20"/>
  <c r="S48" i="20"/>
  <c r="T48" i="20"/>
  <c r="U48" i="20"/>
  <c r="V48" i="20"/>
  <c r="AE48" i="20" s="1"/>
  <c r="W48" i="20"/>
  <c r="AF48" i="20" s="1"/>
  <c r="P49" i="20"/>
  <c r="Q49" i="20"/>
  <c r="R49" i="20"/>
  <c r="S49" i="20"/>
  <c r="AK49" i="20" s="1"/>
  <c r="T49" i="20"/>
  <c r="U49" i="20"/>
  <c r="V49" i="20"/>
  <c r="AE49" i="20" s="1"/>
  <c r="W49" i="20"/>
  <c r="AF49" i="20" s="1"/>
  <c r="P50" i="20"/>
  <c r="Q50" i="20"/>
  <c r="R50" i="20"/>
  <c r="S50" i="20"/>
  <c r="T50" i="20"/>
  <c r="U50" i="20"/>
  <c r="V50" i="20"/>
  <c r="AN50" i="20" s="1"/>
  <c r="W50" i="20"/>
  <c r="AO50" i="20" s="1"/>
  <c r="P51" i="20"/>
  <c r="Q51" i="20"/>
  <c r="R51" i="20"/>
  <c r="S51" i="20"/>
  <c r="T51" i="20"/>
  <c r="U51" i="20"/>
  <c r="V51" i="20"/>
  <c r="AN51" i="20" s="1"/>
  <c r="W51" i="20"/>
  <c r="AO51" i="20" s="1"/>
  <c r="P52" i="20"/>
  <c r="Q52" i="20"/>
  <c r="R52" i="20"/>
  <c r="S52" i="20"/>
  <c r="T52" i="20"/>
  <c r="U52" i="20"/>
  <c r="V52" i="20"/>
  <c r="AE52" i="20" s="1"/>
  <c r="W52" i="20"/>
  <c r="AF52" i="20" s="1"/>
  <c r="P53" i="20"/>
  <c r="Q53" i="20"/>
  <c r="R53" i="20"/>
  <c r="S53" i="20"/>
  <c r="T53" i="20"/>
  <c r="U53" i="20"/>
  <c r="V53" i="20"/>
  <c r="AE53" i="20" s="1"/>
  <c r="W53" i="20"/>
  <c r="AF53" i="20" s="1"/>
  <c r="P54" i="20"/>
  <c r="Q54" i="20"/>
  <c r="R54" i="20"/>
  <c r="BN54" i="20" s="1"/>
  <c r="S54" i="20"/>
  <c r="T54" i="20"/>
  <c r="U54" i="20"/>
  <c r="V54" i="20"/>
  <c r="AN54" i="20" s="1"/>
  <c r="W54" i="20"/>
  <c r="BS54" i="20" s="1"/>
  <c r="P55" i="20"/>
  <c r="Q55" i="20"/>
  <c r="R55" i="20"/>
  <c r="S55" i="20"/>
  <c r="T55" i="20"/>
  <c r="U55" i="20"/>
  <c r="V55" i="20"/>
  <c r="AN55" i="20" s="1"/>
  <c r="W55" i="20"/>
  <c r="AO55" i="20" s="1"/>
  <c r="Q6" i="20"/>
  <c r="BA25" i="20" l="1"/>
  <c r="AS18" i="20"/>
  <c r="BL30" i="20"/>
  <c r="AR39" i="20"/>
  <c r="AH6" i="20"/>
  <c r="Y6" i="20"/>
  <c r="AS37" i="20"/>
  <c r="AS29" i="20"/>
  <c r="AS21" i="20"/>
  <c r="BB13" i="20"/>
  <c r="AT29" i="20"/>
  <c r="AR45" i="20"/>
  <c r="AR37" i="20"/>
  <c r="C74" i="20"/>
  <c r="AT13" i="20"/>
  <c r="AS45" i="20"/>
  <c r="AZ29" i="20"/>
  <c r="AQ13" i="20"/>
  <c r="Y7" i="20"/>
  <c r="AZ7" i="20"/>
  <c r="AW35" i="20"/>
  <c r="BO38" i="20"/>
  <c r="AT25" i="20"/>
  <c r="AR42" i="20"/>
  <c r="AR34" i="20"/>
  <c r="AQ50" i="20"/>
  <c r="AQ9" i="20"/>
  <c r="AR50" i="20"/>
  <c r="BG33" i="20"/>
  <c r="AX26" i="20"/>
  <c r="AX17" i="20"/>
  <c r="BF41" i="20"/>
  <c r="AW25" i="20"/>
  <c r="BF17" i="20"/>
  <c r="AD20" i="20"/>
  <c r="BE50" i="20"/>
  <c r="BE51" i="20"/>
  <c r="Z13" i="20"/>
  <c r="AF30" i="20"/>
  <c r="AS44" i="20"/>
  <c r="AS43" i="20"/>
  <c r="AS40" i="20"/>
  <c r="AS35" i="20"/>
  <c r="AS32" i="20"/>
  <c r="AS28" i="20"/>
  <c r="AS19" i="20"/>
  <c r="BB11" i="20"/>
  <c r="AR52" i="20"/>
  <c r="AR44" i="20"/>
  <c r="AR43" i="20"/>
  <c r="AR40" i="20"/>
  <c r="AR35" i="20"/>
  <c r="AR32" i="20"/>
  <c r="AQ52" i="20"/>
  <c r="AZ19" i="20"/>
  <c r="AX23" i="20"/>
  <c r="AF54" i="20"/>
  <c r="AF42" i="20"/>
  <c r="AD21" i="20"/>
  <c r="AN52" i="20"/>
  <c r="AN36" i="20"/>
  <c r="BE25" i="20"/>
  <c r="AE54" i="20"/>
  <c r="AO32" i="20"/>
  <c r="AO48" i="20"/>
  <c r="AV23" i="20"/>
  <c r="BE15" i="20"/>
  <c r="AF50" i="20"/>
  <c r="AE41" i="20"/>
  <c r="AE30" i="20"/>
  <c r="AN48" i="20"/>
  <c r="AN32" i="20"/>
  <c r="AW32" i="20"/>
  <c r="BR55" i="20"/>
  <c r="AE42" i="20"/>
  <c r="AE50" i="20"/>
  <c r="AF38" i="20"/>
  <c r="AD16" i="20"/>
  <c r="AO44" i="20"/>
  <c r="AN31" i="20"/>
  <c r="AO17" i="20"/>
  <c r="BR48" i="20"/>
  <c r="AE38" i="20"/>
  <c r="AF26" i="20"/>
  <c r="AN44" i="20"/>
  <c r="AO28" i="20"/>
  <c r="AO16" i="20"/>
  <c r="BB15" i="20"/>
  <c r="AF46" i="20"/>
  <c r="AO40" i="20"/>
  <c r="AN28" i="20"/>
  <c r="AT26" i="20"/>
  <c r="AE46" i="20"/>
  <c r="AF34" i="20"/>
  <c r="AD24" i="20"/>
  <c r="Z9" i="20"/>
  <c r="AN40" i="20"/>
  <c r="AV24" i="20"/>
  <c r="AV10" i="20"/>
  <c r="AE34" i="20"/>
  <c r="AF23" i="20"/>
  <c r="AO52" i="20"/>
  <c r="AO36" i="20"/>
  <c r="AX16" i="20"/>
  <c r="AA24" i="20"/>
  <c r="AF20" i="20"/>
  <c r="AF16" i="20"/>
  <c r="AD12" i="20"/>
  <c r="AD8" i="20"/>
  <c r="AN23" i="20"/>
  <c r="AM17" i="20"/>
  <c r="AO14" i="20"/>
  <c r="AM11" i="20"/>
  <c r="AS25" i="20"/>
  <c r="AR10" i="20"/>
  <c r="BE11" i="20"/>
  <c r="AE25" i="20"/>
  <c r="Z20" i="20"/>
  <c r="Z16" i="20"/>
  <c r="AJ23" i="20"/>
  <c r="AO10" i="20"/>
  <c r="AS16" i="20"/>
  <c r="BB23" i="20"/>
  <c r="BB10" i="20"/>
  <c r="AQ12" i="20"/>
  <c r="AD25" i="20"/>
  <c r="AD23" i="20"/>
  <c r="AO25" i="20"/>
  <c r="AJ19" i="20"/>
  <c r="AM13" i="20"/>
  <c r="AS15" i="20"/>
  <c r="BE21" i="20"/>
  <c r="BE9" i="20"/>
  <c r="AJ11" i="20"/>
  <c r="AA23" i="20"/>
  <c r="AF18" i="20"/>
  <c r="AF14" i="20"/>
  <c r="AD10" i="20"/>
  <c r="AM25" i="20"/>
  <c r="AI22" i="20"/>
  <c r="AO12" i="20"/>
  <c r="AM9" i="20"/>
  <c r="AS23" i="20"/>
  <c r="BB19" i="20"/>
  <c r="AF24" i="20"/>
  <c r="AD22" i="20"/>
  <c r="AD14" i="20"/>
  <c r="AS20" i="20"/>
  <c r="AV12" i="20"/>
  <c r="AE24" i="20"/>
  <c r="Z22" i="20"/>
  <c r="AD9" i="20"/>
  <c r="AM24" i="20"/>
  <c r="AJ18" i="20"/>
  <c r="AM15" i="20"/>
  <c r="AM12" i="20"/>
  <c r="AO8" i="20"/>
  <c r="AV11" i="20"/>
  <c r="BB18" i="20"/>
  <c r="AJ24" i="20"/>
  <c r="AJ15" i="20"/>
  <c r="AX8" i="20"/>
  <c r="AV8" i="20"/>
  <c r="AM8" i="20"/>
  <c r="AM7" i="20"/>
  <c r="BE7" i="20"/>
  <c r="AV7" i="20"/>
  <c r="BO21" i="20"/>
  <c r="BC21" i="20"/>
  <c r="AT21" i="20"/>
  <c r="BO15" i="20"/>
  <c r="AT15" i="20"/>
  <c r="BC15" i="20"/>
  <c r="AT8" i="20"/>
  <c r="AK8" i="20"/>
  <c r="BO8" i="20"/>
  <c r="AU25" i="20"/>
  <c r="AL25" i="20"/>
  <c r="BD25" i="20"/>
  <c r="BP25" i="20"/>
  <c r="BD24" i="20"/>
  <c r="AU24" i="20"/>
  <c r="AL24" i="20"/>
  <c r="BP24" i="20"/>
  <c r="AU23" i="20"/>
  <c r="AL23" i="20"/>
  <c r="BD23" i="20"/>
  <c r="BP23" i="20"/>
  <c r="AL22" i="20"/>
  <c r="BP22" i="20"/>
  <c r="AL21" i="20"/>
  <c r="BD21" i="20"/>
  <c r="BP21" i="20"/>
  <c r="AU21" i="20"/>
  <c r="BD20" i="20"/>
  <c r="AL20" i="20"/>
  <c r="AC20" i="20"/>
  <c r="BP20" i="20"/>
  <c r="AL19" i="20"/>
  <c r="BD19" i="20"/>
  <c r="BP19" i="20"/>
  <c r="AL18" i="20"/>
  <c r="BD18" i="20"/>
  <c r="AU18" i="20"/>
  <c r="BP18" i="20"/>
  <c r="AL17" i="20"/>
  <c r="BP17" i="20"/>
  <c r="BD17" i="20"/>
  <c r="AU17" i="20"/>
  <c r="AL16" i="20"/>
  <c r="BD16" i="20"/>
  <c r="AC16" i="20"/>
  <c r="BP16" i="20"/>
  <c r="BD15" i="20"/>
  <c r="AL15" i="20"/>
  <c r="BP15" i="20"/>
  <c r="AL14" i="20"/>
  <c r="BP14" i="20"/>
  <c r="AL13" i="20"/>
  <c r="BP13" i="20"/>
  <c r="AU13" i="20"/>
  <c r="AL12" i="20"/>
  <c r="AC12" i="20"/>
  <c r="BD12" i="20"/>
  <c r="AU12" i="20"/>
  <c r="BP12" i="20"/>
  <c r="BD11" i="20"/>
  <c r="AL11" i="20"/>
  <c r="BP11" i="20"/>
  <c r="BD10" i="20"/>
  <c r="AL10" i="20"/>
  <c r="AU10" i="20"/>
  <c r="BP10" i="20"/>
  <c r="BD9" i="20"/>
  <c r="AL9" i="20"/>
  <c r="BP9" i="20"/>
  <c r="AU9" i="20"/>
  <c r="AL8" i="20"/>
  <c r="AC8" i="20"/>
  <c r="AU8" i="20"/>
  <c r="BP8" i="20"/>
  <c r="BD8" i="20"/>
  <c r="AL7" i="20"/>
  <c r="BP7" i="20"/>
  <c r="BD7" i="20"/>
  <c r="Z25" i="20"/>
  <c r="AC22" i="20"/>
  <c r="AB15" i="20"/>
  <c r="AC13" i="20"/>
  <c r="AI24" i="20"/>
  <c r="AK11" i="20"/>
  <c r="AK9" i="20"/>
  <c r="AR24" i="20"/>
  <c r="AU20" i="20"/>
  <c r="AW17" i="20"/>
  <c r="AT10" i="20"/>
  <c r="BO23" i="20"/>
  <c r="AT23" i="20"/>
  <c r="AB23" i="20"/>
  <c r="AK20" i="20"/>
  <c r="BO20" i="20"/>
  <c r="AB14" i="20"/>
  <c r="BO14" i="20"/>
  <c r="BC7" i="20"/>
  <c r="BO7" i="20"/>
  <c r="AT7" i="20"/>
  <c r="AK7" i="20"/>
  <c r="BC25" i="20"/>
  <c r="AC23" i="20"/>
  <c r="AC18" i="20"/>
  <c r="AC9" i="20"/>
  <c r="AK25" i="20"/>
  <c r="AU16" i="20"/>
  <c r="AX12" i="20"/>
  <c r="AT9" i="20"/>
  <c r="BO13" i="20"/>
  <c r="BC13" i="20"/>
  <c r="BM25" i="20"/>
  <c r="AR25" i="20"/>
  <c r="BM23" i="20"/>
  <c r="BA23" i="20"/>
  <c r="AI23" i="20"/>
  <c r="AR21" i="20"/>
  <c r="BM21" i="20"/>
  <c r="AR20" i="20"/>
  <c r="BM20" i="20"/>
  <c r="BA19" i="20"/>
  <c r="AR19" i="20"/>
  <c r="BM19" i="20"/>
  <c r="Z19" i="20"/>
  <c r="AI19" i="20"/>
  <c r="BA18" i="20"/>
  <c r="AR18" i="20"/>
  <c r="BM18" i="20"/>
  <c r="BA17" i="20"/>
  <c r="AR17" i="20"/>
  <c r="BM17" i="20"/>
  <c r="AR16" i="20"/>
  <c r="BM16" i="20"/>
  <c r="AR15" i="20"/>
  <c r="BM15" i="20"/>
  <c r="Z15" i="20"/>
  <c r="BA15" i="20"/>
  <c r="AI15" i="20"/>
  <c r="BM13" i="20"/>
  <c r="BA13" i="20"/>
  <c r="AR13" i="20"/>
  <c r="BM12" i="20"/>
  <c r="AR12" i="20"/>
  <c r="BM11" i="20"/>
  <c r="Z11" i="20"/>
  <c r="BA11" i="20"/>
  <c r="AI11" i="20"/>
  <c r="AR11" i="20"/>
  <c r="BM10" i="20"/>
  <c r="BA10" i="20"/>
  <c r="BM9" i="20"/>
  <c r="BA9" i="20"/>
  <c r="AR9" i="20"/>
  <c r="BM8" i="20"/>
  <c r="AR8" i="20"/>
  <c r="BM7" i="20"/>
  <c r="BA7" i="20"/>
  <c r="Z7" i="20"/>
  <c r="AI7" i="20"/>
  <c r="AR7" i="20"/>
  <c r="Z18" i="20"/>
  <c r="AB16" i="20"/>
  <c r="AF12" i="20"/>
  <c r="AC7" i="20"/>
  <c r="AI25" i="20"/>
  <c r="AK23" i="20"/>
  <c r="AI18" i="20"/>
  <c r="AK14" i="20"/>
  <c r="AU19" i="20"/>
  <c r="BC23" i="20"/>
  <c r="AB22" i="20"/>
  <c r="BO22" i="20"/>
  <c r="AK16" i="20"/>
  <c r="BO16" i="20"/>
  <c r="BO9" i="20"/>
  <c r="BC9" i="20"/>
  <c r="AB20" i="20"/>
  <c r="AQ24" i="20"/>
  <c r="AH24" i="20"/>
  <c r="Y24" i="20"/>
  <c r="BL24" i="20"/>
  <c r="AZ24" i="20"/>
  <c r="AH20" i="20"/>
  <c r="BL20" i="20"/>
  <c r="AZ20" i="20"/>
  <c r="AQ20" i="20"/>
  <c r="AH17" i="20"/>
  <c r="BL17" i="20"/>
  <c r="AZ17" i="20"/>
  <c r="AQ17" i="20"/>
  <c r="Y17" i="20"/>
  <c r="AH14" i="20"/>
  <c r="BL14" i="20"/>
  <c r="AZ11" i="20"/>
  <c r="AH11" i="20"/>
  <c r="BL11" i="20"/>
  <c r="AQ11" i="20"/>
  <c r="AH8" i="20"/>
  <c r="BL8" i="20"/>
  <c r="AZ8" i="20"/>
  <c r="Z23" i="20"/>
  <c r="AC21" i="20"/>
  <c r="AB7" i="20"/>
  <c r="AK21" i="20"/>
  <c r="AR23" i="20"/>
  <c r="BF15" i="20"/>
  <c r="BO25" i="20"/>
  <c r="AB25" i="20"/>
  <c r="BO19" i="20"/>
  <c r="BC19" i="20"/>
  <c r="AT19" i="20"/>
  <c r="AT12" i="20"/>
  <c r="AK12" i="20"/>
  <c r="BO12" i="20"/>
  <c r="AH22" i="20"/>
  <c r="BL22" i="20"/>
  <c r="AH19" i="20"/>
  <c r="BL19" i="20"/>
  <c r="AH16" i="20"/>
  <c r="AZ16" i="20"/>
  <c r="BL16" i="20"/>
  <c r="AQ16" i="20"/>
  <c r="AH13" i="20"/>
  <c r="BL13" i="20"/>
  <c r="AZ13" i="20"/>
  <c r="Y13" i="20"/>
  <c r="AZ9" i="20"/>
  <c r="AH9" i="20"/>
  <c r="BL9" i="20"/>
  <c r="Y9" i="20"/>
  <c r="AC14" i="20"/>
  <c r="BS25" i="20"/>
  <c r="BG25" i="20"/>
  <c r="AX25" i="20"/>
  <c r="BS24" i="20"/>
  <c r="AX24" i="20"/>
  <c r="AO23" i="20"/>
  <c r="BS23" i="20"/>
  <c r="BG23" i="20"/>
  <c r="AF21" i="20"/>
  <c r="BS21" i="20"/>
  <c r="BG21" i="20"/>
  <c r="AO19" i="20"/>
  <c r="BS19" i="20"/>
  <c r="BG19" i="20"/>
  <c r="AX19" i="20"/>
  <c r="BS18" i="20"/>
  <c r="BG18" i="20"/>
  <c r="AX18" i="20"/>
  <c r="BG17" i="20"/>
  <c r="AF17" i="20"/>
  <c r="BS17" i="20"/>
  <c r="BG15" i="20"/>
  <c r="AO15" i="20"/>
  <c r="BS15" i="20"/>
  <c r="AX15" i="20"/>
  <c r="BG13" i="20"/>
  <c r="AF13" i="20"/>
  <c r="BS13" i="20"/>
  <c r="AX13" i="20"/>
  <c r="AO13" i="20"/>
  <c r="BG11" i="20"/>
  <c r="AX11" i="20"/>
  <c r="AO11" i="20"/>
  <c r="BS11" i="20"/>
  <c r="BS10" i="20"/>
  <c r="BG10" i="20"/>
  <c r="AX10" i="20"/>
  <c r="AF9" i="20"/>
  <c r="BS9" i="20"/>
  <c r="AX9" i="20"/>
  <c r="AO9" i="20"/>
  <c r="BG9" i="20"/>
  <c r="BG7" i="20"/>
  <c r="AX7" i="20"/>
  <c r="AO7" i="20"/>
  <c r="BS7" i="20"/>
  <c r="AF22" i="20"/>
  <c r="AB21" i="20"/>
  <c r="AC19" i="20"/>
  <c r="Y16" i="20"/>
  <c r="Z14" i="20"/>
  <c r="AB12" i="20"/>
  <c r="AF8" i="20"/>
  <c r="AO22" i="20"/>
  <c r="AI21" i="20"/>
  <c r="AK19" i="20"/>
  <c r="AI14" i="20"/>
  <c r="AI12" i="20"/>
  <c r="AX21" i="20"/>
  <c r="AQ19" i="20"/>
  <c r="AU15" i="20"/>
  <c r="AQ8" i="20"/>
  <c r="BD13" i="20"/>
  <c r="AK24" i="20"/>
  <c r="AB24" i="20"/>
  <c r="BO24" i="20"/>
  <c r="BC18" i="20"/>
  <c r="AT18" i="20"/>
  <c r="AB18" i="20"/>
  <c r="BO18" i="20"/>
  <c r="BC10" i="20"/>
  <c r="AB10" i="20"/>
  <c r="BO10" i="20"/>
  <c r="AQ25" i="20"/>
  <c r="AH25" i="20"/>
  <c r="BL25" i="20"/>
  <c r="Y25" i="20"/>
  <c r="AZ25" i="20"/>
  <c r="AH21" i="20"/>
  <c r="BL21" i="20"/>
  <c r="AQ21" i="20"/>
  <c r="Y21" i="20"/>
  <c r="AH18" i="20"/>
  <c r="AZ18" i="20"/>
  <c r="AQ18" i="20"/>
  <c r="BL18" i="20"/>
  <c r="AH15" i="20"/>
  <c r="AZ15" i="20"/>
  <c r="BL15" i="20"/>
  <c r="AZ12" i="20"/>
  <c r="AH12" i="20"/>
  <c r="BL12" i="20"/>
  <c r="AZ10" i="20"/>
  <c r="AH10" i="20"/>
  <c r="BL10" i="20"/>
  <c r="AQ10" i="20"/>
  <c r="AH7" i="20"/>
  <c r="BL7" i="20"/>
  <c r="AQ7" i="20"/>
  <c r="AC24" i="20"/>
  <c r="BR25" i="20"/>
  <c r="BF25" i="20"/>
  <c r="AN25" i="20"/>
  <c r="BR24" i="20"/>
  <c r="AW24" i="20"/>
  <c r="BF24" i="20"/>
  <c r="BR23" i="20"/>
  <c r="BF23" i="20"/>
  <c r="AW23" i="20"/>
  <c r="BR22" i="20"/>
  <c r="AW22" i="20"/>
  <c r="BF22" i="20"/>
  <c r="BR21" i="20"/>
  <c r="BF21" i="20"/>
  <c r="AE21" i="20"/>
  <c r="AN21" i="20"/>
  <c r="BR20" i="20"/>
  <c r="AE20" i="20"/>
  <c r="AW20" i="20"/>
  <c r="BF20" i="20"/>
  <c r="BR19" i="20"/>
  <c r="AE19" i="20"/>
  <c r="BF19" i="20"/>
  <c r="AW19" i="20"/>
  <c r="BR18" i="20"/>
  <c r="AE18" i="20"/>
  <c r="BF18" i="20"/>
  <c r="AW18" i="20"/>
  <c r="BR17" i="20"/>
  <c r="AE17" i="20"/>
  <c r="AN17" i="20"/>
  <c r="BR16" i="20"/>
  <c r="AE16" i="20"/>
  <c r="AW16" i="20"/>
  <c r="BF16" i="20"/>
  <c r="BR15" i="20"/>
  <c r="AE15" i="20"/>
  <c r="AW15" i="20"/>
  <c r="BR14" i="20"/>
  <c r="AE14" i="20"/>
  <c r="BF14" i="20"/>
  <c r="AW14" i="20"/>
  <c r="BR13" i="20"/>
  <c r="AE13" i="20"/>
  <c r="AW13" i="20"/>
  <c r="BF13" i="20"/>
  <c r="AN13" i="20"/>
  <c r="BR12" i="20"/>
  <c r="AE12" i="20"/>
  <c r="AW12" i="20"/>
  <c r="BF12" i="20"/>
  <c r="BR11" i="20"/>
  <c r="AE11" i="20"/>
  <c r="AW11" i="20"/>
  <c r="BF11" i="20"/>
  <c r="BR10" i="20"/>
  <c r="AE10" i="20"/>
  <c r="AW10" i="20"/>
  <c r="BF10" i="20"/>
  <c r="BR9" i="20"/>
  <c r="AE9" i="20"/>
  <c r="AW9" i="20"/>
  <c r="BF9" i="20"/>
  <c r="AN9" i="20"/>
  <c r="BR8" i="20"/>
  <c r="AE8" i="20"/>
  <c r="AW8" i="20"/>
  <c r="BF8" i="20"/>
  <c r="BR7" i="20"/>
  <c r="AE7" i="20"/>
  <c r="AW7" i="20"/>
  <c r="BF7" i="20"/>
  <c r="AC25" i="20"/>
  <c r="Z24" i="20"/>
  <c r="AE22" i="20"/>
  <c r="Z21" i="20"/>
  <c r="AB19" i="20"/>
  <c r="AC17" i="20"/>
  <c r="AF15" i="20"/>
  <c r="Y14" i="20"/>
  <c r="Z12" i="20"/>
  <c r="AC10" i="20"/>
  <c r="AN22" i="20"/>
  <c r="AO20" i="20"/>
  <c r="AN11" i="20"/>
  <c r="AI10" i="20"/>
  <c r="AI8" i="20"/>
  <c r="AW21" i="20"/>
  <c r="AU11" i="20"/>
  <c r="BA21" i="20"/>
  <c r="BO17" i="20"/>
  <c r="BC17" i="20"/>
  <c r="AT17" i="20"/>
  <c r="BO11" i="20"/>
  <c r="BC11" i="20"/>
  <c r="AT11" i="20"/>
  <c r="AB13" i="20"/>
  <c r="AK18" i="20"/>
  <c r="AT20" i="20"/>
  <c r="AQ23" i="20"/>
  <c r="AH23" i="20"/>
  <c r="BL23" i="20"/>
  <c r="Y23" i="20"/>
  <c r="AZ23" i="20"/>
  <c r="Y19" i="20"/>
  <c r="AB17" i="20"/>
  <c r="AC15" i="20"/>
  <c r="Y12" i="20"/>
  <c r="AB8" i="20"/>
  <c r="AK22" i="20"/>
  <c r="AI17" i="20"/>
  <c r="AK15" i="20"/>
  <c r="AK13" i="20"/>
  <c r="AT24" i="20"/>
  <c r="AX20" i="20"/>
  <c r="AQ15" i="20"/>
  <c r="AU7" i="20"/>
  <c r="AZ21" i="20"/>
  <c r="BG22" i="20"/>
  <c r="BG14" i="20"/>
  <c r="BQ23" i="20"/>
  <c r="BE23" i="20"/>
  <c r="BQ21" i="20"/>
  <c r="AV21" i="20"/>
  <c r="BQ20" i="20"/>
  <c r="AV20" i="20"/>
  <c r="BQ19" i="20"/>
  <c r="BE19" i="20"/>
  <c r="AV19" i="20"/>
  <c r="BQ18" i="20"/>
  <c r="BE18" i="20"/>
  <c r="AV18" i="20"/>
  <c r="BQ17" i="20"/>
  <c r="BE17" i="20"/>
  <c r="AV17" i="20"/>
  <c r="BQ16" i="20"/>
  <c r="AV16" i="20"/>
  <c r="BQ15" i="20"/>
  <c r="AV15" i="20"/>
  <c r="BQ13" i="20"/>
  <c r="BE13" i="20"/>
  <c r="AD19" i="20"/>
  <c r="AD15" i="20"/>
  <c r="AD11" i="20"/>
  <c r="AD7" i="20"/>
  <c r="AS17" i="20"/>
  <c r="AV13" i="20"/>
  <c r="AV9" i="20"/>
  <c r="BG20" i="20"/>
  <c r="BG12" i="20"/>
  <c r="BB25" i="20"/>
  <c r="BN25" i="20"/>
  <c r="BN22" i="20"/>
  <c r="AA22" i="20"/>
  <c r="BN21" i="20"/>
  <c r="BB21" i="20"/>
  <c r="AA21" i="20"/>
  <c r="BN20" i="20"/>
  <c r="AA20" i="20"/>
  <c r="BN19" i="20"/>
  <c r="AA19" i="20"/>
  <c r="BN18" i="20"/>
  <c r="AA18" i="20"/>
  <c r="BN17" i="20"/>
  <c r="AA17" i="20"/>
  <c r="BN16" i="20"/>
  <c r="AA16" i="20"/>
  <c r="BN15" i="20"/>
  <c r="AA15" i="20"/>
  <c r="BN14" i="20"/>
  <c r="AA14" i="20"/>
  <c r="AS13" i="20"/>
  <c r="BN13" i="20"/>
  <c r="AA13" i="20"/>
  <c r="AS12" i="20"/>
  <c r="BN12" i="20"/>
  <c r="AA12" i="20"/>
  <c r="AS11" i="20"/>
  <c r="BN11" i="20"/>
  <c r="AA11" i="20"/>
  <c r="AS10" i="20"/>
  <c r="BN10" i="20"/>
  <c r="AA10" i="20"/>
  <c r="AS9" i="20"/>
  <c r="BN9" i="20"/>
  <c r="AA9" i="20"/>
  <c r="AS8" i="20"/>
  <c r="BN8" i="20"/>
  <c r="AA8" i="20"/>
  <c r="AS7" i="20"/>
  <c r="BN7" i="20"/>
  <c r="AA7" i="20"/>
  <c r="AJ25" i="20"/>
  <c r="AM22" i="20"/>
  <c r="AJ21" i="20"/>
  <c r="AM18" i="20"/>
  <c r="AJ17" i="20"/>
  <c r="AM14" i="20"/>
  <c r="AJ13" i="20"/>
  <c r="AM10" i="20"/>
  <c r="AJ9" i="20"/>
  <c r="AV25" i="20"/>
  <c r="AS24" i="20"/>
  <c r="BE10" i="20"/>
  <c r="BB9" i="20"/>
  <c r="BB7" i="20"/>
  <c r="BG24" i="20"/>
  <c r="BG16" i="20"/>
  <c r="BG8" i="20"/>
  <c r="BQ54" i="20"/>
  <c r="AM54" i="20"/>
  <c r="AD54" i="20"/>
  <c r="AV49" i="20"/>
  <c r="BQ49" i="20"/>
  <c r="BE49" i="20"/>
  <c r="AM49" i="20"/>
  <c r="AD49" i="20"/>
  <c r="BQ43" i="20"/>
  <c r="BE43" i="20"/>
  <c r="AV43" i="20"/>
  <c r="AM43" i="20"/>
  <c r="AD43" i="20"/>
  <c r="BQ38" i="20"/>
  <c r="AM38" i="20"/>
  <c r="AD38" i="20"/>
  <c r="AV34" i="20"/>
  <c r="BE34" i="20"/>
  <c r="BQ34" i="20"/>
  <c r="AM34" i="20"/>
  <c r="AD34" i="20"/>
  <c r="BP53" i="20"/>
  <c r="BD53" i="20"/>
  <c r="AU53" i="20"/>
  <c r="AL53" i="20"/>
  <c r="AC53" i="20"/>
  <c r="BP48" i="20"/>
  <c r="BD48" i="20"/>
  <c r="AU48" i="20"/>
  <c r="AL48" i="20"/>
  <c r="AC48" i="20"/>
  <c r="AU43" i="20"/>
  <c r="BP43" i="20"/>
  <c r="BD43" i="20"/>
  <c r="AL43" i="20"/>
  <c r="AC43" i="20"/>
  <c r="BO55" i="20"/>
  <c r="BC55" i="20"/>
  <c r="AT55" i="20"/>
  <c r="AK55" i="20"/>
  <c r="AB55" i="20"/>
  <c r="BO54" i="20"/>
  <c r="AK54" i="20"/>
  <c r="AB54" i="20"/>
  <c r="AT53" i="20"/>
  <c r="BO53" i="20"/>
  <c r="BC53" i="20"/>
  <c r="AK53" i="20"/>
  <c r="AB53" i="20"/>
  <c r="AT52" i="20"/>
  <c r="BO52" i="20"/>
  <c r="BC52" i="20"/>
  <c r="AK52" i="20"/>
  <c r="AB52" i="20"/>
  <c r="AT51" i="20"/>
  <c r="BO51" i="20"/>
  <c r="BC51" i="20"/>
  <c r="AK51" i="20"/>
  <c r="AB51" i="20"/>
  <c r="AT50" i="20"/>
  <c r="BO50" i="20"/>
  <c r="BC50" i="20"/>
  <c r="AK50" i="20"/>
  <c r="AB50" i="20"/>
  <c r="AF33" i="20"/>
  <c r="BF42" i="20"/>
  <c r="BR47" i="20"/>
  <c r="BE55" i="20"/>
  <c r="BQ55" i="20"/>
  <c r="AV55" i="20"/>
  <c r="AM55" i="20"/>
  <c r="AD55" i="20"/>
  <c r="BQ40" i="20"/>
  <c r="BE40" i="20"/>
  <c r="AV40" i="20"/>
  <c r="AM40" i="20"/>
  <c r="AD40" i="20"/>
  <c r="BP50" i="20"/>
  <c r="BD50" i="20"/>
  <c r="AU50" i="20"/>
  <c r="AL50" i="20"/>
  <c r="AC50" i="20"/>
  <c r="BR40" i="20"/>
  <c r="AV50" i="20"/>
  <c r="BQ50" i="20"/>
  <c r="AM50" i="20"/>
  <c r="AD50" i="20"/>
  <c r="BQ45" i="20"/>
  <c r="BE45" i="20"/>
  <c r="AV45" i="20"/>
  <c r="AM45" i="20"/>
  <c r="AD45" i="20"/>
  <c r="AV37" i="20"/>
  <c r="BE37" i="20"/>
  <c r="BQ37" i="20"/>
  <c r="AM37" i="20"/>
  <c r="AD37" i="20"/>
  <c r="BP55" i="20"/>
  <c r="AU55" i="20"/>
  <c r="BD55" i="20"/>
  <c r="AL55" i="20"/>
  <c r="AC55" i="20"/>
  <c r="AU45" i="20"/>
  <c r="BP45" i="20"/>
  <c r="BD45" i="20"/>
  <c r="AL45" i="20"/>
  <c r="AC45" i="20"/>
  <c r="AN35" i="20"/>
  <c r="BM55" i="20"/>
  <c r="AR55" i="20"/>
  <c r="BA55" i="20"/>
  <c r="AI55" i="20"/>
  <c r="Z55" i="20"/>
  <c r="BM54" i="20"/>
  <c r="AI54" i="20"/>
  <c r="Z54" i="20"/>
  <c r="BM53" i="20"/>
  <c r="BA53" i="20"/>
  <c r="AI53" i="20"/>
  <c r="Z53" i="20"/>
  <c r="AR53" i="20"/>
  <c r="BM52" i="20"/>
  <c r="BA52" i="20"/>
  <c r="AI52" i="20"/>
  <c r="Z52" i="20"/>
  <c r="BM51" i="20"/>
  <c r="BA51" i="20"/>
  <c r="AI51" i="20"/>
  <c r="Z51" i="20"/>
  <c r="AR51" i="20"/>
  <c r="BM50" i="20"/>
  <c r="BA50" i="20"/>
  <c r="AI50" i="20"/>
  <c r="Z50" i="20"/>
  <c r="BM49" i="20"/>
  <c r="BA49" i="20"/>
  <c r="AI49" i="20"/>
  <c r="Z49" i="20"/>
  <c r="AR49" i="20"/>
  <c r="BM48" i="20"/>
  <c r="BA48" i="20"/>
  <c r="AI48" i="20"/>
  <c r="Z48" i="20"/>
  <c r="BM47" i="20"/>
  <c r="BA47" i="20"/>
  <c r="AI47" i="20"/>
  <c r="Z47" i="20"/>
  <c r="AR47" i="20"/>
  <c r="BM46" i="20"/>
  <c r="AI46" i="20"/>
  <c r="Z46" i="20"/>
  <c r="BM45" i="20"/>
  <c r="BA45" i="20"/>
  <c r="AI45" i="20"/>
  <c r="Z45" i="20"/>
  <c r="AF32" i="20"/>
  <c r="AO54" i="20"/>
  <c r="AO46" i="20"/>
  <c r="AO38" i="20"/>
  <c r="AO30" i="20"/>
  <c r="AR48" i="20"/>
  <c r="BR39" i="20"/>
  <c r="AV53" i="20"/>
  <c r="BQ53" i="20"/>
  <c r="BE53" i="20"/>
  <c r="AM53" i="20"/>
  <c r="AD53" i="20"/>
  <c r="AV48" i="20"/>
  <c r="BQ48" i="20"/>
  <c r="BE48" i="20"/>
  <c r="AM48" i="20"/>
  <c r="AD48" i="20"/>
  <c r="BQ44" i="20"/>
  <c r="BE44" i="20"/>
  <c r="AV44" i="20"/>
  <c r="AM44" i="20"/>
  <c r="AD44" i="20"/>
  <c r="BQ39" i="20"/>
  <c r="BE39" i="20"/>
  <c r="AV39" i="20"/>
  <c r="AM39" i="20"/>
  <c r="AD39" i="20"/>
  <c r="AV33" i="20"/>
  <c r="BE33" i="20"/>
  <c r="BQ33" i="20"/>
  <c r="AM33" i="20"/>
  <c r="AD33" i="20"/>
  <c r="BP52" i="20"/>
  <c r="BD52" i="20"/>
  <c r="AU52" i="20"/>
  <c r="AL52" i="20"/>
  <c r="AC52" i="20"/>
  <c r="BP49" i="20"/>
  <c r="BD49" i="20"/>
  <c r="AU49" i="20"/>
  <c r="AL49" i="20"/>
  <c r="AC49" i="20"/>
  <c r="AU44" i="20"/>
  <c r="BP44" i="20"/>
  <c r="BD44" i="20"/>
  <c r="AL44" i="20"/>
  <c r="AC44" i="20"/>
  <c r="BL55" i="20"/>
  <c r="AZ55" i="20"/>
  <c r="AH55" i="20"/>
  <c r="Y55" i="20"/>
  <c r="BL54" i="20"/>
  <c r="AH54" i="20"/>
  <c r="Y54" i="20"/>
  <c r="BL53" i="20"/>
  <c r="AZ53" i="20"/>
  <c r="AH53" i="20"/>
  <c r="Y53" i="20"/>
  <c r="AQ53" i="20"/>
  <c r="BL52" i="20"/>
  <c r="AZ52" i="20"/>
  <c r="AH52" i="20"/>
  <c r="Y52" i="20"/>
  <c r="BL51" i="20"/>
  <c r="AZ51" i="20"/>
  <c r="AH51" i="20"/>
  <c r="Y51" i="20"/>
  <c r="AQ51" i="20"/>
  <c r="BL50" i="20"/>
  <c r="AZ50" i="20"/>
  <c r="AH50" i="20"/>
  <c r="Y50" i="20"/>
  <c r="BL49" i="20"/>
  <c r="AZ49" i="20"/>
  <c r="AH49" i="20"/>
  <c r="Y49" i="20"/>
  <c r="AQ49" i="20"/>
  <c r="BL48" i="20"/>
  <c r="AZ48" i="20"/>
  <c r="AH48" i="20"/>
  <c r="Y48" i="20"/>
  <c r="BL47" i="20"/>
  <c r="AZ47" i="20"/>
  <c r="AH47" i="20"/>
  <c r="Y47" i="20"/>
  <c r="AQ47" i="20"/>
  <c r="BL46" i="20"/>
  <c r="AH46" i="20"/>
  <c r="Y46" i="20"/>
  <c r="BL45" i="20"/>
  <c r="AZ45" i="20"/>
  <c r="AH45" i="20"/>
  <c r="Y45" i="20"/>
  <c r="AQ45" i="20"/>
  <c r="BL44" i="20"/>
  <c r="AZ44" i="20"/>
  <c r="AH44" i="20"/>
  <c r="Y44" i="20"/>
  <c r="AQ44" i="20"/>
  <c r="BL43" i="20"/>
  <c r="AZ43" i="20"/>
  <c r="AH43" i="20"/>
  <c r="Y43" i="20"/>
  <c r="AQ43" i="20"/>
  <c r="BL42" i="20"/>
  <c r="AZ42" i="20"/>
  <c r="AH42" i="20"/>
  <c r="Y42" i="20"/>
  <c r="AQ42" i="20"/>
  <c r="BL41" i="20"/>
  <c r="AZ41" i="20"/>
  <c r="AH41" i="20"/>
  <c r="Y41" i="20"/>
  <c r="AQ41" i="20"/>
  <c r="BL40" i="20"/>
  <c r="AZ40" i="20"/>
  <c r="AH40" i="20"/>
  <c r="Y40" i="20"/>
  <c r="AQ40" i="20"/>
  <c r="BL39" i="20"/>
  <c r="AZ39" i="20"/>
  <c r="AH39" i="20"/>
  <c r="Y39" i="20"/>
  <c r="BL38" i="20"/>
  <c r="AH38" i="20"/>
  <c r="Y38" i="20"/>
  <c r="AZ37" i="20"/>
  <c r="BL37" i="20"/>
  <c r="AQ37" i="20"/>
  <c r="AH37" i="20"/>
  <c r="Y37" i="20"/>
  <c r="AZ36" i="20"/>
  <c r="BL36" i="20"/>
  <c r="AQ36" i="20"/>
  <c r="AH36" i="20"/>
  <c r="Y36" i="20"/>
  <c r="AZ35" i="20"/>
  <c r="BL35" i="20"/>
  <c r="AQ35" i="20"/>
  <c r="AH35" i="20"/>
  <c r="Y35" i="20"/>
  <c r="AE32" i="20"/>
  <c r="AQ48" i="20"/>
  <c r="AQ39" i="20"/>
  <c r="BR32" i="20"/>
  <c r="AV52" i="20"/>
  <c r="BQ52" i="20"/>
  <c r="BE52" i="20"/>
  <c r="AM52" i="20"/>
  <c r="AD52" i="20"/>
  <c r="AV47" i="20"/>
  <c r="BQ47" i="20"/>
  <c r="BE47" i="20"/>
  <c r="AM47" i="20"/>
  <c r="AD47" i="20"/>
  <c r="BQ41" i="20"/>
  <c r="BE41" i="20"/>
  <c r="AV41" i="20"/>
  <c r="AM41" i="20"/>
  <c r="AD41" i="20"/>
  <c r="AV35" i="20"/>
  <c r="BE35" i="20"/>
  <c r="BQ35" i="20"/>
  <c r="AM35" i="20"/>
  <c r="AD35" i="20"/>
  <c r="BP51" i="20"/>
  <c r="BD51" i="20"/>
  <c r="AU51" i="20"/>
  <c r="AL51" i="20"/>
  <c r="AC51" i="20"/>
  <c r="BP46" i="20"/>
  <c r="AL46" i="20"/>
  <c r="AC46" i="20"/>
  <c r="BS55" i="20"/>
  <c r="BG55" i="20"/>
  <c r="AX55" i="20"/>
  <c r="BS53" i="20"/>
  <c r="BG53" i="20"/>
  <c r="AX53" i="20"/>
  <c r="BS51" i="20"/>
  <c r="BG51" i="20"/>
  <c r="AX51" i="20"/>
  <c r="BS49" i="20"/>
  <c r="BG49" i="20"/>
  <c r="AX49" i="20"/>
  <c r="BS48" i="20"/>
  <c r="BG48" i="20"/>
  <c r="AX48" i="20"/>
  <c r="BS47" i="20"/>
  <c r="BG47" i="20"/>
  <c r="AX47" i="20"/>
  <c r="BS45" i="20"/>
  <c r="BG45" i="20"/>
  <c r="AX45" i="20"/>
  <c r="BS44" i="20"/>
  <c r="BG44" i="20"/>
  <c r="AX44" i="20"/>
  <c r="BS43" i="20"/>
  <c r="BG43" i="20"/>
  <c r="AX43" i="20"/>
  <c r="BS42" i="20"/>
  <c r="BG42" i="20"/>
  <c r="AX42" i="20"/>
  <c r="BS41" i="20"/>
  <c r="BG41" i="20"/>
  <c r="AX41" i="20"/>
  <c r="BS40" i="20"/>
  <c r="BG40" i="20"/>
  <c r="AX40" i="20"/>
  <c r="BS39" i="20"/>
  <c r="BG39" i="20"/>
  <c r="AX39" i="20"/>
  <c r="BS37" i="20"/>
  <c r="AX37" i="20"/>
  <c r="BG37" i="20"/>
  <c r="BS36" i="20"/>
  <c r="AX36" i="20"/>
  <c r="BG36" i="20"/>
  <c r="BS35" i="20"/>
  <c r="AX35" i="20"/>
  <c r="BG35" i="20"/>
  <c r="BS34" i="20"/>
  <c r="AX34" i="20"/>
  <c r="BG34" i="20"/>
  <c r="BS33" i="20"/>
  <c r="AX33" i="20"/>
  <c r="BS32" i="20"/>
  <c r="AX32" i="20"/>
  <c r="BS31" i="20"/>
  <c r="AX31" i="20"/>
  <c r="BG31" i="20"/>
  <c r="BS29" i="20"/>
  <c r="BG29" i="20"/>
  <c r="AX29" i="20"/>
  <c r="BS28" i="20"/>
  <c r="AX28" i="20"/>
  <c r="BS27" i="20"/>
  <c r="BG27" i="20"/>
  <c r="AO27" i="20"/>
  <c r="AX27" i="20"/>
  <c r="BS26" i="20"/>
  <c r="BG26" i="20"/>
  <c r="AO26" i="20"/>
  <c r="AF55" i="20"/>
  <c r="AF51" i="20"/>
  <c r="AF47" i="20"/>
  <c r="AF43" i="20"/>
  <c r="AF39" i="20"/>
  <c r="AF35" i="20"/>
  <c r="AF31" i="20"/>
  <c r="AF27" i="20"/>
  <c r="AO53" i="20"/>
  <c r="AO49" i="20"/>
  <c r="AO45" i="20"/>
  <c r="AO41" i="20"/>
  <c r="AO37" i="20"/>
  <c r="AO33" i="20"/>
  <c r="AO29" i="20"/>
  <c r="AQ55" i="20"/>
  <c r="AV51" i="20"/>
  <c r="BQ51" i="20"/>
  <c r="AM51" i="20"/>
  <c r="AD51" i="20"/>
  <c r="BQ46" i="20"/>
  <c r="AM46" i="20"/>
  <c r="AD46" i="20"/>
  <c r="BQ42" i="20"/>
  <c r="BE42" i="20"/>
  <c r="AV42" i="20"/>
  <c r="AM42" i="20"/>
  <c r="AD42" i="20"/>
  <c r="AV36" i="20"/>
  <c r="BE36" i="20"/>
  <c r="BQ36" i="20"/>
  <c r="AM36" i="20"/>
  <c r="AD36" i="20"/>
  <c r="BP54" i="20"/>
  <c r="AL54" i="20"/>
  <c r="AC54" i="20"/>
  <c r="BP47" i="20"/>
  <c r="BD47" i="20"/>
  <c r="AU47" i="20"/>
  <c r="AL47" i="20"/>
  <c r="AC47" i="20"/>
  <c r="BS52" i="20"/>
  <c r="BG52" i="20"/>
  <c r="AX52" i="20"/>
  <c r="BS50" i="20"/>
  <c r="BG50" i="20"/>
  <c r="AX50" i="20"/>
  <c r="BF55" i="20"/>
  <c r="AW55" i="20"/>
  <c r="BF54" i="20"/>
  <c r="BR54" i="20"/>
  <c r="BF53" i="20"/>
  <c r="AW53" i="20"/>
  <c r="BR53" i="20"/>
  <c r="BF52" i="20"/>
  <c r="AW52" i="20"/>
  <c r="BR52" i="20"/>
  <c r="BF51" i="20"/>
  <c r="AW51" i="20"/>
  <c r="BR51" i="20"/>
  <c r="BF50" i="20"/>
  <c r="AW50" i="20"/>
  <c r="BR50" i="20"/>
  <c r="BF49" i="20"/>
  <c r="AW49" i="20"/>
  <c r="BR49" i="20"/>
  <c r="BF48" i="20"/>
  <c r="AW48" i="20"/>
  <c r="BF47" i="20"/>
  <c r="AW47" i="20"/>
  <c r="BF46" i="20"/>
  <c r="AW46" i="20"/>
  <c r="BR46" i="20"/>
  <c r="AW45" i="20"/>
  <c r="BF45" i="20"/>
  <c r="BR45" i="20"/>
  <c r="AW44" i="20"/>
  <c r="BF44" i="20"/>
  <c r="BR44" i="20"/>
  <c r="AW43" i="20"/>
  <c r="BF43" i="20"/>
  <c r="BR43" i="20"/>
  <c r="AW42" i="20"/>
  <c r="BR42" i="20"/>
  <c r="AW41" i="20"/>
  <c r="BR41" i="20"/>
  <c r="AW40" i="20"/>
  <c r="BF40" i="20"/>
  <c r="AW39" i="20"/>
  <c r="BF39" i="20"/>
  <c r="BF38" i="20"/>
  <c r="AW38" i="20"/>
  <c r="BR38" i="20"/>
  <c r="BF37" i="20"/>
  <c r="BR37" i="20"/>
  <c r="AW37" i="20"/>
  <c r="BF36" i="20"/>
  <c r="AW36" i="20"/>
  <c r="BR36" i="20"/>
  <c r="BF35" i="20"/>
  <c r="BR35" i="20"/>
  <c r="BF34" i="20"/>
  <c r="BR34" i="20"/>
  <c r="AW34" i="20"/>
  <c r="BF33" i="20"/>
  <c r="BR33" i="20"/>
  <c r="AW33" i="20"/>
  <c r="BF31" i="20"/>
  <c r="AW31" i="20"/>
  <c r="AW30" i="20"/>
  <c r="BF30" i="20"/>
  <c r="BR30" i="20"/>
  <c r="AW29" i="20"/>
  <c r="BF29" i="20"/>
  <c r="BR29" i="20"/>
  <c r="AW28" i="20"/>
  <c r="BF28" i="20"/>
  <c r="BR28" i="20"/>
  <c r="BF27" i="20"/>
  <c r="AW27" i="20"/>
  <c r="BR27" i="20"/>
  <c r="BF26" i="20"/>
  <c r="AW26" i="20"/>
  <c r="AN26" i="20"/>
  <c r="BR26" i="20"/>
  <c r="AE55" i="20"/>
  <c r="AE51" i="20"/>
  <c r="AE47" i="20"/>
  <c r="AE43" i="20"/>
  <c r="AE39" i="20"/>
  <c r="AE35" i="20"/>
  <c r="AE31" i="20"/>
  <c r="AE27" i="20"/>
  <c r="AN53" i="20"/>
  <c r="AN49" i="20"/>
  <c r="AN45" i="20"/>
  <c r="AN41" i="20"/>
  <c r="AN37" i="20"/>
  <c r="AN33" i="20"/>
  <c r="AN29" i="20"/>
  <c r="AW54" i="20"/>
  <c r="AV32" i="20"/>
  <c r="BE32" i="20"/>
  <c r="BQ32" i="20"/>
  <c r="AV31" i="20"/>
  <c r="BE31" i="20"/>
  <c r="BQ31" i="20"/>
  <c r="AV29" i="20"/>
  <c r="BE29" i="20"/>
  <c r="BQ29" i="20"/>
  <c r="AV28" i="20"/>
  <c r="BQ28" i="20"/>
  <c r="BE27" i="20"/>
  <c r="AV27" i="20"/>
  <c r="BQ27" i="20"/>
  <c r="BE26" i="20"/>
  <c r="AV26" i="20"/>
  <c r="BQ26" i="20"/>
  <c r="AD32" i="20"/>
  <c r="AD31" i="20"/>
  <c r="AD30" i="20"/>
  <c r="AD29" i="20"/>
  <c r="AD28" i="20"/>
  <c r="AD27" i="20"/>
  <c r="AD26" i="20"/>
  <c r="AM32" i="20"/>
  <c r="AM31" i="20"/>
  <c r="AM30" i="20"/>
  <c r="AM29" i="20"/>
  <c r="AM28" i="20"/>
  <c r="AS26" i="20"/>
  <c r="AU42" i="20"/>
  <c r="BP42" i="20"/>
  <c r="BD42" i="20"/>
  <c r="AU41" i="20"/>
  <c r="BP41" i="20"/>
  <c r="BD41" i="20"/>
  <c r="AU40" i="20"/>
  <c r="BP40" i="20"/>
  <c r="BD40" i="20"/>
  <c r="AU39" i="20"/>
  <c r="BP39" i="20"/>
  <c r="BD39" i="20"/>
  <c r="AU37" i="20"/>
  <c r="BD37" i="20"/>
  <c r="BP37" i="20"/>
  <c r="AU36" i="20"/>
  <c r="BD36" i="20"/>
  <c r="BP36" i="20"/>
  <c r="AU35" i="20"/>
  <c r="BD35" i="20"/>
  <c r="BP35" i="20"/>
  <c r="AU34" i="20"/>
  <c r="BD34" i="20"/>
  <c r="BP34" i="20"/>
  <c r="AU33" i="20"/>
  <c r="BD33" i="20"/>
  <c r="BP33" i="20"/>
  <c r="AU32" i="20"/>
  <c r="BD32" i="20"/>
  <c r="BP32" i="20"/>
  <c r="AU31" i="20"/>
  <c r="BD31" i="20"/>
  <c r="BP31" i="20"/>
  <c r="AU29" i="20"/>
  <c r="BD29" i="20"/>
  <c r="BP29" i="20"/>
  <c r="AU28" i="20"/>
  <c r="BP28" i="20"/>
  <c r="BD28" i="20"/>
  <c r="AU27" i="20"/>
  <c r="BP27" i="20"/>
  <c r="AU26" i="20"/>
  <c r="BP26" i="20"/>
  <c r="AC42" i="20"/>
  <c r="AC41" i="20"/>
  <c r="AC40" i="20"/>
  <c r="AC39" i="20"/>
  <c r="AC38" i="20"/>
  <c r="AC37" i="20"/>
  <c r="AC36" i="20"/>
  <c r="AC35" i="20"/>
  <c r="AC34" i="20"/>
  <c r="AC33" i="20"/>
  <c r="AC32" i="20"/>
  <c r="AC31" i="20"/>
  <c r="AC30" i="20"/>
  <c r="AC29" i="20"/>
  <c r="AC28" i="20"/>
  <c r="AC27" i="20"/>
  <c r="AC26" i="20"/>
  <c r="AL42" i="20"/>
  <c r="AL41" i="20"/>
  <c r="AL40" i="20"/>
  <c r="AL39" i="20"/>
  <c r="AL38" i="20"/>
  <c r="AL37" i="20"/>
  <c r="AL36" i="20"/>
  <c r="AL35" i="20"/>
  <c r="AL34" i="20"/>
  <c r="AL33" i="20"/>
  <c r="AL32" i="20"/>
  <c r="AL31" i="20"/>
  <c r="AL30" i="20"/>
  <c r="AL29" i="20"/>
  <c r="AL28" i="20"/>
  <c r="AT28" i="20"/>
  <c r="AT48" i="20"/>
  <c r="BO48" i="20"/>
  <c r="BC48" i="20"/>
  <c r="AT47" i="20"/>
  <c r="BO47" i="20"/>
  <c r="BC47" i="20"/>
  <c r="AT45" i="20"/>
  <c r="BO45" i="20"/>
  <c r="BC45" i="20"/>
  <c r="AT43" i="20"/>
  <c r="BO43" i="20"/>
  <c r="BC43" i="20"/>
  <c r="AT41" i="20"/>
  <c r="BO41" i="20"/>
  <c r="BC41" i="20"/>
  <c r="AT40" i="20"/>
  <c r="BO40" i="20"/>
  <c r="BC40" i="20"/>
  <c r="AT37" i="20"/>
  <c r="BC37" i="20"/>
  <c r="BO37" i="20"/>
  <c r="AT36" i="20"/>
  <c r="BC36" i="20"/>
  <c r="BO36" i="20"/>
  <c r="AT35" i="20"/>
  <c r="BC35" i="20"/>
  <c r="BO35" i="20"/>
  <c r="AT34" i="20"/>
  <c r="BC34" i="20"/>
  <c r="BO34" i="20"/>
  <c r="AT33" i="20"/>
  <c r="BC33" i="20"/>
  <c r="BO33" i="20"/>
  <c r="AT32" i="20"/>
  <c r="BC32" i="20"/>
  <c r="BO32" i="20"/>
  <c r="AT31" i="20"/>
  <c r="BC31" i="20"/>
  <c r="BO31" i="20"/>
  <c r="BC29" i="20"/>
  <c r="BO29" i="20"/>
  <c r="BO27" i="20"/>
  <c r="BC27" i="20"/>
  <c r="BO26" i="20"/>
  <c r="BC26" i="20"/>
  <c r="AB49" i="20"/>
  <c r="AB48" i="20"/>
  <c r="AB47" i="20"/>
  <c r="AB46" i="20"/>
  <c r="AB45" i="20"/>
  <c r="AB44" i="20"/>
  <c r="AB43" i="20"/>
  <c r="AB42" i="20"/>
  <c r="AB41" i="20"/>
  <c r="AB40" i="20"/>
  <c r="AB39" i="20"/>
  <c r="AB38" i="20"/>
  <c r="AB37" i="20"/>
  <c r="AB36" i="20"/>
  <c r="AB35" i="20"/>
  <c r="AB34" i="20"/>
  <c r="AB33" i="20"/>
  <c r="AB32" i="20"/>
  <c r="AB31" i="20"/>
  <c r="AB30" i="20"/>
  <c r="AB29" i="20"/>
  <c r="AB28" i="20"/>
  <c r="AB27" i="20"/>
  <c r="AB26" i="20"/>
  <c r="AK48" i="20"/>
  <c r="AK47" i="20"/>
  <c r="AK46" i="20"/>
  <c r="AK45" i="20"/>
  <c r="AK43" i="20"/>
  <c r="AK41" i="20"/>
  <c r="AK40" i="20"/>
  <c r="AK38" i="20"/>
  <c r="AK37" i="20"/>
  <c r="AK36" i="20"/>
  <c r="AK35" i="20"/>
  <c r="AK34" i="20"/>
  <c r="AK33" i="20"/>
  <c r="AK32" i="20"/>
  <c r="AK31" i="20"/>
  <c r="AK30" i="20"/>
  <c r="AK29" i="20"/>
  <c r="AK28" i="20"/>
  <c r="AT49" i="20"/>
  <c r="BO49" i="20"/>
  <c r="BC49" i="20"/>
  <c r="AT44" i="20"/>
  <c r="BO44" i="20"/>
  <c r="BC44" i="20"/>
  <c r="AT42" i="20"/>
  <c r="BO42" i="20"/>
  <c r="BC42" i="20"/>
  <c r="AT39" i="20"/>
  <c r="BO39" i="20"/>
  <c r="BC39" i="20"/>
  <c r="BN55" i="20"/>
  <c r="AS55" i="20"/>
  <c r="BB55" i="20"/>
  <c r="AS53" i="20"/>
  <c r="BN53" i="20"/>
  <c r="BB53" i="20"/>
  <c r="AS52" i="20"/>
  <c r="BN52" i="20"/>
  <c r="BB52" i="20"/>
  <c r="AS51" i="20"/>
  <c r="BN51" i="20"/>
  <c r="BB51" i="20"/>
  <c r="AS50" i="20"/>
  <c r="BN50" i="20"/>
  <c r="BB50" i="20"/>
  <c r="AS49" i="20"/>
  <c r="BN49" i="20"/>
  <c r="BB49" i="20"/>
  <c r="AS48" i="20"/>
  <c r="BN48" i="20"/>
  <c r="BB48" i="20"/>
  <c r="AS47" i="20"/>
  <c r="BN47" i="20"/>
  <c r="BB47" i="20"/>
  <c r="BN45" i="20"/>
  <c r="BB45" i="20"/>
  <c r="BN44" i="20"/>
  <c r="BB44" i="20"/>
  <c r="BN43" i="20"/>
  <c r="BB43" i="20"/>
  <c r="BN42" i="20"/>
  <c r="BB42" i="20"/>
  <c r="BN41" i="20"/>
  <c r="BB41" i="20"/>
  <c r="BN40" i="20"/>
  <c r="BB40" i="20"/>
  <c r="AS39" i="20"/>
  <c r="BN39" i="20"/>
  <c r="BB39" i="20"/>
  <c r="BB37" i="20"/>
  <c r="BN37" i="20"/>
  <c r="BB36" i="20"/>
  <c r="BN36" i="20"/>
  <c r="BB35" i="20"/>
  <c r="BN35" i="20"/>
  <c r="BB34" i="20"/>
  <c r="BN34" i="20"/>
  <c r="BB33" i="20"/>
  <c r="BN33" i="20"/>
  <c r="BB32" i="20"/>
  <c r="BN32" i="20"/>
  <c r="BB31" i="20"/>
  <c r="BN31" i="20"/>
  <c r="BB29" i="20"/>
  <c r="BN29" i="20"/>
  <c r="BN28" i="20"/>
  <c r="BB28" i="20"/>
  <c r="BN27" i="20"/>
  <c r="BB27" i="20"/>
  <c r="BN26" i="20"/>
  <c r="BB26" i="20"/>
  <c r="AA55" i="20"/>
  <c r="AA54" i="20"/>
  <c r="AA53" i="20"/>
  <c r="AA52" i="20"/>
  <c r="AA51" i="20"/>
  <c r="AA50" i="20"/>
  <c r="AA49" i="20"/>
  <c r="AA48" i="20"/>
  <c r="AA47" i="20"/>
  <c r="AA46" i="20"/>
  <c r="AA45" i="20"/>
  <c r="AA44" i="20"/>
  <c r="AA43" i="20"/>
  <c r="AA42" i="20"/>
  <c r="AA41" i="20"/>
  <c r="AA40" i="20"/>
  <c r="AA39" i="20"/>
  <c r="AA38" i="20"/>
  <c r="AA37" i="20"/>
  <c r="AA36" i="20"/>
  <c r="AA35" i="20"/>
  <c r="AA34" i="20"/>
  <c r="AA33" i="20"/>
  <c r="AA32" i="20"/>
  <c r="AA31" i="20"/>
  <c r="AA30" i="20"/>
  <c r="AA29" i="20"/>
  <c r="AA28" i="20"/>
  <c r="AA27" i="20"/>
  <c r="AA26" i="20"/>
  <c r="AJ55" i="20"/>
  <c r="AJ54" i="20"/>
  <c r="AJ53" i="20"/>
  <c r="AJ52" i="20"/>
  <c r="AJ51" i="20"/>
  <c r="AJ50" i="20"/>
  <c r="AJ49" i="20"/>
  <c r="AJ48" i="20"/>
  <c r="AJ47" i="20"/>
  <c r="AJ46" i="20"/>
  <c r="AJ45" i="20"/>
  <c r="AJ44" i="20"/>
  <c r="AJ43" i="20"/>
  <c r="AJ42" i="20"/>
  <c r="AJ41" i="20"/>
  <c r="AJ40" i="20"/>
  <c r="AJ39" i="20"/>
  <c r="AJ38" i="20"/>
  <c r="AJ37" i="20"/>
  <c r="AJ36" i="20"/>
  <c r="AJ35" i="20"/>
  <c r="AJ34" i="20"/>
  <c r="AJ33" i="20"/>
  <c r="AJ32" i="20"/>
  <c r="AJ31" i="20"/>
  <c r="AJ30" i="20"/>
  <c r="AJ29" i="20"/>
  <c r="AJ28" i="20"/>
  <c r="AS31" i="20"/>
  <c r="BD27" i="20"/>
  <c r="BM44" i="20"/>
  <c r="BA44" i="20"/>
  <c r="BM43" i="20"/>
  <c r="BA43" i="20"/>
  <c r="BM42" i="20"/>
  <c r="BA42" i="20"/>
  <c r="BM41" i="20"/>
  <c r="BA41" i="20"/>
  <c r="BM40" i="20"/>
  <c r="BA40" i="20"/>
  <c r="BM39" i="20"/>
  <c r="BA39" i="20"/>
  <c r="BA37" i="20"/>
  <c r="BM37" i="20"/>
  <c r="BA36" i="20"/>
  <c r="BM36" i="20"/>
  <c r="BA35" i="20"/>
  <c r="BM35" i="20"/>
  <c r="BA34" i="20"/>
  <c r="BM34" i="20"/>
  <c r="BA33" i="20"/>
  <c r="BM33" i="20"/>
  <c r="BA32" i="20"/>
  <c r="BM32" i="20"/>
  <c r="BA31" i="20"/>
  <c r="BM31" i="20"/>
  <c r="BA29" i="20"/>
  <c r="BM29" i="20"/>
  <c r="AR29" i="20"/>
  <c r="BM28" i="20"/>
  <c r="AI28" i="20"/>
  <c r="AR28" i="20"/>
  <c r="BM27" i="20"/>
  <c r="AI27" i="20"/>
  <c r="BA27" i="20"/>
  <c r="AR27" i="20"/>
  <c r="BM26" i="20"/>
  <c r="AI26" i="20"/>
  <c r="BA26" i="20"/>
  <c r="AR26" i="20"/>
  <c r="Z44" i="20"/>
  <c r="Z43" i="20"/>
  <c r="Z42" i="20"/>
  <c r="Z41" i="20"/>
  <c r="Z40" i="20"/>
  <c r="Z39" i="20"/>
  <c r="Z38" i="20"/>
  <c r="Z37" i="20"/>
  <c r="Z36" i="20"/>
  <c r="Z35" i="20"/>
  <c r="Z34" i="20"/>
  <c r="Z33" i="20"/>
  <c r="Z32" i="20"/>
  <c r="Z31" i="20"/>
  <c r="Z30" i="20"/>
  <c r="Z29" i="20"/>
  <c r="Z28" i="20"/>
  <c r="Z27" i="20"/>
  <c r="Z26" i="20"/>
  <c r="AI44" i="20"/>
  <c r="AI43" i="20"/>
  <c r="AI42" i="20"/>
  <c r="AI41" i="20"/>
  <c r="AI40" i="20"/>
  <c r="AI39" i="20"/>
  <c r="AI38" i="20"/>
  <c r="AI37" i="20"/>
  <c r="AI36" i="20"/>
  <c r="AI35" i="20"/>
  <c r="AI34" i="20"/>
  <c r="AI33" i="20"/>
  <c r="AI32" i="20"/>
  <c r="AI31" i="20"/>
  <c r="AI30" i="20"/>
  <c r="AI29" i="20"/>
  <c r="AS36" i="20"/>
  <c r="AR31" i="20"/>
  <c r="AT27" i="20"/>
  <c r="BD26" i="20"/>
  <c r="AZ34" i="20"/>
  <c r="BL34" i="20"/>
  <c r="AQ34" i="20"/>
  <c r="AZ33" i="20"/>
  <c r="BL33" i="20"/>
  <c r="AQ33" i="20"/>
  <c r="AZ32" i="20"/>
  <c r="BL32" i="20"/>
  <c r="AQ32" i="20"/>
  <c r="AZ31" i="20"/>
  <c r="BL31" i="20"/>
  <c r="AQ31" i="20"/>
  <c r="BL29" i="20"/>
  <c r="AQ29" i="20"/>
  <c r="BL28" i="20"/>
  <c r="AZ28" i="20"/>
  <c r="AQ28" i="20"/>
  <c r="BL27" i="20"/>
  <c r="AZ27" i="20"/>
  <c r="AQ27" i="20"/>
  <c r="BL26" i="20"/>
  <c r="AZ26" i="20"/>
  <c r="AQ26" i="20"/>
  <c r="Y34" i="20"/>
  <c r="Y33" i="20"/>
  <c r="Y32" i="20"/>
  <c r="Y31" i="20"/>
  <c r="Y30" i="20"/>
  <c r="Y29" i="20"/>
  <c r="Y28" i="20"/>
  <c r="Y27" i="20"/>
  <c r="Y26" i="20"/>
  <c r="AH34" i="20"/>
  <c r="AH33" i="20"/>
  <c r="AH32" i="20"/>
  <c r="AH31" i="20"/>
  <c r="AH30" i="20"/>
  <c r="AH29" i="20"/>
  <c r="AR36" i="20"/>
  <c r="AS33" i="20"/>
  <c r="AS27" i="20"/>
  <c r="BG28" i="20"/>
  <c r="BG54" i="20"/>
  <c r="BG46" i="20"/>
  <c r="BG38" i="20"/>
  <c r="BG30" i="20"/>
  <c r="AV54" i="20"/>
  <c r="AV46" i="20"/>
  <c r="AV38" i="20"/>
  <c r="AV30" i="20"/>
  <c r="AV22" i="20"/>
  <c r="AV14" i="20"/>
  <c r="BE54" i="20"/>
  <c r="BE46" i="20"/>
  <c r="BE38" i="20"/>
  <c r="BE30" i="20"/>
  <c r="BE28" i="20"/>
  <c r="BE24" i="20"/>
  <c r="BE22" i="20"/>
  <c r="BE20" i="20"/>
  <c r="BE16" i="20"/>
  <c r="BE14" i="20"/>
  <c r="BE12" i="20"/>
  <c r="BE8" i="20"/>
  <c r="AU46" i="20"/>
  <c r="AU38" i="20"/>
  <c r="AU30" i="20"/>
  <c r="AU22" i="20"/>
  <c r="AU14" i="20"/>
  <c r="BD54" i="20"/>
  <c r="BD46" i="20"/>
  <c r="BD38" i="20"/>
  <c r="BD30" i="20"/>
  <c r="BD22" i="20"/>
  <c r="BD14" i="20"/>
  <c r="AU54" i="20"/>
  <c r="AT54" i="20"/>
  <c r="AT46" i="20"/>
  <c r="AT38" i="20"/>
  <c r="AT30" i="20"/>
  <c r="AT22" i="20"/>
  <c r="AT14" i="20"/>
  <c r="BC54" i="20"/>
  <c r="BC46" i="20"/>
  <c r="BC38" i="20"/>
  <c r="BC30" i="20"/>
  <c r="BC28" i="20"/>
  <c r="BC24" i="20"/>
  <c r="BC22" i="20"/>
  <c r="BC20" i="20"/>
  <c r="BC16" i="20"/>
  <c r="BC14" i="20"/>
  <c r="BC12" i="20"/>
  <c r="BC8" i="20"/>
  <c r="AS54" i="20"/>
  <c r="AS46" i="20"/>
  <c r="AS38" i="20"/>
  <c r="AS30" i="20"/>
  <c r="AS22" i="20"/>
  <c r="AS14" i="20"/>
  <c r="BB54" i="20"/>
  <c r="BB46" i="20"/>
  <c r="BB38" i="20"/>
  <c r="BB30" i="20"/>
  <c r="BB24" i="20"/>
  <c r="BB22" i="20"/>
  <c r="BB20" i="20"/>
  <c r="BB16" i="20"/>
  <c r="BB14" i="20"/>
  <c r="BB12" i="20"/>
  <c r="BB8" i="20"/>
  <c r="AR54" i="20"/>
  <c r="AR46" i="20"/>
  <c r="AR38" i="20"/>
  <c r="AR30" i="20"/>
  <c r="AR22" i="20"/>
  <c r="AR14" i="20"/>
  <c r="BA54" i="20"/>
  <c r="BA46" i="20"/>
  <c r="BA38" i="20"/>
  <c r="BA30" i="20"/>
  <c r="BA28" i="20"/>
  <c r="BA24" i="20"/>
  <c r="BA22" i="20"/>
  <c r="BA20" i="20"/>
  <c r="BA16" i="20"/>
  <c r="BA14" i="20"/>
  <c r="BA12" i="20"/>
  <c r="BA8" i="20"/>
  <c r="AQ54" i="20"/>
  <c r="AQ22" i="20"/>
  <c r="AQ14" i="20"/>
  <c r="AZ54" i="20"/>
  <c r="AZ46" i="20"/>
  <c r="AZ38" i="20"/>
  <c r="AZ30" i="20"/>
  <c r="AZ22" i="20"/>
  <c r="AZ14" i="20"/>
  <c r="AQ46" i="20"/>
  <c r="AQ38" i="20"/>
  <c r="AQ30" i="20"/>
  <c r="AX54" i="20"/>
  <c r="AX46" i="20"/>
  <c r="AX38" i="20"/>
  <c r="AX30" i="20"/>
  <c r="AX22" i="20"/>
  <c r="AX14" i="20"/>
  <c r="AI6" i="20" l="1"/>
  <c r="C19" i="35"/>
  <c r="H30" i="30"/>
  <c r="I30" i="30"/>
  <c r="J30" i="30"/>
  <c r="K30" i="30"/>
  <c r="I26" i="30"/>
  <c r="J26" i="30"/>
  <c r="K26" i="30"/>
  <c r="H26" i="30"/>
  <c r="AC39" i="30" l="1"/>
  <c r="X40" i="30"/>
  <c r="H25" i="30"/>
  <c r="Y17" i="30"/>
  <c r="AB16" i="30"/>
  <c r="Z16" i="30"/>
  <c r="Y16" i="30"/>
  <c r="X16" i="30"/>
  <c r="W16" i="30"/>
  <c r="V16" i="30"/>
  <c r="T16" i="30"/>
  <c r="R16" i="30"/>
  <c r="Q16" i="30"/>
  <c r="P16" i="30"/>
  <c r="O16" i="30"/>
  <c r="N16" i="30"/>
  <c r="AA16" i="30"/>
  <c r="U16" i="30"/>
  <c r="S16" i="30"/>
  <c r="M16" i="30"/>
  <c r="AC15" i="30"/>
  <c r="D15" i="30"/>
  <c r="AC5" i="30"/>
  <c r="AC4" i="30"/>
  <c r="H3" i="30"/>
  <c r="I40" i="30" l="1"/>
  <c r="J40" i="30"/>
  <c r="Q40" i="30"/>
  <c r="Z40" i="30"/>
  <c r="AA40" i="30"/>
  <c r="K40" i="30"/>
  <c r="R17" i="30"/>
  <c r="R24" i="30" s="1"/>
  <c r="S17" i="30"/>
  <c r="S24" i="30" s="1"/>
  <c r="R40" i="30"/>
  <c r="Z17" i="30"/>
  <c r="Z24" i="30" s="1"/>
  <c r="G37" i="30"/>
  <c r="G38" i="30" s="1"/>
  <c r="S40" i="30"/>
  <c r="AA17" i="30"/>
  <c r="AA24" i="30" s="1"/>
  <c r="H37" i="30"/>
  <c r="Y40" i="30"/>
  <c r="Y24" i="30"/>
  <c r="AB17" i="30"/>
  <c r="M17" i="30"/>
  <c r="U17" i="30"/>
  <c r="I37" i="30"/>
  <c r="L40" i="30"/>
  <c r="T40" i="30"/>
  <c r="AB40" i="30"/>
  <c r="N17" i="30"/>
  <c r="V17" i="30"/>
  <c r="J37" i="30"/>
  <c r="M40" i="30"/>
  <c r="U40" i="30"/>
  <c r="T17" i="30"/>
  <c r="O17" i="30"/>
  <c r="W17" i="30"/>
  <c r="K37" i="30"/>
  <c r="N40" i="30"/>
  <c r="V40" i="30"/>
  <c r="P17" i="30"/>
  <c r="X17" i="30"/>
  <c r="L37" i="30"/>
  <c r="G40" i="30"/>
  <c r="G41" i="30" s="1"/>
  <c r="O40" i="30"/>
  <c r="W40" i="30"/>
  <c r="Q17" i="30"/>
  <c r="H40" i="30"/>
  <c r="P40" i="30"/>
  <c r="H41" i="30" l="1"/>
  <c r="I41" i="30" s="1"/>
  <c r="J41" i="30" s="1"/>
  <c r="K41" i="30" s="1"/>
  <c r="L41" i="30" s="1"/>
  <c r="M41" i="30" s="1"/>
  <c r="N41" i="30" s="1"/>
  <c r="O41" i="30" s="1"/>
  <c r="P41" i="30" s="1"/>
  <c r="Q41" i="30" s="1"/>
  <c r="R41" i="30" s="1"/>
  <c r="S41" i="30" s="1"/>
  <c r="T41" i="30" s="1"/>
  <c r="U41" i="30" s="1"/>
  <c r="V41" i="30" s="1"/>
  <c r="W41" i="30" s="1"/>
  <c r="X41" i="30" s="1"/>
  <c r="Y41" i="30" s="1"/>
  <c r="Z41" i="30" s="1"/>
  <c r="AA41" i="30" s="1"/>
  <c r="AB41" i="30" s="1"/>
  <c r="H38" i="30"/>
  <c r="H42" i="30" s="1"/>
  <c r="T24" i="30"/>
  <c r="G42" i="30"/>
  <c r="Q24" i="30"/>
  <c r="W24" i="30"/>
  <c r="U24" i="30"/>
  <c r="O24" i="30"/>
  <c r="M24" i="30"/>
  <c r="N24" i="30"/>
  <c r="X24" i="30"/>
  <c r="P24" i="30"/>
  <c r="V24" i="30"/>
  <c r="AB24" i="30"/>
  <c r="I38" i="30" l="1"/>
  <c r="I42" i="30" s="1"/>
  <c r="J38" i="30" l="1"/>
  <c r="J42" i="30" s="1"/>
  <c r="K38" i="30" l="1"/>
  <c r="L38" i="30" s="1"/>
  <c r="K42" i="30" l="1"/>
  <c r="L42" i="30"/>
  <c r="G43" i="35" l="1"/>
  <c r="I43" i="35" s="1"/>
  <c r="F43" i="35"/>
  <c r="H43" i="35" s="1"/>
  <c r="G42" i="35"/>
  <c r="I42" i="35" s="1"/>
  <c r="F42" i="35"/>
  <c r="H42" i="35" s="1"/>
  <c r="J111" i="35" s="1"/>
  <c r="G41" i="35"/>
  <c r="I41" i="35" s="1"/>
  <c r="I53" i="35" s="1"/>
  <c r="F41" i="35"/>
  <c r="H41" i="35" s="1"/>
  <c r="I111" i="35" s="1"/>
  <c r="G40" i="35"/>
  <c r="I40" i="35" s="1"/>
  <c r="H52" i="35" s="1"/>
  <c r="F40" i="35"/>
  <c r="H40" i="35" s="1"/>
  <c r="G39" i="35"/>
  <c r="I39" i="35" s="1"/>
  <c r="G68" i="35" s="1"/>
  <c r="F39" i="35"/>
  <c r="H39" i="35" s="1"/>
  <c r="G38" i="35"/>
  <c r="I38" i="35" s="1"/>
  <c r="F38" i="35"/>
  <c r="H38" i="35" s="1"/>
  <c r="G37" i="35"/>
  <c r="I37" i="35" s="1"/>
  <c r="E51" i="35" s="1"/>
  <c r="F37" i="35"/>
  <c r="H37" i="35" s="1"/>
  <c r="E113" i="35" s="1"/>
  <c r="G36" i="35"/>
  <c r="I36" i="35" s="1"/>
  <c r="F36" i="35"/>
  <c r="H36" i="35" s="1"/>
  <c r="F36" i="40"/>
  <c r="H36" i="40" s="1"/>
  <c r="F35" i="40"/>
  <c r="H35" i="40" s="1"/>
  <c r="F34" i="40"/>
  <c r="H34" i="40" s="1"/>
  <c r="F33" i="40"/>
  <c r="H33" i="40" s="1"/>
  <c r="F32" i="40"/>
  <c r="H32" i="40" s="1"/>
  <c r="F31" i="40"/>
  <c r="H31" i="40" s="1"/>
  <c r="F30" i="40"/>
  <c r="H30" i="40" s="1"/>
  <c r="F29" i="40"/>
  <c r="H29" i="40" s="1"/>
  <c r="D22" i="40"/>
  <c r="D21" i="40"/>
  <c r="H17" i="40"/>
  <c r="H16" i="40"/>
  <c r="H15" i="40"/>
  <c r="H14" i="40"/>
  <c r="H13" i="40"/>
  <c r="H12" i="40"/>
  <c r="H11" i="40"/>
  <c r="H10" i="40"/>
  <c r="H9" i="40"/>
  <c r="H8" i="40"/>
  <c r="D258" i="31"/>
  <c r="D254" i="31"/>
  <c r="D234" i="31"/>
  <c r="D230" i="31"/>
  <c r="D211" i="31"/>
  <c r="D207" i="31"/>
  <c r="D195" i="31"/>
  <c r="D187" i="31"/>
  <c r="D183" i="31"/>
  <c r="D171" i="31"/>
  <c r="D163" i="31"/>
  <c r="D159" i="31"/>
  <c r="D139" i="31"/>
  <c r="D135" i="31"/>
  <c r="D109" i="31"/>
  <c r="J114" i="35" l="1"/>
  <c r="F62" i="35"/>
  <c r="F68" i="35"/>
  <c r="F83" i="35"/>
  <c r="F99" i="35"/>
  <c r="F70" i="35"/>
  <c r="F85" i="35"/>
  <c r="F75" i="35"/>
  <c r="F90" i="35"/>
  <c r="F107" i="35"/>
  <c r="F77" i="35"/>
  <c r="F92" i="35"/>
  <c r="F110" i="35"/>
  <c r="D50" i="35"/>
  <c r="D56" i="35"/>
  <c r="D87" i="35"/>
  <c r="D57" i="35"/>
  <c r="D88" i="35"/>
  <c r="D64" i="35"/>
  <c r="D95" i="35"/>
  <c r="D65" i="35"/>
  <c r="D96" i="35"/>
  <c r="D72" i="35"/>
  <c r="D103" i="35"/>
  <c r="D73" i="35"/>
  <c r="D104" i="35"/>
  <c r="D80" i="35"/>
  <c r="D49" i="35"/>
  <c r="J126" i="35"/>
  <c r="H108" i="35"/>
  <c r="H90" i="35"/>
  <c r="H75" i="35"/>
  <c r="J124" i="35"/>
  <c r="J122" i="35"/>
  <c r="H105" i="35"/>
  <c r="H88" i="35"/>
  <c r="H73" i="35"/>
  <c r="J120" i="35"/>
  <c r="H102" i="35"/>
  <c r="J118" i="35"/>
  <c r="J116" i="35"/>
  <c r="H97" i="35"/>
  <c r="H81" i="35"/>
  <c r="H66" i="35"/>
  <c r="H49" i="35"/>
  <c r="H95" i="35"/>
  <c r="H80" i="35"/>
  <c r="H64" i="35"/>
  <c r="J112" i="35"/>
  <c r="H111" i="35"/>
  <c r="H112" i="35"/>
  <c r="H113" i="35"/>
  <c r="H114" i="35"/>
  <c r="H115" i="35"/>
  <c r="H116" i="35"/>
  <c r="H117" i="35"/>
  <c r="H118" i="35"/>
  <c r="H119" i="35"/>
  <c r="H120" i="35"/>
  <c r="H121" i="35"/>
  <c r="H122" i="35"/>
  <c r="H123" i="35"/>
  <c r="H124" i="35"/>
  <c r="H125" i="35"/>
  <c r="H126" i="35"/>
  <c r="J51" i="35"/>
  <c r="J55" i="35"/>
  <c r="J50" i="35"/>
  <c r="J53" i="35"/>
  <c r="J57" i="35"/>
  <c r="J66" i="35"/>
  <c r="J73" i="35"/>
  <c r="J81" i="35"/>
  <c r="J88" i="35"/>
  <c r="J97" i="35"/>
  <c r="J105" i="35"/>
  <c r="J108" i="35"/>
  <c r="J59" i="35"/>
  <c r="J68" i="35"/>
  <c r="J75" i="35"/>
  <c r="J83" i="35"/>
  <c r="J90" i="35"/>
  <c r="J99" i="35"/>
  <c r="J102" i="35"/>
  <c r="J61" i="35"/>
  <c r="J70" i="35"/>
  <c r="J77" i="35"/>
  <c r="J85" i="35"/>
  <c r="J92" i="35"/>
  <c r="J54" i="35"/>
  <c r="J56" i="35"/>
  <c r="J63" i="35"/>
  <c r="J72" i="35"/>
  <c r="J79" i="35"/>
  <c r="J87" i="35"/>
  <c r="J94" i="35"/>
  <c r="J101" i="35"/>
  <c r="J104" i="35"/>
  <c r="J107" i="35"/>
  <c r="J110" i="35"/>
  <c r="J52" i="35"/>
  <c r="J58" i="35"/>
  <c r="J65" i="35"/>
  <c r="J74" i="35"/>
  <c r="J89" i="35"/>
  <c r="J96" i="35"/>
  <c r="J60" i="35"/>
  <c r="J67" i="35"/>
  <c r="J76" i="35"/>
  <c r="J82" i="35"/>
  <c r="J91" i="35"/>
  <c r="J98" i="35"/>
  <c r="J109" i="35"/>
  <c r="J49" i="35"/>
  <c r="J62" i="35"/>
  <c r="J69" i="35"/>
  <c r="J78" i="35"/>
  <c r="J84" i="35"/>
  <c r="J93" i="35"/>
  <c r="J100" i="35"/>
  <c r="J103" i="35"/>
  <c r="J106" i="35"/>
  <c r="J64" i="35"/>
  <c r="J71" i="35"/>
  <c r="J80" i="35"/>
  <c r="J86" i="35"/>
  <c r="J95" i="35"/>
  <c r="F112" i="35"/>
  <c r="F113" i="35"/>
  <c r="F114" i="35"/>
  <c r="F115" i="35"/>
  <c r="F116" i="35"/>
  <c r="F117" i="35"/>
  <c r="F118" i="35"/>
  <c r="F119" i="35"/>
  <c r="F120" i="35"/>
  <c r="F121" i="35"/>
  <c r="F122" i="35"/>
  <c r="F123" i="35"/>
  <c r="F124" i="35"/>
  <c r="F125" i="35"/>
  <c r="F126" i="35"/>
  <c r="F111" i="35"/>
  <c r="K112" i="35"/>
  <c r="K113" i="35"/>
  <c r="K114" i="35"/>
  <c r="K115" i="35"/>
  <c r="K116" i="35"/>
  <c r="K117" i="35"/>
  <c r="K118" i="35"/>
  <c r="K119" i="35"/>
  <c r="K120" i="35"/>
  <c r="K121" i="35"/>
  <c r="K122" i="35"/>
  <c r="K123" i="35"/>
  <c r="K124" i="35"/>
  <c r="K125" i="35"/>
  <c r="K126" i="35"/>
  <c r="K111" i="35"/>
  <c r="D111" i="35"/>
  <c r="D113" i="35"/>
  <c r="D115" i="35"/>
  <c r="D117" i="35"/>
  <c r="D119" i="35"/>
  <c r="D121" i="35"/>
  <c r="D123" i="35"/>
  <c r="D125" i="35"/>
  <c r="D112" i="35"/>
  <c r="D114" i="35"/>
  <c r="D116" i="35"/>
  <c r="D118" i="35"/>
  <c r="D120" i="35"/>
  <c r="D122" i="35"/>
  <c r="D124" i="35"/>
  <c r="D126" i="35"/>
  <c r="G112" i="35"/>
  <c r="G113" i="35"/>
  <c r="G114" i="35"/>
  <c r="G115" i="35"/>
  <c r="G116" i="35"/>
  <c r="G117" i="35"/>
  <c r="G118" i="35"/>
  <c r="G119" i="35"/>
  <c r="G120" i="35"/>
  <c r="G121" i="35"/>
  <c r="G122" i="35"/>
  <c r="G123" i="35"/>
  <c r="G124" i="35"/>
  <c r="G125" i="35"/>
  <c r="G126" i="35"/>
  <c r="G111" i="35"/>
  <c r="K51" i="35"/>
  <c r="K55" i="35"/>
  <c r="K59" i="35"/>
  <c r="K63" i="35"/>
  <c r="K67" i="35"/>
  <c r="K71" i="35"/>
  <c r="K75" i="35"/>
  <c r="K79" i="35"/>
  <c r="K82" i="35"/>
  <c r="K86" i="35"/>
  <c r="K90" i="35"/>
  <c r="K94" i="35"/>
  <c r="K98" i="35"/>
  <c r="K102" i="35"/>
  <c r="K106" i="35"/>
  <c r="K110" i="35"/>
  <c r="K53" i="35"/>
  <c r="K57" i="35"/>
  <c r="K61" i="35"/>
  <c r="K65" i="35"/>
  <c r="K69" i="35"/>
  <c r="K73" i="35"/>
  <c r="K77" i="35"/>
  <c r="K84" i="35"/>
  <c r="K88" i="35"/>
  <c r="K92" i="35"/>
  <c r="K96" i="35"/>
  <c r="E49" i="35"/>
  <c r="E103" i="35"/>
  <c r="E95" i="35"/>
  <c r="E87" i="35"/>
  <c r="E80" i="35"/>
  <c r="E72" i="35"/>
  <c r="E64" i="35"/>
  <c r="E56" i="35"/>
  <c r="I108" i="35"/>
  <c r="K103" i="35"/>
  <c r="K100" i="35"/>
  <c r="G99" i="35"/>
  <c r="K93" i="35"/>
  <c r="I88" i="35"/>
  <c r="G83" i="35"/>
  <c r="K78" i="35"/>
  <c r="I73" i="35"/>
  <c r="K62" i="35"/>
  <c r="F61" i="35"/>
  <c r="H59" i="35"/>
  <c r="I57" i="35"/>
  <c r="I55" i="35"/>
  <c r="F51" i="35"/>
  <c r="G53" i="35"/>
  <c r="G57" i="35"/>
  <c r="G61" i="35"/>
  <c r="G65" i="35"/>
  <c r="G69" i="35"/>
  <c r="G73" i="35"/>
  <c r="G77" i="35"/>
  <c r="G84" i="35"/>
  <c r="G88" i="35"/>
  <c r="G92" i="35"/>
  <c r="G96" i="35"/>
  <c r="G100" i="35"/>
  <c r="G104" i="35"/>
  <c r="G108" i="35"/>
  <c r="G51" i="35"/>
  <c r="G55" i="35"/>
  <c r="G59" i="35"/>
  <c r="G63" i="35"/>
  <c r="G67" i="35"/>
  <c r="G71" i="35"/>
  <c r="G75" i="35"/>
  <c r="G79" i="35"/>
  <c r="G82" i="35"/>
  <c r="G86" i="35"/>
  <c r="G90" i="35"/>
  <c r="G94" i="35"/>
  <c r="G98" i="35"/>
  <c r="I50" i="35"/>
  <c r="I54" i="35"/>
  <c r="I58" i="35"/>
  <c r="I62" i="35"/>
  <c r="I66" i="35"/>
  <c r="I70" i="35"/>
  <c r="I74" i="35"/>
  <c r="I78" i="35"/>
  <c r="I81" i="35"/>
  <c r="I85" i="35"/>
  <c r="I89" i="35"/>
  <c r="I93" i="35"/>
  <c r="I97" i="35"/>
  <c r="I101" i="35"/>
  <c r="I105" i="35"/>
  <c r="I109" i="35"/>
  <c r="I52" i="35"/>
  <c r="I56" i="35"/>
  <c r="I60" i="35"/>
  <c r="I64" i="35"/>
  <c r="I68" i="35"/>
  <c r="I72" i="35"/>
  <c r="I76" i="35"/>
  <c r="I80" i="35"/>
  <c r="I83" i="35"/>
  <c r="I87" i="35"/>
  <c r="I91" i="35"/>
  <c r="I95" i="35"/>
  <c r="I99" i="35"/>
  <c r="E110" i="35"/>
  <c r="E102" i="35"/>
  <c r="E94" i="35"/>
  <c r="E86" i="35"/>
  <c r="E79" i="35"/>
  <c r="E71" i="35"/>
  <c r="E63" i="35"/>
  <c r="E55" i="35"/>
  <c r="I49" i="35"/>
  <c r="K109" i="35"/>
  <c r="G105" i="35"/>
  <c r="G102" i="35"/>
  <c r="G97" i="35"/>
  <c r="K91" i="35"/>
  <c r="I86" i="35"/>
  <c r="G81" i="35"/>
  <c r="K76" i="35"/>
  <c r="I71" i="35"/>
  <c r="G66" i="35"/>
  <c r="K60" i="35"/>
  <c r="F59" i="35"/>
  <c r="H57" i="35"/>
  <c r="H55" i="35"/>
  <c r="H53" i="35"/>
  <c r="K50" i="35"/>
  <c r="I126" i="35"/>
  <c r="I124" i="35"/>
  <c r="I122" i="35"/>
  <c r="I120" i="35"/>
  <c r="I118" i="35"/>
  <c r="I116" i="35"/>
  <c r="I114" i="35"/>
  <c r="I112" i="35"/>
  <c r="D110" i="35"/>
  <c r="D102" i="35"/>
  <c r="D94" i="35"/>
  <c r="D86" i="35"/>
  <c r="D79" i="35"/>
  <c r="D71" i="35"/>
  <c r="D63" i="35"/>
  <c r="D55" i="35"/>
  <c r="E109" i="35"/>
  <c r="E101" i="35"/>
  <c r="E93" i="35"/>
  <c r="E85" i="35"/>
  <c r="E78" i="35"/>
  <c r="E70" i="35"/>
  <c r="E62" i="35"/>
  <c r="E54" i="35"/>
  <c r="F108" i="35"/>
  <c r="I106" i="35"/>
  <c r="F105" i="35"/>
  <c r="I103" i="35"/>
  <c r="F102" i="35"/>
  <c r="I100" i="35"/>
  <c r="F97" i="35"/>
  <c r="G95" i="35"/>
  <c r="H93" i="35"/>
  <c r="K89" i="35"/>
  <c r="F88" i="35"/>
  <c r="H86" i="35"/>
  <c r="I84" i="35"/>
  <c r="F81" i="35"/>
  <c r="G80" i="35"/>
  <c r="H78" i="35"/>
  <c r="K74" i="35"/>
  <c r="F73" i="35"/>
  <c r="H71" i="35"/>
  <c r="I69" i="35"/>
  <c r="F66" i="35"/>
  <c r="G64" i="35"/>
  <c r="H62" i="35"/>
  <c r="K58" i="35"/>
  <c r="F57" i="35"/>
  <c r="F55" i="35"/>
  <c r="K52" i="35"/>
  <c r="G50" i="35"/>
  <c r="E126" i="35"/>
  <c r="E124" i="35"/>
  <c r="E122" i="35"/>
  <c r="E120" i="35"/>
  <c r="E118" i="35"/>
  <c r="E116" i="35"/>
  <c r="E114" i="35"/>
  <c r="E112" i="35"/>
  <c r="D109" i="35"/>
  <c r="D101" i="35"/>
  <c r="D93" i="35"/>
  <c r="D85" i="35"/>
  <c r="D78" i="35"/>
  <c r="D70" i="35"/>
  <c r="D62" i="35"/>
  <c r="D54" i="35"/>
  <c r="E108" i="35"/>
  <c r="E100" i="35"/>
  <c r="E92" i="35"/>
  <c r="E84" i="35"/>
  <c r="E77" i="35"/>
  <c r="E69" i="35"/>
  <c r="E61" i="35"/>
  <c r="E53" i="35"/>
  <c r="K49" i="35"/>
  <c r="H109" i="35"/>
  <c r="K107" i="35"/>
  <c r="H106" i="35"/>
  <c r="K104" i="35"/>
  <c r="H103" i="35"/>
  <c r="K101" i="35"/>
  <c r="H100" i="35"/>
  <c r="I98" i="35"/>
  <c r="F95" i="35"/>
  <c r="G93" i="35"/>
  <c r="H91" i="35"/>
  <c r="K87" i="35"/>
  <c r="F86" i="35"/>
  <c r="H84" i="35"/>
  <c r="I82" i="35"/>
  <c r="F80" i="35"/>
  <c r="G78" i="35"/>
  <c r="H76" i="35"/>
  <c r="K72" i="35"/>
  <c r="F71" i="35"/>
  <c r="H69" i="35"/>
  <c r="I67" i="35"/>
  <c r="F64" i="35"/>
  <c r="G62" i="35"/>
  <c r="H60" i="35"/>
  <c r="K56" i="35"/>
  <c r="K54" i="35"/>
  <c r="F50" i="35"/>
  <c r="D108" i="35"/>
  <c r="D100" i="35"/>
  <c r="D92" i="35"/>
  <c r="D84" i="35"/>
  <c r="D77" i="35"/>
  <c r="D69" i="35"/>
  <c r="D61" i="35"/>
  <c r="D53" i="35"/>
  <c r="E107" i="35"/>
  <c r="E99" i="35"/>
  <c r="E91" i="35"/>
  <c r="E83" i="35"/>
  <c r="E76" i="35"/>
  <c r="E68" i="35"/>
  <c r="E60" i="35"/>
  <c r="E52" i="35"/>
  <c r="G109" i="35"/>
  <c r="G106" i="35"/>
  <c r="G103" i="35"/>
  <c r="F100" i="35"/>
  <c r="H98" i="35"/>
  <c r="I96" i="35"/>
  <c r="F93" i="35"/>
  <c r="G91" i="35"/>
  <c r="H89" i="35"/>
  <c r="K85" i="35"/>
  <c r="F84" i="35"/>
  <c r="H82" i="35"/>
  <c r="F78" i="35"/>
  <c r="G76" i="35"/>
  <c r="H74" i="35"/>
  <c r="K70" i="35"/>
  <c r="F69" i="35"/>
  <c r="H67" i="35"/>
  <c r="I65" i="35"/>
  <c r="G60" i="35"/>
  <c r="H58" i="35"/>
  <c r="E111" i="35"/>
  <c r="J125" i="35"/>
  <c r="J123" i="35"/>
  <c r="J121" i="35"/>
  <c r="J119" i="35"/>
  <c r="J117" i="35"/>
  <c r="J115" i="35"/>
  <c r="J113" i="35"/>
  <c r="F53" i="35"/>
  <c r="F52" i="35"/>
  <c r="H50" i="35"/>
  <c r="H54" i="35"/>
  <c r="D107" i="35"/>
  <c r="D99" i="35"/>
  <c r="D91" i="35"/>
  <c r="D83" i="35"/>
  <c r="D76" i="35"/>
  <c r="D68" i="35"/>
  <c r="D60" i="35"/>
  <c r="D52" i="35"/>
  <c r="E106" i="35"/>
  <c r="E98" i="35"/>
  <c r="E90" i="35"/>
  <c r="E82" i="35"/>
  <c r="E75" i="35"/>
  <c r="E67" i="35"/>
  <c r="E59" i="35"/>
  <c r="E50" i="35"/>
  <c r="I110" i="35"/>
  <c r="F109" i="35"/>
  <c r="I107" i="35"/>
  <c r="F106" i="35"/>
  <c r="I104" i="35"/>
  <c r="F103" i="35"/>
  <c r="H101" i="35"/>
  <c r="K99" i="35"/>
  <c r="F98" i="35"/>
  <c r="H96" i="35"/>
  <c r="I94" i="35"/>
  <c r="F91" i="35"/>
  <c r="G89" i="35"/>
  <c r="H87" i="35"/>
  <c r="K83" i="35"/>
  <c r="F82" i="35"/>
  <c r="I79" i="35"/>
  <c r="F76" i="35"/>
  <c r="G74" i="35"/>
  <c r="H72" i="35"/>
  <c r="K68" i="35"/>
  <c r="F67" i="35"/>
  <c r="H65" i="35"/>
  <c r="I63" i="35"/>
  <c r="F60" i="35"/>
  <c r="G58" i="35"/>
  <c r="H56" i="35"/>
  <c r="G54" i="35"/>
  <c r="G52" i="35"/>
  <c r="I125" i="35"/>
  <c r="I123" i="35"/>
  <c r="I121" i="35"/>
  <c r="I119" i="35"/>
  <c r="I117" i="35"/>
  <c r="I115" i="35"/>
  <c r="I113" i="35"/>
  <c r="D106" i="35"/>
  <c r="D98" i="35"/>
  <c r="D90" i="35"/>
  <c r="D82" i="35"/>
  <c r="D75" i="35"/>
  <c r="D67" i="35"/>
  <c r="D59" i="35"/>
  <c r="D51" i="35"/>
  <c r="E105" i="35"/>
  <c r="E97" i="35"/>
  <c r="E89" i="35"/>
  <c r="E81" i="35"/>
  <c r="E74" i="35"/>
  <c r="E66" i="35"/>
  <c r="E58" i="35"/>
  <c r="F49" i="35"/>
  <c r="H110" i="35"/>
  <c r="K108" i="35"/>
  <c r="H107" i="35"/>
  <c r="K105" i="35"/>
  <c r="H104" i="35"/>
  <c r="G101" i="35"/>
  <c r="K97" i="35"/>
  <c r="F96" i="35"/>
  <c r="H94" i="35"/>
  <c r="I92" i="35"/>
  <c r="F89" i="35"/>
  <c r="G87" i="35"/>
  <c r="H85" i="35"/>
  <c r="K81" i="35"/>
  <c r="H79" i="35"/>
  <c r="I77" i="35"/>
  <c r="F74" i="35"/>
  <c r="G72" i="35"/>
  <c r="H70" i="35"/>
  <c r="K66" i="35"/>
  <c r="F65" i="35"/>
  <c r="H63" i="35"/>
  <c r="I61" i="35"/>
  <c r="F58" i="35"/>
  <c r="G56" i="35"/>
  <c r="F54" i="35"/>
  <c r="I51" i="35"/>
  <c r="E125" i="35"/>
  <c r="E123" i="35"/>
  <c r="E121" i="35"/>
  <c r="E119" i="35"/>
  <c r="E117" i="35"/>
  <c r="E115" i="35"/>
  <c r="D105" i="35"/>
  <c r="D97" i="35"/>
  <c r="D89" i="35"/>
  <c r="D81" i="35"/>
  <c r="D74" i="35"/>
  <c r="D66" i="35"/>
  <c r="D58" i="35"/>
  <c r="E104" i="35"/>
  <c r="E96" i="35"/>
  <c r="E88" i="35"/>
  <c r="E73" i="35"/>
  <c r="E65" i="35"/>
  <c r="E57" i="35"/>
  <c r="G49" i="35"/>
  <c r="G110" i="35"/>
  <c r="G107" i="35"/>
  <c r="F104" i="35"/>
  <c r="I102" i="35"/>
  <c r="F101" i="35"/>
  <c r="H99" i="35"/>
  <c r="K95" i="35"/>
  <c r="F94" i="35"/>
  <c r="H92" i="35"/>
  <c r="I90" i="35"/>
  <c r="F87" i="35"/>
  <c r="G85" i="35"/>
  <c r="H83" i="35"/>
  <c r="K80" i="35"/>
  <c r="F79" i="35"/>
  <c r="H77" i="35"/>
  <c r="I75" i="35"/>
  <c r="F72" i="35"/>
  <c r="G70" i="35"/>
  <c r="H68" i="35"/>
  <c r="K64" i="35"/>
  <c r="F63" i="35"/>
  <c r="H61" i="35"/>
  <c r="I59" i="35"/>
  <c r="F56" i="35"/>
  <c r="H51" i="35"/>
  <c r="D84" i="31"/>
  <c r="C14" i="38"/>
  <c r="C13" i="38"/>
  <c r="D278" i="31" s="1"/>
  <c r="C50" i="39" l="1"/>
  <c r="C48" i="39"/>
  <c r="C47" i="39"/>
  <c r="C45" i="39"/>
  <c r="C44" i="39"/>
  <c r="C43" i="39"/>
  <c r="C42" i="39"/>
  <c r="C41" i="39"/>
  <c r="C38" i="39"/>
  <c r="D399" i="31" s="1"/>
  <c r="C35" i="39"/>
  <c r="D290" i="31" s="1"/>
  <c r="C34" i="39"/>
  <c r="D292" i="31" s="1"/>
  <c r="C33" i="39"/>
  <c r="D302" i="31" s="1"/>
  <c r="C16" i="39"/>
  <c r="D12" i="31" s="1"/>
  <c r="C14" i="39"/>
  <c r="D327" i="31" s="1"/>
  <c r="C13" i="39"/>
  <c r="D291" i="31" s="1"/>
  <c r="C10" i="39"/>
  <c r="D307" i="31" s="1"/>
  <c r="C9" i="39"/>
  <c r="D318" i="31" s="1"/>
  <c r="C8" i="39"/>
  <c r="D402" i="31" s="1"/>
  <c r="C7" i="39"/>
  <c r="D403" i="31" s="1"/>
  <c r="C6" i="39"/>
  <c r="D53" i="31" s="1"/>
  <c r="D33" i="31"/>
  <c r="D43" i="31" l="1"/>
  <c r="F117" i="34"/>
  <c r="C134" i="34"/>
  <c r="D132" i="34" s="1"/>
  <c r="D13" i="31"/>
  <c r="C31" i="39"/>
  <c r="C32" i="39"/>
  <c r="D373" i="31" s="1"/>
  <c r="A19" i="38"/>
  <c r="AM73" i="18"/>
  <c r="AM72" i="18"/>
  <c r="AM71" i="18"/>
  <c r="AM70" i="18"/>
  <c r="AM69" i="18"/>
  <c r="AM68" i="18"/>
  <c r="AM67" i="18"/>
  <c r="AM66" i="18"/>
  <c r="AM65" i="18"/>
  <c r="AM64" i="18"/>
  <c r="AM63" i="18"/>
  <c r="AM62" i="18"/>
  <c r="AM61" i="18"/>
  <c r="I60" i="34"/>
  <c r="C7" i="35"/>
  <c r="C6" i="35"/>
  <c r="C5" i="35"/>
  <c r="D42" i="31" l="1"/>
  <c r="B134" i="35" l="1"/>
  <c r="B135" i="35"/>
  <c r="B136" i="35"/>
  <c r="B137" i="35"/>
  <c r="B138" i="35"/>
  <c r="B139" i="35"/>
  <c r="B140" i="35"/>
  <c r="B141" i="35"/>
  <c r="B142" i="35"/>
  <c r="B143" i="35"/>
  <c r="B144" i="35"/>
  <c r="B145" i="35"/>
  <c r="B146" i="35"/>
  <c r="B147" i="35"/>
  <c r="B148" i="35"/>
  <c r="B149" i="35"/>
  <c r="B150" i="35"/>
  <c r="B151" i="35"/>
  <c r="B152" i="35"/>
  <c r="B153" i="35"/>
  <c r="B133" i="35"/>
  <c r="E135" i="35" l="1"/>
  <c r="F135" i="35"/>
  <c r="G135" i="35"/>
  <c r="J135" i="35"/>
  <c r="C135" i="35"/>
  <c r="D135" i="35"/>
  <c r="H135" i="35"/>
  <c r="I135" i="35"/>
  <c r="E142" i="35"/>
  <c r="F142" i="35"/>
  <c r="G142" i="35"/>
  <c r="J142" i="35"/>
  <c r="C142" i="35"/>
  <c r="D142" i="35"/>
  <c r="H142" i="35"/>
  <c r="I142" i="35"/>
  <c r="E140" i="35"/>
  <c r="F140" i="35"/>
  <c r="G140" i="35"/>
  <c r="J140" i="35"/>
  <c r="C140" i="35"/>
  <c r="D140" i="35"/>
  <c r="H140" i="35"/>
  <c r="I140" i="35"/>
  <c r="E151" i="35"/>
  <c r="F151" i="35"/>
  <c r="G151" i="35"/>
  <c r="J151" i="35"/>
  <c r="C151" i="35"/>
  <c r="D151" i="35"/>
  <c r="H151" i="35"/>
  <c r="I151" i="35"/>
  <c r="E150" i="35"/>
  <c r="F150" i="35"/>
  <c r="G150" i="35"/>
  <c r="J150" i="35"/>
  <c r="C150" i="35"/>
  <c r="D150" i="35"/>
  <c r="H150" i="35"/>
  <c r="I150" i="35"/>
  <c r="E149" i="35"/>
  <c r="F149" i="35"/>
  <c r="G149" i="35"/>
  <c r="J149" i="35"/>
  <c r="C149" i="35"/>
  <c r="D149" i="35"/>
  <c r="H149" i="35"/>
  <c r="I149" i="35"/>
  <c r="E148" i="35"/>
  <c r="F148" i="35"/>
  <c r="G148" i="35"/>
  <c r="J148" i="35"/>
  <c r="C148" i="35"/>
  <c r="D148" i="35"/>
  <c r="H148" i="35"/>
  <c r="I148" i="35"/>
  <c r="E146" i="35"/>
  <c r="F146" i="35"/>
  <c r="G146" i="35"/>
  <c r="J146" i="35"/>
  <c r="C146" i="35"/>
  <c r="D146" i="35"/>
  <c r="H146" i="35"/>
  <c r="I146" i="35"/>
  <c r="E137" i="35"/>
  <c r="F137" i="35"/>
  <c r="G137" i="35"/>
  <c r="J137" i="35"/>
  <c r="C137" i="35"/>
  <c r="D137" i="35"/>
  <c r="H137" i="35"/>
  <c r="I137" i="35"/>
  <c r="E143" i="35"/>
  <c r="F143" i="35"/>
  <c r="G143" i="35"/>
  <c r="J143" i="35"/>
  <c r="C143" i="35"/>
  <c r="D143" i="35"/>
  <c r="H143" i="35"/>
  <c r="I143" i="35"/>
  <c r="E134" i="35"/>
  <c r="F134" i="35"/>
  <c r="G134" i="35"/>
  <c r="J134" i="35"/>
  <c r="C134" i="35"/>
  <c r="D134" i="35"/>
  <c r="H134" i="35"/>
  <c r="I134" i="35"/>
  <c r="E141" i="35"/>
  <c r="F141" i="35"/>
  <c r="G141" i="35"/>
  <c r="J141" i="35"/>
  <c r="C141" i="35"/>
  <c r="D141" i="35"/>
  <c r="H141" i="35"/>
  <c r="I141" i="35"/>
  <c r="E147" i="35"/>
  <c r="F147" i="35"/>
  <c r="G147" i="35"/>
  <c r="J147" i="35"/>
  <c r="C147" i="35"/>
  <c r="D147" i="35"/>
  <c r="H147" i="35"/>
  <c r="I147" i="35"/>
  <c r="E139" i="35"/>
  <c r="F139" i="35"/>
  <c r="G139" i="35"/>
  <c r="J139" i="35"/>
  <c r="C139" i="35"/>
  <c r="D139" i="35"/>
  <c r="H139" i="35"/>
  <c r="I139" i="35"/>
  <c r="H133" i="35"/>
  <c r="G133" i="35"/>
  <c r="F133" i="35"/>
  <c r="C133" i="35"/>
  <c r="J133" i="35"/>
  <c r="I133" i="35"/>
  <c r="E133" i="35"/>
  <c r="D133" i="35"/>
  <c r="E138" i="35"/>
  <c r="F138" i="35"/>
  <c r="G138" i="35"/>
  <c r="J138" i="35"/>
  <c r="C138" i="35"/>
  <c r="D138" i="35"/>
  <c r="H138" i="35"/>
  <c r="I138" i="35"/>
  <c r="E153" i="35"/>
  <c r="F153" i="35"/>
  <c r="G153" i="35"/>
  <c r="J153" i="35"/>
  <c r="C153" i="35"/>
  <c r="D153" i="35"/>
  <c r="H153" i="35"/>
  <c r="I153" i="35"/>
  <c r="E145" i="35"/>
  <c r="F145" i="35"/>
  <c r="G145" i="35"/>
  <c r="J145" i="35"/>
  <c r="C145" i="35"/>
  <c r="D145" i="35"/>
  <c r="H145" i="35"/>
  <c r="I145" i="35"/>
  <c r="E152" i="35"/>
  <c r="F152" i="35"/>
  <c r="G152" i="35"/>
  <c r="J152" i="35"/>
  <c r="C152" i="35"/>
  <c r="D152" i="35"/>
  <c r="H152" i="35"/>
  <c r="I152" i="35"/>
  <c r="E144" i="35"/>
  <c r="F144" i="35"/>
  <c r="G144" i="35"/>
  <c r="J144" i="35"/>
  <c r="C144" i="35"/>
  <c r="D144" i="35"/>
  <c r="H144" i="35"/>
  <c r="I144" i="35"/>
  <c r="E136" i="35"/>
  <c r="F136" i="35"/>
  <c r="G136" i="35"/>
  <c r="J136" i="35"/>
  <c r="C136" i="35"/>
  <c r="D136" i="35"/>
  <c r="H136" i="35"/>
  <c r="I136" i="35"/>
  <c r="BU6" i="20"/>
  <c r="BU56" i="20" s="1"/>
  <c r="CD6" i="20"/>
  <c r="CC6" i="20"/>
  <c r="CB6" i="20"/>
  <c r="CA6" i="20"/>
  <c r="BZ6" i="20"/>
  <c r="BY6" i="20"/>
  <c r="BX6" i="20"/>
  <c r="BW6" i="20"/>
  <c r="G53" i="31"/>
  <c r="D52" i="31"/>
  <c r="G52" i="31" s="1"/>
  <c r="AA18" i="18" s="1"/>
  <c r="AI47" i="18"/>
  <c r="CC56" i="20" l="1"/>
  <c r="R11" i="18" s="1"/>
  <c r="R34" i="18" s="1"/>
  <c r="BX56" i="20"/>
  <c r="H11" i="18" s="1"/>
  <c r="H24" i="18" s="1"/>
  <c r="CA56" i="20"/>
  <c r="N11" i="18" s="1"/>
  <c r="N30" i="18" s="1"/>
  <c r="BY56" i="20"/>
  <c r="BZ56" i="20"/>
  <c r="L11" i="18" s="1"/>
  <c r="L28" i="18" s="1"/>
  <c r="BW56" i="20"/>
  <c r="F11" i="18" s="1"/>
  <c r="CB56" i="20"/>
  <c r="P11" i="18" s="1"/>
  <c r="P32" i="18" s="1"/>
  <c r="CD56" i="20"/>
  <c r="T11" i="18" s="1"/>
  <c r="T36" i="18" s="1"/>
  <c r="F52" i="31"/>
  <c r="F53" i="31"/>
  <c r="E53" i="31" s="1"/>
  <c r="J11" i="18" l="1"/>
  <c r="J26" i="18" s="1"/>
  <c r="E52" i="31"/>
  <c r="H48" i="35" l="1"/>
  <c r="I48" i="35"/>
  <c r="D110" i="31"/>
  <c r="F110" i="31" s="1"/>
  <c r="K48" i="35" l="1"/>
  <c r="J48" i="35"/>
  <c r="E48" i="35"/>
  <c r="I17" i="35"/>
  <c r="D48" i="35"/>
  <c r="F48" i="35"/>
  <c r="H17" i="35"/>
  <c r="G48" i="35"/>
  <c r="G17" i="35"/>
  <c r="F17" i="35"/>
  <c r="E17" i="35"/>
  <c r="G110" i="31"/>
  <c r="E110" i="31" s="1"/>
  <c r="D17" i="35" l="1"/>
  <c r="C17" i="35"/>
  <c r="J17" i="35"/>
  <c r="D266" i="31" l="1"/>
  <c r="D242" i="31"/>
  <c r="D219" i="31"/>
  <c r="D147" i="31"/>
  <c r="D122" i="31"/>
  <c r="D97" i="31"/>
  <c r="A26" i="38" l="1"/>
  <c r="A25" i="38"/>
  <c r="A24" i="38"/>
  <c r="A23" i="38"/>
  <c r="A22" i="38"/>
  <c r="A21" i="38"/>
  <c r="A20" i="38"/>
  <c r="D272" i="31"/>
  <c r="G272" i="31" s="1"/>
  <c r="D269" i="31"/>
  <c r="G269" i="31" s="1"/>
  <c r="D268" i="31"/>
  <c r="F268" i="31" s="1"/>
  <c r="G266" i="31"/>
  <c r="AA36" i="18" s="1"/>
  <c r="D201" i="31"/>
  <c r="D225" i="31"/>
  <c r="D248" i="31"/>
  <c r="G248" i="31" s="1"/>
  <c r="D245" i="31"/>
  <c r="G245" i="31" s="1"/>
  <c r="D244" i="31"/>
  <c r="G244" i="31" s="1"/>
  <c r="F242" i="31"/>
  <c r="AC34" i="18" l="1"/>
  <c r="G268" i="31"/>
  <c r="F266" i="31"/>
  <c r="F269" i="31"/>
  <c r="E269" i="31" s="1"/>
  <c r="D273" i="31"/>
  <c r="F272" i="31"/>
  <c r="G242" i="31"/>
  <c r="F248" i="31"/>
  <c r="F245" i="31"/>
  <c r="E245" i="31" s="1"/>
  <c r="D249" i="31"/>
  <c r="F244" i="31"/>
  <c r="E268" i="31" l="1"/>
  <c r="AC36" i="18"/>
  <c r="E242" i="31"/>
  <c r="AA34" i="18"/>
  <c r="E266" i="31"/>
  <c r="G273" i="31"/>
  <c r="F273" i="31"/>
  <c r="F274" i="31" s="1"/>
  <c r="AG36" i="18" s="1"/>
  <c r="H45" i="34" s="1"/>
  <c r="G249" i="31"/>
  <c r="G250" i="31" s="1"/>
  <c r="F249" i="31"/>
  <c r="F250" i="31" s="1"/>
  <c r="AG34" i="18" s="1"/>
  <c r="H43" i="34" s="1"/>
  <c r="E244" i="31"/>
  <c r="D222" i="31"/>
  <c r="F222" i="31" s="1"/>
  <c r="D221" i="31"/>
  <c r="G221" i="31" s="1"/>
  <c r="G225" i="31"/>
  <c r="F225" i="31"/>
  <c r="F219" i="31"/>
  <c r="F201" i="31"/>
  <c r="D198" i="31"/>
  <c r="G198" i="31" s="1"/>
  <c r="D197" i="31"/>
  <c r="F197" i="31" s="1"/>
  <c r="G195" i="31"/>
  <c r="AA30" i="18" s="1"/>
  <c r="D177" i="31"/>
  <c r="G177" i="31" s="1"/>
  <c r="D174" i="31"/>
  <c r="G174" i="31" s="1"/>
  <c r="D173" i="31"/>
  <c r="G173" i="31" s="1"/>
  <c r="F171" i="31"/>
  <c r="D150" i="31"/>
  <c r="G150" i="31" s="1"/>
  <c r="D149" i="31"/>
  <c r="G149" i="31" s="1"/>
  <c r="D103" i="31"/>
  <c r="D125" i="31"/>
  <c r="F125" i="31" s="1"/>
  <c r="D124" i="31"/>
  <c r="G124" i="31" s="1"/>
  <c r="G147" i="31"/>
  <c r="AA26" i="18" s="1"/>
  <c r="F122" i="31"/>
  <c r="AC28" i="18" l="1"/>
  <c r="AC26" i="18"/>
  <c r="G274" i="31"/>
  <c r="G222" i="31"/>
  <c r="E222" i="31" s="1"/>
  <c r="G197" i="31"/>
  <c r="AC30" i="18" s="1"/>
  <c r="G219" i="31"/>
  <c r="D226" i="31"/>
  <c r="F221" i="31"/>
  <c r="G201" i="31"/>
  <c r="D202" i="31" s="1"/>
  <c r="F198" i="31"/>
  <c r="E198" i="31" s="1"/>
  <c r="F195" i="31"/>
  <c r="E195" i="31" s="1"/>
  <c r="F177" i="31"/>
  <c r="G171" i="31"/>
  <c r="F174" i="31"/>
  <c r="E174" i="31" s="1"/>
  <c r="F173" i="31"/>
  <c r="D178" i="31"/>
  <c r="F147" i="31"/>
  <c r="E147" i="31" s="1"/>
  <c r="F150" i="31"/>
  <c r="E150" i="31" s="1"/>
  <c r="F149" i="31"/>
  <c r="E149" i="31" s="1"/>
  <c r="G125" i="31"/>
  <c r="E125" i="31" s="1"/>
  <c r="G122" i="31"/>
  <c r="AA24" i="18" s="1"/>
  <c r="F124" i="31"/>
  <c r="E124" i="31" s="1"/>
  <c r="AC32" i="18" l="1"/>
  <c r="E219" i="31"/>
  <c r="AA32" i="18"/>
  <c r="E197" i="31"/>
  <c r="E171" i="31"/>
  <c r="AA28" i="18"/>
  <c r="AC24" i="18"/>
  <c r="G226" i="31"/>
  <c r="G227" i="31" s="1"/>
  <c r="F226" i="31"/>
  <c r="F227" i="31" s="1"/>
  <c r="AG32" i="18" s="1"/>
  <c r="H41" i="34" s="1"/>
  <c r="E221" i="31"/>
  <c r="G202" i="31"/>
  <c r="G203" i="31" s="1"/>
  <c r="F202" i="31"/>
  <c r="F203" i="31" s="1"/>
  <c r="AG30" i="18" s="1"/>
  <c r="H39" i="34" s="1"/>
  <c r="G178" i="31"/>
  <c r="G179" i="31" s="1"/>
  <c r="F178" i="31"/>
  <c r="F179" i="31" s="1"/>
  <c r="AG28" i="18" s="1"/>
  <c r="E173" i="31"/>
  <c r="E122" i="31"/>
  <c r="D99" i="31" l="1"/>
  <c r="G99" i="31" s="1"/>
  <c r="D100" i="31"/>
  <c r="G100" i="31" s="1"/>
  <c r="F103" i="31"/>
  <c r="G97" i="31"/>
  <c r="AA22" i="18" s="1"/>
  <c r="AC22" i="18" l="1"/>
  <c r="F99" i="31"/>
  <c r="E99" i="31" s="1"/>
  <c r="F97" i="31"/>
  <c r="E97" i="31" s="1"/>
  <c r="G103" i="31"/>
  <c r="D104" i="31" s="1"/>
  <c r="F100" i="31"/>
  <c r="E100" i="31" s="1"/>
  <c r="G104" i="31" l="1"/>
  <c r="G105" i="31" s="1"/>
  <c r="F104" i="31"/>
  <c r="F105" i="31" s="1"/>
  <c r="AG22" i="18" s="1"/>
  <c r="H31" i="34" l="1"/>
  <c r="C154" i="35" l="1"/>
  <c r="C155" i="35" s="1"/>
  <c r="C156" i="35" s="1"/>
  <c r="J154" i="35"/>
  <c r="J155" i="35" s="1"/>
  <c r="J156" i="35" s="1"/>
  <c r="H154" i="35"/>
  <c r="H155" i="35" s="1"/>
  <c r="H156" i="35" s="1"/>
  <c r="F154" i="35"/>
  <c r="F155" i="35" s="1"/>
  <c r="F156" i="35" s="1"/>
  <c r="D154" i="35"/>
  <c r="D155" i="35" s="1"/>
  <c r="D156" i="35" s="1"/>
  <c r="I154" i="35"/>
  <c r="I155" i="35" s="1"/>
  <c r="I156" i="35" s="1"/>
  <c r="E154" i="35"/>
  <c r="E155" i="35" s="1"/>
  <c r="E156" i="35" s="1"/>
  <c r="G154" i="35"/>
  <c r="G155" i="35" s="1"/>
  <c r="G156" i="35" s="1"/>
  <c r="C20" i="39"/>
  <c r="C19" i="39"/>
  <c r="D55" i="31" s="1"/>
  <c r="C18" i="35" l="1"/>
  <c r="G55" i="31"/>
  <c r="AC18" i="18" s="1"/>
  <c r="F55" i="31"/>
  <c r="D18" i="35" l="1"/>
  <c r="E18" i="35" s="1"/>
  <c r="C24" i="35"/>
  <c r="E55" i="31"/>
  <c r="D24" i="35" l="1"/>
  <c r="F18" i="35"/>
  <c r="E24" i="35"/>
  <c r="G278" i="31"/>
  <c r="F278" i="31"/>
  <c r="G18" i="35" l="1"/>
  <c r="F24" i="35"/>
  <c r="E278" i="31"/>
  <c r="AA37" i="18"/>
  <c r="P56" i="20" l="1"/>
  <c r="H18" i="35"/>
  <c r="G24" i="35"/>
  <c r="I18" i="35" l="1"/>
  <c r="H24" i="35"/>
  <c r="D376" i="31"/>
  <c r="D366" i="31"/>
  <c r="D320" i="31"/>
  <c r="D319" i="31"/>
  <c r="D308" i="31"/>
  <c r="D305" i="31"/>
  <c r="D287" i="31"/>
  <c r="J18" i="35" l="1"/>
  <c r="J24" i="35" s="1"/>
  <c r="I24" i="35"/>
  <c r="D315" i="31"/>
  <c r="D288" i="31"/>
  <c r="A42" i="39" l="1"/>
  <c r="A41" i="39"/>
  <c r="D410" i="31" l="1"/>
  <c r="F410" i="31" s="1"/>
  <c r="D391" i="31"/>
  <c r="F391" i="31" s="1"/>
  <c r="D383" i="31"/>
  <c r="D364" i="31"/>
  <c r="D363" i="31"/>
  <c r="D354" i="31"/>
  <c r="D353" i="31"/>
  <c r="D345" i="31"/>
  <c r="D337" i="31"/>
  <c r="D328" i="31"/>
  <c r="D306" i="31"/>
  <c r="D289" i="31"/>
  <c r="D75" i="31"/>
  <c r="D74" i="31"/>
  <c r="D73" i="31"/>
  <c r="D63" i="31"/>
  <c r="D62" i="31"/>
  <c r="D286" i="31"/>
  <c r="D321" i="31" l="1"/>
  <c r="D309" i="31"/>
  <c r="D35" i="31"/>
  <c r="D404" i="31"/>
  <c r="D76" i="31"/>
  <c r="D65" i="31"/>
  <c r="D45" i="31"/>
  <c r="D293" i="31"/>
  <c r="F159" i="31"/>
  <c r="G159" i="31"/>
  <c r="D255" i="31"/>
  <c r="D136" i="31"/>
  <c r="D208" i="31"/>
  <c r="D160" i="31"/>
  <c r="D85" i="31"/>
  <c r="D32" i="31"/>
  <c r="D231" i="31"/>
  <c r="D184" i="31"/>
  <c r="D374" i="31"/>
  <c r="D64" i="31"/>
  <c r="D210" i="31"/>
  <c r="D162" i="31"/>
  <c r="D112" i="31"/>
  <c r="D87" i="31"/>
  <c r="D233" i="31"/>
  <c r="D186" i="31"/>
  <c r="D257" i="31"/>
  <c r="D138" i="31"/>
  <c r="G85" i="31" l="1"/>
  <c r="F85" i="31"/>
  <c r="F160" i="31"/>
  <c r="G160" i="31"/>
  <c r="E159" i="31"/>
  <c r="D26" i="31" l="1"/>
  <c r="C4" i="35"/>
  <c r="D56" i="31"/>
  <c r="G56" i="31" l="1"/>
  <c r="F56" i="31"/>
  <c r="D20" i="31"/>
  <c r="D128" i="31"/>
  <c r="D153" i="31"/>
  <c r="D280" i="31"/>
  <c r="D236" i="31"/>
  <c r="D213" i="31"/>
  <c r="D356" i="31"/>
  <c r="F356" i="31" s="1"/>
  <c r="F291" i="31"/>
  <c r="G87" i="31"/>
  <c r="AC21" i="18" s="1"/>
  <c r="G76" i="31"/>
  <c r="G73" i="31"/>
  <c r="AA20" i="18" s="1"/>
  <c r="F35" i="31"/>
  <c r="F33" i="31"/>
  <c r="C159" i="34"/>
  <c r="E159" i="34" s="1"/>
  <c r="C158" i="34"/>
  <c r="D158" i="34" s="1"/>
  <c r="N149" i="34"/>
  <c r="O149" i="34" s="1"/>
  <c r="L149" i="34"/>
  <c r="N148" i="34"/>
  <c r="O148" i="34" s="1"/>
  <c r="L148" i="34"/>
  <c r="N147" i="34"/>
  <c r="O147" i="34" s="1"/>
  <c r="L147" i="34"/>
  <c r="N146" i="34"/>
  <c r="O146" i="34" s="1"/>
  <c r="L146" i="34"/>
  <c r="N145" i="34"/>
  <c r="O145" i="34" s="1"/>
  <c r="L145" i="34"/>
  <c r="N144" i="34"/>
  <c r="L144" i="34"/>
  <c r="N143" i="34"/>
  <c r="O143" i="34" s="1"/>
  <c r="L143" i="34"/>
  <c r="N142" i="34"/>
  <c r="O142" i="34" s="1"/>
  <c r="F383" i="31"/>
  <c r="G354" i="31"/>
  <c r="F353" i="31"/>
  <c r="G328" i="31"/>
  <c r="AC41" i="18" s="1"/>
  <c r="G315" i="31"/>
  <c r="AA40" i="18" s="1"/>
  <c r="G287" i="31"/>
  <c r="G84" i="31"/>
  <c r="F12" i="31"/>
  <c r="K57" i="20"/>
  <c r="N60" i="20"/>
  <c r="G286" i="31"/>
  <c r="AA38" i="18" s="1"/>
  <c r="F183" i="31"/>
  <c r="C35" i="18"/>
  <c r="C33" i="18"/>
  <c r="C31" i="18"/>
  <c r="C29" i="18"/>
  <c r="C27" i="18"/>
  <c r="C25" i="18"/>
  <c r="C23" i="18"/>
  <c r="C21" i="18"/>
  <c r="F403" i="31"/>
  <c r="F402" i="31"/>
  <c r="G376" i="31"/>
  <c r="G320" i="31"/>
  <c r="G318" i="31"/>
  <c r="G307" i="31"/>
  <c r="F306" i="31"/>
  <c r="F292" i="31"/>
  <c r="F186" i="31"/>
  <c r="F138" i="31"/>
  <c r="G112" i="31"/>
  <c r="AC23" i="18" s="1"/>
  <c r="F87" i="31"/>
  <c r="G74" i="31"/>
  <c r="G43" i="31"/>
  <c r="G42" i="31"/>
  <c r="G32" i="31"/>
  <c r="BJ6" i="20"/>
  <c r="AZ6" i="20" s="1"/>
  <c r="F42" i="31"/>
  <c r="F364" i="31"/>
  <c r="G230" i="31"/>
  <c r="S50" i="18"/>
  <c r="Q50" i="18"/>
  <c r="O50" i="18"/>
  <c r="M50" i="18"/>
  <c r="K50" i="18"/>
  <c r="I50" i="18"/>
  <c r="G50" i="18"/>
  <c r="C289" i="31"/>
  <c r="M16" i="18"/>
  <c r="O16" i="18"/>
  <c r="U53" i="18"/>
  <c r="V53" i="18" s="1"/>
  <c r="K51" i="18"/>
  <c r="E50" i="18"/>
  <c r="S48" i="18"/>
  <c r="S49" i="18" s="1"/>
  <c r="Q48" i="18"/>
  <c r="Q49" i="18" s="1"/>
  <c r="G48" i="18"/>
  <c r="G49" i="18" s="1"/>
  <c r="C338" i="31"/>
  <c r="C346" i="31"/>
  <c r="G288" i="31"/>
  <c r="W6" i="20"/>
  <c r="AO6" i="20" s="1"/>
  <c r="V6" i="20"/>
  <c r="AN6" i="20" s="1"/>
  <c r="U6" i="20"/>
  <c r="AM6" i="20" s="1"/>
  <c r="T6" i="20"/>
  <c r="AL6" i="20" s="1"/>
  <c r="S6" i="20"/>
  <c r="AK6" i="20" s="1"/>
  <c r="R6" i="20"/>
  <c r="AJ6" i="20" s="1"/>
  <c r="S51" i="18"/>
  <c r="E19" i="18"/>
  <c r="S16" i="18"/>
  <c r="G290" i="31"/>
  <c r="AA38" i="31"/>
  <c r="Q51" i="18"/>
  <c r="M51" i="18"/>
  <c r="O51" i="18"/>
  <c r="G258" i="31"/>
  <c r="F258" i="31"/>
  <c r="G256" i="31"/>
  <c r="F256" i="31"/>
  <c r="G255" i="31"/>
  <c r="F255" i="31"/>
  <c r="F337" i="31"/>
  <c r="F354" i="31"/>
  <c r="G319" i="31"/>
  <c r="F233" i="31"/>
  <c r="G162" i="31"/>
  <c r="AC27" i="18" s="1"/>
  <c r="G231" i="31"/>
  <c r="G232" i="31"/>
  <c r="G234" i="31"/>
  <c r="F231" i="31"/>
  <c r="F232" i="31"/>
  <c r="F234" i="31"/>
  <c r="F208" i="31"/>
  <c r="F209" i="31"/>
  <c r="F211" i="31"/>
  <c r="G211" i="31"/>
  <c r="G209" i="31"/>
  <c r="G208" i="31"/>
  <c r="G184" i="31"/>
  <c r="G185" i="31"/>
  <c r="G187" i="31"/>
  <c r="F184" i="31"/>
  <c r="F185" i="31"/>
  <c r="F187" i="31"/>
  <c r="G161" i="31"/>
  <c r="G163" i="31"/>
  <c r="F161" i="31"/>
  <c r="F163" i="31"/>
  <c r="G136" i="31"/>
  <c r="G137" i="31"/>
  <c r="G139" i="31"/>
  <c r="F136" i="31"/>
  <c r="F137" i="31"/>
  <c r="F139" i="31"/>
  <c r="G111" i="31"/>
  <c r="F113" i="31"/>
  <c r="F111" i="31"/>
  <c r="F88" i="31"/>
  <c r="F86" i="31"/>
  <c r="G86" i="31"/>
  <c r="G88" i="31"/>
  <c r="F135" i="31"/>
  <c r="F73" i="31"/>
  <c r="G113" i="31"/>
  <c r="G135" i="31"/>
  <c r="G183" i="31"/>
  <c r="F25" i="33"/>
  <c r="A13" i="18"/>
  <c r="A14" i="18"/>
  <c r="A15" i="18" s="1"/>
  <c r="A16" i="18" s="1"/>
  <c r="A17" i="18" s="1"/>
  <c r="A19" i="18"/>
  <c r="A20" i="18" s="1"/>
  <c r="A21" i="18" s="1"/>
  <c r="A23" i="18" s="1"/>
  <c r="E16" i="18"/>
  <c r="Q16" i="18"/>
  <c r="E48" i="18"/>
  <c r="E49" i="18" s="1"/>
  <c r="I48" i="18"/>
  <c r="I49" i="18" s="1"/>
  <c r="K48" i="18"/>
  <c r="K49" i="18" s="1"/>
  <c r="M48" i="18"/>
  <c r="M49" i="18" s="1"/>
  <c r="O48" i="18"/>
  <c r="O49" i="18" s="1"/>
  <c r="I10" i="34"/>
  <c r="I11" i="34" s="1"/>
  <c r="I13" i="34"/>
  <c r="I14" i="34"/>
  <c r="F286" i="31"/>
  <c r="G210" i="31"/>
  <c r="F210" i="31"/>
  <c r="F319" i="31"/>
  <c r="F288" i="31"/>
  <c r="G233" i="31"/>
  <c r="F74" i="31"/>
  <c r="G337" i="31"/>
  <c r="F320" i="31"/>
  <c r="F162" i="31"/>
  <c r="F290" i="31"/>
  <c r="G383" i="31"/>
  <c r="AA50" i="18" s="1"/>
  <c r="G364" i="31"/>
  <c r="G12" i="31"/>
  <c r="F112" i="31"/>
  <c r="F43" i="31"/>
  <c r="F307" i="31"/>
  <c r="G138" i="31"/>
  <c r="G292" i="31"/>
  <c r="F230" i="31"/>
  <c r="G306" i="31"/>
  <c r="F318" i="31"/>
  <c r="G373" i="31"/>
  <c r="F373" i="31"/>
  <c r="F308" i="31"/>
  <c r="G308" i="31"/>
  <c r="F376" i="31"/>
  <c r="F328" i="31"/>
  <c r="F64" i="31"/>
  <c r="G64" i="31"/>
  <c r="G403" i="31"/>
  <c r="G35" i="31"/>
  <c r="F62" i="31"/>
  <c r="G62" i="31"/>
  <c r="G402" i="31"/>
  <c r="G186" i="31"/>
  <c r="F84" i="31"/>
  <c r="F315" i="31"/>
  <c r="G353" i="31"/>
  <c r="AA44" i="18" s="1"/>
  <c r="F75" i="31"/>
  <c r="G75" i="31"/>
  <c r="F257" i="31"/>
  <c r="G257" i="31"/>
  <c r="AC35" i="18" s="1"/>
  <c r="G302" i="31"/>
  <c r="AA39" i="18" s="1"/>
  <c r="F302" i="31"/>
  <c r="G391" i="31"/>
  <c r="AA51" i="18" s="1"/>
  <c r="G63" i="31"/>
  <c r="F63" i="31"/>
  <c r="G366" i="31"/>
  <c r="AC45" i="18" s="1"/>
  <c r="F366" i="31"/>
  <c r="L142" i="34"/>
  <c r="G45" i="31"/>
  <c r="F45" i="31"/>
  <c r="G65" i="31"/>
  <c r="F65" i="31"/>
  <c r="F76" i="31"/>
  <c r="F207" i="31"/>
  <c r="G207" i="31"/>
  <c r="AA31" i="18" s="1"/>
  <c r="F254" i="31"/>
  <c r="G254" i="31"/>
  <c r="AA35" i="18" s="1"/>
  <c r="F305" i="31"/>
  <c r="G305" i="31"/>
  <c r="G345" i="31"/>
  <c r="AA43" i="18" s="1"/>
  <c r="F345" i="31"/>
  <c r="G363" i="31"/>
  <c r="F363" i="31"/>
  <c r="F374" i="31"/>
  <c r="G374" i="31"/>
  <c r="G410" i="31"/>
  <c r="AA53" i="18" s="1"/>
  <c r="G33" i="31"/>
  <c r="F287" i="31"/>
  <c r="AA27" i="18"/>
  <c r="G291" i="31"/>
  <c r="BE6" i="20" l="1"/>
  <c r="BG6" i="20"/>
  <c r="BA6" i="20"/>
  <c r="BC6" i="20"/>
  <c r="BF6" i="20"/>
  <c r="BB6" i="20"/>
  <c r="BD6" i="20"/>
  <c r="AT6" i="20"/>
  <c r="AU6" i="20"/>
  <c r="AV6" i="20"/>
  <c r="AW6" i="20"/>
  <c r="AX6" i="20"/>
  <c r="AR6" i="20"/>
  <c r="AQ6" i="20"/>
  <c r="AS6" i="20"/>
  <c r="BP6" i="20"/>
  <c r="AD6" i="20"/>
  <c r="AB6" i="20"/>
  <c r="BR6" i="20"/>
  <c r="AF6" i="20"/>
  <c r="D57" i="31"/>
  <c r="F57" i="31" s="1"/>
  <c r="E76" i="31"/>
  <c r="AA45" i="18"/>
  <c r="AC29" i="18"/>
  <c r="AC25" i="18"/>
  <c r="AC31" i="18"/>
  <c r="AC33" i="18"/>
  <c r="E56" i="31"/>
  <c r="AD53" i="18"/>
  <c r="I412" i="31"/>
  <c r="E158" i="34"/>
  <c r="C164" i="34" s="1"/>
  <c r="D164" i="34" s="1"/>
  <c r="F153" i="31"/>
  <c r="G153" i="31"/>
  <c r="F128" i="31"/>
  <c r="G128" i="31"/>
  <c r="D129" i="31" s="1"/>
  <c r="G280" i="31"/>
  <c r="D281" i="31" s="1"/>
  <c r="F280" i="31"/>
  <c r="G95" i="34"/>
  <c r="E87" i="31"/>
  <c r="BO6" i="20"/>
  <c r="C67" i="20"/>
  <c r="C68" i="20" s="1"/>
  <c r="C70" i="20" s="1"/>
  <c r="BS6" i="20"/>
  <c r="E183" i="31"/>
  <c r="AA29" i="18"/>
  <c r="E291" i="31"/>
  <c r="E292" i="31"/>
  <c r="I15" i="34"/>
  <c r="AA6" i="20"/>
  <c r="AE6" i="20"/>
  <c r="BN6" i="20"/>
  <c r="BQ6" i="20"/>
  <c r="BL6" i="20"/>
  <c r="AC6" i="20"/>
  <c r="BJ56" i="20"/>
  <c r="G356" i="31"/>
  <c r="E366" i="31"/>
  <c r="E258" i="31"/>
  <c r="E374" i="31"/>
  <c r="E63" i="31"/>
  <c r="E209" i="31"/>
  <c r="E345" i="31"/>
  <c r="E65" i="31"/>
  <c r="E185" i="31"/>
  <c r="E73" i="31"/>
  <c r="E373" i="31"/>
  <c r="E308" i="31"/>
  <c r="AC16" i="18"/>
  <c r="E383" i="31"/>
  <c r="E287" i="31"/>
  <c r="AC17" i="18"/>
  <c r="E75" i="31"/>
  <c r="AC19" i="18"/>
  <c r="E138" i="31"/>
  <c r="G59" i="34"/>
  <c r="E137" i="31"/>
  <c r="D159" i="34"/>
  <c r="E320" i="31"/>
  <c r="E42" i="31"/>
  <c r="E254" i="31"/>
  <c r="E302" i="31"/>
  <c r="E35" i="31"/>
  <c r="E306" i="31"/>
  <c r="AA33" i="18"/>
  <c r="E230" i="31"/>
  <c r="E286" i="31"/>
  <c r="E85" i="31"/>
  <c r="E290" i="31"/>
  <c r="E256" i="31"/>
  <c r="E43" i="31"/>
  <c r="E234" i="31"/>
  <c r="AA16" i="18"/>
  <c r="E45" i="31"/>
  <c r="E211" i="31"/>
  <c r="F32" i="31"/>
  <c r="E32" i="31" s="1"/>
  <c r="E74" i="31"/>
  <c r="E318" i="31"/>
  <c r="E208" i="31"/>
  <c r="E364" i="31"/>
  <c r="E113" i="31"/>
  <c r="E184" i="31"/>
  <c r="E136" i="31"/>
  <c r="E231" i="31"/>
  <c r="E353" i="31"/>
  <c r="E288" i="31"/>
  <c r="E315" i="31"/>
  <c r="E328" i="31"/>
  <c r="E363" i="31"/>
  <c r="AC46" i="18"/>
  <c r="E376" i="31"/>
  <c r="G327" i="31"/>
  <c r="AA41" i="18" s="1"/>
  <c r="F327" i="31"/>
  <c r="E305" i="31"/>
  <c r="E207" i="31"/>
  <c r="AC20" i="18"/>
  <c r="G321" i="31"/>
  <c r="AC40" i="18" s="1"/>
  <c r="G293" i="31"/>
  <c r="F293" i="31"/>
  <c r="E162" i="31"/>
  <c r="E160" i="31"/>
  <c r="E354" i="31"/>
  <c r="R56" i="20"/>
  <c r="J8" i="18" s="1"/>
  <c r="E22" i="35" s="1"/>
  <c r="BJ57" i="20"/>
  <c r="F109" i="31"/>
  <c r="G109" i="31"/>
  <c r="N150" i="34"/>
  <c r="E186" i="31"/>
  <c r="E163" i="31"/>
  <c r="O144" i="34"/>
  <c r="O150" i="34" s="1"/>
  <c r="E86" i="31"/>
  <c r="E111" i="31"/>
  <c r="E232" i="31"/>
  <c r="E255" i="31"/>
  <c r="E233" i="31"/>
  <c r="Q56" i="20"/>
  <c r="Z6" i="20"/>
  <c r="AA21" i="18"/>
  <c r="E84" i="31"/>
  <c r="W56" i="20"/>
  <c r="V56" i="20"/>
  <c r="S56" i="20"/>
  <c r="T56" i="20"/>
  <c r="U56" i="20"/>
  <c r="F289" i="31"/>
  <c r="G289" i="31"/>
  <c r="AA17" i="18"/>
  <c r="L57" i="20"/>
  <c r="E210" i="31"/>
  <c r="A25" i="18"/>
  <c r="A27" i="18" s="1"/>
  <c r="A29" i="18" s="1"/>
  <c r="A31" i="18" s="1"/>
  <c r="A39" i="18"/>
  <c r="A40" i="18" s="1"/>
  <c r="A37" i="18" s="1"/>
  <c r="E135" i="31"/>
  <c r="AA25" i="18"/>
  <c r="E139" i="31"/>
  <c r="E161" i="31"/>
  <c r="BM6" i="20"/>
  <c r="E187" i="31"/>
  <c r="E319" i="31"/>
  <c r="E257" i="31"/>
  <c r="E64" i="31"/>
  <c r="E307" i="31"/>
  <c r="AB53" i="18"/>
  <c r="AA19" i="18"/>
  <c r="E62" i="31"/>
  <c r="E337" i="31"/>
  <c r="AA42" i="18"/>
  <c r="AA46" i="18"/>
  <c r="E112" i="31"/>
  <c r="E33" i="31"/>
  <c r="G57" i="31" l="1"/>
  <c r="AG18" i="18" s="1"/>
  <c r="E57" i="31"/>
  <c r="E356" i="31"/>
  <c r="AC44" i="18"/>
  <c r="K412" i="31"/>
  <c r="J412" i="31"/>
  <c r="F22" i="18"/>
  <c r="G129" i="31"/>
  <c r="G130" i="31" s="1"/>
  <c r="F129" i="31"/>
  <c r="F130" i="31" s="1"/>
  <c r="AG24" i="18" s="1"/>
  <c r="H33" i="34" s="1"/>
  <c r="D154" i="31"/>
  <c r="G281" i="31"/>
  <c r="F281" i="31"/>
  <c r="AG37" i="18" s="1"/>
  <c r="E23" i="35"/>
  <c r="E25" i="35" s="1"/>
  <c r="U26" i="18"/>
  <c r="V26" i="18" s="1"/>
  <c r="A41" i="18"/>
  <c r="A42" i="18" s="1"/>
  <c r="J25" i="18"/>
  <c r="U25" i="18" s="1"/>
  <c r="V25" i="18" s="1"/>
  <c r="G34" i="34" s="1"/>
  <c r="AB56" i="20"/>
  <c r="AB57" i="20" s="1"/>
  <c r="K17" i="18" s="1"/>
  <c r="Z56" i="20"/>
  <c r="Z57" i="20" s="1"/>
  <c r="G17" i="18" s="1"/>
  <c r="J20" i="18"/>
  <c r="J19" i="18"/>
  <c r="J16" i="18"/>
  <c r="J41" i="18"/>
  <c r="J40" i="18"/>
  <c r="E144" i="34"/>
  <c r="F144" i="34" s="1"/>
  <c r="BC56" i="20"/>
  <c r="BC57" i="20" s="1"/>
  <c r="AM56" i="20"/>
  <c r="AV56" i="20"/>
  <c r="AV57" i="20" s="1"/>
  <c r="O43" i="18" s="1"/>
  <c r="BQ57" i="20"/>
  <c r="P10" i="18" s="1"/>
  <c r="AJ56" i="20"/>
  <c r="AR56" i="20"/>
  <c r="AR57" i="20" s="1"/>
  <c r="G42" i="18" s="1"/>
  <c r="AK56" i="20"/>
  <c r="BA56" i="20"/>
  <c r="BA57" i="20" s="1"/>
  <c r="BR57" i="20"/>
  <c r="R10" i="18" s="1"/>
  <c r="BP57" i="20"/>
  <c r="N10" i="18" s="1"/>
  <c r="AI56" i="20"/>
  <c r="AI57" i="20" s="1"/>
  <c r="G18" i="18" s="1"/>
  <c r="Y56" i="20"/>
  <c r="Y57" i="20" s="1"/>
  <c r="E17" i="18" s="1"/>
  <c r="BS56" i="20"/>
  <c r="T9" i="18" s="1"/>
  <c r="T45" i="18" s="1"/>
  <c r="F321" i="31"/>
  <c r="E321" i="31" s="1"/>
  <c r="E293" i="31"/>
  <c r="G399" i="31"/>
  <c r="AA52" i="18" s="1"/>
  <c r="F399" i="31"/>
  <c r="AO56" i="20"/>
  <c r="E327" i="31"/>
  <c r="AT56" i="20"/>
  <c r="AT57" i="20" s="1"/>
  <c r="K43" i="18" s="1"/>
  <c r="AW56" i="20"/>
  <c r="AW57" i="20" s="1"/>
  <c r="Q43" i="18" s="1"/>
  <c r="BG56" i="20"/>
  <c r="BG57" i="20" s="1"/>
  <c r="BM56" i="20"/>
  <c r="AL56" i="20"/>
  <c r="BE56" i="20"/>
  <c r="BE57" i="20" s="1"/>
  <c r="BQ56" i="20"/>
  <c r="P9" i="18" s="1"/>
  <c r="P45" i="18" s="1"/>
  <c r="BO56" i="20"/>
  <c r="L9" i="18" s="1"/>
  <c r="L45" i="18" s="1"/>
  <c r="BB56" i="20"/>
  <c r="BB57" i="20" s="1"/>
  <c r="AD56" i="20"/>
  <c r="AD57" i="20" s="1"/>
  <c r="O17" i="18" s="1"/>
  <c r="BD56" i="20"/>
  <c r="BD57" i="20" s="1"/>
  <c r="AC56" i="20"/>
  <c r="AC57" i="20" s="1"/>
  <c r="M17" i="18" s="1"/>
  <c r="AE56" i="20"/>
  <c r="AE57" i="20" s="1"/>
  <c r="Q17" i="18" s="1"/>
  <c r="BF56" i="20"/>
  <c r="BF57" i="20" s="1"/>
  <c r="AH56" i="20"/>
  <c r="AH57" i="20" s="1"/>
  <c r="E18" i="18" s="1"/>
  <c r="BL56" i="20"/>
  <c r="F9" i="18" s="1"/>
  <c r="F46" i="18" s="1"/>
  <c r="BS57" i="20"/>
  <c r="T10" i="18" s="1"/>
  <c r="AA56" i="20"/>
  <c r="AA57" i="20" s="1"/>
  <c r="I17" i="18" s="1"/>
  <c r="AZ56" i="20"/>
  <c r="AZ57" i="20" s="1"/>
  <c r="AF56" i="20"/>
  <c r="AF57" i="20" s="1"/>
  <c r="S17" i="18" s="1"/>
  <c r="BR56" i="20"/>
  <c r="R9" i="18" s="1"/>
  <c r="R45" i="18" s="1"/>
  <c r="E109" i="31"/>
  <c r="AA23" i="18"/>
  <c r="G309" i="31"/>
  <c r="F309" i="31"/>
  <c r="AS56" i="20"/>
  <c r="AS57" i="20" s="1"/>
  <c r="I43" i="18" s="1"/>
  <c r="BP56" i="20"/>
  <c r="N9" i="18" s="1"/>
  <c r="N45" i="18" s="1"/>
  <c r="AU56" i="20"/>
  <c r="AU57" i="20" s="1"/>
  <c r="M43" i="18" s="1"/>
  <c r="AQ56" i="20"/>
  <c r="AQ57" i="20" s="1"/>
  <c r="E42" i="18" s="1"/>
  <c r="E289" i="31"/>
  <c r="AC38" i="18"/>
  <c r="AX56" i="20"/>
  <c r="AX57" i="20" s="1"/>
  <c r="S43" i="18" s="1"/>
  <c r="BL57" i="20"/>
  <c r="F10" i="18" s="1"/>
  <c r="BO57" i="20"/>
  <c r="L10" i="18" s="1"/>
  <c r="BM57" i="20"/>
  <c r="H10" i="18" s="1"/>
  <c r="L8" i="18"/>
  <c r="E145" i="34"/>
  <c r="R8" i="18"/>
  <c r="E148" i="34"/>
  <c r="AN56" i="20"/>
  <c r="BN56" i="20"/>
  <c r="J9" i="18" s="1"/>
  <c r="J45" i="18" s="1"/>
  <c r="BN57" i="20"/>
  <c r="J10" i="18" s="1"/>
  <c r="P8" i="18"/>
  <c r="U32" i="18" s="1"/>
  <c r="V32" i="18" s="1"/>
  <c r="E147" i="34"/>
  <c r="N8" i="18"/>
  <c r="U30" i="18" s="1"/>
  <c r="V30" i="18" s="1"/>
  <c r="I200" i="31" s="1"/>
  <c r="E146" i="34"/>
  <c r="Q57" i="20"/>
  <c r="N63" i="20" s="1"/>
  <c r="F8" i="18"/>
  <c r="F21" i="18" s="1"/>
  <c r="E142" i="34"/>
  <c r="T8" i="18"/>
  <c r="T20" i="18" s="1"/>
  <c r="E149" i="34"/>
  <c r="H8" i="18"/>
  <c r="E143" i="34"/>
  <c r="G404" i="31"/>
  <c r="F404" i="31"/>
  <c r="H9" i="18" l="1"/>
  <c r="H44" i="18" s="1"/>
  <c r="R17" i="18"/>
  <c r="E12" i="18"/>
  <c r="E14" i="18" s="1"/>
  <c r="AJ57" i="20"/>
  <c r="I18" i="18"/>
  <c r="J18" i="18" s="1"/>
  <c r="H18" i="18"/>
  <c r="AM57" i="20"/>
  <c r="O18" i="18"/>
  <c r="P18" i="18" s="1"/>
  <c r="AN57" i="20"/>
  <c r="Q18" i="18"/>
  <c r="R18" i="18" s="1"/>
  <c r="F18" i="18"/>
  <c r="AO57" i="20"/>
  <c r="S18" i="18"/>
  <c r="T18" i="18" s="1"/>
  <c r="AL57" i="20"/>
  <c r="M18" i="18"/>
  <c r="N18" i="18" s="1"/>
  <c r="AK57" i="20"/>
  <c r="K18" i="18"/>
  <c r="L18" i="18" s="1"/>
  <c r="H27" i="34"/>
  <c r="A38" i="18"/>
  <c r="U34" i="18"/>
  <c r="V34" i="18" s="1"/>
  <c r="I247" i="31" s="1"/>
  <c r="K247" i="31" s="1"/>
  <c r="I22" i="35"/>
  <c r="I23" i="35" s="1"/>
  <c r="I25" i="35" s="1"/>
  <c r="I26" i="35" s="1"/>
  <c r="U24" i="18"/>
  <c r="V24" i="18" s="1"/>
  <c r="AH24" i="18" s="1"/>
  <c r="D22" i="35"/>
  <c r="U36" i="18"/>
  <c r="V36" i="18" s="1"/>
  <c r="G81" i="34" s="1"/>
  <c r="J22" i="35"/>
  <c r="J23" i="35" s="1"/>
  <c r="J25" i="35" s="1"/>
  <c r="J26" i="35" s="1"/>
  <c r="E26" i="35"/>
  <c r="D140" i="31" s="1"/>
  <c r="U28" i="18"/>
  <c r="V28" i="18" s="1"/>
  <c r="G73" i="34" s="1"/>
  <c r="L27" i="18"/>
  <c r="U27" i="18" s="1"/>
  <c r="V27" i="18" s="1"/>
  <c r="AA54" i="18"/>
  <c r="L412" i="31"/>
  <c r="AJ53" i="18" s="1"/>
  <c r="K200" i="31"/>
  <c r="J200" i="31"/>
  <c r="G71" i="34"/>
  <c r="I153" i="31"/>
  <c r="G77" i="34"/>
  <c r="I224" i="31"/>
  <c r="G154" i="31"/>
  <c r="G155" i="31" s="1"/>
  <c r="F154" i="31"/>
  <c r="F155" i="31" s="1"/>
  <c r="AG26" i="18" s="1"/>
  <c r="H35" i="34" s="1"/>
  <c r="G39" i="34"/>
  <c r="I39" i="34" s="1"/>
  <c r="G75" i="34"/>
  <c r="F16" i="18"/>
  <c r="U22" i="18"/>
  <c r="V22" i="18" s="1"/>
  <c r="AH32" i="18"/>
  <c r="AB32" i="18"/>
  <c r="G41" i="34"/>
  <c r="I41" i="34" s="1"/>
  <c r="AD32" i="18"/>
  <c r="AB30" i="18"/>
  <c r="AH30" i="18"/>
  <c r="AD30" i="18"/>
  <c r="G35" i="34"/>
  <c r="AB26" i="18"/>
  <c r="AD26" i="18"/>
  <c r="G22" i="35"/>
  <c r="F22" i="35"/>
  <c r="F23" i="35" s="1"/>
  <c r="H22" i="35"/>
  <c r="C22" i="35"/>
  <c r="C23" i="35" s="1"/>
  <c r="C25" i="35" s="1"/>
  <c r="C26" i="35" s="1"/>
  <c r="AB25" i="18"/>
  <c r="I135" i="31"/>
  <c r="N51" i="18"/>
  <c r="G70" i="34"/>
  <c r="AD25" i="18"/>
  <c r="T48" i="18"/>
  <c r="R51" i="18"/>
  <c r="L52" i="18"/>
  <c r="P51" i="18"/>
  <c r="H49" i="18"/>
  <c r="T43" i="18"/>
  <c r="Y119" i="34"/>
  <c r="P43" i="18"/>
  <c r="R52" i="18"/>
  <c r="R50" i="18"/>
  <c r="R48" i="18"/>
  <c r="T51" i="18"/>
  <c r="T52" i="18"/>
  <c r="N52" i="18"/>
  <c r="P52" i="18"/>
  <c r="R49" i="18"/>
  <c r="P49" i="18"/>
  <c r="T49" i="18"/>
  <c r="P50" i="18"/>
  <c r="P48" i="18"/>
  <c r="L43" i="18"/>
  <c r="N50" i="18"/>
  <c r="N17" i="18"/>
  <c r="T50" i="18"/>
  <c r="N49" i="18"/>
  <c r="N48" i="18"/>
  <c r="H42" i="18"/>
  <c r="L46" i="18"/>
  <c r="T17" i="18"/>
  <c r="P46" i="18"/>
  <c r="F42" i="18"/>
  <c r="H17" i="18"/>
  <c r="H46" i="18"/>
  <c r="N46" i="18"/>
  <c r="T46" i="18"/>
  <c r="R46" i="18"/>
  <c r="J46" i="18"/>
  <c r="N43" i="18"/>
  <c r="H48" i="18"/>
  <c r="H52" i="18"/>
  <c r="AC39" i="18"/>
  <c r="E309" i="31"/>
  <c r="R43" i="18"/>
  <c r="F17" i="18"/>
  <c r="L51" i="18"/>
  <c r="H50" i="18"/>
  <c r="F44" i="18"/>
  <c r="F52" i="18"/>
  <c r="F49" i="18"/>
  <c r="F48" i="18"/>
  <c r="F50" i="18"/>
  <c r="F51" i="18"/>
  <c r="J43" i="18"/>
  <c r="L48" i="18"/>
  <c r="U45" i="18"/>
  <c r="V45" i="18" s="1"/>
  <c r="H16" i="18"/>
  <c r="H41" i="18"/>
  <c r="H39" i="18"/>
  <c r="H23" i="18"/>
  <c r="U23" i="18" s="1"/>
  <c r="V23" i="18" s="1"/>
  <c r="H19" i="18"/>
  <c r="T35" i="18"/>
  <c r="U35" i="18" s="1"/>
  <c r="V35" i="18" s="1"/>
  <c r="T38" i="18"/>
  <c r="T40" i="18"/>
  <c r="T37" i="18"/>
  <c r="T41" i="18"/>
  <c r="F146" i="34"/>
  <c r="Y122" i="34"/>
  <c r="L19" i="18"/>
  <c r="L16" i="18"/>
  <c r="L41" i="18"/>
  <c r="L20" i="18"/>
  <c r="L40" i="18"/>
  <c r="L17" i="18"/>
  <c r="J17" i="18"/>
  <c r="L50" i="18"/>
  <c r="H51" i="18"/>
  <c r="Y117" i="34"/>
  <c r="E150" i="34"/>
  <c r="F142" i="34"/>
  <c r="N29" i="18"/>
  <c r="U29" i="18" s="1"/>
  <c r="V29" i="18" s="1"/>
  <c r="N19" i="18"/>
  <c r="N41" i="18"/>
  <c r="N40" i="18"/>
  <c r="N20" i="18"/>
  <c r="N16" i="18"/>
  <c r="Y124" i="34"/>
  <c r="F148" i="34"/>
  <c r="Y118" i="34"/>
  <c r="F143" i="34"/>
  <c r="C139" i="34"/>
  <c r="P20" i="18"/>
  <c r="T16" i="18"/>
  <c r="P37" i="18"/>
  <c r="P31" i="18"/>
  <c r="U31" i="18" s="1"/>
  <c r="V31" i="18" s="1"/>
  <c r="P19" i="18"/>
  <c r="P41" i="18"/>
  <c r="R16" i="18"/>
  <c r="P16" i="18"/>
  <c r="P38" i="18"/>
  <c r="P40" i="18"/>
  <c r="F145" i="34"/>
  <c r="Y121" i="34"/>
  <c r="P17" i="18"/>
  <c r="L49" i="18"/>
  <c r="F39" i="18"/>
  <c r="F41" i="18"/>
  <c r="F19" i="18"/>
  <c r="Y123" i="34"/>
  <c r="F147" i="34"/>
  <c r="J50" i="18"/>
  <c r="J48" i="18"/>
  <c r="J49" i="18"/>
  <c r="J52" i="18"/>
  <c r="J51" i="18"/>
  <c r="R38" i="18"/>
  <c r="T19" i="18"/>
  <c r="R33" i="18"/>
  <c r="U33" i="18" s="1"/>
  <c r="V33" i="18" s="1"/>
  <c r="R41" i="18"/>
  <c r="R40" i="18"/>
  <c r="R19" i="18"/>
  <c r="R37" i="18"/>
  <c r="R20" i="18"/>
  <c r="F149" i="34"/>
  <c r="Y125" i="34"/>
  <c r="D412" i="31"/>
  <c r="F412" i="31" s="1"/>
  <c r="D393" i="31"/>
  <c r="D14" i="31"/>
  <c r="D347" i="31"/>
  <c r="D330" i="31"/>
  <c r="D377" i="31"/>
  <c r="D78" i="31"/>
  <c r="D67" i="31"/>
  <c r="D317" i="31"/>
  <c r="D304" i="31"/>
  <c r="D367" i="31"/>
  <c r="AC52" i="18"/>
  <c r="E404" i="31"/>
  <c r="A44" i="18"/>
  <c r="A43" i="18"/>
  <c r="G12" i="18" l="1"/>
  <c r="G14" i="18" s="1"/>
  <c r="I102" i="31"/>
  <c r="J102" i="31" s="1"/>
  <c r="G31" i="34"/>
  <c r="U44" i="18"/>
  <c r="V44" i="18" s="1"/>
  <c r="E13" i="18"/>
  <c r="F13" i="18" s="1"/>
  <c r="S12" i="18"/>
  <c r="Q12" i="18"/>
  <c r="Q14" i="18" s="1"/>
  <c r="R14" i="18" s="1"/>
  <c r="O12" i="18"/>
  <c r="O14" i="18" s="1"/>
  <c r="M12" i="18"/>
  <c r="M13" i="18" s="1"/>
  <c r="N13" i="18" s="1"/>
  <c r="I12" i="18"/>
  <c r="J12" i="18" s="1"/>
  <c r="K12" i="18"/>
  <c r="K13" i="18" s="1"/>
  <c r="L13" i="18" s="1"/>
  <c r="U18" i="18"/>
  <c r="V18" i="18" s="1"/>
  <c r="I56" i="31" s="1"/>
  <c r="AB36" i="18"/>
  <c r="AB34" i="18"/>
  <c r="J247" i="31"/>
  <c r="L247" i="31" s="1"/>
  <c r="AJ34" i="18" s="1"/>
  <c r="AD36" i="18"/>
  <c r="I272" i="31"/>
  <c r="K272" i="31" s="1"/>
  <c r="AH34" i="18"/>
  <c r="G79" i="34"/>
  <c r="AD34" i="18"/>
  <c r="G43" i="34"/>
  <c r="I43" i="34" s="1"/>
  <c r="G45" i="34"/>
  <c r="I45" i="34" s="1"/>
  <c r="AH36" i="18"/>
  <c r="AD24" i="18"/>
  <c r="G33" i="34"/>
  <c r="I33" i="34" s="1"/>
  <c r="I128" i="31"/>
  <c r="J128" i="31" s="1"/>
  <c r="AB24" i="18"/>
  <c r="G69" i="34"/>
  <c r="I35" i="34"/>
  <c r="G23" i="35"/>
  <c r="G25" i="35" s="1"/>
  <c r="G26" i="35" s="1"/>
  <c r="D188" i="31" s="1"/>
  <c r="F25" i="35"/>
  <c r="H23" i="35"/>
  <c r="H25" i="35" s="1"/>
  <c r="H26" i="35" s="1"/>
  <c r="D212" i="31" s="1"/>
  <c r="I177" i="31"/>
  <c r="J177" i="31" s="1"/>
  <c r="AD28" i="18"/>
  <c r="G37" i="34"/>
  <c r="AB28" i="18"/>
  <c r="AH28" i="18"/>
  <c r="AC54" i="18"/>
  <c r="I363" i="31"/>
  <c r="J363" i="31" s="1"/>
  <c r="AD45" i="18"/>
  <c r="AB45" i="18"/>
  <c r="AD44" i="18"/>
  <c r="AB44" i="18"/>
  <c r="L200" i="31"/>
  <c r="AJ30" i="18" s="1"/>
  <c r="K102" i="31"/>
  <c r="J153" i="31"/>
  <c r="K153" i="31"/>
  <c r="K224" i="31"/>
  <c r="J224" i="31"/>
  <c r="K135" i="31"/>
  <c r="J135" i="31"/>
  <c r="AH26" i="18"/>
  <c r="U16" i="18"/>
  <c r="V16" i="18" s="1"/>
  <c r="AH22" i="18"/>
  <c r="G67" i="34"/>
  <c r="AD22" i="18"/>
  <c r="AB22" i="18"/>
  <c r="U21" i="18"/>
  <c r="V21" i="18" s="1"/>
  <c r="I31" i="34"/>
  <c r="G80" i="34"/>
  <c r="D235" i="31"/>
  <c r="G235" i="31" s="1"/>
  <c r="AE33" i="18" s="1"/>
  <c r="D259" i="31"/>
  <c r="G259" i="31" s="1"/>
  <c r="AE35" i="18" s="1"/>
  <c r="H80" i="34" s="1"/>
  <c r="D23" i="35"/>
  <c r="D25" i="35" s="1"/>
  <c r="G90" i="34"/>
  <c r="G54" i="34"/>
  <c r="H14" i="18"/>
  <c r="U17" i="18"/>
  <c r="V17" i="18" s="1"/>
  <c r="G26" i="34" s="1"/>
  <c r="U42" i="18"/>
  <c r="V42" i="18" s="1"/>
  <c r="G87" i="34" s="1"/>
  <c r="F14" i="18"/>
  <c r="U43" i="18"/>
  <c r="V43" i="18" s="1"/>
  <c r="AD43" i="18" s="1"/>
  <c r="U52" i="18"/>
  <c r="V52" i="18" s="1"/>
  <c r="U46" i="18"/>
  <c r="V46" i="18" s="1"/>
  <c r="AB46" i="18" s="1"/>
  <c r="F12" i="18"/>
  <c r="U37" i="18"/>
  <c r="V37" i="18" s="1"/>
  <c r="I278" i="31" s="1"/>
  <c r="U50" i="18"/>
  <c r="V50" i="18" s="1"/>
  <c r="G89" i="34"/>
  <c r="G53" i="34"/>
  <c r="I353" i="31"/>
  <c r="U48" i="18"/>
  <c r="V48" i="18" s="1"/>
  <c r="AF48" i="18" s="1"/>
  <c r="F150" i="34"/>
  <c r="G142" i="34" s="1"/>
  <c r="U41" i="18"/>
  <c r="V41" i="18" s="1"/>
  <c r="U38" i="18"/>
  <c r="V38" i="18" s="1"/>
  <c r="I109" i="31"/>
  <c r="G32" i="34"/>
  <c r="AB23" i="18"/>
  <c r="AD23" i="18"/>
  <c r="G68" i="34"/>
  <c r="AD27" i="18"/>
  <c r="G36" i="34"/>
  <c r="I159" i="31"/>
  <c r="AB27" i="18"/>
  <c r="G72" i="34"/>
  <c r="U49" i="18"/>
  <c r="V49" i="18" s="1"/>
  <c r="Y126" i="34"/>
  <c r="U20" i="18"/>
  <c r="V20" i="18" s="1"/>
  <c r="G44" i="34"/>
  <c r="AD35" i="18"/>
  <c r="I254" i="31"/>
  <c r="AB35" i="18"/>
  <c r="U39" i="18"/>
  <c r="V39" i="18" s="1"/>
  <c r="U51" i="18"/>
  <c r="V51" i="18" s="1"/>
  <c r="U19" i="18"/>
  <c r="V19" i="18" s="1"/>
  <c r="AD33" i="18"/>
  <c r="I230" i="31"/>
  <c r="G78" i="34"/>
  <c r="AB33" i="18"/>
  <c r="G42" i="34"/>
  <c r="AB31" i="18"/>
  <c r="G76" i="34"/>
  <c r="I207" i="31"/>
  <c r="G40" i="34"/>
  <c r="AD31" i="18"/>
  <c r="U40" i="18"/>
  <c r="V40" i="18" s="1"/>
  <c r="I183" i="31"/>
  <c r="G38" i="34"/>
  <c r="AD29" i="18"/>
  <c r="AB29" i="18"/>
  <c r="G74" i="34"/>
  <c r="G377" i="31"/>
  <c r="F377" i="31"/>
  <c r="F14" i="31"/>
  <c r="G14" i="31"/>
  <c r="A47" i="18"/>
  <c r="A48" i="18" s="1"/>
  <c r="A49" i="18" s="1"/>
  <c r="A50" i="18" s="1"/>
  <c r="A51" i="18" s="1"/>
  <c r="A52" i="18" s="1"/>
  <c r="A53" i="18" s="1"/>
  <c r="A45" i="18"/>
  <c r="A46" i="18" s="1"/>
  <c r="F78" i="31"/>
  <c r="G78" i="31"/>
  <c r="F347" i="31"/>
  <c r="G347" i="31"/>
  <c r="D189" i="31"/>
  <c r="D165" i="31"/>
  <c r="D295" i="31"/>
  <c r="D260" i="31"/>
  <c r="D141" i="31"/>
  <c r="D91" i="31"/>
  <c r="D116" i="31"/>
  <c r="G393" i="31"/>
  <c r="F393" i="31"/>
  <c r="F367" i="31"/>
  <c r="G367" i="31"/>
  <c r="G330" i="31"/>
  <c r="F330" i="31"/>
  <c r="D6" i="31"/>
  <c r="F6" i="31" s="1"/>
  <c r="F304" i="31"/>
  <c r="G304" i="31"/>
  <c r="D310" i="31" s="1"/>
  <c r="F26" i="31"/>
  <c r="G26" i="31"/>
  <c r="D27" i="31" s="1"/>
  <c r="F317" i="31"/>
  <c r="G317" i="31"/>
  <c r="D46" i="31"/>
  <c r="D36" i="31"/>
  <c r="F36" i="31" s="1"/>
  <c r="D401" i="31"/>
  <c r="D385" i="31"/>
  <c r="F385" i="31" s="1"/>
  <c r="G412" i="31"/>
  <c r="D413" i="31" s="1"/>
  <c r="F357" i="31"/>
  <c r="G357" i="31"/>
  <c r="G339" i="31"/>
  <c r="F339" i="31"/>
  <c r="G67" i="31"/>
  <c r="F67" i="31"/>
  <c r="G13" i="31"/>
  <c r="F13" i="31"/>
  <c r="G13" i="18" l="1"/>
  <c r="H13" i="18" s="1"/>
  <c r="H12" i="18"/>
  <c r="AD21" i="18"/>
  <c r="G30" i="34"/>
  <c r="AB17" i="18"/>
  <c r="G62" i="34"/>
  <c r="S14" i="18"/>
  <c r="T14" i="18" s="1"/>
  <c r="S13" i="18"/>
  <c r="T13" i="18" s="1"/>
  <c r="R12" i="18"/>
  <c r="I13" i="18"/>
  <c r="J13" i="18" s="1"/>
  <c r="N12" i="18"/>
  <c r="P12" i="18"/>
  <c r="I14" i="18"/>
  <c r="I15" i="18" s="1"/>
  <c r="J15" i="18" s="1"/>
  <c r="Q13" i="18"/>
  <c r="R13" i="18" s="1"/>
  <c r="T12" i="18"/>
  <c r="M14" i="18"/>
  <c r="M15" i="18" s="1"/>
  <c r="N15" i="18" s="1"/>
  <c r="L12" i="18"/>
  <c r="K14" i="18"/>
  <c r="L14" i="18" s="1"/>
  <c r="J272" i="31"/>
  <c r="L272" i="31" s="1"/>
  <c r="AJ36" i="18" s="1"/>
  <c r="G63" i="34"/>
  <c r="G27" i="34"/>
  <c r="I27" i="34" s="1"/>
  <c r="AB18" i="18"/>
  <c r="AD18" i="18"/>
  <c r="AH18" i="18"/>
  <c r="K128" i="31"/>
  <c r="L128" i="31" s="1"/>
  <c r="AJ24" i="18" s="1"/>
  <c r="I80" i="34"/>
  <c r="D15" i="31"/>
  <c r="F26" i="35"/>
  <c r="D164" i="31" s="1"/>
  <c r="C27" i="35"/>
  <c r="C28" i="35" s="1"/>
  <c r="G212" i="31"/>
  <c r="AE31" i="18" s="1"/>
  <c r="AF31" i="18" s="1"/>
  <c r="F212" i="31"/>
  <c r="D26" i="35"/>
  <c r="D114" i="31" s="1"/>
  <c r="K363" i="31"/>
  <c r="L363" i="31" s="1"/>
  <c r="AJ45" i="18" s="1"/>
  <c r="K177" i="31"/>
  <c r="L177" i="31" s="1"/>
  <c r="AJ28" i="18" s="1"/>
  <c r="O13" i="18"/>
  <c r="P13" i="18" s="1"/>
  <c r="I393" i="31"/>
  <c r="AB51" i="18"/>
  <c r="AD39" i="18"/>
  <c r="AB39" i="18"/>
  <c r="G58" i="34"/>
  <c r="AB52" i="18"/>
  <c r="G92" i="34"/>
  <c r="AB50" i="18"/>
  <c r="L102" i="31"/>
  <c r="AJ22" i="18" s="1"/>
  <c r="L135" i="31"/>
  <c r="AJ25" i="18" s="1"/>
  <c r="P14" i="18"/>
  <c r="L153" i="31"/>
  <c r="AJ26" i="18" s="1"/>
  <c r="J278" i="31"/>
  <c r="K278" i="31"/>
  <c r="L224" i="31"/>
  <c r="AJ32" i="18" s="1"/>
  <c r="K183" i="31"/>
  <c r="J183" i="31"/>
  <c r="K109" i="31"/>
  <c r="J109" i="31"/>
  <c r="K207" i="31"/>
  <c r="J207" i="31"/>
  <c r="K230" i="31"/>
  <c r="J230" i="31"/>
  <c r="J159" i="31"/>
  <c r="K159" i="31"/>
  <c r="G66" i="34"/>
  <c r="AB21" i="18"/>
  <c r="I84" i="31"/>
  <c r="F259" i="31"/>
  <c r="H78" i="34"/>
  <c r="I78" i="34" s="1"/>
  <c r="AF33" i="18"/>
  <c r="F235" i="31"/>
  <c r="AF35" i="18"/>
  <c r="AD37" i="18"/>
  <c r="G82" i="34"/>
  <c r="G88" i="34"/>
  <c r="I42" i="31"/>
  <c r="AB43" i="18"/>
  <c r="G91" i="34"/>
  <c r="I345" i="31"/>
  <c r="J345" i="31" s="1"/>
  <c r="AD17" i="18"/>
  <c r="G51" i="34"/>
  <c r="G15" i="18"/>
  <c r="H15" i="18" s="1"/>
  <c r="I337" i="31"/>
  <c r="I399" i="31"/>
  <c r="K399" i="31" s="1"/>
  <c r="AB42" i="18"/>
  <c r="E15" i="18"/>
  <c r="F15" i="18" s="1"/>
  <c r="AD42" i="18"/>
  <c r="G46" i="34"/>
  <c r="Q15" i="18"/>
  <c r="R15" i="18" s="1"/>
  <c r="I373" i="31"/>
  <c r="J373" i="31" s="1"/>
  <c r="G55" i="34"/>
  <c r="AD46" i="18"/>
  <c r="G52" i="34"/>
  <c r="AD52" i="18"/>
  <c r="I383" i="31"/>
  <c r="K383" i="31" s="1"/>
  <c r="G94" i="34"/>
  <c r="AD48" i="18"/>
  <c r="AB48" i="18"/>
  <c r="G56" i="34"/>
  <c r="J353" i="31"/>
  <c r="K353" i="31"/>
  <c r="I73" i="31"/>
  <c r="G29" i="34"/>
  <c r="AB20" i="18"/>
  <c r="G65" i="34"/>
  <c r="AD20" i="18"/>
  <c r="G147" i="34"/>
  <c r="G93" i="34"/>
  <c r="G57" i="34"/>
  <c r="K254" i="31"/>
  <c r="J254" i="31"/>
  <c r="G47" i="34"/>
  <c r="I286" i="31"/>
  <c r="AB38" i="18"/>
  <c r="G83" i="34"/>
  <c r="AD38" i="18"/>
  <c r="G49" i="34"/>
  <c r="AD40" i="18"/>
  <c r="AB40" i="18"/>
  <c r="G85" i="34"/>
  <c r="I315" i="31"/>
  <c r="AB19" i="18"/>
  <c r="I62" i="31"/>
  <c r="AD19" i="18"/>
  <c r="G28" i="34"/>
  <c r="G64" i="34"/>
  <c r="G148" i="34"/>
  <c r="G146" i="34"/>
  <c r="G149" i="34"/>
  <c r="G144" i="34"/>
  <c r="G143" i="34"/>
  <c r="G145" i="34"/>
  <c r="G84" i="34"/>
  <c r="G48" i="34"/>
  <c r="I302" i="31"/>
  <c r="AB49" i="18"/>
  <c r="AD49" i="18"/>
  <c r="AF49" i="18"/>
  <c r="G50" i="34"/>
  <c r="AD41" i="18"/>
  <c r="G86" i="34"/>
  <c r="I327" i="31"/>
  <c r="AB41" i="18"/>
  <c r="AD16" i="18"/>
  <c r="AB16" i="18"/>
  <c r="G61" i="34"/>
  <c r="I32" i="31"/>
  <c r="G25" i="34"/>
  <c r="D68" i="31"/>
  <c r="E317" i="31"/>
  <c r="D322" i="31"/>
  <c r="G141" i="31"/>
  <c r="F141" i="31"/>
  <c r="D378" i="31"/>
  <c r="F413" i="31"/>
  <c r="D394" i="31"/>
  <c r="F260" i="31"/>
  <c r="G260" i="31"/>
  <c r="F20" i="31"/>
  <c r="G20" i="31"/>
  <c r="D21" i="31" s="1"/>
  <c r="F295" i="31"/>
  <c r="G295" i="31"/>
  <c r="D340" i="31"/>
  <c r="G385" i="31"/>
  <c r="G6" i="31"/>
  <c r="F165" i="31"/>
  <c r="G165" i="31"/>
  <c r="D358" i="31"/>
  <c r="F401" i="31"/>
  <c r="G401" i="31"/>
  <c r="D405" i="31" s="1"/>
  <c r="F236" i="31"/>
  <c r="G236" i="31"/>
  <c r="F189" i="31"/>
  <c r="G189" i="31"/>
  <c r="G36" i="31"/>
  <c r="E304" i="31"/>
  <c r="G213" i="31"/>
  <c r="F213" i="31"/>
  <c r="D348" i="31"/>
  <c r="F46" i="31"/>
  <c r="G46" i="31"/>
  <c r="D47" i="31" s="1"/>
  <c r="D331" i="31"/>
  <c r="G116" i="31"/>
  <c r="F116" i="31"/>
  <c r="D368" i="31"/>
  <c r="G91" i="31"/>
  <c r="F91" i="31"/>
  <c r="D79" i="31"/>
  <c r="D44" i="31" l="1"/>
  <c r="D34" i="31"/>
  <c r="F34" i="31" s="1"/>
  <c r="D400" i="31"/>
  <c r="D411" i="31"/>
  <c r="S15" i="18"/>
  <c r="T15" i="18" s="1"/>
  <c r="J17" i="30"/>
  <c r="K17" i="30"/>
  <c r="L17" i="30"/>
  <c r="G17" i="30"/>
  <c r="G18" i="30" s="1"/>
  <c r="H17" i="30"/>
  <c r="I17" i="30"/>
  <c r="U13" i="18"/>
  <c r="V13" i="18" s="1"/>
  <c r="G22" i="34" s="1"/>
  <c r="U12" i="18"/>
  <c r="V12" i="18" s="1"/>
  <c r="K56" i="31"/>
  <c r="J56" i="31"/>
  <c r="J42" i="31"/>
  <c r="J14" i="18"/>
  <c r="K15" i="18"/>
  <c r="L15" i="18" s="1"/>
  <c r="N14" i="18"/>
  <c r="AC16" i="30"/>
  <c r="H76" i="34"/>
  <c r="I76" i="34" s="1"/>
  <c r="O15" i="18"/>
  <c r="P15" i="18" s="1"/>
  <c r="K393" i="31"/>
  <c r="J393" i="31"/>
  <c r="D279" i="31"/>
  <c r="F279" i="31" s="1"/>
  <c r="F283" i="31" s="1"/>
  <c r="W37" i="18" s="1"/>
  <c r="D54" i="31"/>
  <c r="L278" i="31"/>
  <c r="L159" i="31"/>
  <c r="AJ27" i="18" s="1"/>
  <c r="K84" i="31"/>
  <c r="J84" i="31"/>
  <c r="D89" i="31"/>
  <c r="G89" i="31" s="1"/>
  <c r="D270" i="31"/>
  <c r="D246" i="31"/>
  <c r="D151" i="31"/>
  <c r="D175" i="31"/>
  <c r="D126" i="31"/>
  <c r="D199" i="31"/>
  <c r="D223" i="31"/>
  <c r="D303" i="31"/>
  <c r="G303" i="31" s="1"/>
  <c r="AE39" i="18" s="1"/>
  <c r="H84" i="34" s="1"/>
  <c r="I84" i="34" s="1"/>
  <c r="D101" i="31"/>
  <c r="D66" i="31"/>
  <c r="F66" i="31" s="1"/>
  <c r="D375" i="31"/>
  <c r="F375" i="31" s="1"/>
  <c r="D365" i="31"/>
  <c r="G365" i="31" s="1"/>
  <c r="AE45" i="18" s="1"/>
  <c r="F411" i="31"/>
  <c r="F415" i="31" s="1"/>
  <c r="W53" i="18" s="1"/>
  <c r="Y53" i="18" s="1"/>
  <c r="D392" i="31"/>
  <c r="G392" i="31" s="1"/>
  <c r="AE51" i="18" s="1"/>
  <c r="G44" i="31"/>
  <c r="AE17" i="18" s="1"/>
  <c r="D77" i="31"/>
  <c r="F77" i="31" s="1"/>
  <c r="D329" i="31"/>
  <c r="F329" i="31" s="1"/>
  <c r="D294" i="31"/>
  <c r="G294" i="31" s="1"/>
  <c r="AE38" i="18" s="1"/>
  <c r="H83" i="34" s="1"/>
  <c r="I83" i="34" s="1"/>
  <c r="D384" i="31"/>
  <c r="F384" i="31" s="1"/>
  <c r="D338" i="31"/>
  <c r="G338" i="31" s="1"/>
  <c r="AE42" i="18" s="1"/>
  <c r="H87" i="34" s="1"/>
  <c r="I87" i="34" s="1"/>
  <c r="D346" i="31"/>
  <c r="G346" i="31" s="1"/>
  <c r="AE43" i="18" s="1"/>
  <c r="H88" i="34" s="1"/>
  <c r="I88" i="34" s="1"/>
  <c r="G400" i="31"/>
  <c r="AE52" i="18" s="1"/>
  <c r="H94" i="34" s="1"/>
  <c r="I94" i="34" s="1"/>
  <c r="D355" i="31"/>
  <c r="F355" i="31" s="1"/>
  <c r="D316" i="31"/>
  <c r="K42" i="31"/>
  <c r="AJ37" i="18"/>
  <c r="J399" i="31"/>
  <c r="L399" i="31" s="1"/>
  <c r="AJ52" i="18" s="1"/>
  <c r="K345" i="31"/>
  <c r="L345" i="31" s="1"/>
  <c r="AJ43" i="18" s="1"/>
  <c r="J337" i="31"/>
  <c r="K337" i="31"/>
  <c r="K373" i="31"/>
  <c r="L373" i="31" s="1"/>
  <c r="AJ46" i="18" s="1"/>
  <c r="J383" i="31"/>
  <c r="L383" i="31" s="1"/>
  <c r="AJ50" i="18" s="1"/>
  <c r="D237" i="31"/>
  <c r="L207" i="31"/>
  <c r="AJ31" i="18" s="1"/>
  <c r="L183" i="31"/>
  <c r="AJ29" i="18" s="1"/>
  <c r="D7" i="31"/>
  <c r="F7" i="31" s="1"/>
  <c r="L109" i="31"/>
  <c r="AJ23" i="18" s="1"/>
  <c r="AD54" i="18"/>
  <c r="L353" i="31"/>
  <c r="AJ44" i="18" s="1"/>
  <c r="L230" i="31"/>
  <c r="AJ33" i="18" s="1"/>
  <c r="G150" i="34"/>
  <c r="J62" i="31"/>
  <c r="K62" i="31"/>
  <c r="K315" i="31"/>
  <c r="J315" i="31"/>
  <c r="L254" i="31"/>
  <c r="AJ35" i="18" s="1"/>
  <c r="J32" i="31"/>
  <c r="K32" i="31"/>
  <c r="K73" i="31"/>
  <c r="J73" i="31"/>
  <c r="K286" i="31"/>
  <c r="J286" i="31"/>
  <c r="J327" i="31"/>
  <c r="K327" i="31"/>
  <c r="J302" i="31"/>
  <c r="K302" i="31"/>
  <c r="G331" i="31"/>
  <c r="F331" i="31"/>
  <c r="F27" i="31"/>
  <c r="F29" i="31" s="1"/>
  <c r="G27" i="31"/>
  <c r="F368" i="31"/>
  <c r="G368" i="31"/>
  <c r="E36" i="31"/>
  <c r="D37" i="31"/>
  <c r="D386" i="31"/>
  <c r="G322" i="31"/>
  <c r="F322" i="31"/>
  <c r="D214" i="31"/>
  <c r="D296" i="31"/>
  <c r="D261" i="31"/>
  <c r="G413" i="31"/>
  <c r="F378" i="31"/>
  <c r="G378" i="31"/>
  <c r="E46" i="31"/>
  <c r="F79" i="31"/>
  <c r="G79" i="31"/>
  <c r="F15" i="31"/>
  <c r="F17" i="31" s="1"/>
  <c r="G15" i="31"/>
  <c r="G17" i="31" s="1"/>
  <c r="X13" i="18" s="1"/>
  <c r="G340" i="31"/>
  <c r="F340" i="31"/>
  <c r="D92" i="31"/>
  <c r="E165" i="31"/>
  <c r="D166" i="31"/>
  <c r="E116" i="31"/>
  <c r="D117" i="31"/>
  <c r="G348" i="31"/>
  <c r="F348" i="31"/>
  <c r="E189" i="31"/>
  <c r="D190" i="31"/>
  <c r="F394" i="31"/>
  <c r="G394" i="31"/>
  <c r="D142" i="31"/>
  <c r="F310" i="31"/>
  <c r="G310" i="31"/>
  <c r="F358" i="31"/>
  <c r="G358" i="31"/>
  <c r="F68" i="31"/>
  <c r="G68" i="31"/>
  <c r="H18" i="30" l="1"/>
  <c r="I18" i="30" s="1"/>
  <c r="J18" i="30" s="1"/>
  <c r="K18" i="30" s="1"/>
  <c r="L18" i="30" s="1"/>
  <c r="M18" i="30" s="1"/>
  <c r="N18" i="30" s="1"/>
  <c r="O18" i="30" s="1"/>
  <c r="P18" i="30" s="1"/>
  <c r="Q18" i="30" s="1"/>
  <c r="R18" i="30" s="1"/>
  <c r="S18" i="30" s="1"/>
  <c r="T18" i="30" s="1"/>
  <c r="U18" i="30" s="1"/>
  <c r="V18" i="30" s="1"/>
  <c r="W18" i="30" s="1"/>
  <c r="X18" i="30" s="1"/>
  <c r="Y18" i="30" s="1"/>
  <c r="Z18" i="30" s="1"/>
  <c r="AA18" i="30" s="1"/>
  <c r="AB18" i="30" s="1"/>
  <c r="Z13" i="18"/>
  <c r="U15" i="18"/>
  <c r="V15" i="18" s="1"/>
  <c r="G24" i="34" s="1"/>
  <c r="U14" i="18"/>
  <c r="V14" i="18" s="1"/>
  <c r="G23" i="34" s="1"/>
  <c r="L42" i="31"/>
  <c r="AJ17" i="18" s="1"/>
  <c r="L56" i="31"/>
  <c r="AJ18" i="18" s="1"/>
  <c r="F70" i="31"/>
  <c r="W19" i="18" s="1"/>
  <c r="Y19" i="18" s="1"/>
  <c r="G279" i="31"/>
  <c r="AE37" i="18" s="1"/>
  <c r="L393" i="31"/>
  <c r="AJ51" i="18" s="1"/>
  <c r="G54" i="31"/>
  <c r="AE18" i="18" s="1"/>
  <c r="F54" i="31"/>
  <c r="H93" i="34"/>
  <c r="I93" i="34" s="1"/>
  <c r="H90" i="34"/>
  <c r="I90" i="34" s="1"/>
  <c r="L84" i="31"/>
  <c r="AJ21" i="18" s="1"/>
  <c r="G90" i="31"/>
  <c r="AE21" i="18"/>
  <c r="H66" i="34" s="1"/>
  <c r="I66" i="34" s="1"/>
  <c r="F270" i="31"/>
  <c r="F271" i="31" s="1"/>
  <c r="F275" i="31" s="1"/>
  <c r="W36" i="18" s="1"/>
  <c r="Y36" i="18" s="1"/>
  <c r="G270" i="31"/>
  <c r="G246" i="31"/>
  <c r="F246" i="31"/>
  <c r="F247" i="31" s="1"/>
  <c r="F251" i="31" s="1"/>
  <c r="W34" i="18" s="1"/>
  <c r="Y34" i="18" s="1"/>
  <c r="F89" i="31"/>
  <c r="F90" i="31" s="1"/>
  <c r="G140" i="31"/>
  <c r="AE25" i="18" s="1"/>
  <c r="F140" i="31"/>
  <c r="G223" i="31"/>
  <c r="F223" i="31"/>
  <c r="F224" i="31" s="1"/>
  <c r="F228" i="31" s="1"/>
  <c r="W32" i="18" s="1"/>
  <c r="Y32" i="18" s="1"/>
  <c r="F199" i="31"/>
  <c r="F200" i="31" s="1"/>
  <c r="F204" i="31" s="1"/>
  <c r="W30" i="18" s="1"/>
  <c r="Y30" i="18" s="1"/>
  <c r="G199" i="31"/>
  <c r="G126" i="31"/>
  <c r="F126" i="31"/>
  <c r="F127" i="31" s="1"/>
  <c r="F131" i="31" s="1"/>
  <c r="W24" i="18" s="1"/>
  <c r="Y24" i="18" s="1"/>
  <c r="G175" i="31"/>
  <c r="F175" i="31"/>
  <c r="F176" i="31" s="1"/>
  <c r="F180" i="31" s="1"/>
  <c r="W28" i="18" s="1"/>
  <c r="Y28" i="18" s="1"/>
  <c r="F114" i="31"/>
  <c r="F115" i="31" s="1"/>
  <c r="G114" i="31"/>
  <c r="G151" i="31"/>
  <c r="F151" i="31"/>
  <c r="F152" i="31" s="1"/>
  <c r="F156" i="31" s="1"/>
  <c r="W26" i="18" s="1"/>
  <c r="Y26" i="18" s="1"/>
  <c r="G164" i="31"/>
  <c r="AE27" i="18" s="1"/>
  <c r="F164" i="31"/>
  <c r="F188" i="31"/>
  <c r="G188" i="31"/>
  <c r="AE29" i="18" s="1"/>
  <c r="F303" i="31"/>
  <c r="E303" i="31" s="1"/>
  <c r="AF45" i="18"/>
  <c r="G101" i="31"/>
  <c r="F101" i="31"/>
  <c r="F102" i="31" s="1"/>
  <c r="F106" i="31" s="1"/>
  <c r="W22" i="18" s="1"/>
  <c r="Y22" i="18" s="1"/>
  <c r="F360" i="31"/>
  <c r="W44" i="18" s="1"/>
  <c r="Y44" i="18" s="1"/>
  <c r="F380" i="31"/>
  <c r="W46" i="18" s="1"/>
  <c r="Y46" i="18" s="1"/>
  <c r="G66" i="31"/>
  <c r="F334" i="31"/>
  <c r="W41" i="18" s="1"/>
  <c r="Y41" i="18" s="1"/>
  <c r="G375" i="31"/>
  <c r="AE46" i="18" s="1"/>
  <c r="H91" i="34" s="1"/>
  <c r="I91" i="34" s="1"/>
  <c r="F392" i="31"/>
  <c r="F396" i="31" s="1"/>
  <c r="W51" i="18" s="1"/>
  <c r="Y51" i="18" s="1"/>
  <c r="F81" i="31"/>
  <c r="W20" i="18" s="1"/>
  <c r="Y20" i="18" s="1"/>
  <c r="F365" i="31"/>
  <c r="F370" i="31" s="1"/>
  <c r="W45" i="18" s="1"/>
  <c r="Y45" i="18" s="1"/>
  <c r="G77" i="31"/>
  <c r="AE20" i="18" s="1"/>
  <c r="H65" i="34" s="1"/>
  <c r="I65" i="34" s="1"/>
  <c r="AF52" i="18"/>
  <c r="G411" i="31"/>
  <c r="AE53" i="18" s="1"/>
  <c r="G329" i="31"/>
  <c r="AE41" i="18" s="1"/>
  <c r="H86" i="34" s="1"/>
  <c r="I86" i="34" s="1"/>
  <c r="AF51" i="18"/>
  <c r="AF38" i="18"/>
  <c r="AF43" i="18"/>
  <c r="F294" i="31"/>
  <c r="G384" i="31"/>
  <c r="AE50" i="18" s="1"/>
  <c r="H92" i="34" s="1"/>
  <c r="I92" i="34" s="1"/>
  <c r="F44" i="31"/>
  <c r="E44" i="31" s="1"/>
  <c r="F400" i="31"/>
  <c r="G34" i="31"/>
  <c r="AE16" i="18" s="1"/>
  <c r="AF42" i="18"/>
  <c r="F338" i="31"/>
  <c r="F342" i="31" s="1"/>
  <c r="W42" i="18" s="1"/>
  <c r="Y42" i="18" s="1"/>
  <c r="F346" i="31"/>
  <c r="F350" i="31" s="1"/>
  <c r="W43" i="18" s="1"/>
  <c r="Y43" i="18" s="1"/>
  <c r="F316" i="31"/>
  <c r="F324" i="31" s="1"/>
  <c r="W40" i="18" s="1"/>
  <c r="Y40" i="18" s="1"/>
  <c r="G316" i="31"/>
  <c r="G324" i="31" s="1"/>
  <c r="X40" i="18" s="1"/>
  <c r="Z40" i="18" s="1"/>
  <c r="G355" i="31"/>
  <c r="AE44" i="18" s="1"/>
  <c r="AF39" i="18"/>
  <c r="H62" i="34"/>
  <c r="I62" i="34" s="1"/>
  <c r="AF17" i="18"/>
  <c r="L337" i="31"/>
  <c r="AJ42" i="18" s="1"/>
  <c r="L32" i="31"/>
  <c r="AJ16" i="18" s="1"/>
  <c r="L315" i="31"/>
  <c r="AJ40" i="18" s="1"/>
  <c r="L286" i="31"/>
  <c r="AJ38" i="18" s="1"/>
  <c r="L327" i="31"/>
  <c r="AJ41" i="18" s="1"/>
  <c r="L73" i="31"/>
  <c r="AJ20" i="18" s="1"/>
  <c r="L302" i="31"/>
  <c r="AJ39" i="18" s="1"/>
  <c r="L62" i="31"/>
  <c r="AJ19" i="18" s="1"/>
  <c r="F166" i="31"/>
  <c r="G166" i="31"/>
  <c r="G117" i="31"/>
  <c r="F117" i="31"/>
  <c r="G386" i="31"/>
  <c r="F386" i="31"/>
  <c r="F388" i="31" s="1"/>
  <c r="W50" i="18" s="1"/>
  <c r="Y50" i="18" s="1"/>
  <c r="F296" i="31"/>
  <c r="G296" i="31"/>
  <c r="G214" i="31"/>
  <c r="F214" i="31"/>
  <c r="F216" i="31" s="1"/>
  <c r="W31" i="18" s="1"/>
  <c r="Y31" i="18" s="1"/>
  <c r="AG43" i="18"/>
  <c r="G350" i="31"/>
  <c r="X43" i="18" s="1"/>
  <c r="Z43" i="18" s="1"/>
  <c r="G142" i="31"/>
  <c r="F142" i="31"/>
  <c r="F21" i="31"/>
  <c r="F23" i="31" s="1"/>
  <c r="G21" i="31"/>
  <c r="G23" i="31" s="1"/>
  <c r="X14" i="18" s="1"/>
  <c r="G237" i="31"/>
  <c r="G239" i="31" s="1"/>
  <c r="F237" i="31"/>
  <c r="AG19" i="18"/>
  <c r="AG20" i="18"/>
  <c r="AG46" i="18"/>
  <c r="F37" i="31"/>
  <c r="F39" i="31" s="1"/>
  <c r="W16" i="18" s="1"/>
  <c r="Y16" i="18" s="1"/>
  <c r="G37" i="31"/>
  <c r="G92" i="31"/>
  <c r="F92" i="31"/>
  <c r="AG39" i="18"/>
  <c r="G312" i="31"/>
  <c r="X39" i="18" s="1"/>
  <c r="Z39" i="18" s="1"/>
  <c r="G190" i="31"/>
  <c r="F190" i="31"/>
  <c r="AG44" i="18"/>
  <c r="AG51" i="18"/>
  <c r="G396" i="31"/>
  <c r="X51" i="18" s="1"/>
  <c r="Z51" i="18" s="1"/>
  <c r="AG42" i="18"/>
  <c r="G342" i="31"/>
  <c r="X42" i="18" s="1"/>
  <c r="Z42" i="18" s="1"/>
  <c r="G47" i="31"/>
  <c r="F47" i="31"/>
  <c r="AG40" i="18"/>
  <c r="AG49" i="18"/>
  <c r="AH49" i="18" s="1"/>
  <c r="AI49" i="18" s="1"/>
  <c r="G29" i="31"/>
  <c r="AG53" i="18"/>
  <c r="W15" i="18"/>
  <c r="W49" i="18"/>
  <c r="Y49" i="18" s="1"/>
  <c r="W13" i="18"/>
  <c r="AG13" i="18"/>
  <c r="AH13" i="18" s="1"/>
  <c r="AI13" i="18" s="1"/>
  <c r="Y37" i="18"/>
  <c r="G261" i="31"/>
  <c r="F261" i="31"/>
  <c r="F263" i="31" s="1"/>
  <c r="W35" i="18" s="1"/>
  <c r="Y35" i="18" s="1"/>
  <c r="AG45" i="18"/>
  <c r="G370" i="31"/>
  <c r="X45" i="18" s="1"/>
  <c r="Z45" i="18" s="1"/>
  <c r="AG41" i="18"/>
  <c r="G405" i="31"/>
  <c r="F405" i="31"/>
  <c r="F9" i="31"/>
  <c r="G7" i="31"/>
  <c r="G9" i="31" s="1"/>
  <c r="Z14" i="18" l="1"/>
  <c r="AF18" i="18"/>
  <c r="AI18" i="18" s="1"/>
  <c r="H63" i="34"/>
  <c r="I63" i="34" s="1"/>
  <c r="AJ54" i="18"/>
  <c r="I98" i="34" s="1"/>
  <c r="E66" i="31"/>
  <c r="G70" i="31"/>
  <c r="X19" i="18" s="1"/>
  <c r="Z19" i="18" s="1"/>
  <c r="G283" i="31"/>
  <c r="X37" i="18" s="1"/>
  <c r="Z37" i="18" s="1"/>
  <c r="AF16" i="18"/>
  <c r="H95" i="34"/>
  <c r="I95" i="34" s="1"/>
  <c r="E54" i="31"/>
  <c r="F59" i="31"/>
  <c r="W18" i="18" s="1"/>
  <c r="Y18" i="18" s="1"/>
  <c r="G59" i="31"/>
  <c r="X18" i="18" s="1"/>
  <c r="Z18" i="18" s="1"/>
  <c r="AF44" i="18"/>
  <c r="H89" i="34"/>
  <c r="I89" i="34" s="1"/>
  <c r="G81" i="31"/>
  <c r="X20" i="18" s="1"/>
  <c r="Z20" i="18" s="1"/>
  <c r="G271" i="31"/>
  <c r="G275" i="31" s="1"/>
  <c r="AE36" i="18"/>
  <c r="AF21" i="18"/>
  <c r="G247" i="31"/>
  <c r="G251" i="31" s="1"/>
  <c r="X34" i="18" s="1"/>
  <c r="Z34" i="18" s="1"/>
  <c r="AE34" i="18"/>
  <c r="G224" i="31"/>
  <c r="G228" i="31" s="1"/>
  <c r="X32" i="18" s="1"/>
  <c r="Z32" i="18" s="1"/>
  <c r="AE32" i="18"/>
  <c r="G200" i="31"/>
  <c r="G204" i="31" s="1"/>
  <c r="X30" i="18" s="1"/>
  <c r="Z30" i="18" s="1"/>
  <c r="AE30" i="18"/>
  <c r="G176" i="31"/>
  <c r="G180" i="31" s="1"/>
  <c r="X28" i="18" s="1"/>
  <c r="Z28" i="18" s="1"/>
  <c r="AE28" i="18"/>
  <c r="G152" i="31"/>
  <c r="G156" i="31" s="1"/>
  <c r="X26" i="18" s="1"/>
  <c r="Z26" i="18" s="1"/>
  <c r="AE26" i="18"/>
  <c r="G127" i="31"/>
  <c r="G131" i="31" s="1"/>
  <c r="X24" i="18" s="1"/>
  <c r="Z24" i="18" s="1"/>
  <c r="AE24" i="18"/>
  <c r="G102" i="31"/>
  <c r="G106" i="31" s="1"/>
  <c r="X22" i="18" s="1"/>
  <c r="Z22" i="18" s="1"/>
  <c r="AE22" i="18"/>
  <c r="F192" i="31"/>
  <c r="W29" i="18" s="1"/>
  <c r="Y29" i="18" s="1"/>
  <c r="F144" i="31"/>
  <c r="W25" i="18" s="1"/>
  <c r="Y25" i="18" s="1"/>
  <c r="F168" i="31"/>
  <c r="W27" i="18" s="1"/>
  <c r="Y27" i="18" s="1"/>
  <c r="H72" i="34"/>
  <c r="I72" i="34" s="1"/>
  <c r="AF27" i="18"/>
  <c r="AE23" i="18"/>
  <c r="G115" i="31"/>
  <c r="E115" i="31" s="1"/>
  <c r="H74" i="34"/>
  <c r="I74" i="34" s="1"/>
  <c r="AF29" i="18"/>
  <c r="H70" i="34"/>
  <c r="I70" i="34" s="1"/>
  <c r="AF25" i="18"/>
  <c r="F312" i="31"/>
  <c r="W39" i="18" s="1"/>
  <c r="Y39" i="18" s="1"/>
  <c r="F49" i="31"/>
  <c r="AF20" i="18"/>
  <c r="AF41" i="18"/>
  <c r="G334" i="31"/>
  <c r="X41" i="18" s="1"/>
  <c r="Z41" i="18" s="1"/>
  <c r="F407" i="31"/>
  <c r="W52" i="18" s="1"/>
  <c r="Y52" i="18" s="1"/>
  <c r="E77" i="31"/>
  <c r="G360" i="31"/>
  <c r="X44" i="18" s="1"/>
  <c r="Z44" i="18" s="1"/>
  <c r="AF46" i="18"/>
  <c r="G380" i="31"/>
  <c r="X46" i="18" s="1"/>
  <c r="Z46" i="18" s="1"/>
  <c r="F298" i="31"/>
  <c r="W38" i="18" s="1"/>
  <c r="Y38" i="18" s="1"/>
  <c r="AE19" i="18"/>
  <c r="H64" i="34" s="1"/>
  <c r="I64" i="34" s="1"/>
  <c r="G415" i="31"/>
  <c r="X53" i="18" s="1"/>
  <c r="Z53" i="18" s="1"/>
  <c r="AF53" i="18"/>
  <c r="AF50" i="18"/>
  <c r="E34" i="31"/>
  <c r="H61" i="34"/>
  <c r="I61" i="34" s="1"/>
  <c r="AF37" i="18"/>
  <c r="E316" i="31"/>
  <c r="AE40" i="18"/>
  <c r="F239" i="31"/>
  <c r="W33" i="18" s="1"/>
  <c r="Y33" i="18" s="1"/>
  <c r="H22" i="34"/>
  <c r="I22" i="34" s="1"/>
  <c r="Y13" i="18"/>
  <c r="H53" i="34"/>
  <c r="I53" i="34" s="1"/>
  <c r="AH44" i="18"/>
  <c r="AG12" i="18"/>
  <c r="AH12" i="18" s="1"/>
  <c r="W12" i="18"/>
  <c r="W48" i="18"/>
  <c r="Y48" i="18" s="1"/>
  <c r="H24" i="34"/>
  <c r="I24" i="34" s="1"/>
  <c r="Y15" i="18"/>
  <c r="E47" i="31"/>
  <c r="G49" i="31"/>
  <c r="AG17" i="18"/>
  <c r="E190" i="31"/>
  <c r="G192" i="31"/>
  <c r="X29" i="18" s="1"/>
  <c r="Z29" i="18" s="1"/>
  <c r="AG29" i="18"/>
  <c r="H37" i="34" s="1"/>
  <c r="I37" i="34" s="1"/>
  <c r="H55" i="34"/>
  <c r="I55" i="34" s="1"/>
  <c r="AH46" i="18"/>
  <c r="AH20" i="18"/>
  <c r="H29" i="34"/>
  <c r="I29" i="34" s="1"/>
  <c r="AG52" i="18"/>
  <c r="G407" i="31"/>
  <c r="X52" i="18" s="1"/>
  <c r="Z52" i="18" s="1"/>
  <c r="G263" i="31"/>
  <c r="X35" i="18" s="1"/>
  <c r="Z35" i="18" s="1"/>
  <c r="AG35" i="18"/>
  <c r="H59" i="34"/>
  <c r="I59" i="34" s="1"/>
  <c r="AH53" i="18"/>
  <c r="AH42" i="18"/>
  <c r="AI42" i="18" s="1"/>
  <c r="H51" i="34"/>
  <c r="I51" i="34" s="1"/>
  <c r="H48" i="34"/>
  <c r="I48" i="34" s="1"/>
  <c r="AH39" i="18"/>
  <c r="AI39" i="18" s="1"/>
  <c r="AG25" i="18"/>
  <c r="G144" i="31"/>
  <c r="X25" i="18" s="1"/>
  <c r="Z25" i="18" s="1"/>
  <c r="AG50" i="18"/>
  <c r="G388" i="31"/>
  <c r="X50" i="18" s="1"/>
  <c r="Z50" i="18" s="1"/>
  <c r="F94" i="31"/>
  <c r="F93" i="31"/>
  <c r="F118" i="31"/>
  <c r="F119" i="31"/>
  <c r="W23" i="18" s="1"/>
  <c r="Y23" i="18" s="1"/>
  <c r="X49" i="18"/>
  <c r="Z49" i="18" s="1"/>
  <c r="AG15" i="18"/>
  <c r="AH15" i="18" s="1"/>
  <c r="AI15" i="18" s="1"/>
  <c r="X15" i="18"/>
  <c r="Z15" i="18" s="1"/>
  <c r="H28" i="34"/>
  <c r="I28" i="34" s="1"/>
  <c r="AH19" i="18"/>
  <c r="H57" i="34"/>
  <c r="I57" i="34" s="1"/>
  <c r="AH51" i="18"/>
  <c r="AI51" i="18" s="1"/>
  <c r="G93" i="31"/>
  <c r="G94" i="31"/>
  <c r="X21" i="18" s="1"/>
  <c r="Z21" i="18" s="1"/>
  <c r="AG21" i="18"/>
  <c r="H52" i="34"/>
  <c r="I52" i="34" s="1"/>
  <c r="AH43" i="18"/>
  <c r="AI43" i="18" s="1"/>
  <c r="E117" i="31"/>
  <c r="G118" i="31"/>
  <c r="AG23" i="18"/>
  <c r="H50" i="34"/>
  <c r="I50" i="34" s="1"/>
  <c r="AH41" i="18"/>
  <c r="E37" i="31"/>
  <c r="AG16" i="18"/>
  <c r="G39" i="31"/>
  <c r="X16" i="18" s="1"/>
  <c r="Z16" i="18" s="1"/>
  <c r="E166" i="31"/>
  <c r="AG27" i="18"/>
  <c r="G168" i="31"/>
  <c r="X27" i="18" s="1"/>
  <c r="Z27" i="18" s="1"/>
  <c r="H49" i="34"/>
  <c r="I49" i="34" s="1"/>
  <c r="AH40" i="18"/>
  <c r="AG33" i="18"/>
  <c r="X33" i="18"/>
  <c r="Z33" i="18" s="1"/>
  <c r="AG31" i="18"/>
  <c r="G216" i="31"/>
  <c r="X31" i="18" s="1"/>
  <c r="Z31" i="18" s="1"/>
  <c r="X48" i="18"/>
  <c r="Z48" i="18" s="1"/>
  <c r="X12" i="18"/>
  <c r="Z12" i="18" s="1"/>
  <c r="AG48" i="18"/>
  <c r="AH48" i="18" s="1"/>
  <c r="AI48" i="18" s="1"/>
  <c r="AG38" i="18"/>
  <c r="G298" i="31"/>
  <c r="X38" i="18" s="1"/>
  <c r="Z38" i="18" s="1"/>
  <c r="H54" i="34"/>
  <c r="I54" i="34" s="1"/>
  <c r="AH45" i="18"/>
  <c r="AI45" i="18" s="1"/>
  <c r="W14" i="18"/>
  <c r="AG14" i="18"/>
  <c r="AH14" i="18" s="1"/>
  <c r="AI14" i="18" s="1"/>
  <c r="AI53" i="18" l="1"/>
  <c r="AE54" i="18"/>
  <c r="AI46" i="18"/>
  <c r="AI41" i="18"/>
  <c r="AI20" i="18"/>
  <c r="AI44" i="18"/>
  <c r="AF24" i="18"/>
  <c r="AI24" i="18" s="1"/>
  <c r="H69" i="34"/>
  <c r="I69" i="34" s="1"/>
  <c r="AF32" i="18"/>
  <c r="AI32" i="18" s="1"/>
  <c r="H77" i="34"/>
  <c r="I77" i="34" s="1"/>
  <c r="AF26" i="18"/>
  <c r="AI26" i="18" s="1"/>
  <c r="H71" i="34"/>
  <c r="I71" i="34" s="1"/>
  <c r="AF34" i="18"/>
  <c r="AI34" i="18" s="1"/>
  <c r="H79" i="34"/>
  <c r="I79" i="34" s="1"/>
  <c r="AF28" i="18"/>
  <c r="AI28" i="18" s="1"/>
  <c r="H73" i="34"/>
  <c r="I73" i="34" s="1"/>
  <c r="AF36" i="18"/>
  <c r="AI36" i="18" s="1"/>
  <c r="H81" i="34"/>
  <c r="I81" i="34" s="1"/>
  <c r="AF22" i="18"/>
  <c r="AI22" i="18" s="1"/>
  <c r="H67" i="34"/>
  <c r="I67" i="34" s="1"/>
  <c r="AF30" i="18"/>
  <c r="AI30" i="18" s="1"/>
  <c r="H75" i="34"/>
  <c r="I75" i="34" s="1"/>
  <c r="X36" i="18"/>
  <c r="Z36" i="18" s="1"/>
  <c r="W21" i="18"/>
  <c r="Y21" i="18" s="1"/>
  <c r="G119" i="31"/>
  <c r="X23" i="18" s="1"/>
  <c r="Z23" i="18" s="1"/>
  <c r="W17" i="18"/>
  <c r="Y17" i="18" s="1"/>
  <c r="H68" i="34"/>
  <c r="I68" i="34" s="1"/>
  <c r="AF23" i="18"/>
  <c r="AF19" i="18"/>
  <c r="H85" i="34"/>
  <c r="I85" i="34" s="1"/>
  <c r="AF40" i="18"/>
  <c r="AI40" i="18" s="1"/>
  <c r="G29" i="30"/>
  <c r="D60" i="18"/>
  <c r="AH23" i="18"/>
  <c r="H32" i="34"/>
  <c r="I32" i="34" s="1"/>
  <c r="AH50" i="18"/>
  <c r="AI50" i="18" s="1"/>
  <c r="H56" i="34"/>
  <c r="I56" i="34" s="1"/>
  <c r="H47" i="34"/>
  <c r="I47" i="34" s="1"/>
  <c r="AH38" i="18"/>
  <c r="AI38" i="18" s="1"/>
  <c r="H42" i="34"/>
  <c r="I42" i="34" s="1"/>
  <c r="AH33" i="18"/>
  <c r="AI33" i="18" s="1"/>
  <c r="H34" i="34"/>
  <c r="I34" i="34" s="1"/>
  <c r="AH25" i="18"/>
  <c r="AI25" i="18" s="1"/>
  <c r="AH21" i="18"/>
  <c r="AI21" i="18" s="1"/>
  <c r="H30" i="34"/>
  <c r="I30" i="34" s="1"/>
  <c r="AH29" i="18"/>
  <c r="AI29" i="18" s="1"/>
  <c r="H38" i="34"/>
  <c r="I38" i="34" s="1"/>
  <c r="H58" i="34"/>
  <c r="I58" i="34" s="1"/>
  <c r="AH52" i="18"/>
  <c r="AI52" i="18" s="1"/>
  <c r="H23" i="34"/>
  <c r="I23" i="34" s="1"/>
  <c r="Y14" i="18"/>
  <c r="H46" i="34"/>
  <c r="I46" i="34" s="1"/>
  <c r="AH37" i="18"/>
  <c r="H21" i="34"/>
  <c r="I21" i="34" s="1"/>
  <c r="Y12" i="18"/>
  <c r="H36" i="34"/>
  <c r="I36" i="34" s="1"/>
  <c r="AH27" i="18"/>
  <c r="AI27" i="18" s="1"/>
  <c r="H26" i="34"/>
  <c r="I26" i="34" s="1"/>
  <c r="AH17" i="18"/>
  <c r="AI17" i="18" s="1"/>
  <c r="AI12" i="18"/>
  <c r="AH31" i="18"/>
  <c r="AI31" i="18" s="1"/>
  <c r="H40" i="34"/>
  <c r="I40" i="34" s="1"/>
  <c r="X17" i="18"/>
  <c r="Z17" i="18" s="1"/>
  <c r="AH16" i="18"/>
  <c r="H25" i="34"/>
  <c r="I25" i="34" s="1"/>
  <c r="H44" i="34"/>
  <c r="I44" i="34" s="1"/>
  <c r="AH35" i="18"/>
  <c r="AI35" i="18" s="1"/>
  <c r="AI23" i="18" l="1"/>
  <c r="AI19" i="18"/>
  <c r="AB37" i="18"/>
  <c r="H82" i="34"/>
  <c r="I82" i="34" s="1"/>
  <c r="I97" i="34" s="1"/>
  <c r="B61" i="18"/>
  <c r="AF54" i="18"/>
  <c r="AD70" i="18" s="1"/>
  <c r="F114" i="34" s="1"/>
  <c r="Z54" i="18"/>
  <c r="AI16" i="18"/>
  <c r="AH54" i="18"/>
  <c r="AD71" i="18" s="1"/>
  <c r="Y54" i="18"/>
  <c r="I99" i="34" l="1"/>
  <c r="D117" i="34"/>
  <c r="D118" i="34" s="1"/>
  <c r="D121" i="34" s="1"/>
  <c r="F118" i="34"/>
  <c r="B64" i="18"/>
  <c r="F115" i="34"/>
  <c r="AI37" i="18"/>
  <c r="AI54" i="18" s="1"/>
  <c r="D56" i="18"/>
  <c r="D57" i="18" s="1"/>
  <c r="D59" i="18" s="1"/>
  <c r="AB54" i="18"/>
  <c r="H102" i="34" l="1"/>
  <c r="H103" i="34" s="1"/>
  <c r="F23" i="30"/>
  <c r="AD69" i="18"/>
  <c r="AB56" i="18"/>
  <c r="AB57" i="18" s="1"/>
  <c r="U117" i="34"/>
  <c r="V117" i="34" s="1"/>
  <c r="I100" i="34"/>
  <c r="I101" i="34" s="1"/>
  <c r="D113" i="34" l="1"/>
  <c r="AD72" i="18"/>
  <c r="D122" i="34"/>
  <c r="F116" i="34"/>
  <c r="AD73" i="18" l="1"/>
  <c r="H105" i="34" s="1"/>
  <c r="I105" i="34" s="1"/>
  <c r="F119" i="34" s="1"/>
  <c r="C131" i="34" s="1"/>
  <c r="AD74" i="18"/>
  <c r="R23" i="30"/>
  <c r="R26" i="30" s="1"/>
  <c r="R36" i="30" s="1"/>
  <c r="R37" i="30" s="1"/>
  <c r="G23" i="30"/>
  <c r="G30" i="30" s="1"/>
  <c r="AA23" i="30"/>
  <c r="AA26" i="30" s="1"/>
  <c r="H27" i="30"/>
  <c r="P23" i="30"/>
  <c r="P26" i="30" s="1"/>
  <c r="P27" i="30" s="1"/>
  <c r="S23" i="30"/>
  <c r="S26" i="30" s="1"/>
  <c r="S27" i="30" s="1"/>
  <c r="M23" i="30"/>
  <c r="M26" i="30" s="1"/>
  <c r="M36" i="30" s="1"/>
  <c r="M37" i="30" s="1"/>
  <c r="M38" i="30" s="1"/>
  <c r="J24" i="30"/>
  <c r="I27" i="30"/>
  <c r="Q23" i="30"/>
  <c r="Q26" i="30" s="1"/>
  <c r="Q27" i="30" s="1"/>
  <c r="J27" i="30"/>
  <c r="Y23" i="30"/>
  <c r="Y26" i="30" s="1"/>
  <c r="Y27" i="30" s="1"/>
  <c r="K24" i="30"/>
  <c r="AB23" i="30"/>
  <c r="AB26" i="30" s="1"/>
  <c r="AB27" i="30" s="1"/>
  <c r="T23" i="30"/>
  <c r="T26" i="30" s="1"/>
  <c r="T36" i="30" s="1"/>
  <c r="T37" i="30" s="1"/>
  <c r="V23" i="30"/>
  <c r="V26" i="30" s="1"/>
  <c r="N23" i="30"/>
  <c r="N26" i="30" s="1"/>
  <c r="N36" i="30" s="1"/>
  <c r="N37" i="30" s="1"/>
  <c r="X23" i="30"/>
  <c r="X26" i="30" s="1"/>
  <c r="X27" i="30" s="1"/>
  <c r="O23" i="30"/>
  <c r="O26" i="30" s="1"/>
  <c r="O36" i="30" s="1"/>
  <c r="O37" i="30" s="1"/>
  <c r="I24" i="30"/>
  <c r="I25" i="30" s="1"/>
  <c r="U23" i="30"/>
  <c r="U26" i="30" s="1"/>
  <c r="U27" i="30" s="1"/>
  <c r="K27" i="30"/>
  <c r="Z23" i="30"/>
  <c r="Z26" i="30" s="1"/>
  <c r="W23" i="30"/>
  <c r="W26" i="30" s="1"/>
  <c r="W36" i="30" s="1"/>
  <c r="W37" i="30" s="1"/>
  <c r="D116" i="34"/>
  <c r="R27" i="30" l="1"/>
  <c r="I106" i="34"/>
  <c r="F121" i="34"/>
  <c r="Y36" i="30"/>
  <c r="Y37" i="30" s="1"/>
  <c r="P36" i="30"/>
  <c r="P37" i="30" s="1"/>
  <c r="S36" i="30"/>
  <c r="S37" i="30" s="1"/>
  <c r="M27" i="30"/>
  <c r="AB36" i="30"/>
  <c r="AB37" i="30" s="1"/>
  <c r="J25" i="30"/>
  <c r="K25" i="30" s="1"/>
  <c r="Q36" i="30"/>
  <c r="Q37" i="30" s="1"/>
  <c r="U36" i="30"/>
  <c r="U37" i="30" s="1"/>
  <c r="T27" i="30"/>
  <c r="AA36" i="30"/>
  <c r="AA37" i="30" s="1"/>
  <c r="AA27" i="30"/>
  <c r="V27" i="30"/>
  <c r="V36" i="30"/>
  <c r="V37" i="30" s="1"/>
  <c r="X36" i="30"/>
  <c r="X37" i="30" s="1"/>
  <c r="W27" i="30"/>
  <c r="Z27" i="30"/>
  <c r="Z36" i="30"/>
  <c r="Z37" i="30" s="1"/>
  <c r="N27" i="30"/>
  <c r="O27" i="30"/>
  <c r="L26" i="30"/>
  <c r="L27" i="30" s="1"/>
  <c r="L30" i="30"/>
  <c r="G26" i="30"/>
  <c r="G27" i="30" s="1"/>
  <c r="G28" i="30" s="1"/>
  <c r="H28" i="30" s="1"/>
  <c r="I28" i="30" s="1"/>
  <c r="J28" i="30" s="1"/>
  <c r="K28" i="30" s="1"/>
  <c r="M42" i="30"/>
  <c r="N38" i="30"/>
  <c r="U116" i="34"/>
  <c r="V115" i="34" s="1"/>
  <c r="U106" i="34" l="1"/>
  <c r="I107" i="34"/>
  <c r="D123" i="34"/>
  <c r="F123" i="34"/>
  <c r="E23" i="30"/>
  <c r="L25" i="30"/>
  <c r="M25" i="30" s="1"/>
  <c r="N25" i="30" s="1"/>
  <c r="O25" i="30" s="1"/>
  <c r="P25" i="30" s="1"/>
  <c r="Q25" i="30" s="1"/>
  <c r="R25" i="30" s="1"/>
  <c r="S25" i="30" s="1"/>
  <c r="T25" i="30" s="1"/>
  <c r="U25" i="30" s="1"/>
  <c r="V25" i="30" s="1"/>
  <c r="W25" i="30" s="1"/>
  <c r="X25" i="30" s="1"/>
  <c r="Y25" i="30" s="1"/>
  <c r="Z25" i="30" s="1"/>
  <c r="AA25" i="30" s="1"/>
  <c r="AB25" i="30" s="1"/>
  <c r="L28" i="30"/>
  <c r="M28" i="30" s="1"/>
  <c r="N28" i="30" s="1"/>
  <c r="O28" i="30" s="1"/>
  <c r="P28" i="30" s="1"/>
  <c r="Q28" i="30" s="1"/>
  <c r="R28" i="30" s="1"/>
  <c r="S28" i="30" s="1"/>
  <c r="T28" i="30" s="1"/>
  <c r="U28" i="30" s="1"/>
  <c r="V28" i="30" s="1"/>
  <c r="W28" i="30" s="1"/>
  <c r="X28" i="30" s="1"/>
  <c r="Y28" i="30" s="1"/>
  <c r="Z28" i="30" s="1"/>
  <c r="AA28" i="30" s="1"/>
  <c r="AB28" i="30" s="1"/>
  <c r="AC36" i="30"/>
  <c r="AC44" i="30" s="1"/>
  <c r="AD44" i="30" s="1"/>
  <c r="V119" i="34"/>
  <c r="U119" i="34"/>
  <c r="O38" i="30"/>
  <c r="N42" i="30"/>
  <c r="J121" i="34" l="1"/>
  <c r="D130" i="34"/>
  <c r="C130" i="34" s="1"/>
  <c r="AC42" i="30"/>
  <c r="K121" i="34"/>
  <c r="U107" i="34"/>
  <c r="V106" i="34"/>
  <c r="P38" i="30"/>
  <c r="O42" i="30"/>
  <c r="U118" i="34"/>
  <c r="V118" i="34" s="1"/>
  <c r="Q38" i="30" l="1"/>
  <c r="P42" i="30"/>
  <c r="C132" i="34"/>
  <c r="M145" i="34"/>
  <c r="M146" i="34"/>
  <c r="M143" i="34"/>
  <c r="H145" i="34"/>
  <c r="I145" i="34" s="1"/>
  <c r="U145" i="34" s="1"/>
  <c r="H149" i="34"/>
  <c r="I149" i="34" s="1"/>
  <c r="U149" i="34" s="1"/>
  <c r="H148" i="34"/>
  <c r="I148" i="34" s="1"/>
  <c r="U148" i="34" s="1"/>
  <c r="M142" i="34"/>
  <c r="M147" i="34"/>
  <c r="H143" i="34"/>
  <c r="I143" i="34" s="1"/>
  <c r="U143" i="34" s="1"/>
  <c r="H147" i="34"/>
  <c r="I147" i="34" s="1"/>
  <c r="U147" i="34" s="1"/>
  <c r="L152" i="34"/>
  <c r="H146" i="34"/>
  <c r="I146" i="34" s="1"/>
  <c r="U146" i="34" s="1"/>
  <c r="M148" i="34"/>
  <c r="M144" i="34"/>
  <c r="H142" i="34"/>
  <c r="H144" i="34"/>
  <c r="I144" i="34" s="1"/>
  <c r="U144" i="34" s="1"/>
  <c r="M149" i="34"/>
  <c r="Q42" i="30" l="1"/>
  <c r="R38" i="30"/>
  <c r="V122" i="34"/>
  <c r="U121" i="34"/>
  <c r="H150" i="34"/>
  <c r="G152" i="34" s="1"/>
  <c r="I142" i="34"/>
  <c r="U142" i="34" s="1"/>
  <c r="R42" i="30" l="1"/>
  <c r="S38" i="30"/>
  <c r="V121" i="34"/>
  <c r="S42" i="30" l="1"/>
  <c r="T38" i="30"/>
  <c r="T42" i="30" l="1"/>
  <c r="U38" i="30"/>
  <c r="U42" i="30" l="1"/>
  <c r="V38" i="30"/>
  <c r="W38" i="30" l="1"/>
  <c r="V42" i="30"/>
  <c r="X38" i="30" l="1"/>
  <c r="W42" i="30"/>
  <c r="Y38" i="30" l="1"/>
  <c r="X42" i="30"/>
  <c r="Z38" i="30" l="1"/>
  <c r="Y42" i="30"/>
  <c r="Z42" i="30" l="1"/>
  <c r="AA38" i="30"/>
  <c r="AA42" i="30" l="1"/>
  <c r="AB38" i="30"/>
  <c r="AB42" i="30" s="1"/>
</calcChain>
</file>

<file path=xl/comments1.xml><?xml version="1.0" encoding="utf-8"?>
<comments xmlns="http://schemas.openxmlformats.org/spreadsheetml/2006/main">
  <authors>
    <author>Marcela Buitrago Monsalve</author>
  </authors>
  <commentList>
    <comment ref="A12" authorId="0" shapeId="0">
      <text>
        <r>
          <rPr>
            <sz val="9"/>
            <color indexed="81"/>
            <rFont val="Tahoma"/>
            <family val="2"/>
          </rPr>
          <t>En caso que el proceso actual se derive de una contratación, considerar la programación física y financiera del proceso inicial para la programación del presente proceso</t>
        </r>
      </text>
    </comment>
    <comment ref="A13" authorId="0" shapeId="0">
      <text>
        <r>
          <rPr>
            <sz val="9"/>
            <color indexed="81"/>
            <rFont val="Tahoma"/>
            <family val="2"/>
          </rPr>
          <t>Desplegar las celdas ocultas en caso de requerirse</t>
        </r>
      </text>
    </comment>
    <comment ref="C13" authorId="0" shapeId="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3" authorId="0" shapeId="0">
      <text>
        <r>
          <rPr>
            <sz val="9"/>
            <color indexed="81"/>
            <rFont val="Tahoma"/>
            <family val="2"/>
          </rPr>
          <t>% de importancia de cada subactividad respecto a la meta/ producto a obtener</t>
        </r>
      </text>
    </comment>
    <comment ref="A15" authorId="0" shapeId="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6" authorId="0" shapeId="0">
      <text>
        <r>
          <rPr>
            <sz val="9"/>
            <color indexed="81"/>
            <rFont val="Tahoma"/>
            <family val="2"/>
          </rPr>
          <t>la suma del % de peso físico de los alcances debe de dar el 100% del producto a obtener.</t>
        </r>
      </text>
    </comment>
    <comment ref="A17" authorId="0" shapeId="0">
      <text>
        <r>
          <rPr>
            <sz val="9"/>
            <color indexed="81"/>
            <rFont val="Tahoma"/>
            <family val="2"/>
          </rPr>
          <t xml:space="preserve">
Suma de la ejecución de las subactividades en cada período</t>
        </r>
      </text>
    </comment>
    <comment ref="A18" authorId="0" shapeId="0">
      <text>
        <r>
          <rPr>
            <sz val="9"/>
            <color indexed="81"/>
            <rFont val="Tahoma"/>
            <family val="2"/>
          </rPr>
          <t xml:space="preserve">
Suma del total del período anterior + el total del período actual</t>
        </r>
      </text>
    </comment>
    <comment ref="E21" authorId="0" shapeId="0">
      <text>
        <r>
          <rPr>
            <sz val="9"/>
            <color indexed="81"/>
            <rFont val="Tahoma"/>
            <family val="2"/>
          </rPr>
          <t xml:space="preserve">
Valor total incluido los aportes en dinero y en especie, de todos los participantes</t>
        </r>
      </text>
    </comment>
    <comment ref="F21" authorId="0" shapeId="0">
      <text>
        <r>
          <rPr>
            <sz val="9"/>
            <color indexed="81"/>
            <rFont val="Tahoma"/>
            <family val="2"/>
          </rPr>
          <t xml:space="preserve">
Valor total en dinero aportado por corantioquia</t>
        </r>
      </text>
    </comment>
    <comment ref="F23" authorId="0" shapeId="0">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B23" authorId="0" shapeId="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4" authorId="0" shapeId="0">
      <text>
        <r>
          <rPr>
            <sz val="9"/>
            <color indexed="81"/>
            <rFont val="Tahoma"/>
            <family val="2"/>
          </rPr>
          <t xml:space="preserve">
Peso %:
 Valor aportado por corantioquia en cada periodo / el valor (total) aportado por corantioquia</t>
        </r>
      </text>
    </comment>
    <comment ref="E25" authorId="0" shapeId="0">
      <text>
        <r>
          <rPr>
            <sz val="9"/>
            <color indexed="81"/>
            <rFont val="Tahoma"/>
            <family val="2"/>
          </rPr>
          <t xml:space="preserve">
Suma del (%) del período anterior + el (%) del período actual</t>
        </r>
      </text>
    </comment>
    <comment ref="E27" authorId="0" shapeId="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8" authorId="0" shapeId="0">
      <text>
        <r>
          <rPr>
            <sz val="9"/>
            <color indexed="81"/>
            <rFont val="Tahoma"/>
            <family val="2"/>
          </rPr>
          <t xml:space="preserve">
Esta información se compara con los datos disponibles en el PGAR.
Suma del (%) del período anterior + el (%) del período actual</t>
        </r>
      </text>
    </comment>
    <comment ref="C33" authorId="0" shapeId="0">
      <text>
        <r>
          <rPr>
            <sz val="9"/>
            <color indexed="81"/>
            <rFont val="Tahoma"/>
            <family val="2"/>
          </rPr>
          <t xml:space="preserve">
Diligenciar esta información solo en caso de Otrosí de adición de recursos o prórroga </t>
        </r>
      </text>
    </comment>
    <comment ref="E34" authorId="0" shapeId="0">
      <text>
        <r>
          <rPr>
            <sz val="9"/>
            <color indexed="81"/>
            <rFont val="Tahoma"/>
            <family val="2"/>
          </rPr>
          <t xml:space="preserve">
Valor aportado por corantioquia (solo en dinero) de manera inicial + las adiciones</t>
        </r>
      </text>
    </comment>
    <comment ref="F36" authorId="0" shapeId="0">
      <text>
        <r>
          <rPr>
            <sz val="9"/>
            <color indexed="81"/>
            <rFont val="Tahoma"/>
            <family val="2"/>
          </rPr>
          <t xml:space="preserve">
Diligenciar la información de los valores que efectivamente se han desembolsado, de acuerdo con la información en el PGAR</t>
        </r>
      </text>
    </comment>
    <comment ref="F39" authorId="0" shapeId="0">
      <text>
        <r>
          <rPr>
            <sz val="9"/>
            <color indexed="81"/>
            <rFont val="Tahoma"/>
            <family val="2"/>
          </rPr>
          <t xml:space="preserve">
Plasmar la planeación de los valores pendientes de ejecución o desembolso</t>
        </r>
      </text>
    </comment>
    <comment ref="C42" authorId="0" shapeId="0">
      <text>
        <r>
          <rPr>
            <sz val="9"/>
            <color indexed="81"/>
            <rFont val="Tahoma"/>
            <family val="2"/>
          </rPr>
          <t xml:space="preserve">
Suma del porcentaje acumulado de los valores ya ejecutados y el porcentaje acumulado de los valores por ejecutar</t>
        </r>
      </text>
    </comment>
  </commentList>
</comments>
</file>

<file path=xl/comments2.xml><?xml version="1.0" encoding="utf-8"?>
<comments xmlns="http://schemas.openxmlformats.org/spreadsheetml/2006/main">
  <authors>
    <author>USUARIO</author>
    <author>parteaga</author>
    <author>Marcela Buitrago Monsalve</author>
    <author>Carlos Andrés Jaramillo Osorio</author>
  </authors>
  <commentList>
    <comment ref="D2" authorId="0" shapeId="0">
      <text>
        <r>
          <rPr>
            <b/>
            <sz val="9"/>
            <color indexed="81"/>
            <rFont val="Tahoma"/>
            <family val="2"/>
          </rPr>
          <t>USUARIO:</t>
        </r>
        <r>
          <rPr>
            <sz val="9"/>
            <color indexed="81"/>
            <rFont val="Tahoma"/>
            <family val="2"/>
          </rPr>
          <t xml:space="preserve">
Debe ser igual al númeral 3.1 del EP, le falta la palabra Antioquia “Aunar esfuerzos para contribuir al saneamiento hídrico rural en el municipio de Vegachí – Antioquia”.</t>
        </r>
      </text>
    </comment>
    <comment ref="B61" authorId="1" shapeId="0">
      <text>
        <r>
          <rPr>
            <b/>
            <sz val="8"/>
            <color indexed="81"/>
            <rFont val="Tahoma"/>
            <family val="2"/>
          </rPr>
          <t>parteaga:
extraer MONC y llevarlo al cuadro de arriba.</t>
        </r>
      </text>
    </comment>
    <comment ref="I100" authorId="2" shapeId="0">
      <text>
        <r>
          <rPr>
            <b/>
            <sz val="9"/>
            <color indexed="81"/>
            <rFont val="Tahoma"/>
            <family val="2"/>
          </rPr>
          <t>Marcela Buitrago Monsalve:</t>
        </r>
        <r>
          <rPr>
            <sz val="9"/>
            <color indexed="81"/>
            <rFont val="Tahoma"/>
            <family val="2"/>
          </rPr>
          <t xml:space="preserve">
Se organizo la formula para no reconocer el AU sobre el IVA excluible</t>
        </r>
      </text>
    </comment>
    <comment ref="L141" authorId="3" shapeId="0">
      <text>
        <r>
          <rPr>
            <b/>
            <sz val="9"/>
            <color indexed="81"/>
            <rFont val="Tahoma"/>
            <family val="2"/>
          </rPr>
          <t xml:space="preserve">Carlos Andrés Jaramillo Osorio:
</t>
        </r>
        <r>
          <rPr>
            <sz val="9"/>
            <color indexed="81"/>
            <rFont val="Tahoma"/>
            <family val="2"/>
          </rPr>
          <t xml:space="preserve">Valor promedio (Vp) del tanque es mayor que el valor unitario (Vu)? (SI/NO)
</t>
        </r>
      </text>
    </comment>
    <comment ref="U141" authorId="3" shapeId="0">
      <text>
        <r>
          <rPr>
            <b/>
            <sz val="9"/>
            <color indexed="81"/>
            <rFont val="Tahoma"/>
            <family val="2"/>
          </rPr>
          <t xml:space="preserve">Carlos Andrés Jaramillo Osorio:
</t>
        </r>
        <r>
          <rPr>
            <sz val="9"/>
            <color indexed="81"/>
            <rFont val="Tahoma"/>
            <family val="2"/>
          </rPr>
          <t xml:space="preserve">Valor promedio (Vp) del tanque es mayor que el valor unitario (Vu)? (SI/NO)
</t>
        </r>
      </text>
    </comment>
    <comment ref="L158" authorId="3" shapeId="0">
      <text>
        <r>
          <rPr>
            <b/>
            <sz val="9"/>
            <color indexed="81"/>
            <rFont val="Tahoma"/>
            <family val="2"/>
          </rPr>
          <t>Carlos Andrés Jaramillo Osorio:</t>
        </r>
        <r>
          <rPr>
            <sz val="9"/>
            <color indexed="81"/>
            <rFont val="Tahoma"/>
            <family val="2"/>
          </rPr>
          <t xml:space="preserve">
En caso de que el presupuesto del municipio sea inferior a $74.877.393, ingresar cantidad en dinero de la que dispone el municipio</t>
        </r>
      </text>
    </comment>
    <comment ref="L159" authorId="3" shapeId="0">
      <text>
        <r>
          <rPr>
            <b/>
            <sz val="9"/>
            <color indexed="81"/>
            <rFont val="Tahoma"/>
            <family val="2"/>
          </rPr>
          <t>Carlos Andrés Jaramillo Osorio:</t>
        </r>
        <r>
          <rPr>
            <sz val="9"/>
            <color indexed="81"/>
            <rFont val="Tahoma"/>
            <family val="2"/>
          </rPr>
          <t xml:space="preserve">
 En caso que presupuesto de lmunicipio sea inferior a $37.438.697, ingresar cantidad en dinero de la que dispone el municipio</t>
        </r>
      </text>
    </comment>
    <comment ref="E164" authorId="3" shapeId="0">
      <text>
        <r>
          <rPr>
            <b/>
            <sz val="9"/>
            <color indexed="81"/>
            <rFont val="Tahoma"/>
            <family val="2"/>
          </rPr>
          <t>Carlos Andrés Jaramillo Osorio:</t>
        </r>
        <r>
          <rPr>
            <sz val="9"/>
            <color indexed="81"/>
            <rFont val="Tahoma"/>
            <family val="2"/>
          </rPr>
          <t xml:space="preserve">
Se utiliza para conocer el  número de tanques y valor de cofinanciación de Corantioquia con base en los recursos del municipio, manteniendo un esquema de cofinanciación 80/20</t>
        </r>
      </text>
    </comment>
  </commentList>
</comments>
</file>

<file path=xl/comments3.xml><?xml version="1.0" encoding="utf-8"?>
<comments xmlns="http://schemas.openxmlformats.org/spreadsheetml/2006/main">
  <authors>
    <author>CORANTIOQUIA</author>
    <author>Luz Stella Palacio</author>
    <author>Samsung</author>
    <author>Martha Isabel Bustos Giraldo</author>
    <author>Sandra Patricia Gallo Villa</author>
    <author>usuario</author>
  </authors>
  <commentList>
    <comment ref="U6" authorId="0" shapeId="0">
      <text>
        <r>
          <rPr>
            <b/>
            <sz val="8"/>
            <color indexed="81"/>
            <rFont val="Tahoma"/>
            <family val="2"/>
          </rPr>
          <t>CANTIDAD SIN REDONDEAR</t>
        </r>
      </text>
    </comment>
    <comment ref="V6" authorId="0" shapeId="0">
      <text>
        <r>
          <rPr>
            <b/>
            <sz val="8"/>
            <color indexed="81"/>
            <rFont val="Tahoma"/>
            <family val="2"/>
          </rPr>
          <t>CANTIDAD REDONDEADA</t>
        </r>
      </text>
    </comment>
    <comment ref="E16" authorId="1" shapeId="0">
      <text>
        <r>
          <rPr>
            <b/>
            <sz val="10"/>
            <color indexed="81"/>
            <rFont val="Tahoma"/>
            <family val="2"/>
          </rPr>
          <t xml:space="preserve">Efluente+purga+red  secundaria vivienda </t>
        </r>
      </text>
    </comment>
    <comment ref="G16" authorId="1" shapeId="0">
      <text>
        <r>
          <rPr>
            <b/>
            <sz val="10"/>
            <color indexed="81"/>
            <rFont val="Tahoma"/>
            <family val="2"/>
          </rPr>
          <t xml:space="preserve">70% Red secundaria vivienda </t>
        </r>
      </text>
    </comment>
    <comment ref="I16" authorId="1" shapeId="0">
      <text>
        <r>
          <rPr>
            <b/>
            <sz val="10"/>
            <color indexed="81"/>
            <rFont val="Tahoma"/>
            <family val="2"/>
          </rPr>
          <t xml:space="preserve">70% Red secundaria vivienda </t>
        </r>
      </text>
    </comment>
    <comment ref="K16" authorId="1" shapeId="0">
      <text>
        <r>
          <rPr>
            <b/>
            <sz val="10"/>
            <color indexed="81"/>
            <rFont val="Tahoma"/>
            <family val="2"/>
          </rPr>
          <t xml:space="preserve">70% Red secundaria vivienda </t>
        </r>
      </text>
    </comment>
    <comment ref="M16" authorId="1" shapeId="0">
      <text>
        <r>
          <rPr>
            <b/>
            <sz val="10"/>
            <color indexed="81"/>
            <rFont val="Tahoma"/>
            <family val="2"/>
          </rPr>
          <t xml:space="preserve">70% Red secundaria vivienda </t>
        </r>
      </text>
    </comment>
    <comment ref="O16" authorId="1" shapeId="0">
      <text>
        <r>
          <rPr>
            <b/>
            <sz val="10"/>
            <color indexed="81"/>
            <rFont val="Tahoma"/>
            <family val="2"/>
          </rPr>
          <t xml:space="preserve">70% Red secundaria vivienda </t>
        </r>
      </text>
    </comment>
    <comment ref="E17" authorId="0" shapeId="0">
      <text>
        <r>
          <rPr>
            <b/>
            <sz val="10"/>
            <color indexed="81"/>
            <rFont val="Tahoma"/>
            <family val="2"/>
          </rPr>
          <t>Conexión vivienda - T.S + Purga hasta valvula (3 m) + 30% red secundaria de la vivienda
Asumir que el 70% de las viviendas tienen la domiciliar en 3"</t>
        </r>
      </text>
    </comment>
    <comment ref="G17" authorId="0" shapeId="0">
      <text>
        <r>
          <rPr>
            <b/>
            <sz val="10"/>
            <color indexed="81"/>
            <rFont val="Tahoma"/>
            <family val="2"/>
          </rPr>
          <t>Conexión vivienda - T.S + Purga hasta valvula + 30% red secundaria de la vivienda</t>
        </r>
      </text>
    </comment>
    <comment ref="I17" authorId="0" shapeId="0">
      <text>
        <r>
          <rPr>
            <b/>
            <sz val="10"/>
            <color indexed="81"/>
            <rFont val="Tahoma"/>
            <family val="2"/>
          </rPr>
          <t>Conexión vivienda - T.S + Purga hasta valvula + 30% red secundaria de la vivienda</t>
        </r>
      </text>
    </comment>
    <comment ref="K17" authorId="0" shapeId="0">
      <text>
        <r>
          <rPr>
            <b/>
            <sz val="10"/>
            <color indexed="81"/>
            <rFont val="Tahoma"/>
            <family val="2"/>
          </rPr>
          <t>Conexión vivienda - T.S + Purga completa + efluente + 30% red secundaria de la vivienda</t>
        </r>
      </text>
    </comment>
    <comment ref="M17" authorId="0" shapeId="0">
      <text>
        <r>
          <rPr>
            <b/>
            <sz val="10"/>
            <color indexed="81"/>
            <rFont val="Tahoma"/>
            <family val="2"/>
          </rPr>
          <t>Conexión vivienda - T.S + Purga completa + efluente + 30% red secundaria de la vivienda</t>
        </r>
      </text>
    </comment>
    <comment ref="O17" authorId="0" shapeId="0">
      <text>
        <r>
          <rPr>
            <b/>
            <sz val="10"/>
            <color indexed="81"/>
            <rFont val="Tahoma"/>
            <family val="2"/>
          </rPr>
          <t>Conexión vivienda - T.S + Purga completa + efluente</t>
        </r>
      </text>
    </comment>
    <comment ref="AD17" authorId="2" shapeId="0">
      <text>
        <r>
          <rPr>
            <b/>
            <sz val="9"/>
            <color indexed="81"/>
            <rFont val="Tahoma"/>
            <family val="2"/>
          </rPr>
          <t>Samsung:</t>
        </r>
        <r>
          <rPr>
            <sz val="9"/>
            <color indexed="81"/>
            <rFont val="Tahoma"/>
            <family val="2"/>
          </rPr>
          <t xml:space="preserve">
CORANTIOQUIA</t>
        </r>
      </text>
    </comment>
    <comment ref="AD19" authorId="2" shapeId="0">
      <text>
        <r>
          <rPr>
            <b/>
            <sz val="9"/>
            <color indexed="81"/>
            <rFont val="Tahoma"/>
            <family val="2"/>
          </rPr>
          <t>Samsung:</t>
        </r>
        <r>
          <rPr>
            <sz val="9"/>
            <color indexed="81"/>
            <rFont val="Tahoma"/>
            <family val="2"/>
          </rPr>
          <t xml:space="preserve">
CORANTIOQUIA</t>
        </r>
      </text>
    </comment>
    <comment ref="C37" authorId="2" shapeId="0">
      <text>
        <r>
          <rPr>
            <b/>
            <sz val="9"/>
            <color indexed="81"/>
            <rFont val="Tahoma"/>
            <family val="2"/>
          </rPr>
          <t>Samsung:</t>
        </r>
        <r>
          <rPr>
            <sz val="9"/>
            <color indexed="81"/>
            <rFont val="Tahoma"/>
            <family val="2"/>
          </rPr>
          <t xml:space="preserve">
Se da 0.5 metros para cada caja de valvula</t>
        </r>
      </text>
    </comment>
    <comment ref="C38" authorId="2" shapeId="0">
      <text>
        <r>
          <rPr>
            <b/>
            <sz val="9"/>
            <color indexed="81"/>
            <rFont val="Tahoma"/>
            <family val="2"/>
          </rPr>
          <t>Samsung:</t>
        </r>
        <r>
          <rPr>
            <sz val="9"/>
            <color indexed="81"/>
            <rFont val="Tahoma"/>
            <family val="2"/>
          </rPr>
          <t xml:space="preserve">
Se da 0.5 metros para cada caja de valvula</t>
        </r>
      </text>
    </comment>
    <comment ref="AD38" authorId="2" shapeId="0">
      <text>
        <r>
          <rPr>
            <b/>
            <sz val="9"/>
            <color indexed="81"/>
            <rFont val="Tahoma"/>
            <family val="2"/>
          </rPr>
          <t>Samsung:</t>
        </r>
        <r>
          <rPr>
            <sz val="9"/>
            <color indexed="81"/>
            <rFont val="Tahoma"/>
            <family val="2"/>
          </rPr>
          <t xml:space="preserve">
CORANTIOQUIA
</t>
        </r>
      </text>
    </comment>
    <comment ref="AD39" authorId="2" shapeId="0">
      <text>
        <r>
          <rPr>
            <b/>
            <sz val="9"/>
            <color indexed="81"/>
            <rFont val="Tahoma"/>
            <family val="2"/>
          </rPr>
          <t>Samsung:</t>
        </r>
        <r>
          <rPr>
            <sz val="9"/>
            <color indexed="81"/>
            <rFont val="Tahoma"/>
            <family val="2"/>
          </rPr>
          <t xml:space="preserve">
CORANTIOQUIA</t>
        </r>
      </text>
    </comment>
    <comment ref="AD40" authorId="2" shapeId="0">
      <text>
        <r>
          <rPr>
            <b/>
            <sz val="9"/>
            <color indexed="81"/>
            <rFont val="Tahoma"/>
            <family val="2"/>
          </rPr>
          <t>Samsung:</t>
        </r>
        <r>
          <rPr>
            <sz val="9"/>
            <color indexed="81"/>
            <rFont val="Tahoma"/>
            <family val="2"/>
          </rPr>
          <t xml:space="preserve">
CORANTIOQUIA</t>
        </r>
      </text>
    </comment>
    <comment ref="C41" authorId="2" shapeId="0">
      <text>
        <r>
          <rPr>
            <b/>
            <sz val="9"/>
            <color indexed="81"/>
            <rFont val="Tahoma"/>
            <family val="2"/>
          </rPr>
          <t>Samsung:</t>
        </r>
        <r>
          <rPr>
            <sz val="9"/>
            <color indexed="81"/>
            <rFont val="Tahoma"/>
            <family val="2"/>
          </rPr>
          <t xml:space="preserve">
Se da 0.5 metros para cada caja de valvula</t>
        </r>
      </text>
    </comment>
    <comment ref="AD41" authorId="2" shapeId="0">
      <text>
        <r>
          <rPr>
            <b/>
            <sz val="9"/>
            <color indexed="81"/>
            <rFont val="Tahoma"/>
            <family val="2"/>
          </rPr>
          <t>Samsung:</t>
        </r>
        <r>
          <rPr>
            <sz val="9"/>
            <color indexed="81"/>
            <rFont val="Tahoma"/>
            <family val="2"/>
          </rPr>
          <t xml:space="preserve">
CORANTIOQUIA
</t>
        </r>
      </text>
    </comment>
    <comment ref="C42" authorId="2" shapeId="0">
      <text>
        <r>
          <rPr>
            <b/>
            <sz val="9"/>
            <color indexed="81"/>
            <rFont val="Tahoma"/>
            <family val="2"/>
          </rPr>
          <t>Samsung:</t>
        </r>
        <r>
          <rPr>
            <sz val="9"/>
            <color indexed="81"/>
            <rFont val="Tahoma"/>
            <family val="2"/>
          </rPr>
          <t xml:space="preserve">
Promedio de la distancia del tanque a la fuente</t>
        </r>
      </text>
    </comment>
    <comment ref="AD44" authorId="2" shapeId="0">
      <text>
        <r>
          <rPr>
            <b/>
            <sz val="9"/>
            <color indexed="81"/>
            <rFont val="Tahoma"/>
            <family val="2"/>
          </rPr>
          <t>Samsung:</t>
        </r>
        <r>
          <rPr>
            <sz val="9"/>
            <color indexed="81"/>
            <rFont val="Tahoma"/>
            <family val="2"/>
          </rPr>
          <t xml:space="preserve">
CORANTIOQUIA</t>
        </r>
      </text>
    </comment>
    <comment ref="AD45" authorId="2" shapeId="0">
      <text>
        <r>
          <rPr>
            <b/>
            <sz val="9"/>
            <color indexed="81"/>
            <rFont val="Tahoma"/>
            <family val="2"/>
          </rPr>
          <t>Samsung:</t>
        </r>
        <r>
          <rPr>
            <sz val="9"/>
            <color indexed="81"/>
            <rFont val="Tahoma"/>
            <family val="2"/>
          </rPr>
          <t xml:space="preserve">
CORANTIOQUIA</t>
        </r>
      </text>
    </comment>
    <comment ref="E46" authorId="3" shapeId="0">
      <text>
        <r>
          <rPr>
            <b/>
            <sz val="9"/>
            <color indexed="81"/>
            <rFont val="Tahoma"/>
            <family val="2"/>
          </rPr>
          <t>Martha Isabel Bustos Giraldo:</t>
        </r>
        <r>
          <rPr>
            <sz val="9"/>
            <color indexed="81"/>
            <rFont val="Tahoma"/>
            <family val="2"/>
          </rPr>
          <t xml:space="preserve">
ojo cuando tanques planos poner manual
caso oia Afro
</t>
        </r>
      </text>
    </comment>
    <comment ref="AD46" authorId="2" shapeId="0">
      <text>
        <r>
          <rPr>
            <b/>
            <sz val="9"/>
            <color indexed="81"/>
            <rFont val="Tahoma"/>
            <family val="2"/>
          </rPr>
          <t>Samsung:</t>
        </r>
        <r>
          <rPr>
            <sz val="9"/>
            <color indexed="81"/>
            <rFont val="Tahoma"/>
            <family val="2"/>
          </rPr>
          <t xml:space="preserve">
CORANTIOQUIA</t>
        </r>
      </text>
    </comment>
    <comment ref="C47" authorId="0" shapeId="0">
      <text>
        <r>
          <rPr>
            <b/>
            <sz val="10"/>
            <color indexed="81"/>
            <rFont val="Tahoma"/>
            <family val="2"/>
          </rPr>
          <t>El pozo tendrá una profundidad de  3 pisos de cajas de gaseosa, (aporx 75 cm) el área superficial puede ser el 1.3 a 1.5 veces la capacidad del tanque en volumen.</t>
        </r>
      </text>
    </comment>
    <comment ref="E48" authorId="1" shapeId="0">
      <text>
        <r>
          <rPr>
            <b/>
            <sz val="10"/>
            <color indexed="81"/>
            <rFont val="Tahoma"/>
            <family val="2"/>
          </rPr>
          <t>Asumir 0,1 por cada habitante.  Los pozos de absorción de esta capacidad tienen un volumen de 1m3</t>
        </r>
      </text>
    </comment>
    <comment ref="E50" authorId="0" shapeId="0">
      <text>
        <r>
          <rPr>
            <b/>
            <sz val="10"/>
            <color indexed="81"/>
            <rFont val="Tahoma"/>
            <family val="2"/>
          </rPr>
          <t>según dimensiones de pozo de absorción, más 0.10 para doble del geosintético a cada lado, asumiendo profundidad de 1 metro</t>
        </r>
      </text>
    </comment>
    <comment ref="E51" authorId="4" shapeId="0">
      <text>
        <r>
          <rPr>
            <b/>
            <sz val="9"/>
            <color indexed="81"/>
            <rFont val="Tahoma"/>
            <family val="2"/>
          </rPr>
          <t>son 3 pisos de cajas cada piso de 9 cajas para tanques hasta de 4000 litros</t>
        </r>
      </text>
    </comment>
    <comment ref="AK59" authorId="5" shapeId="0">
      <text>
        <r>
          <rPr>
            <b/>
            <sz val="9"/>
            <color indexed="81"/>
            <rFont val="Tahoma"/>
            <family val="2"/>
          </rPr>
          <t>usuario:</t>
        </r>
        <r>
          <rPr>
            <sz val="9"/>
            <color indexed="81"/>
            <rFont val="Tahoma"/>
            <family val="2"/>
          </rPr>
          <t xml:space="preserve">
De acuerdo a la RES 040-RES2104-21463</t>
        </r>
      </text>
    </comment>
    <comment ref="AD73" authorId="4" shapeId="0">
      <text>
        <r>
          <rPr>
            <sz val="9"/>
            <color indexed="81"/>
            <rFont val="Tahoma"/>
            <family val="2"/>
          </rPr>
          <t xml:space="preserve">
REVISAR TABLA DE TARIFAS TRAMITES AMBIENTALES
</t>
        </r>
      </text>
    </comment>
    <comment ref="AD74" authorId="4" shapeId="0">
      <text>
        <r>
          <rPr>
            <sz val="9"/>
            <color indexed="81"/>
            <rFont val="Tahoma"/>
            <family val="2"/>
          </rPr>
          <t xml:space="preserve">
REVISAR TABLA DE TARIFAS TRAMITES AMBIENTALES
</t>
        </r>
      </text>
    </comment>
  </commentList>
</comments>
</file>

<file path=xl/comments4.xml><?xml version="1.0" encoding="utf-8"?>
<comments xmlns="http://schemas.openxmlformats.org/spreadsheetml/2006/main">
  <authors>
    <author>Jaime León Moreno Quiroz</author>
    <author>usuario</author>
  </authors>
  <commentList>
    <comment ref="I3" authorId="0" shapeId="0">
      <text>
        <r>
          <rPr>
            <sz val="9"/>
            <color indexed="81"/>
            <rFont val="Tahoma"/>
            <family val="2"/>
          </rPr>
          <t xml:space="preserve">
3"</t>
        </r>
      </text>
    </comment>
    <comment ref="J3" authorId="1" shapeId="0">
      <text>
        <r>
          <rPr>
            <b/>
            <sz val="9"/>
            <color indexed="81"/>
            <rFont val="Tahoma"/>
            <family val="2"/>
          </rPr>
          <t>usuario:</t>
        </r>
        <r>
          <rPr>
            <sz val="9"/>
            <color indexed="81"/>
            <rFont val="Tahoma"/>
            <family val="2"/>
          </rPr>
          <t xml:space="preserve">
2"
</t>
        </r>
      </text>
    </comment>
    <comment ref="L3" authorId="1" shapeId="0">
      <text>
        <r>
          <rPr>
            <b/>
            <sz val="9"/>
            <color indexed="81"/>
            <rFont val="Tahoma"/>
            <family val="2"/>
          </rPr>
          <t>Diligenciar esta columna con Si ó No, ya que es necesaria para los cálculos.</t>
        </r>
        <r>
          <rPr>
            <sz val="9"/>
            <color indexed="81"/>
            <rFont val="Tahoma"/>
            <family val="2"/>
          </rPr>
          <t xml:space="preserve">
</t>
        </r>
      </text>
    </comment>
  </commentList>
</comments>
</file>

<file path=xl/comments5.xml><?xml version="1.0" encoding="utf-8"?>
<comments xmlns="http://schemas.openxmlformats.org/spreadsheetml/2006/main">
  <authors>
    <author>CORANTIOQUIA</author>
    <author>BlackCrystal™</author>
    <author>Sandra Patricia Gallo Villa</author>
    <author>usuario</author>
    <author>Jaime León Moreno Quiroz</author>
    <author>Maribel Cardona   Henao</author>
  </authors>
  <commentList>
    <comment ref="D42" authorId="0" shapeId="0">
      <text>
        <r>
          <rPr>
            <b/>
            <sz val="8"/>
            <color indexed="81"/>
            <rFont val="Tahoma"/>
            <family val="2"/>
          </rPr>
          <t xml:space="preserve">Pavco actualización de precios a febrero de 2022
</t>
        </r>
      </text>
    </comment>
    <comment ref="D43" authorId="1" shapeId="0">
      <text>
        <r>
          <rPr>
            <b/>
            <sz val="8"/>
            <color indexed="81"/>
            <rFont val="Tahoma"/>
            <family val="2"/>
          </rPr>
          <t xml:space="preserve">2 codos de 45 para desvíos de red e inicio de purga + dos codos de 90 para purga + 2 uniones por un tubo
</t>
        </r>
        <r>
          <rPr>
            <sz val="8"/>
            <color indexed="81"/>
            <rFont val="Tahoma"/>
            <family val="2"/>
          </rPr>
          <t xml:space="preserve">
PAVCO actualización precios a febrero de 2022</t>
        </r>
      </text>
    </comment>
    <comment ref="D45" authorId="2" shapeId="0">
      <text>
        <r>
          <rPr>
            <b/>
            <sz val="9"/>
            <color indexed="81"/>
            <rFont val="Tahoma"/>
            <family val="2"/>
          </rPr>
          <t xml:space="preserve">Pavco octubre de 2019, más inflación.
</t>
        </r>
      </text>
    </comment>
    <comment ref="D52" authorId="0" shapeId="0">
      <text>
        <r>
          <rPr>
            <b/>
            <sz val="8"/>
            <color indexed="81"/>
            <rFont val="Tahoma"/>
            <family val="2"/>
          </rPr>
          <t xml:space="preserve">Pavco actualización de precios a febrero de 2022
</t>
        </r>
      </text>
    </comment>
    <comment ref="D53" authorId="1" shapeId="0">
      <text>
        <r>
          <rPr>
            <b/>
            <sz val="8"/>
            <color indexed="81"/>
            <rFont val="Tahoma"/>
            <family val="2"/>
          </rPr>
          <t xml:space="preserve">2 codos de 45 para desvíos de red e inicio de purga + dos codos de 90 para purga + 2 uniones por un tubo
</t>
        </r>
        <r>
          <rPr>
            <sz val="8"/>
            <color indexed="81"/>
            <rFont val="Tahoma"/>
            <family val="2"/>
          </rPr>
          <t xml:space="preserve">
PAVCO actualización precios a febrero de 2022</t>
        </r>
      </text>
    </comment>
    <comment ref="D55" authorId="2" shapeId="0">
      <text>
        <r>
          <rPr>
            <b/>
            <sz val="9"/>
            <color indexed="81"/>
            <rFont val="Tahoma"/>
            <family val="2"/>
          </rPr>
          <t xml:space="preserve">Pavco octubre de 2019, más inflación.
</t>
        </r>
      </text>
    </comment>
    <comment ref="D89" authorId="2" shapeId="0">
      <text>
        <r>
          <rPr>
            <b/>
            <sz val="9"/>
            <color indexed="81"/>
            <rFont val="Tahoma"/>
            <family val="2"/>
          </rPr>
          <t>Transporte externo se divide por capacidad de carro y de cargue y descargue</t>
        </r>
      </text>
    </comment>
    <comment ref="D101" authorId="2" shapeId="0">
      <text>
        <r>
          <rPr>
            <b/>
            <sz val="9"/>
            <color indexed="81"/>
            <rFont val="Tahoma"/>
            <family val="2"/>
          </rPr>
          <t>Transporte externo se divide por capacidad de carro y de cargue y descargue</t>
        </r>
      </text>
    </comment>
    <comment ref="D109" authorId="3" shapeId="0">
      <text>
        <r>
          <rPr>
            <b/>
            <sz val="9"/>
            <color indexed="81"/>
            <rFont val="Tahoma"/>
            <family val="2"/>
          </rPr>
          <t>usuario:</t>
        </r>
        <r>
          <rPr>
            <sz val="9"/>
            <color indexed="81"/>
            <rFont val="Tahoma"/>
            <family val="2"/>
          </rPr>
          <t xml:space="preserve">
Valor promedio cotizaciones 2022</t>
        </r>
      </text>
    </comment>
    <comment ref="D114" authorId="2" shapeId="0">
      <text>
        <r>
          <rPr>
            <b/>
            <sz val="9"/>
            <color indexed="81"/>
            <rFont val="Tahoma"/>
            <family val="2"/>
          </rPr>
          <t>Transporte externo se divide por capacidad de carro y de cargue y descargue</t>
        </r>
      </text>
    </comment>
    <comment ref="D126" authorId="2" shapeId="0">
      <text>
        <r>
          <rPr>
            <b/>
            <sz val="9"/>
            <color indexed="81"/>
            <rFont val="Tahoma"/>
            <family val="2"/>
          </rPr>
          <t>Transporte externo se divide por capacidad de carro y de cargue y descargue</t>
        </r>
      </text>
    </comment>
    <comment ref="D135" authorId="4" shapeId="0">
      <text>
        <r>
          <rPr>
            <sz val="9"/>
            <color indexed="81"/>
            <rFont val="Tahoma"/>
            <family val="2"/>
          </rPr>
          <t>Valor promedio cotizaciones 2022</t>
        </r>
      </text>
    </comment>
    <comment ref="D138" authorId="2" shapeId="0">
      <text>
        <r>
          <rPr>
            <b/>
            <sz val="9"/>
            <color indexed="81"/>
            <rFont val="Tahoma"/>
            <family val="2"/>
          </rPr>
          <t>Pavco actualización precios a febrero 2022</t>
        </r>
      </text>
    </comment>
    <comment ref="D140" authorId="2" shapeId="0">
      <text>
        <r>
          <rPr>
            <b/>
            <sz val="9"/>
            <color indexed="81"/>
            <rFont val="Tahoma"/>
            <family val="2"/>
          </rPr>
          <t>Transporte externo se divide por capacidad de carro y de cargue y descargue</t>
        </r>
      </text>
    </comment>
    <comment ref="D147" authorId="3" shapeId="0">
      <text>
        <r>
          <rPr>
            <b/>
            <sz val="9"/>
            <color indexed="81"/>
            <rFont val="Tahoma"/>
            <family val="2"/>
          </rPr>
          <t>usuario:Valor promedio cotizaciones 2022</t>
        </r>
      </text>
    </comment>
    <comment ref="D151" authorId="2" shapeId="0">
      <text>
        <r>
          <rPr>
            <b/>
            <sz val="9"/>
            <color indexed="81"/>
            <rFont val="Tahoma"/>
            <family val="2"/>
          </rPr>
          <t>Transporte externo se divide por capacidad de carro y de cargue y descargue</t>
        </r>
      </text>
    </comment>
    <comment ref="D159" authorId="3" shapeId="0">
      <text>
        <r>
          <rPr>
            <b/>
            <sz val="9"/>
            <color indexed="81"/>
            <rFont val="Tahoma"/>
            <family val="2"/>
          </rPr>
          <t>usuario:</t>
        </r>
        <r>
          <rPr>
            <sz val="9"/>
            <color indexed="81"/>
            <rFont val="Tahoma"/>
            <family val="2"/>
          </rPr>
          <t xml:space="preserve">
Valor promedio cotizaciones 2022</t>
        </r>
      </text>
    </comment>
    <comment ref="D175" authorId="2" shapeId="0">
      <text>
        <r>
          <rPr>
            <b/>
            <sz val="9"/>
            <color indexed="81"/>
            <rFont val="Tahoma"/>
            <family val="2"/>
          </rPr>
          <t>Transporte externo se divide por capacidad de carro y de cargue y descargue</t>
        </r>
      </text>
    </comment>
    <comment ref="D199" authorId="2" shapeId="0">
      <text>
        <r>
          <rPr>
            <b/>
            <sz val="9"/>
            <color indexed="81"/>
            <rFont val="Tahoma"/>
            <family val="2"/>
          </rPr>
          <t>Transporte externo se divide por capacidad de carro y de cargue y descargue</t>
        </r>
      </text>
    </comment>
    <comment ref="D223" authorId="2" shapeId="0">
      <text>
        <r>
          <rPr>
            <b/>
            <sz val="9"/>
            <color indexed="81"/>
            <rFont val="Tahoma"/>
            <family val="2"/>
          </rPr>
          <t>Transporte externo se divide por capacidad de carro y de cargue y descargue</t>
        </r>
      </text>
    </comment>
    <comment ref="D246" authorId="2" shapeId="0">
      <text>
        <r>
          <rPr>
            <b/>
            <sz val="9"/>
            <color indexed="81"/>
            <rFont val="Tahoma"/>
            <family val="2"/>
          </rPr>
          <t>Transporte externo se divide por capacidad de carro y de cargue y descargue</t>
        </r>
      </text>
    </comment>
    <comment ref="D270" authorId="2" shapeId="0">
      <text>
        <r>
          <rPr>
            <b/>
            <sz val="9"/>
            <color indexed="81"/>
            <rFont val="Tahoma"/>
            <family val="2"/>
          </rPr>
          <t>Transporte externo se divide por capacidad de carro y de cargue y descargue</t>
        </r>
      </text>
    </comment>
    <comment ref="D279" authorId="2" shapeId="0">
      <text>
        <r>
          <rPr>
            <b/>
            <sz val="9"/>
            <color indexed="81"/>
            <rFont val="Tahoma"/>
            <family val="2"/>
          </rPr>
          <t>Transporte externo se divide por capacidad de carro y de cargue y descargue</t>
        </r>
      </text>
    </comment>
    <comment ref="D286" authorId="3" shapeId="0">
      <text>
        <r>
          <rPr>
            <b/>
            <sz val="9"/>
            <color indexed="81"/>
            <rFont val="Tahoma"/>
            <family val="2"/>
          </rPr>
          <t>usuario:</t>
        </r>
        <r>
          <rPr>
            <sz val="9"/>
            <color indexed="81"/>
            <rFont val="Tahoma"/>
            <family val="2"/>
          </rPr>
          <t xml:space="preserve">
Valor promedio cotizaciones 2022</t>
        </r>
      </text>
    </comment>
    <comment ref="A288" authorId="2" shapeId="0">
      <text>
        <r>
          <rPr>
            <b/>
            <sz val="9"/>
            <color indexed="81"/>
            <rFont val="Tahoma"/>
            <family val="2"/>
          </rPr>
          <t>HOME CENTER VARILLA DE MEDIA POR SEIS METROS</t>
        </r>
      </text>
    </comment>
    <comment ref="D288" authorId="2" shapeId="0">
      <text>
        <r>
          <rPr>
            <b/>
            <sz val="9"/>
            <color indexed="81"/>
            <rFont val="Tahoma"/>
            <family val="2"/>
          </rPr>
          <t xml:space="preserve">Perfil de acero en home center de media pulgada de arista a 9700 pesos el tubo de seis metros, se considera alto promedio de 2.5 m, cuatro apoyos, y de a un travesaño de 1.5 m entre apoyos, más un cuatro de pintura más soldadura
</t>
        </r>
      </text>
    </comment>
    <comment ref="D289" authorId="2" shapeId="0">
      <text>
        <r>
          <rPr>
            <b/>
            <sz val="9"/>
            <color indexed="81"/>
            <rFont val="Tahoma"/>
            <family val="2"/>
          </rPr>
          <t>Antioquieña de arenas 2021, más IPC</t>
        </r>
      </text>
    </comment>
    <comment ref="D294" authorId="2" shapeId="0">
      <text>
        <r>
          <rPr>
            <b/>
            <sz val="9"/>
            <color indexed="81"/>
            <rFont val="Tahoma"/>
            <family val="2"/>
          </rPr>
          <t>Transporte externo se divide por capacidad de carro y de cargue y descargue</t>
        </r>
      </text>
    </comment>
    <comment ref="D315" authorId="2" shapeId="0">
      <text>
        <r>
          <rPr>
            <b/>
            <sz val="9"/>
            <color indexed="81"/>
            <rFont val="Tahoma"/>
            <family val="2"/>
          </rPr>
          <t xml:space="preserve">Página Web Hidroequipos, febrero 2021, teléfonos (92) 653 0033, 315 471 8248, más IVA +IPC
</t>
        </r>
      </text>
    </comment>
    <comment ref="C338" authorId="5" shapeId="0">
      <text>
        <r>
          <rPr>
            <b/>
            <sz val="9"/>
            <color indexed="81"/>
            <rFont val="Tahoma"/>
            <family val="2"/>
          </rPr>
          <t>Maribel Cardona   Henao:</t>
        </r>
        <r>
          <rPr>
            <sz val="9"/>
            <color indexed="81"/>
            <rFont val="Tahoma"/>
            <family val="2"/>
          </rPr>
          <t xml:space="preserve">
18 rollos de 100m cada uno = 1800
</t>
        </r>
      </text>
    </comment>
    <comment ref="C346" authorId="5" shapeId="0">
      <text>
        <r>
          <rPr>
            <b/>
            <sz val="9"/>
            <color indexed="81"/>
            <rFont val="Tahoma"/>
            <family val="2"/>
          </rPr>
          <t>Maribel Cardona   Henao:</t>
        </r>
        <r>
          <rPr>
            <sz val="9"/>
            <color indexed="81"/>
            <rFont val="Tahoma"/>
            <family val="2"/>
          </rPr>
          <t xml:space="preserve">
18 rollos de 100m cada uno = 1800
</t>
        </r>
      </text>
    </comment>
    <comment ref="C392" authorId="2" shapeId="0">
      <text>
        <r>
          <rPr>
            <b/>
            <sz val="9"/>
            <color indexed="81"/>
            <rFont val="Tahoma"/>
            <family val="2"/>
          </rPr>
          <t xml:space="preserve">Un viaje para las 810 cajas que requiere el municipio
Por lo tanto el rendiemiento del campo es 1/810
</t>
        </r>
      </text>
    </comment>
    <comment ref="C393" authorId="2" shapeId="0">
      <text>
        <r>
          <rPr>
            <b/>
            <sz val="9"/>
            <color indexed="81"/>
            <rFont val="Tahoma"/>
            <family val="2"/>
          </rPr>
          <t xml:space="preserve">En un día se instala un tanque séptico con su campo de infiltración, por lo tanto el rendimiento del campo es 1/27
</t>
        </r>
      </text>
    </comment>
    <comment ref="C401" authorId="2" shapeId="0">
      <text>
        <r>
          <rPr>
            <b/>
            <sz val="9"/>
            <color indexed="81"/>
            <rFont val="Tahoma"/>
            <family val="2"/>
          </rPr>
          <t xml:space="preserve">En un día se instala un tanque séptico con su campo de infiltración, por lo tanto el rendimiento del campo es 1/27
</t>
        </r>
      </text>
    </comment>
    <comment ref="C402" authorId="2" shapeId="0">
      <text>
        <r>
          <rPr>
            <b/>
            <sz val="9"/>
            <color indexed="81"/>
            <rFont val="Tahoma"/>
            <family val="2"/>
          </rPr>
          <t xml:space="preserve">En un día se instala un tanque séptico con su campo de infiltración, por lo tanto el rendimiento del campo es 1/27
</t>
        </r>
      </text>
    </comment>
    <comment ref="C403" authorId="2" shapeId="0">
      <text>
        <r>
          <rPr>
            <b/>
            <sz val="9"/>
            <color indexed="81"/>
            <rFont val="Tahoma"/>
            <family val="2"/>
          </rPr>
          <t xml:space="preserve">En un día se instala un tanque séptico con su campo de infiltración, por lo tanto el rendimiento del campo es 1/27
</t>
        </r>
      </text>
    </comment>
    <comment ref="C412" authorId="2" shapeId="0">
      <text>
        <r>
          <rPr>
            <b/>
            <sz val="9"/>
            <color indexed="81"/>
            <rFont val="Tahoma"/>
            <family val="2"/>
          </rPr>
          <t xml:space="preserve">En un día se instala un tanque séptico con su campo de infiltración, por lo tanto el rendimiento del campo es 1/27
</t>
        </r>
      </text>
    </comment>
  </commentList>
</comments>
</file>

<file path=xl/comments6.xml><?xml version="1.0" encoding="utf-8"?>
<comments xmlns="http://schemas.openxmlformats.org/spreadsheetml/2006/main">
  <authors>
    <author>usuario</author>
    <author>laura</author>
    <author>Sandra Patricia Gallo Villa</author>
  </authors>
  <commentList>
    <comment ref="C4" authorId="0" shapeId="0">
      <text>
        <r>
          <rPr>
            <b/>
            <sz val="9"/>
            <color indexed="81"/>
            <rFont val="Tahoma"/>
            <family val="2"/>
          </rPr>
          <t>usuario:</t>
        </r>
        <r>
          <rPr>
            <sz val="9"/>
            <color indexed="81"/>
            <rFont val="Tahoma"/>
            <family val="2"/>
          </rPr>
          <t xml:space="preserve">
Se actualizan valores unitarios de acuerdo al catalogo de PAVCO radicado con número 
110-COE2302-6434
</t>
        </r>
      </text>
    </comment>
    <comment ref="C26" authorId="0" shapeId="0">
      <text>
        <r>
          <rPr>
            <b/>
            <sz val="9"/>
            <color indexed="81"/>
            <rFont val="Tahoma"/>
            <family val="2"/>
          </rPr>
          <t>usuario:</t>
        </r>
        <r>
          <rPr>
            <sz val="9"/>
            <color indexed="81"/>
            <rFont val="Tahoma"/>
            <family val="2"/>
          </rPr>
          <t xml:space="preserve">
Según catálogo de Homecenter</t>
        </r>
      </text>
    </comment>
    <comment ref="D41" authorId="1" shapeId="0">
      <text>
        <r>
          <rPr>
            <b/>
            <sz val="9"/>
            <color indexed="81"/>
            <rFont val="Tahoma"/>
            <family val="2"/>
          </rPr>
          <t>laura:</t>
        </r>
        <r>
          <rPr>
            <sz val="9"/>
            <color indexed="81"/>
            <rFont val="Tahoma"/>
            <family val="2"/>
          </rPr>
          <t xml:space="preserve">
 para soporte de las tejas del link:
https://www.homecenter.com.co/homecenter-co/category/cat1690155/tejas-plasticas/
Teja Termoacustica Ecowall 10 UPVC 1.5mm Blanco 0.82 x 5.90mt 4.83m2</t>
        </r>
      </text>
    </comment>
    <comment ref="D42" authorId="1" shapeId="0">
      <text>
        <r>
          <rPr>
            <b/>
            <sz val="9"/>
            <color indexed="81"/>
            <rFont val="Tahoma"/>
            <family val="2"/>
          </rPr>
          <t>laura:</t>
        </r>
        <r>
          <rPr>
            <sz val="9"/>
            <color indexed="81"/>
            <rFont val="Tahoma"/>
            <family val="2"/>
          </rPr>
          <t xml:space="preserve">
 para soporte de las tejas del link:
https://www.homecenter.com.co/homecenter-co/category/cat1690155/tejas-plasticas/
Teja Termoacustica Ecowall 10 UPVC 1.5mm Blanco 0.82 x 5.90mt 4.83m2</t>
        </r>
      </text>
    </comment>
    <comment ref="C43" authorId="2" shapeId="0">
      <text>
        <r>
          <rPr>
            <b/>
            <sz val="9"/>
            <color indexed="81"/>
            <rFont val="Tahoma"/>
            <family val="2"/>
          </rPr>
          <t>precio  2021 mas IPC 5,62%</t>
        </r>
        <r>
          <rPr>
            <sz val="9"/>
            <color indexed="81"/>
            <rFont val="Tahoma"/>
            <family val="2"/>
          </rPr>
          <t xml:space="preserve">
</t>
        </r>
      </text>
    </comment>
    <comment ref="D43" authorId="1" shapeId="0">
      <text>
        <r>
          <rPr>
            <b/>
            <sz val="9"/>
            <color indexed="81"/>
            <rFont val="Tahoma"/>
            <family val="2"/>
          </rPr>
          <t>laura:</t>
        </r>
        <r>
          <rPr>
            <sz val="9"/>
            <color indexed="81"/>
            <rFont val="Tahoma"/>
            <family val="2"/>
          </rPr>
          <t xml:space="preserve">
 para soporte de las tejas del link:
https://www.homecenter.com.co/homecenter-co/category/cat1690155/tejas-plasticas/
Teja Termoacustica Ecowall 10 UPVC 1.5mm Blanco 0.82 x 5.90mt 4.83m2</t>
        </r>
      </text>
    </comment>
    <comment ref="A44" authorId="2" shapeId="0">
      <text>
        <r>
          <rPr>
            <b/>
            <sz val="9"/>
            <color indexed="81"/>
            <rFont val="Tahoma"/>
            <family val="2"/>
          </rPr>
          <t>HOME CENTER VARILLA DE MEDIA POR SEIS METROS</t>
        </r>
      </text>
    </comment>
    <comment ref="C44" authorId="2" shapeId="0">
      <text>
        <r>
          <rPr>
            <b/>
            <sz val="9"/>
            <color indexed="81"/>
            <rFont val="Tahoma"/>
            <family val="2"/>
          </rPr>
          <t xml:space="preserve">Precio año 2021+IPC 5,62%
</t>
        </r>
      </text>
    </comment>
    <comment ref="D44" authorId="1" shapeId="0">
      <text>
        <r>
          <rPr>
            <b/>
            <sz val="9"/>
            <color indexed="81"/>
            <rFont val="Tahoma"/>
            <family val="2"/>
          </rPr>
          <t>laura:</t>
        </r>
        <r>
          <rPr>
            <sz val="9"/>
            <color indexed="81"/>
            <rFont val="Tahoma"/>
            <family val="2"/>
          </rPr>
          <t xml:space="preserve">
 para soporte de las tejas del link:
https://www.homecenter.com.co/homecenter-co/category/cat1690155/tejas-plasticas/
Teja Termoacustica Ecowall 10 UPVC 1.5mm Blanco 0.82 x 5.90mt 4.83m2</t>
        </r>
      </text>
    </comment>
    <comment ref="C45" authorId="2" shapeId="0">
      <text>
        <r>
          <rPr>
            <b/>
            <sz val="9"/>
            <color indexed="81"/>
            <rFont val="Tahoma"/>
            <family val="2"/>
          </rPr>
          <t>Antioquieña de arenas 2021, más IPC 
Cantidad 0,24 m3</t>
        </r>
      </text>
    </comment>
    <comment ref="C46" authorId="2" shapeId="0">
      <text>
        <r>
          <rPr>
            <b/>
            <sz val="9"/>
            <color indexed="81"/>
            <rFont val="Tahoma"/>
            <family val="2"/>
          </rPr>
          <t>Precios 2020 mas IPC 1,61%</t>
        </r>
      </text>
    </comment>
    <comment ref="C47" authorId="2" shapeId="0">
      <text>
        <r>
          <rPr>
            <b/>
            <sz val="9"/>
            <color indexed="81"/>
            <rFont val="Tahoma"/>
            <family val="2"/>
          </rPr>
          <t>precio 2021 mas IPC 5,62%</t>
        </r>
      </text>
    </comment>
    <comment ref="D47" authorId="1" shapeId="0">
      <text>
        <r>
          <rPr>
            <b/>
            <sz val="9"/>
            <color indexed="81"/>
            <rFont val="Tahoma"/>
            <family val="2"/>
          </rPr>
          <t>laura:</t>
        </r>
        <r>
          <rPr>
            <sz val="9"/>
            <color indexed="81"/>
            <rFont val="Tahoma"/>
            <family val="2"/>
          </rPr>
          <t xml:space="preserve">
 para soporte de las tejas del link:
https://www.homecenter.com.co/homecenter-co/category/cat1690155/tejas-plasticas/
Teja Termoacustica Ecowall 10 UPVC 1.5mm Blanco 0.82 x 5.90mt 4.83m2</t>
        </r>
      </text>
    </comment>
    <comment ref="C48" authorId="2" shapeId="0">
      <text>
        <r>
          <rPr>
            <b/>
            <sz val="9"/>
            <color indexed="81"/>
            <rFont val="Tahoma"/>
            <family val="2"/>
          </rPr>
          <t>precio 2021 mas IPC 5,62%</t>
        </r>
      </text>
    </comment>
    <comment ref="D48" authorId="1" shapeId="0">
      <text>
        <r>
          <rPr>
            <b/>
            <sz val="9"/>
            <color indexed="81"/>
            <rFont val="Tahoma"/>
            <family val="2"/>
          </rPr>
          <t>laura:</t>
        </r>
        <r>
          <rPr>
            <sz val="9"/>
            <color indexed="81"/>
            <rFont val="Tahoma"/>
            <family val="2"/>
          </rPr>
          <t xml:space="preserve">
 para soporte de las tejas del link:
https://www.homecenter.com.co/homecenter-co/category/cat1690155/tejas-plasticas/
Teja Termoacustica Ecowall 10 UPVC 1.5mm Blanco 0.82 x 5.90mt 4.83m2</t>
        </r>
      </text>
    </comment>
    <comment ref="C49" authorId="2" shapeId="0">
      <text>
        <r>
          <rPr>
            <b/>
            <sz val="9"/>
            <color indexed="81"/>
            <rFont val="Tahoma"/>
            <family val="2"/>
          </rPr>
          <t xml:space="preserve">Página Web Hidroequipos, , teléfonos (92) 653 0033
</t>
        </r>
      </text>
    </comment>
  </commentList>
</comments>
</file>

<file path=xl/comments7.xml><?xml version="1.0" encoding="utf-8"?>
<comments xmlns="http://schemas.openxmlformats.org/spreadsheetml/2006/main">
  <authors>
    <author>Usuario</author>
  </authors>
  <commentList>
    <comment ref="C132" authorId="0" shapeId="0">
      <text>
        <r>
          <rPr>
            <b/>
            <sz val="9"/>
            <color indexed="81"/>
            <rFont val="Tahoma"/>
            <family val="2"/>
          </rPr>
          <t>Usuario:</t>
        </r>
        <r>
          <rPr>
            <sz val="9"/>
            <color indexed="81"/>
            <rFont val="Tahoma"/>
            <family val="2"/>
          </rPr>
          <t xml:space="preserve">
La hoja APU 2022
 considera el calculo del transporte por cada sistema, teniendo en cuenta que el camino que es comunmente utilizado para estos elelmentos tiene una capacidad aproximada de 5 sistemas con capacidad de atender hasta 10 personas.</t>
        </r>
      </text>
    </comment>
  </commentList>
</comments>
</file>

<file path=xl/comments8.xml><?xml version="1.0" encoding="utf-8"?>
<comments xmlns="http://schemas.openxmlformats.org/spreadsheetml/2006/main">
  <authors>
    <author>Diana Patricia Jaramillo Ramirez</author>
  </authors>
  <commentList>
    <comment ref="F9" authorId="0" shapeId="0">
      <text>
        <r>
          <rPr>
            <b/>
            <sz val="9"/>
            <color indexed="81"/>
            <rFont val="Tahoma"/>
            <family val="2"/>
          </rPr>
          <t>Diana Patricia Jaramillo Ramirez:</t>
        </r>
        <r>
          <rPr>
            <sz val="9"/>
            <color indexed="81"/>
            <rFont val="Tahoma"/>
            <family val="2"/>
          </rPr>
          <t xml:space="preserve">
Guerra,Estampilla Prohospital,Proasilo,Procultura, Prodeporte,ICA</t>
        </r>
      </text>
    </comment>
  </commentList>
</comments>
</file>

<file path=xl/sharedStrings.xml><?xml version="1.0" encoding="utf-8"?>
<sst xmlns="http://schemas.openxmlformats.org/spreadsheetml/2006/main" count="2207" uniqueCount="893">
  <si>
    <t>%</t>
  </si>
  <si>
    <t>VALOR</t>
  </si>
  <si>
    <t>TOTAL</t>
  </si>
  <si>
    <t>ÍTEM</t>
  </si>
  <si>
    <t>VALOR UNITARIO</t>
  </si>
  <si>
    <t>VALOR TOTAL</t>
  </si>
  <si>
    <t>CANTIDAD</t>
  </si>
  <si>
    <t>CANTIDAD UNIDAD DE MEDIDA</t>
  </si>
  <si>
    <t>UNIDAD DE MEDIDA</t>
  </si>
  <si>
    <t xml:space="preserve"> </t>
  </si>
  <si>
    <t>Subtotal Mano de Obra calificada</t>
  </si>
  <si>
    <t>Mano de Obra Calificada</t>
  </si>
  <si>
    <t>SUBTOTAL PERSONAL (Mano de Obra Calificada + Mano de Obra no Calificada)</t>
  </si>
  <si>
    <t>CONTRATISTA/CONVENIANTE:</t>
  </si>
  <si>
    <t>PROGRAMACIÓN FÍSICA</t>
  </si>
  <si>
    <t>Descripción</t>
  </si>
  <si>
    <t>Unidad de medida</t>
  </si>
  <si>
    <t xml:space="preserve">Cantidad Programada  </t>
  </si>
  <si>
    <t>META/
PRODUCTO A OBTENER:</t>
  </si>
  <si>
    <t xml:space="preserve">TOTAL </t>
  </si>
  <si>
    <t>ACUMULADO</t>
  </si>
  <si>
    <t>Valor del contrato o convenio</t>
  </si>
  <si>
    <t>Período 1</t>
  </si>
  <si>
    <t>Período 2</t>
  </si>
  <si>
    <t>Período 3</t>
  </si>
  <si>
    <t>Versión 01</t>
  </si>
  <si>
    <t>1. COSTOS DE PERSONAL</t>
  </si>
  <si>
    <t>2. COSTOS DIRECTOS</t>
  </si>
  <si>
    <t>FUENTES DE COFINANCIACION (VALORES)</t>
  </si>
  <si>
    <t>CORANTIOQUIA</t>
  </si>
  <si>
    <t>DINERO</t>
  </si>
  <si>
    <t>ESPECIE</t>
  </si>
  <si>
    <t>MUNICIPIO</t>
  </si>
  <si>
    <t>Porcentaje (%)</t>
  </si>
  <si>
    <t>Porcentaje Acumulado (%)</t>
  </si>
  <si>
    <t>Alcance 1</t>
  </si>
  <si>
    <t xml:space="preserve">DURACIÓN Y/O PLAZO DEL CONTRATO (MESES):  </t>
  </si>
  <si>
    <t xml:space="preserve">PERIODO DE PROGRAMACIÓN Y SEGUIMIENTO:  </t>
  </si>
  <si>
    <t>DEDICACION (%)</t>
  </si>
  <si>
    <t>Fecha Versión: 17/07/2013</t>
  </si>
  <si>
    <t>FACTOR PRESTACIONAL</t>
  </si>
  <si>
    <t>OTRAS ENTIDADES:</t>
  </si>
  <si>
    <t>CANTIDADES DE OBRA Y PRESUPUESTO DESAGREGADO POR COMPONENTES</t>
  </si>
  <si>
    <t>OCULTAR</t>
  </si>
  <si>
    <t>ITEM</t>
  </si>
  <si>
    <t>ESPECIF. TÉCNICA</t>
  </si>
  <si>
    <t>DESCRIPCIÓN</t>
  </si>
  <si>
    <t>UNIDAD</t>
  </si>
  <si>
    <t>CANTIDADES</t>
  </si>
  <si>
    <t>CANTIDAD TOTAL</t>
  </si>
  <si>
    <t>COSTO TOTAL (CON IVA INCLUÍDO)</t>
  </si>
  <si>
    <t>COMPONENTE</t>
  </si>
  <si>
    <t>T.S. 1 VIV.</t>
  </si>
  <si>
    <t>SUMINISTRO</t>
  </si>
  <si>
    <t>ACCESORIOS</t>
  </si>
  <si>
    <t>TRANSPORTE</t>
  </si>
  <si>
    <t>INSTALACIÓN</t>
  </si>
  <si>
    <t>10&lt;P≤15</t>
  </si>
  <si>
    <t xml:space="preserve">COSTO TOTAL </t>
  </si>
  <si>
    <t>COSTO TOTAL</t>
  </si>
  <si>
    <t>Fuente</t>
  </si>
  <si>
    <t>Pozo absorc.</t>
  </si>
  <si>
    <t>NEGC 201</t>
  </si>
  <si>
    <t>m3</t>
  </si>
  <si>
    <t>NEGC 107.2</t>
  </si>
  <si>
    <t>NEGC 204</t>
  </si>
  <si>
    <t>NEGC 207</t>
  </si>
  <si>
    <t>NTC 1500</t>
  </si>
  <si>
    <t>m</t>
  </si>
  <si>
    <t>Particular</t>
  </si>
  <si>
    <t>un</t>
  </si>
  <si>
    <t>NTC 1600</t>
  </si>
  <si>
    <t>COSTO DIRECTO TOTAL</t>
  </si>
  <si>
    <t>COSTO INSTALACIÓN</t>
  </si>
  <si>
    <t>COFINANCIA</t>
  </si>
  <si>
    <t>MPIO</t>
  </si>
  <si>
    <t>Accesorios</t>
  </si>
  <si>
    <t>m2</t>
  </si>
  <si>
    <t>Salario dia Oficial con prestaciones</t>
  </si>
  <si>
    <t>Salario dia Ayudante con prestaciones</t>
  </si>
  <si>
    <t>Salario dia 2 Ayudantes con prestaciones</t>
  </si>
  <si>
    <t xml:space="preserve">Salario Oficial + Ayudante dia con prestaciones </t>
  </si>
  <si>
    <t>Salario Oficial + 2 Ayudantes  dia</t>
  </si>
  <si>
    <t>Salario Oficial + 3 Ayudantes  dia</t>
  </si>
  <si>
    <t>Minero</t>
  </si>
  <si>
    <t>PAGO PERMISO DE VERTIMIENTO</t>
  </si>
  <si>
    <t>S.T.I. Tubería pvc-s de  ø2" (50 mm) incluye accesorios.</t>
  </si>
  <si>
    <t>S.T.I. Caja circular en tubería pvc-novafort de ø12" para válvula de purga. Incluye tapa en fibra de vidrio con manila sintética</t>
  </si>
  <si>
    <t>S.T.I. Accesorios  ø2" (50mm) para empalme de tubería pvc-s y polietileno (pe - c40)</t>
  </si>
  <si>
    <t>S.T.I. Accesorios  ø3" (75mm) para empalme de tubería pvc-s y polietileno (pe - c40)</t>
  </si>
  <si>
    <t>S.T.I. Cajas plásticas de gaseosa recicladas de 0,41mx0,34mx0,25m como medio de soporte</t>
  </si>
  <si>
    <t>COSTO DIRECTO 
(CON IVA INCLUÍDO)</t>
  </si>
  <si>
    <t>Excavación manual en material común hasta 4 m de profundidad, bajo cualquier grado de humedad</t>
  </si>
  <si>
    <t>Excavación en roca a cualquier profundidad</t>
  </si>
  <si>
    <t>Lleno y apisonado de zanjas y apiques con material selecto de la excavación, incluye acarreo interno</t>
  </si>
  <si>
    <t>Regada de material proveniente de la excavación y conformación del terreno</t>
  </si>
  <si>
    <t>S.T.I. De sifón S.R. De 135° en pvc-s  ø3" para control de olores</t>
  </si>
  <si>
    <t>S.T.I. De sifón S.R. De 135° en pvc-s  ø4" para control de olores</t>
  </si>
  <si>
    <t>Pozo de absorción:</t>
  </si>
  <si>
    <r>
      <t>m</t>
    </r>
    <r>
      <rPr>
        <vertAlign val="superscript"/>
        <sz val="11"/>
        <color indexed="8"/>
        <rFont val="Arial"/>
        <family val="2"/>
      </rPr>
      <t>3</t>
    </r>
  </si>
  <si>
    <t>S.T.I. Geotextil NT referencia 1600</t>
  </si>
  <si>
    <r>
      <t>m</t>
    </r>
    <r>
      <rPr>
        <vertAlign val="superscript"/>
        <sz val="11"/>
        <color indexed="8"/>
        <rFont val="Arial"/>
        <family val="2"/>
      </rPr>
      <t>2</t>
    </r>
  </si>
  <si>
    <t>DESCRIPCION</t>
  </si>
  <si>
    <t>UN</t>
  </si>
  <si>
    <t>CAN/REN</t>
  </si>
  <si>
    <t>IVA PARA TRÁMITE DE EXCLUSIÓN</t>
  </si>
  <si>
    <t>V/TOTAL SIN IVA</t>
  </si>
  <si>
    <t>V/TOTAL CON IVA</t>
  </si>
  <si>
    <r>
      <t>EXCAVACIÓN MANUAL EN MATERIAL COMÚN HASTA 4 m DE PROFUNDIDAD, BAJO CUALQUIER GRADO DE HUMEDAD (m</t>
    </r>
    <r>
      <rPr>
        <b/>
        <vertAlign val="superscript"/>
        <sz val="10"/>
        <rFont val="Arial"/>
        <family val="2"/>
      </rPr>
      <t>3</t>
    </r>
    <r>
      <rPr>
        <b/>
        <sz val="10"/>
        <rFont val="Arial"/>
        <family val="2"/>
      </rPr>
      <t>)</t>
    </r>
  </si>
  <si>
    <t>Dos ayudantes (día)</t>
  </si>
  <si>
    <t>día</t>
  </si>
  <si>
    <t>Herramienta menor (0.05 MO)</t>
  </si>
  <si>
    <t>gl</t>
  </si>
  <si>
    <r>
      <t>COSTO DIRECTO (m</t>
    </r>
    <r>
      <rPr>
        <b/>
        <vertAlign val="superscript"/>
        <sz val="10"/>
        <rFont val="Arial"/>
        <family val="2"/>
      </rPr>
      <t>3</t>
    </r>
    <r>
      <rPr>
        <b/>
        <sz val="10"/>
        <rFont val="Arial"/>
        <family val="2"/>
      </rPr>
      <t>)</t>
    </r>
  </si>
  <si>
    <r>
      <t>EXCAVACION EN ROCA A CUALQUIER PROFUNDIDAD (m</t>
    </r>
    <r>
      <rPr>
        <b/>
        <vertAlign val="superscript"/>
        <sz val="10"/>
        <rFont val="Arial"/>
        <family val="2"/>
      </rPr>
      <t>3</t>
    </r>
    <r>
      <rPr>
        <b/>
        <sz val="10"/>
        <rFont val="Arial"/>
        <family val="2"/>
      </rPr>
      <t>)</t>
    </r>
  </si>
  <si>
    <t>Material expansivo</t>
  </si>
  <si>
    <t xml:space="preserve">Ayudante </t>
  </si>
  <si>
    <r>
      <t>LLENO Y APISONADO DE ZANJAS Y APIQUES CON MATERIAL SELECTO DE LA EXCAVACIÓN, INCLUYE ACARREO INTERNO (m</t>
    </r>
    <r>
      <rPr>
        <b/>
        <vertAlign val="superscript"/>
        <sz val="10"/>
        <rFont val="Arial"/>
        <family val="2"/>
      </rPr>
      <t>3</t>
    </r>
    <r>
      <rPr>
        <b/>
        <sz val="10"/>
        <rFont val="Arial"/>
        <family val="2"/>
      </rPr>
      <t>)</t>
    </r>
  </si>
  <si>
    <t xml:space="preserve">Mano de obra (dos ayudantes) </t>
  </si>
  <si>
    <r>
      <t>REGADA DE MATERIAL PROVENIENTE DE LA EXCAVACIÓN Y CONFORMACIÓN DEL TERRENO (m</t>
    </r>
    <r>
      <rPr>
        <b/>
        <vertAlign val="superscript"/>
        <sz val="10"/>
        <rFont val="Arial"/>
        <family val="2"/>
      </rPr>
      <t>3</t>
    </r>
    <r>
      <rPr>
        <b/>
        <sz val="10"/>
        <rFont val="Arial"/>
        <family val="2"/>
      </rPr>
      <t>)</t>
    </r>
  </si>
  <si>
    <t>Mano de obra  (1 Ayudante)</t>
  </si>
  <si>
    <t>Suministro de tuberia PVC-S Ø2"</t>
  </si>
  <si>
    <t>Transporte</t>
  </si>
  <si>
    <t>viaje</t>
  </si>
  <si>
    <t>Soldadura y limpiador</t>
  </si>
  <si>
    <t>Mano de obra (Oficial + 1 ayudante)/50m-día</t>
  </si>
  <si>
    <t>ml</t>
  </si>
  <si>
    <t>COSTO DIRECTO  (m)</t>
  </si>
  <si>
    <t>Suministro de tuberia PVC-S Ø3"</t>
  </si>
  <si>
    <t>global</t>
  </si>
  <si>
    <t>COSTO DIRECTO (m)</t>
  </si>
  <si>
    <t xml:space="preserve">S.T.I. DE SIFÓN S.R. DE 135° EN PVC-S  Ø3" PARA CONTROL DE OLORES.  (un) </t>
  </si>
  <si>
    <t>Suministro de Sifón S.R. de 135° en PVC-S Ø3"</t>
  </si>
  <si>
    <t>Suministro de Codo 45° de PVC-S Ø3" CXE</t>
  </si>
  <si>
    <t>Suministro de Codo 90° de PVC-S Ø3" CXE</t>
  </si>
  <si>
    <t>Mano de obra (Oficial)</t>
  </si>
  <si>
    <t>COSTO DIRECTO (un)</t>
  </si>
  <si>
    <t xml:space="preserve">S.T.I. DE SIFÓN S.R. DE 135° EN PVC-S  Ø4" PARA CONTROL DE OLORES.  (un) </t>
  </si>
  <si>
    <t>Suministro de Sifón S.R. de 135° en PVC-S Ø4"</t>
  </si>
  <si>
    <t>Suministro de Codo 45° de PVC-S Ø4" CXE</t>
  </si>
  <si>
    <t>Suministro de Codo 90° de PVC-S Ø4" CxE</t>
  </si>
  <si>
    <t>Suministro de Codo 90° de PVC-S Ø2"</t>
  </si>
  <si>
    <t>Malla mosquitera doble</t>
  </si>
  <si>
    <t>Transporte externo e interno</t>
  </si>
  <si>
    <t>Mano de obra (Oficial + 2 ayudantes)</t>
  </si>
  <si>
    <t>dia</t>
  </si>
  <si>
    <t>COSTO DIRECTO  (un)</t>
  </si>
  <si>
    <t>Instalación (Oficial)</t>
  </si>
  <si>
    <t>Buje 3" X 2" en PVC-S</t>
  </si>
  <si>
    <t>Unión para tubería sanitaria Ø2"</t>
  </si>
  <si>
    <t>Suministro válvula de bola de Ø3" en PVC</t>
  </si>
  <si>
    <t>Unión para tubería sanitaria Ø3"</t>
  </si>
  <si>
    <t>S.T.I. CAJA CIRCULAR EN TUBERÍA PVC-NOVAFORT DE Ø12" PARA VÁLVULA DE PURGA. INCLUYE TAPA EN FIBRA DE VIDRIO CON MANILA SINTÉTICA (un)</t>
  </si>
  <si>
    <t>Extension de 50 cm en tuberia novafort de 12''</t>
  </si>
  <si>
    <t>S.T.I. TUBERÍA PE C40 DE Ø2" CON RESISTENCIA MÍNIMA DE 110 PSI, PARA DESCARGA DE EFLUENTE (m)</t>
  </si>
  <si>
    <t>Suministro de tubería de polietileno C40 - Ø2"</t>
  </si>
  <si>
    <t>Mano de obra (1 ayudante)</t>
  </si>
  <si>
    <t>S.T.I. TUBERÍA PE C40 DE Ø3" CON RESISTENCIA MÍNIMA DE 80 PSI, PARA DESCARGA DE EFLUENTE (m)</t>
  </si>
  <si>
    <t>Suministro de tubería de polietileno C40 - Ø3"</t>
  </si>
  <si>
    <t>S.T.I. ACCESORIOS  Ø2" (50mm) PARA EMPALME DE TUBERÍA PVC-S Y POLIETILENO (PE - C40) (un)</t>
  </si>
  <si>
    <t xml:space="preserve">Suministro de adaptador macho rápido en PE de Ø2" </t>
  </si>
  <si>
    <t xml:space="preserve">Suministro de adaptador hembra PVC de Ø2" </t>
  </si>
  <si>
    <t>S.T.I. ACCESORIOS  Ø3" (75mm) PARA EMPALME DE TUBERÍA PVC-S Y POLIETILENO (PE - C40) (un)</t>
  </si>
  <si>
    <t xml:space="preserve">Suministro de adaptador macho rápido en PE de Ø3" </t>
  </si>
  <si>
    <t xml:space="preserve">Suministro de adaptador hembra PVC de Ø3" </t>
  </si>
  <si>
    <t>Suministro</t>
  </si>
  <si>
    <t>Mano de obra (Oficial + 1 ayudante)</t>
  </si>
  <si>
    <r>
      <t>COSTO DIRECTO (m</t>
    </r>
    <r>
      <rPr>
        <b/>
        <vertAlign val="superscript"/>
        <sz val="10"/>
        <rFont val="Arial"/>
        <family val="2"/>
      </rPr>
      <t>2</t>
    </r>
    <r>
      <rPr>
        <b/>
        <sz val="10"/>
        <rFont val="Arial"/>
        <family val="2"/>
      </rPr>
      <t>)</t>
    </r>
  </si>
  <si>
    <r>
      <t>S.T.I. CAJAS PLÁSTICAS DE GASEOSA RECICLADAS DE 0,41mx0,34mx0,25m COMO MEDIO DE SOPORTE (m</t>
    </r>
    <r>
      <rPr>
        <b/>
        <vertAlign val="superscript"/>
        <sz val="10"/>
        <rFont val="Arial"/>
        <family val="2"/>
      </rPr>
      <t>3</t>
    </r>
    <r>
      <rPr>
        <b/>
        <sz val="10"/>
        <rFont val="Arial"/>
        <family val="2"/>
      </rPr>
      <t>)</t>
    </r>
  </si>
  <si>
    <t>Viaje</t>
  </si>
  <si>
    <t>Instalación (Ayudante)</t>
  </si>
  <si>
    <r>
      <t>COSTO DIRECTO  (m</t>
    </r>
    <r>
      <rPr>
        <b/>
        <vertAlign val="superscript"/>
        <sz val="10"/>
        <rFont val="Arial"/>
        <family val="2"/>
      </rPr>
      <t>3</t>
    </r>
    <r>
      <rPr>
        <b/>
        <sz val="10"/>
        <rFont val="Arial"/>
        <family val="2"/>
      </rPr>
      <t>)</t>
    </r>
  </si>
  <si>
    <t>FICHA No.</t>
  </si>
  <si>
    <t>Usuario</t>
  </si>
  <si>
    <t>Municipio</t>
  </si>
  <si>
    <t>No personas atendidas</t>
  </si>
  <si>
    <t>CAPACIDAD DE LOS SISTEMAS SEGÚN POBLACIÓN (P)</t>
  </si>
  <si>
    <t>Futuro Sitio de descarga</t>
  </si>
  <si>
    <t>DISPOSICIÓN EFLUENTE</t>
  </si>
  <si>
    <t>No. de viviendas beneficiadas</t>
  </si>
  <si>
    <t>1500-1800</t>
  </si>
  <si>
    <t>2300-2500</t>
  </si>
  <si>
    <t>3000-3300</t>
  </si>
  <si>
    <t>4500-5000</t>
  </si>
  <si>
    <t>6000-6500</t>
  </si>
  <si>
    <t>7500-8000</t>
  </si>
  <si>
    <t>F = Fuente
P = Pozo</t>
  </si>
  <si>
    <t>LONGITUD TUBERIA (m)</t>
  </si>
  <si>
    <t>No. Total de tanques</t>
  </si>
  <si>
    <t>APORTES PERCAPITA PARA AGUAS RESIDUALES DOMESTICAS</t>
  </si>
  <si>
    <t>No. total viv. Beneficiadas</t>
  </si>
  <si>
    <t>SEGUN EL COBRO DE TASAS RETRIBUTIVAS (EEPPM y CORANTIOQUIA)</t>
  </si>
  <si>
    <t>Población Total beneficiada</t>
  </si>
  <si>
    <t>PARAMETRO</t>
  </si>
  <si>
    <t>INTERVALO</t>
  </si>
  <si>
    <t>VALOR SUGERIDO</t>
  </si>
  <si>
    <t>DBO (20C) (gr/hab-dia)</t>
  </si>
  <si>
    <t>25-80</t>
  </si>
  <si>
    <t>DBO (20C) (kg/hab-dia)</t>
  </si>
  <si>
    <t>SST (gr/hab-dia)</t>
  </si>
  <si>
    <t>30-100</t>
  </si>
  <si>
    <t>SST (kg/hab-dia)</t>
  </si>
  <si>
    <t>TOTAL POBLACION</t>
  </si>
  <si>
    <t>CARGA CONTAM. DBO (ton/dia)</t>
  </si>
  <si>
    <t>CARGA CONTAM. DBO (kg/dia)</t>
  </si>
  <si>
    <t>CARGA CONTAM. SST (ton/dia)</t>
  </si>
  <si>
    <t>CARGA CONTAM. SST (Kg/dia)</t>
  </si>
  <si>
    <t>TOTAL CARGA CONTAM.</t>
  </si>
  <si>
    <t>CARGA CONTAM. DBO (ton/año)</t>
  </si>
  <si>
    <t>CARGA CONTAM. SST (ton/año)</t>
  </si>
  <si>
    <t>I. De sifón S.R. De 135° en pvc-s  ø4" para control de olores</t>
  </si>
  <si>
    <t>I. Válvula de bola de ø3" en pvc extremo liso para purga de lodos. Incluye accesorios</t>
  </si>
  <si>
    <t>I. Caja circular en tubería pvc-novafort de ø12" para válvula de purga. Incluye tapa en fibra de vidrio con manila sintética</t>
  </si>
  <si>
    <t>I. Tubería pe c40 de ø2" con resistencia mínima de 110 psi, para descarga de efluente</t>
  </si>
  <si>
    <t>I. Accesorios  ø2" (50mm) para empalme de tubería pvc-s y polietileno (pe - c40)</t>
  </si>
  <si>
    <t>I. Accesorios  ø3" (75mm) para empalme de tubería pvc-s y polietileno (pe - c40)</t>
  </si>
  <si>
    <t>I. Geotextil NT referencia 1600</t>
  </si>
  <si>
    <t>I. Cajas plásticas de gaseosa recicladas de 0,41mx0,34mx0,25m como medio de soporte</t>
  </si>
  <si>
    <t>S.T. Accesorios  ø3" (75mm) para empalme de tubería pvc-s y polietileno (pe - c40).  (ver A.P.U)</t>
  </si>
  <si>
    <t>S.T. Tubería pvc-s de  ø2" (50 mm) incluye accesorios. (ver A.P.U)</t>
  </si>
  <si>
    <t>S.T. De sifón s.r. De 135° en pvc-s  ø3" para control de olores  (ver A.P.U)</t>
  </si>
  <si>
    <t>S.T. Válvula de bola de ø3" en pvc extremo liso para purga de lodos. Incluye accesorios  (ver A.P.U)</t>
  </si>
  <si>
    <t>S.T. Caja circular en tubería pvc-novafort de ø12" para válvula de purga. Incluye tapa en fibra de vidrio con manila sintética.  (ver A.P.U)</t>
  </si>
  <si>
    <t>S.T. Tubería pe c40 de ø2" con resistencia mínima de 110 psi, para descarga de efluente.  (ver A.P.U)</t>
  </si>
  <si>
    <t>S.T. Tubería pe c40 de ø3" con resistencia mínima de 80 psi, para descarga de efluente.  (ver A.P.U)</t>
  </si>
  <si>
    <t>S.T. Accesorios  ø2" (50mm) para empalme de tubería pvc-s y polietileno (pe - c40).  (ver A.P.U)</t>
  </si>
  <si>
    <t>S.T. Geotextil nt referencia 1600.  (ver A.P.U)</t>
  </si>
  <si>
    <t>S.T. Cajas plásticas de gaseosa recicladas de 0,41mx0,34mx0,25m como medio de soporte</t>
  </si>
  <si>
    <t>Total tanques</t>
  </si>
  <si>
    <t>f</t>
  </si>
  <si>
    <t>p</t>
  </si>
  <si>
    <t>S.T. De sifón s.r. De 135° en pvc-s  ø4" para control de olores  (ver A.P.U)</t>
  </si>
  <si>
    <t>S.T.I. Tubería PE C40 de ø2" con resistencia mínima de 110 psi, para descarga de efluente</t>
  </si>
  <si>
    <t>Adaptadores macho de 2"</t>
  </si>
  <si>
    <t>Adaptador macho de 3"</t>
  </si>
  <si>
    <t>Medio codo de 45°x3</t>
  </si>
  <si>
    <t>Buje de 4x3</t>
  </si>
  <si>
    <t>buje de 4x3</t>
  </si>
  <si>
    <t>F</t>
  </si>
  <si>
    <t>P</t>
  </si>
  <si>
    <t>IVA</t>
  </si>
  <si>
    <t xml:space="preserve">(CANTIDAD TOTAL  TANQUES DISTRIBUIDOS ASI:  </t>
  </si>
  <si>
    <t>COSTO DIRECTO</t>
  </si>
  <si>
    <t>AU(25%)</t>
  </si>
  <si>
    <t>INTERVENTORIA</t>
  </si>
  <si>
    <t>COSTO TOTAL INCLUIDO IVA</t>
  </si>
  <si>
    <t>S.T.I. Válvula de bola de ø2" PVC para purga de lodos. Incluye accesorios</t>
  </si>
  <si>
    <t>COSTO DIRECTO 
(CON  IVA)</t>
  </si>
  <si>
    <t>S.T.I. Válvula de bola de ø3" en PVC  extremo liso para purga de lodos. Incluye accesorios</t>
  </si>
  <si>
    <t>AU 25%</t>
  </si>
  <si>
    <t>PERMISO VERTIMIENTOS</t>
  </si>
  <si>
    <t>I. Válvula de bola de ø2" en PVC extremo liso para purga de lodos. Incluye accesorios</t>
  </si>
  <si>
    <t>S.T. Válvula de bola de ø2" en PVC extremo liso para purga de lodos. Incluye accesorios.  (ver A.P.U)</t>
  </si>
  <si>
    <t>DESEMBOLSOS</t>
  </si>
  <si>
    <t>SUBTOTAL COSTOS DIRECTOS + MANO DE OBRA NO CALIFICADA</t>
  </si>
  <si>
    <t>VALOR EN $</t>
  </si>
  <si>
    <t>SUBTOTAL($)</t>
  </si>
  <si>
    <t>PORCENTAJE (%)</t>
  </si>
  <si>
    <t>1.</t>
  </si>
  <si>
    <t>ADMINISTRACIÓN</t>
  </si>
  <si>
    <t>1.1</t>
  </si>
  <si>
    <t>Costos de preparación de la oferta</t>
  </si>
  <si>
    <t>_____________</t>
  </si>
  <si>
    <t>Otros (especificar en hoja aparte)</t>
  </si>
  <si>
    <t>1.2</t>
  </si>
  <si>
    <t>Costos de legalización</t>
  </si>
  <si>
    <t>1.2.1</t>
  </si>
  <si>
    <t>Garantías</t>
  </si>
  <si>
    <t>1.2.2</t>
  </si>
  <si>
    <t>Impuestos</t>
  </si>
  <si>
    <t>1.2.3</t>
  </si>
  <si>
    <t>Total</t>
  </si>
  <si>
    <t>1.3</t>
  </si>
  <si>
    <t>Costos del personal de administración del contrato</t>
  </si>
  <si>
    <t>1.3.1</t>
  </si>
  <si>
    <t>Director de obras</t>
  </si>
  <si>
    <t>1.3.2</t>
  </si>
  <si>
    <t>Ingeniero residente(s)</t>
  </si>
  <si>
    <t>1.3.4</t>
  </si>
  <si>
    <t>Maestro(s) de obra, almacenista(s) y encargado(s) de diferentes actividades, secretaria(s) y mensajero(s)</t>
  </si>
  <si>
    <t>total</t>
  </si>
  <si>
    <t>1.4</t>
  </si>
  <si>
    <t>Otros costos</t>
  </si>
  <si>
    <t>1.4.1</t>
  </si>
  <si>
    <t xml:space="preserve">Arrendamientos, servicios, gastos de papelería, equipos de oficina y comunicaciones, </t>
  </si>
  <si>
    <t>TOTAL ADMINISTRACIÓN</t>
  </si>
  <si>
    <t>2.</t>
  </si>
  <si>
    <t>UTILIDAD</t>
  </si>
  <si>
    <t>TOTAL A.U.</t>
  </si>
  <si>
    <t xml:space="preserve">S.T.I. Tubería pe c40 de ø3" con resistencia mínima de 80 psi, para descarga de efluente </t>
  </si>
  <si>
    <t>Distancia Horizontal 
T.Séptico-Sitio descarga (m)</t>
  </si>
  <si>
    <t>Distancia Horizontal 
T. Séptico - Fuente (m)</t>
  </si>
  <si>
    <t>Distancia Horizontal 
T. Séptico - Pozo de Absorcion (m)</t>
  </si>
  <si>
    <t>Mano de Obra No Calificada</t>
  </si>
  <si>
    <t>Subtotal Mano de Obra No Calificada</t>
  </si>
  <si>
    <t>Subtotal instalación:</t>
  </si>
  <si>
    <t>I. Tubería pe c40 de ø3" con resistencia mínima de 80 psi, para descarga de efluente</t>
  </si>
  <si>
    <t>Subtotal suministros:</t>
  </si>
  <si>
    <t>Convenio</t>
  </si>
  <si>
    <t>AU%25</t>
  </si>
  <si>
    <t>INTERVENTORÍA Y/O SUPERVISIÓN</t>
  </si>
  <si>
    <t>Aunar esfuerzos para contribuir al saneamiento hídrico rural</t>
  </si>
  <si>
    <t>Período 4</t>
  </si>
  <si>
    <t>Período 5</t>
  </si>
  <si>
    <t>VALOR UNITARIO INCLUYE IVA</t>
  </si>
  <si>
    <t>10000-12000</t>
  </si>
  <si>
    <r>
      <t>S.T.I. GEOTEXTIL NT REFERENCIA 1600 (m</t>
    </r>
    <r>
      <rPr>
        <b/>
        <vertAlign val="superscript"/>
        <sz val="10"/>
        <rFont val="Arial"/>
        <family val="2"/>
      </rPr>
      <t>2</t>
    </r>
    <r>
      <rPr>
        <b/>
        <sz val="10"/>
        <rFont val="Arial"/>
        <family val="2"/>
      </rPr>
      <t>)</t>
    </r>
  </si>
  <si>
    <t xml:space="preserve">Suministro de lecho de secado elaborado en P.R.F.V (Poliéster Reforzado con Fibra de Vidrio) Ø=1,2m h=1,0m. </t>
  </si>
  <si>
    <t>Tapa en fibra de vidrio de 12'' de diámetro, con manila</t>
  </si>
  <si>
    <t>S.T.I. VÁLVULA DE BOLA DE Ø3" EN PVC EXTREMO LISO PARA PURGA DE LODOS. INCLUYE ACCESORIOS (un)</t>
  </si>
  <si>
    <t>Suministro de canal de entrada elaborado en P.R.F.V (Poliéster Reforzado con Fibra de Vidrio), incluye reja de cribado, bandeja de escurrimiento, desarenador, caja de derivación y vertedero) Dimensiones  L=2,20m h=0,6 m a=0,4m</t>
  </si>
  <si>
    <t>nota; de aquí para arriba presupuesta instalación</t>
  </si>
  <si>
    <t>Suministro de tuberia PVC-S Ø2" perforada</t>
  </si>
  <si>
    <t>Accesorios codos de 90° PVC Ø2</t>
  </si>
  <si>
    <t>S.T.I. TUBERÍA PERFORADA PARA POZO DE INFILTRACIÓN, PVC-S Ø2" INCLUYE ACCESORIOS (m)</t>
  </si>
  <si>
    <t>S.T.I. Suministro de canal de entrada elaborado en P.R.F.V (Poliéster Reforzado con Fibra de Vidrio), incluye reja de cribado, bandeja de escurrimiento, desarenador, caja de derivación y vertedero) Dimensiones  L=2,20m h=0,6 m a=0,4m</t>
  </si>
  <si>
    <t>S.T.I. DE CANAL DE ENTRADA ELABORADO EN P.R.F.V (PLIÉSTER REFORZADO CON FIBRA DE VIDRIO), INCLUYE REJA DE CRIBADO, BANDEJA DE ESCURRIMIENTO, DESARENADOR, CAJA DE DERIVACIÓN Y VERTEDERO) DIMENSIONES  L=2,20m h=0,6 m a=0,4m</t>
  </si>
  <si>
    <t>S.T.I. Suministro de lecho de secado elaborado en P.R.F.V (Poliéster Reforzado con Fibra de Vidrio) Ø=1,2m h=1,0m. Incluye accesorios y cubiertas</t>
  </si>
  <si>
    <t>S.T. Lecho de secado elaborado en P.R.F.V (Poliéster Reforzado con Fibra de Vidrio) Ø=1,2m h=1,0m. Incluye accesorios y cubiertas</t>
  </si>
  <si>
    <t>S.T. Canal de entrada elaborado en P.R.F.V (Poliéster Reforzado con Fibra de Vidrio), incluye reja de cribado, bandeja de escurrimiento, desarenador, caja de derivación y vertedero) Dimensiones  L=2,20m h=0,6 m a=0,4m</t>
  </si>
  <si>
    <t>I. Canal de entrada elaborado en P.R.F.V (Poliéster Reforzado con Fibra de Vidrio), incluye reja de cribado, bandeja de escurrimiento, desarenador, caja de derivación y vertedero) Dimensiones  L=2,20m h=0,6 m a=0,4m</t>
  </si>
  <si>
    <t>I. Lecho de secado elaborado en P.R.F.V (Poliéster Reforzado con Fibra de Vidrio) Ø=1,2m h=1,0m. Incluye accesorios y cubiertas</t>
  </si>
  <si>
    <t xml:space="preserve">Suministro de pintura epóxica para protección de tuberia expuesta </t>
  </si>
  <si>
    <t>S.T.I. PINTURA EPÓXICA PARA PROTECCIÓN DE TUBERÍA EXPUESTA (GAL)</t>
  </si>
  <si>
    <t>galon</t>
  </si>
  <si>
    <t>gal</t>
  </si>
  <si>
    <t xml:space="preserve">S.T.I. Pntura epóxica para protección de tuberia expuesta </t>
  </si>
  <si>
    <t xml:space="preserve">.I. Pntura epóxica para protección de tuberia expuesta </t>
  </si>
  <si>
    <t xml:space="preserve">Tubería PVS S perforada Ø 4" </t>
  </si>
  <si>
    <t>Codo  90 PVC S  Ø4"</t>
  </si>
  <si>
    <t>TEE PVC  S  Ø 4"</t>
  </si>
  <si>
    <t>Suministro de material  filtrante grava 2"</t>
  </si>
  <si>
    <t>Techo tipo invernadero con cubierta en teja traslucida</t>
  </si>
  <si>
    <t>suministro de apoyos metálicos para techo tipo invernadero</t>
  </si>
  <si>
    <t>&gt;12500</t>
  </si>
  <si>
    <t>COSTO SUMINISTRO Y TRANSPORTE (un)</t>
  </si>
  <si>
    <t xml:space="preserve">T.I. Pntura epóxica para protección de tuberia expuesta </t>
  </si>
  <si>
    <t xml:space="preserve">Valor proyecto </t>
  </si>
  <si>
    <t>Tope</t>
  </si>
  <si>
    <t>Menores a 25 SMMV</t>
  </si>
  <si>
    <t>Igual o superior a 25 SMMV e inferior a 35 SMMV</t>
  </si>
  <si>
    <t>Igual o superior a 35 SMMV e inferior a 50 SMMV</t>
  </si>
  <si>
    <t>Igual o superior a 50 SMMV e inferior a 70 SMMV</t>
  </si>
  <si>
    <t>Igual o superior a 70 SMMV e inferior a 100 SMMV</t>
  </si>
  <si>
    <t>Igual o superior a 100 SMMV e inferior a 200 SMMV</t>
  </si>
  <si>
    <t>Igual o superior a 200 SMMV e inferior a 300 SMMV</t>
  </si>
  <si>
    <t>Igual o superior a 300 SMMV e inferior a 400 SMMV</t>
  </si>
  <si>
    <t>Igual o superior a 400 SMMV e inferior a 500 SMMV</t>
  </si>
  <si>
    <t>Igual o superior a 500 SMMV e inferior a 700 SMMV</t>
  </si>
  <si>
    <t>Igual o superior a 700 SMMV e inferior a 900 SMMV</t>
  </si>
  <si>
    <t>Igual o superior a 900 SMMV e inferior a 1500 SMMV</t>
  </si>
  <si>
    <t>Igual o superior a 1500 SMMV e inferior a 2115 SMMV</t>
  </si>
  <si>
    <t>=PRESUPUESTO DE OBRA FÍSICA</t>
  </si>
  <si>
    <t>SUBTOTAL APORTES 
FUENTES DE COFINANCIACIÓN</t>
  </si>
  <si>
    <t>TOTAL APORTES 
FUENTES DE COFINANCIACIÓN</t>
  </si>
  <si>
    <t>Excavación manual en material común hasta  4 m de profundidad, bajo cualquier grado de humedad</t>
  </si>
  <si>
    <t>Vereda / Resguardo Indígena</t>
  </si>
  <si>
    <t>Fuente Hídrica mas cercana</t>
  </si>
  <si>
    <t>Disposición Efluente en Pozo de Absorción</t>
  </si>
  <si>
    <t>Instalación (Oficial + Ayudante)</t>
  </si>
  <si>
    <t>Mano de Obra (1 Oficial)</t>
  </si>
  <si>
    <t>1/128 Galón</t>
  </si>
  <si>
    <t>Soldadura(1/32 galón), teflón (de 3/4"*1 m) y limpiador (1/32 galón)</t>
  </si>
  <si>
    <t>S.T.I. De Lecho de secado elaborado en P.R.F.V (Poliéster Reforzado con Fibra de Vidrio) Ø=1,2m h=1,0m. Incluye accesorios y cubiertas</t>
  </si>
  <si>
    <t>Mano de obra (Oficial + ayudante)</t>
  </si>
  <si>
    <t>kg</t>
  </si>
  <si>
    <t>Purga lodos: 2 codo 45º en un tramo de 3 m. de longitud</t>
  </si>
  <si>
    <t>Mano de obra (Oficial + ayudante)/40m-día</t>
  </si>
  <si>
    <t>COSTO DIRECTO 
(CON EL DESCUENTO POR LA EXCLUSIÓN DEL IVA)</t>
  </si>
  <si>
    <t>COSTO TOTAL (CON EL DESCUENTO POR LA EXCLUSIÓN DEL IVA)</t>
  </si>
  <si>
    <t>S.T.I. TUBERÍA PVC-S DE  Ø2" (50 mm) INCLUYE ACCESORIOS (m).  conexiones externas de diferentes derivaciones de redes provenientes de vivenda</t>
  </si>
  <si>
    <t>EN ESTOS DE AQUÍ PARA ARRIBA NO SEPARA SUMINISTRO DE INSTALACIÓN, PORQUE NO TIENEN SUMINISTRO</t>
  </si>
  <si>
    <t>LISTADO DE USUARIOS BENEFICIARIOS SEGÚN LA INFORMACIÓN REPORTADA EN LAS "FICHAS DE ASIGNACIÓN Y UBICACIÓN DE TANQUES SÉPTICOS" - (AUNAR ESFUERZOS AUNAR ESFUERZOS PARA CONTRIBUÍR AL SANEAMIENTO HÍDRICO RURAL EN MUNICIPIOS DE LA JURISDICCIÓN DE CORANTIQOUIA  2018)</t>
  </si>
  <si>
    <t xml:space="preserve">Apoyar la infraestructura de descontaminación hídrica en comunidades rurales </t>
  </si>
  <si>
    <t xml:space="preserve">Describa el aporte : </t>
  </si>
  <si>
    <t>(AUNAR ESFUERZOS AUNAR ESFUERZOS PARA CONTRIBUÍR AL SANEAMIENTO HÍDRICO RURAL EN MUNICIPIOS DE LA JURISDICCIÓN DE CORANTIQOUIA  2019)</t>
  </si>
  <si>
    <t>Accesorios "Y doble" PVC Ø2</t>
  </si>
  <si>
    <t>S.T.  Tubería perforada para pozo de infiltración, (incluye accesorios) PVC-S Ø3"</t>
  </si>
  <si>
    <t xml:space="preserve">Suministro de Codo 90° PVC de Ø3" </t>
  </si>
  <si>
    <t>S.T.I. Tubería perforada para pozo de infiltración, (incluye accesorios) PVC-S Ø2"</t>
  </si>
  <si>
    <t>I. Tubería perforada para pozo de infiltración, (incluye accesorios) PVC-S Ø2"</t>
  </si>
  <si>
    <t>S.T.I. ACCESORIOS  Ø3" (75mm) PARA TUBERÍA DE EXTRACCIÓN DE LODOS EN TANQUES EN TERRERO PLANO</t>
  </si>
  <si>
    <t>S.T.I. ACCESORIOS  Ø3" (75mm) PARA TUBERÍA DE EXTRACCIÓN DE LODOS EN TANQUES EN TERRERO PLANO OJO SE HACE MANUAL</t>
  </si>
  <si>
    <t>I. ACCESORIOS  Ø3" (75mm) PARA TUBERÍA DE EXTRACCIÓN DE LODOS EN TANQUES EN TERRERO PLANO</t>
  </si>
  <si>
    <t>GERENTE PROGRAMA</t>
  </si>
  <si>
    <t>Nota el aporte de Corantioquia incluye el valor del IVA, es importante señalar que los desembolsos seran girados al municipio sin el valor del IVA sometido a trámite de exclusión de IVA</t>
  </si>
  <si>
    <t>S.T.I. VÁLVULA DE BOLA DE Ø2" EN PVC EXTREMO LISO PARA PURGA DE LODOS. INCLUYE ACCESORIOS (un)</t>
  </si>
  <si>
    <t>Suministro válvula de bola de Ø2" en PVC</t>
  </si>
  <si>
    <t>S.T.I. TUBERÍA PVC-S DE Ø3" (75 mm) INCLUYE ACCESORIOS (m). Y la purga VER ESQUEMA,conexiones externas de diferentes derivaciones</t>
  </si>
  <si>
    <t>I. De sifón S.R. De 135° en pvc-s  ø3" para control de olores</t>
  </si>
  <si>
    <t>No. de tanques proyecto</t>
  </si>
  <si>
    <t>Capacidad tanque</t>
  </si>
  <si>
    <t>Tipo tanque</t>
  </si>
  <si>
    <t>Valor unitario</t>
  </si>
  <si>
    <t>Cantidad tanques proyecto</t>
  </si>
  <si>
    <t>Costo total con valor unitario</t>
  </si>
  <si>
    <t>Peso o                 importancia</t>
  </si>
  <si>
    <t>Costo total               tanques proyecto</t>
  </si>
  <si>
    <t>Valor promedio tanque proyecto</t>
  </si>
  <si>
    <t>Vp &gt; Vu</t>
  </si>
  <si>
    <t>Equivalencia con valor unitario (No. de tanques)</t>
  </si>
  <si>
    <t>Cantidad Tanques proyecto</t>
  </si>
  <si>
    <t>Sistema séptico y FAFA prefabricado en P.R.F.V (Poliéster Reforzado Con Fibra De Vidrio) con capacidad para atender una población de hasta diez (10) habitantes</t>
  </si>
  <si>
    <t>A</t>
  </si>
  <si>
    <t>Sistema séptico y FAFA prefabricado en P.R.F.V (Poliéster Reforzado Con Fibra De Vidrio) con capacidad para atender una población de diez a quince (10 a 15) habitantes</t>
  </si>
  <si>
    <t>B</t>
  </si>
  <si>
    <t>Sistema séptico y FAFA prefabricado en P.R.F.V (Poliéster Reforzado Con Fibra De Vidrio) con capacidad para atender una población de quince a veinte (15 a 20) habitantes</t>
  </si>
  <si>
    <t>C</t>
  </si>
  <si>
    <t>sistema séptico y FAFA prefabricado en P.R.F.V (Poliéster Reforzado Con Fibra De Vidrio) con capacidad para atender una población de veinte a treinta (20 a 30) habitantes</t>
  </si>
  <si>
    <t>D</t>
  </si>
  <si>
    <t>sistema séptico y FAFA prefabricado en P.R.F.V (Poliéster Reforzado Con Fibra De Vidrio) con capacidad para atender una población de treinta a cuarenta (30 a 40) habitantes</t>
  </si>
  <si>
    <t>E</t>
  </si>
  <si>
    <t>S.T. sistema séptico y FAFA prefabricado en P.R.F.V (Poliéster Reforzado Con Fibra De Vidrio) con capacidad para atender una población de cuarenta a cincuenta (40 a 50) habitantes</t>
  </si>
  <si>
    <t>sistema séptico y FAFA prefabricado en P.R.F.V (Poliéster Reforzado Con Fibra De Vidrio) con capacidad para atender una población de cincuenta a setenta (50 a 70) habitantes</t>
  </si>
  <si>
    <t>G</t>
  </si>
  <si>
    <t>sistema séptico y FAFA prefabricado en P.R.F.V (Poliéster Reforzado Con Fibra De Vidrio) con capacidad para atender una población de setenta a noventa (70 a 90) habitantes</t>
  </si>
  <si>
    <t>H</t>
  </si>
  <si>
    <t>DIFERENCIA</t>
  </si>
  <si>
    <t>ESQUEMA DE COFINANCIÓN ESTABLECIDO</t>
  </si>
  <si>
    <t>No. max tanques</t>
  </si>
  <si>
    <t>Valor máximo proyecto</t>
  </si>
  <si>
    <t>Cofinanciación Corantioquia (80%)</t>
  </si>
  <si>
    <t>Aporte municipio (20%)</t>
  </si>
  <si>
    <t>COFINANCIÓN BASADA EN PRESUPUESTO DEL MUNICIPIO</t>
  </si>
  <si>
    <t>No. aprox. tanques</t>
  </si>
  <si>
    <t>CHEQUEO DE COSTOS UNITARIOS PARA VIABILIDAD DEL PROYECTO</t>
  </si>
  <si>
    <t>TANQUES EQUIVALENTES</t>
  </si>
  <si>
    <t>CAPACIDAD DEL SISTEMA</t>
  </si>
  <si>
    <t xml:space="preserve">                                                                                                                                                                                                       </t>
  </si>
  <si>
    <t>NOTA: LOS PROMEDIOS INCLUYEN IVA DEL 19%</t>
  </si>
  <si>
    <t>Suministro de canal de entrada elaborado en P.R.F.V (Poliéster Reforzado con Fibra de Vidrio) L=2,20m</t>
  </si>
  <si>
    <t>Otros No PAVCO</t>
  </si>
  <si>
    <t>Medio codo de 45°x2"</t>
  </si>
  <si>
    <t>Medio codo de 45°x3"</t>
  </si>
  <si>
    <t>Proveedores</t>
  </si>
  <si>
    <t>IVA EXCLUIBLE</t>
  </si>
  <si>
    <t>día (Rend)</t>
  </si>
  <si>
    <t>Leyenda</t>
  </si>
  <si>
    <t>Cantidad</t>
  </si>
  <si>
    <t xml:space="preserve">Cuando es cantidad se obtiene el valor total sin IVA como producto (multiplicación) de las columnas CAN/REN y valor unitario INCLUYE IVA </t>
  </si>
  <si>
    <t>Rendimiento</t>
  </si>
  <si>
    <t xml:space="preserve">Cuando es rendimiento se obtiene el valor total sin IVA como la relación (división) de las columnas CAN/REN y valor unitario INCLUYE IVA </t>
  </si>
  <si>
    <t>Antioqueña de arenas Tel 3030001
Cl. 36 Sur #26a-30, LA MIEL, Envigado, Caldas,</t>
  </si>
  <si>
    <t>https://www.hidroequipos.com.co/valvulas.html</t>
  </si>
  <si>
    <t>TOTAL COSTOS DIRECTOS SIN IVA EXCLUIBLE</t>
  </si>
  <si>
    <t>APORTES EN DINERO CORANTIOQUIA</t>
  </si>
  <si>
    <t>APORTES EN DINERO CORANTIOQUIA SIN IVA EXCLUIBLE</t>
  </si>
  <si>
    <t>TOTAL  SIN IVA EXCLUIBLE</t>
  </si>
  <si>
    <t>TOTAL  CON IVA EXCLUIBLE</t>
  </si>
  <si>
    <t>SUBTOTAL ( Costos Directos) CON IVA EXCLUIBLE</t>
  </si>
  <si>
    <t>Verificación</t>
  </si>
  <si>
    <t>TOTAL APORTES 
FUENTES DE COFINANCIACIÓN SIN IVA EXCLUIBLE</t>
  </si>
  <si>
    <t>Porcentaje de cofinanciación:</t>
  </si>
  <si>
    <t>consulta telefonica FISSAS Y SIPAS tel: 3225262324                4 4446099</t>
  </si>
  <si>
    <t>Fecha última consulta 31/05/2022</t>
  </si>
  <si>
    <t>ANÁLISIS DE DATOS</t>
  </si>
  <si>
    <t>Distancia [km]</t>
  </si>
  <si>
    <t>Sistema de 1500-1800</t>
  </si>
  <si>
    <t>Sistema de 2300-2500</t>
  </si>
  <si>
    <t>Sistema de 3000-3300</t>
  </si>
  <si>
    <t>Sistema de 4500-5000</t>
  </si>
  <si>
    <t>Sistema de 6000-6500</t>
  </si>
  <si>
    <t>Sistema de 7500-8000</t>
  </si>
  <si>
    <t>Sistema de 10000-12000</t>
  </si>
  <si>
    <t>Sistema mayor de 12000</t>
  </si>
  <si>
    <t>Transporte interno</t>
  </si>
  <si>
    <t>Valor transporte por sistema</t>
  </si>
  <si>
    <t>Municipios Corantioquia</t>
  </si>
  <si>
    <t>Material triturado</t>
  </si>
  <si>
    <t>Medellín</t>
  </si>
  <si>
    <t>Bello</t>
  </si>
  <si>
    <t>Envigado</t>
  </si>
  <si>
    <t>Itagüí</t>
  </si>
  <si>
    <t>Sabaneta</t>
  </si>
  <si>
    <t>La Estrella</t>
  </si>
  <si>
    <t>Copacabana</t>
  </si>
  <si>
    <t>Caldas</t>
  </si>
  <si>
    <t>Girardota</t>
  </si>
  <si>
    <t>Heliconia</t>
  </si>
  <si>
    <t>San Jerónimo</t>
  </si>
  <si>
    <t>Armenia</t>
  </si>
  <si>
    <t>Angelópolis</t>
  </si>
  <si>
    <t>San Pedro de los Milagros</t>
  </si>
  <si>
    <t>Amagá</t>
  </si>
  <si>
    <t>Barbosa</t>
  </si>
  <si>
    <t>Ebéjico</t>
  </si>
  <si>
    <t>Donmatías</t>
  </si>
  <si>
    <t>Sopetrán</t>
  </si>
  <si>
    <t>Entrerríos</t>
  </si>
  <si>
    <t>Santa Bárbara</t>
  </si>
  <si>
    <t>Montebello</t>
  </si>
  <si>
    <t>Santa Fe de Antioquia</t>
  </si>
  <si>
    <t>Fredonia</t>
  </si>
  <si>
    <t>Titiribí</t>
  </si>
  <si>
    <t>Venecia</t>
  </si>
  <si>
    <t>Belmira</t>
  </si>
  <si>
    <t>Olaya</t>
  </si>
  <si>
    <t>Santa Rosa de Osos</t>
  </si>
  <si>
    <t>Liborina</t>
  </si>
  <si>
    <t>La Pintada</t>
  </si>
  <si>
    <t>Anzá</t>
  </si>
  <si>
    <t>Cisneros</t>
  </si>
  <si>
    <t>Concordia</t>
  </si>
  <si>
    <t>Buriticá</t>
  </si>
  <si>
    <t>Yolombó</t>
  </si>
  <si>
    <t>Caicedo</t>
  </si>
  <si>
    <t>Salgar</t>
  </si>
  <si>
    <t>Hispania</t>
  </si>
  <si>
    <t>Carolina del Príncipe</t>
  </si>
  <si>
    <t>Tarso</t>
  </si>
  <si>
    <t>Valparaíso</t>
  </si>
  <si>
    <t>Ciudad Bolívar</t>
  </si>
  <si>
    <t>Támesis</t>
  </si>
  <si>
    <t>Jericó</t>
  </si>
  <si>
    <t>Sabanalarga</t>
  </si>
  <si>
    <t>Andes</t>
  </si>
  <si>
    <t>Pueblorrico</t>
  </si>
  <si>
    <t>Betulia</t>
  </si>
  <si>
    <t>Betania</t>
  </si>
  <si>
    <t>Yarumal</t>
  </si>
  <si>
    <t>Caramanta</t>
  </si>
  <si>
    <t>Guadalupe</t>
  </si>
  <si>
    <t>San José de la Montaña</t>
  </si>
  <si>
    <t>Yalí</t>
  </si>
  <si>
    <t>Jardín</t>
  </si>
  <si>
    <t>Maceo</t>
  </si>
  <si>
    <t>San Andrés de Cuerquia</t>
  </si>
  <si>
    <t>Angostura</t>
  </si>
  <si>
    <t>Campamento</t>
  </si>
  <si>
    <t>Caracolí</t>
  </si>
  <si>
    <t>Amalfi</t>
  </si>
  <si>
    <t>Vegachí</t>
  </si>
  <si>
    <t>Valdivia</t>
  </si>
  <si>
    <t>Toledo</t>
  </si>
  <si>
    <t>Anorí</t>
  </si>
  <si>
    <t>Briceño</t>
  </si>
  <si>
    <t>Puerto Berrío</t>
  </si>
  <si>
    <t>Remedios</t>
  </si>
  <si>
    <t>Ituango</t>
  </si>
  <si>
    <t>Segovia</t>
  </si>
  <si>
    <t>Tarazá</t>
  </si>
  <si>
    <t>Puerto Nare</t>
  </si>
  <si>
    <t>Cáceres</t>
  </si>
  <si>
    <t>Caucasia</t>
  </si>
  <si>
    <t>Yondó</t>
  </si>
  <si>
    <t>Nechí</t>
  </si>
  <si>
    <t>El Bagre</t>
  </si>
  <si>
    <t>Zaragoza</t>
  </si>
  <si>
    <t>Valor Transporte por capacidad</t>
  </si>
  <si>
    <t>Valor Transporte sistema por viaje</t>
  </si>
  <si>
    <t xml:space="preserve">I.Trampa de grasas prefabricada en P.R.F.V (Poliéster Reforzado con Fibra De Vidrio) con capacidad para atender una población de tres a nueve (3 a 9) habitantes.
</t>
  </si>
  <si>
    <t>I. trampa de grasas prefabricado en P.R.F.V (Poliéster Reforzado con Fibra De Vidrio) con capacidad para atender una población de diez a quince (10 a 15) habitantes.</t>
  </si>
  <si>
    <t>I. trampa de grasas prefabricado en P.R.F.V (Poliéster Reforzado con Fibra De Vidrio) con capacidad para atender una población de dieciséis a veinte (16 a 20) habitantes</t>
  </si>
  <si>
    <t xml:space="preserve">I. trampa de grasas prefabricado en P.R.F.V (Poliéster Reforzado con Fibra De Vidrio) con capacidad para atender una población de veintiuno a treinta (21 a 30) habitantes. </t>
  </si>
  <si>
    <t>I. trampa de grasas prefabricado en P.R.F.V (Poliéster Reforzado con Fibra De Vidrio) con capacidad para atender una población treinta y uno a cuarenta (31 a 40) habitantes.</t>
  </si>
  <si>
    <t>I.  trampa de grasas prefabricado en P.R.F.V (Poliéster Reforzado con Fibra De Vidrio) con capacidad para atender una población de cuarenta y uno a cincuenta (41a 50) habitantes</t>
  </si>
  <si>
    <t>I. trampa de grasas prefabricado en P.R.F.V (Poliéster Reforzado con Fibra De Vidrio) con capacidad para atender una población de cincuenta y uno a setenta (51 a 70) habitantes.</t>
  </si>
  <si>
    <t>I. trampa de grasas prefabricado en P.R.F.V (Poliéster Reforzado con Fibra De Vidrio) con capacidad para atender una población de setenta y uno a noventa (71 a 90) habitantes.</t>
  </si>
  <si>
    <t>S.T  trampa de grasas prefabricada en P.R.F.V (Poliéster Reforzado con Fibra De Vidrio) con capacidad para atender una población de tres a nueve (3 a 9) habitantes</t>
  </si>
  <si>
    <t>S.T trampa de grasas prefabricado en P.R.F.V(Poliéster Reforzado con Fibra De Vidrio) con capacidad para atender una población de diez a quince (10 a 15) habitantes</t>
  </si>
  <si>
    <t>S.T  trampa de grasas prefabricado en P.R.F.V (Poliéster Reforzado con Fibra De Vidrio) con capacidad para atender una población de dieciséis a veinte (16 a 20) habitantes</t>
  </si>
  <si>
    <t>S.T trampa de grasas prefabricado en P.R.F.V (Poliéster Reforzado con Fibra De Vidrio) con capacidad para atender una población de veintiuno a treinta (21 a 30) habitantes</t>
  </si>
  <si>
    <t>S.T trampa de grasas prefabricado en P.R.F.V (Poliéster Reforzado con Fibra De Vidrio) con capacidad para atender una población treinta y uno a cuarenta (31 a 40)
habitantes.</t>
  </si>
  <si>
    <t>S.T trampa de grasas prefabricado en P.R.F.V (Poliéster Reforzado con Fibra De Vidrio) con capacidad para atender una población de cuarenta y uno a cincuenta (41 a 50) habitantes</t>
  </si>
  <si>
    <t>S.T trampa de grasas prefabricado en P.R.F.V (Poliéster Reforzado con Fibra De Vidrio) con capacidad para atender una población de cincuenta y uno a setenta (51 a 70) habitantes.</t>
  </si>
  <si>
    <t>S.T  trampa de grasas prefabricado en P.R.F.V (Poliéster Reforzado con Fibra De Vidrio) con capacidad para atender una población de setenta y uno a noventa (71 a 90) habitantes</t>
  </si>
  <si>
    <t xml:space="preserve">trampa de grasas prefabricada en P.R.F.V (Poliéster Reforzado con Fibra De Vidrio) con capacidad para atender una población de tres a nueve (3 a 9) habitantes. </t>
  </si>
  <si>
    <t>trampa de grasas prefabricado en P.R.F.V (Poliéster Reforzado con Fibra De Vidrio) con capacidad para atender una población de diez a quince (10 a 15) habitantes.</t>
  </si>
  <si>
    <t>S.T.I. Trampa de grasas prefabricada en P.R.F.V (Poliéster Reforzado con Fibra De Vidrio) con capacidad para atender una población de tres a nueve (3 a 9) habitantes.</t>
  </si>
  <si>
    <t>Trampa de grasas prefabricada en P.R.F.V (Poliéster Reforzado con Fibra De Vidrio) con capacidad para atender una población de tres a nueve (3 a 9) habitantes.</t>
  </si>
  <si>
    <t>Trampa de grasas prefabricada en P.R.F.V (Poliéster Reforzado con Fibra De Vidrio) con capacidad para atender una población de diez a quince (10 a 15) habitantes.</t>
  </si>
  <si>
    <t>S.T.I. Trampa de grasas prefabricada en P.R.F.V (Poliéster Reforzado con Fibra De Vidrio) con capacidad para atender una población de diez a quince (10 a 15) habitantes.</t>
  </si>
  <si>
    <t>S.T.I. Trampa de grasas prefabricada en P.R.F.V (Poliéster Reforzado con Fibra De Vidrio) con capacidad para atender una población de dieciséis a veinte (16 a 20) habitantes.</t>
  </si>
  <si>
    <t>Trampa de grasas prefabricada en P.R.F.V (Poliéster Reforzado con Fibra De Vidrio) con capacidad para atender una población de dieciséis a veinte (16 a 20) habitantes.</t>
  </si>
  <si>
    <t>S.T.I. Trampa de grasas prefabricada en P.R.F.V (Poliéster Reforzado con Fibra De Vidrio) con capacidad para atender una población de veinti uno a treinta (21 a 30) habitantes.</t>
  </si>
  <si>
    <t>Trampa de grasas prefabricada en P.R.F.V (Poliéster Reforzado con Fibra De Vidrio) con capacidad para atender una población de veinti uno a treinta (21 a 30) habitantes.</t>
  </si>
  <si>
    <t>S.T.I. Trampa de grasas prefabricada en P.R.F.V (Poliéster Reforzado con Fibra De Vidrio) con capacidad para atender una población de treinta y uno a cuarenta (31 a 40) habitantes.</t>
  </si>
  <si>
    <t>Trampa de grasas prefabricada en P.R.F.V (Poliéster Reforzado con Fibra De Vidrio) con capacidad para atender una población de treinta y uno a cuarenta (31 a 40) habitantes.</t>
  </si>
  <si>
    <t>S.T.I. Trampa de grasas prefabricada en P.R.F.V (Poliéster Reforzado con Fibra De Vidrio) con capacidad para atender una población de cuarenta y uno a cuarenta (41 a 50) habitantes.</t>
  </si>
  <si>
    <t>Trampa de grasas prefabricada en P.R.F.V (Poliéster Reforzado con Fibra De Vidrio) con capacidad para atender una población de cuarenta y uno a cincuenta (41 a 50) habitantes.</t>
  </si>
  <si>
    <t>S.T.I. Trampa de grasas prefabricada en P.R.F.V (Poliéster Reforzado con Fibra De Vidrio) con capacidad para atender una población de cincuenta y uno a setenta (51 a 70) habitantes.</t>
  </si>
  <si>
    <t>S.T.I. Trampa de grasas prefabricada en P.R.F.V (Poliéster Reforzado con Fibra De Vidrio) con capacidad para atender una población de setenta y uno a noventa (71 a 90) habitantes.</t>
  </si>
  <si>
    <t>Trampa de grasas prefabricada en P.R.F.V (Poliéster Reforzado con Fibra De Vidrio) con capacidad para atender una población de setenta y uno a noventa (71 a 90) habitantes.</t>
  </si>
  <si>
    <t>Trampa de grasas prefabricada en P.R.F.V (Poliéster Reforzado con Fibra De Vidrio) con capacidad para atender una población de cincuenta y uno a setenta (51 a 70) habitantes.</t>
  </si>
  <si>
    <t>CAPACIDAD DE LA TRAMPA DE GRASA</t>
  </si>
  <si>
    <t>3≤ 9 PERS.</t>
  </si>
  <si>
    <t>16&lt;P≤20</t>
  </si>
  <si>
    <t>21&lt;P≤30</t>
  </si>
  <si>
    <t>31&lt;P≤40</t>
  </si>
  <si>
    <t>41&lt;P≤50</t>
  </si>
  <si>
    <t>51&lt;P≤70</t>
  </si>
  <si>
    <t>71&lt;P≤90</t>
  </si>
  <si>
    <t>trampa de grasas prefabricado en P.R.F.V (Poliéster Reforzado con Fibra De Vidrio) con capacidad para atender una población de dieciséis a veinte (16 a 20) habitantes.</t>
  </si>
  <si>
    <t>trampa de grasas prefabricado en P.R.F.V (Poliéster Reforzado con Fibra De Vidrio) con capacidad para atender una población de veinti uno a treinta (21 a 30) habitantes.</t>
  </si>
  <si>
    <t>trampa de grasas prefabricado en P.R.F.V (Poliéster Reforzado con Fibra De Vidrio) con capacidad para atender una población de treinta y uno a cuarenta (31 a 40) habitantes.</t>
  </si>
  <si>
    <t>trampa de grasas prefabricado en P.R.F.V (Poliéster Reforzado con Fibra De Vidrio) con capacidad para atender una población de cuarenta y uno a cincuenta (41 a 50) habitantes.</t>
  </si>
  <si>
    <t>trampa de grasas prefabricado en P.R.F.V (Poliéster Reforzado con Fibra De Vidrio) con capacidad para atender una población de cincuenta y uno a setenta (51 a 70) habitantes.</t>
  </si>
  <si>
    <t>trampa de grasas prefabricado en P.R.F.V (Poliéster Reforzado con Fibra De Vidrio) con capacidad para atender una población de setenta y uno a noventa (71 a 90) habitantes.</t>
  </si>
  <si>
    <t>Distancia Horizontal 
Vivienda - T. Séptico+trampa de grasa (m)</t>
  </si>
  <si>
    <t xml:space="preserve">S.T.I. Tubería pvc-s de ø3" (75 mm). Incluye accesorios </t>
  </si>
  <si>
    <t>Distancia Horizontal Vivienda al tanque séptico+trampa de grasa
Vivienda - T. Séptico (m)</t>
  </si>
  <si>
    <t>Distancia HorizontaTrampa de grasa al postratamiento (m)</t>
  </si>
  <si>
    <t xml:space="preserve">S.T.I. Tubería pvc-s de ø2" (50 mm). Trampa de grasa. Incluye accesorios </t>
  </si>
  <si>
    <t>Suministro de Codo 90° de PVC-S Ø3"</t>
  </si>
  <si>
    <t xml:space="preserve">I. Tubería pvc-s de ø3" (75 mm). Incluye accesorios </t>
  </si>
  <si>
    <t>I. Tubería pvc-s de  ø2" (50 mm). Efluente+purga. incluye accesorios.</t>
  </si>
  <si>
    <t>Promedio (1)</t>
  </si>
  <si>
    <t>Promedio (2)</t>
  </si>
  <si>
    <r>
      <rPr>
        <b/>
        <sz val="10"/>
        <rFont val="Arial"/>
        <family val="2"/>
      </rPr>
      <t>Nota: Distancias tomadas de:</t>
    </r>
    <r>
      <rPr>
        <sz val="10"/>
        <rFont val="Arial"/>
        <family val="2"/>
      </rPr>
      <t xml:space="preserve"> https://www.antioquiadatos.gov.co/index.php/1-6-distancias-y-tiempos-por-carretera-desde-medellin-hasta-los-demas-municipios-de-antioquia-ano-2017</t>
    </r>
  </si>
  <si>
    <t>Promedio del transportesegún distancia de las veredas del municipio</t>
  </si>
  <si>
    <t>SELECCIONAR EL MUNICIPIO Y EL PROMEDIO DE DISTANCIAS DE LAS VEREDAS PARA EL CONVENIO</t>
  </si>
  <si>
    <t>Municipio/Capacidad del sistema</t>
  </si>
  <si>
    <t>VALOR TRANSPORTE CONVENIO</t>
  </si>
  <si>
    <t>Valor total transporte</t>
  </si>
  <si>
    <t>Permiso de vertimiento</t>
  </si>
  <si>
    <t>Mano de obra</t>
  </si>
  <si>
    <t>SUMINISTRO SISTEMAS SÉPTICOS, TUBERIAS Y ACCESORIOS</t>
  </si>
  <si>
    <t>Suministros sistema, tuberías y accesorios</t>
  </si>
  <si>
    <t>TRANSPORTE SISTEMAS SÉPTICOS, TUBERÍAS Y ACCESORIOS</t>
  </si>
  <si>
    <t>Transporte sistema, tuberías y accesorios</t>
  </si>
  <si>
    <t>MANO DE OBRA (INSTALACIÓN)</t>
  </si>
  <si>
    <t xml:space="preserve">SITIIO DE DESCARGA </t>
  </si>
  <si>
    <t>CAPACIDAD TRAMPA DE GRASAS PARA VIVIENDAS</t>
  </si>
  <si>
    <t>CAPACIDAD TRAMPA DE GRASAS PARA MULTIUSOS</t>
  </si>
  <si>
    <t>Trampas de Grasas</t>
  </si>
  <si>
    <t xml:space="preserve">No. </t>
  </si>
  <si>
    <t>No.</t>
  </si>
  <si>
    <t>Vivienda? SI/NO</t>
  </si>
  <si>
    <r>
      <rPr>
        <b/>
        <sz val="10"/>
        <color theme="1"/>
        <rFont val="Arial"/>
        <family val="2"/>
      </rPr>
      <t>Transporte</t>
    </r>
    <r>
      <rPr>
        <sz val="10"/>
        <color theme="1"/>
        <rFont val="Arial"/>
        <family val="2"/>
      </rPr>
      <t xml:space="preserve"> por kilómetro recorrido para un sistema séptico y FAFA prefabricado en P.R.F.V (Poliéster  Reforzado Con Fibra  De Vidrio) con capacidad para atender una población de </t>
    </r>
    <r>
      <rPr>
        <b/>
        <sz val="10"/>
        <color theme="1"/>
        <rFont val="Arial"/>
        <family val="2"/>
      </rPr>
      <t>tres a nueve (3 a 9) habitantes. Volumen de 1.500-1.800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</si>
  <si>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diez a quince (10 a 15) habitantes. Volumen de 2.300-2.500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</si>
  <si>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t>
    </r>
    <r>
      <rPr>
        <b/>
        <sz val="10"/>
        <color theme="1"/>
        <rFont val="Arial"/>
        <family val="2"/>
      </rPr>
      <t xml:space="preserve">dieciséis a veinte (16 a 20) habitantes.  Volumen de 3.000-3.300 litros. </t>
    </r>
  </si>
  <si>
    <r>
      <rPr>
        <b/>
        <sz val="10"/>
        <color theme="1"/>
        <rFont val="Arial"/>
        <family val="2"/>
      </rPr>
      <t xml:space="preserve">Transporte </t>
    </r>
    <r>
      <rPr>
        <sz val="10"/>
        <color theme="1"/>
        <rFont val="Arial"/>
        <family val="2"/>
      </rPr>
      <t>por kilómetro recorrido para un sistema séptico y FAFA prefabricado en P.R.F.V (Poliéster  Reforzado Con Fibra  De Vidrio)con capacidad para atender una población de v</t>
    </r>
    <r>
      <rPr>
        <b/>
        <sz val="10"/>
        <color theme="1"/>
        <rFont val="Arial"/>
        <family val="2"/>
      </rPr>
      <t>einti uno a treinta (21 a 30) habitantes.Volumen de 4.500-5.000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</si>
  <si>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t>
    </r>
    <r>
      <rPr>
        <b/>
        <sz val="10"/>
        <color theme="1"/>
        <rFont val="Arial"/>
        <family val="2"/>
      </rPr>
      <t xml:space="preserve"> treinta y uno a cuarenta (31 a 40) habitantes.Volumen de6.000-6.500 litros.</t>
    </r>
  </si>
  <si>
    <t>Valor promedio de Medellín a cada cabecera Municipal &lt; 50 km</t>
  </si>
  <si>
    <t>Distancia vereda &lt; 10km</t>
  </si>
  <si>
    <t>Distancia vereda &gt;= 10 km</t>
  </si>
  <si>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cuarenta y uno a cincuenta (41 a 50) habitantes. Volumen de 7.500-8.000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</si>
  <si>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cincuenta y uno a setenta (51 a 70) habitantes. Volumen de 10.000-12.000 litros.</t>
    </r>
  </si>
  <si>
    <r>
      <rPr>
        <b/>
        <sz val="10"/>
        <color theme="1"/>
        <rFont val="Arial"/>
        <family val="2"/>
      </rPr>
      <t>Transporte</t>
    </r>
    <r>
      <rPr>
        <sz val="10"/>
        <color theme="1"/>
        <rFont val="Arial"/>
        <family val="2"/>
      </rPr>
      <t xml:space="preserve"> por kilómetro recorrido para un sistema séptico y FAFA prefabricado en P.R.F.V (Poliéster  Reforzado Con Fibra  De Vidrio)con capacidad para atender una población de  </t>
    </r>
    <r>
      <rPr>
        <b/>
        <sz val="10"/>
        <color theme="1"/>
        <rFont val="Arial"/>
        <family val="2"/>
      </rPr>
      <t xml:space="preserve"> setenta y uno a noventa (71 a 90) habitantes. Volumen &gt; 12.000 litros.</t>
    </r>
  </si>
  <si>
    <t xml:space="preserve">Fibrasing 
110-COE2205-18554 </t>
  </si>
  <si>
    <t xml:space="preserve">Fibrambiente
110-COE2205-17528 </t>
  </si>
  <si>
    <t xml:space="preserve">MaproAgua 110-COE2205-17539 </t>
  </si>
  <si>
    <t>VARIABLES</t>
  </si>
  <si>
    <t>RESUMEN</t>
  </si>
  <si>
    <t>Transporte de Medellín a Cabeceras municipales: Valor unitario por kilómetro recorrido.</t>
  </si>
  <si>
    <t>P2</t>
  </si>
  <si>
    <t>P1</t>
  </si>
  <si>
    <t xml:space="preserve">Transporte de cabeceras municipales a sitio de instalación zona veredal. </t>
  </si>
  <si>
    <t>Promedio de las distancias veredales a la cabecera</t>
  </si>
  <si>
    <t>3=1+2</t>
  </si>
  <si>
    <t>Cantidad tanques del convenio</t>
  </si>
  <si>
    <t>N° viajes x capacidad</t>
  </si>
  <si>
    <t>6=5*3</t>
  </si>
  <si>
    <t>7=6/4</t>
  </si>
  <si>
    <t>Suma 6</t>
  </si>
  <si>
    <t>Promedio 6 respecto 4</t>
  </si>
  <si>
    <t>VALOR CON IVA DEL 19%</t>
  </si>
  <si>
    <t>Promedio</t>
  </si>
  <si>
    <t>SUMINISTRO DE SISTEMA SÉPTICO DE ACUERDO A LA CAPACIDAD</t>
  </si>
  <si>
    <r>
      <rPr>
        <b/>
        <sz val="10"/>
        <color theme="1"/>
        <rFont val="Arial"/>
        <family val="2"/>
      </rPr>
      <t>Suministro</t>
    </r>
    <r>
      <rPr>
        <sz val="10"/>
        <color theme="1"/>
        <rFont val="Arial"/>
        <family val="2"/>
      </rPr>
      <t xml:space="preserve"> de </t>
    </r>
    <r>
      <rPr>
        <b/>
        <sz val="10"/>
        <color theme="1"/>
        <rFont val="Arial"/>
        <family val="2"/>
      </rPr>
      <t>canal de entrada</t>
    </r>
    <r>
      <rPr>
        <sz val="10"/>
        <color theme="1"/>
        <rFont val="Arial"/>
        <family val="2"/>
      </rPr>
      <t xml:space="preserve"> elaborado en P.R.F.V (Poliéster Reforzado con Fibra de Vidrio) L=2,20m</t>
    </r>
  </si>
  <si>
    <t>Distancia Municipio - Vereda (Km)</t>
  </si>
  <si>
    <t>Relacionar para cada sistema y trampa, la capacidad en volumenes</t>
  </si>
  <si>
    <t>Nota: De acuerdo al conocimiento de los profesionales en la ejecución de obra, el salario del oficial se considera como dos veces el salario de un ayudante, es decir que equivale a dos mínimos.</t>
  </si>
  <si>
    <t>Remuneración del personal (jornales)</t>
  </si>
  <si>
    <t>PAVCO</t>
  </si>
  <si>
    <t>Total municipio</t>
  </si>
  <si>
    <t>Menos permiso de vertimiento</t>
  </si>
  <si>
    <t>Total sin PV</t>
  </si>
  <si>
    <t>Valor x</t>
  </si>
  <si>
    <t>Valor X*25%</t>
  </si>
  <si>
    <t>Valor a aportar F119</t>
  </si>
  <si>
    <t>Buscar objetivo</t>
  </si>
  <si>
    <t>20% del total</t>
  </si>
  <si>
    <t>Organizando C142</t>
  </si>
  <si>
    <t>I.  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</si>
  <si>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I.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</si>
  <si>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I.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</si>
  <si>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I.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4,500-5,000 litros.</t>
  </si>
  <si>
    <t>I.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6,000-6,500 litros.</t>
  </si>
  <si>
    <t>I.sistema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</si>
  <si>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I.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</si>
  <si>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I. 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</si>
  <si>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S.T. Sistema séptico y FAFA prefabricado en P.R.F.V (Poliéster Reforzado Con Fibra De Vidrio) con capacidad para atender una población entre 3 a nueve (3 a 9) habitantes, (incluye: accesorios internos, material filtrante para el FAFA que garanticen un área superficial de contacto ≥ 90m2/m3, tubería de PVC-S ø2" con accesorios y malla mosquitera doble. Volumen de 1,500-1,800 litros.</t>
  </si>
  <si>
    <t>S.T.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</si>
  <si>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</si>
  <si>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</si>
  <si>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</si>
  <si>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S.T. sistema séptico y FAFA prefabricado en P.R.F.V (Poliéster Reforzado Con Fibra De Vidrio) con capacidad para atender una población de cuarenta y uno a cincuenta (40 a 50) habitantes, (incluye: accesorios internos, material filtrante para el FAFA que garanticen un área superficial de contacto ≥ 90m2/m3, tubería de PVC-S ø2" con accesorios y malla mosquitera doble. Volumen de 7,500-8,000 litros.</t>
  </si>
  <si>
    <t>S.T.sistema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</si>
  <si>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</si>
  <si>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Catalogo PAVCO</t>
  </si>
  <si>
    <t>Valor del transporte por cada pozo con capacidad de 3 a 9 personas. Volumen de 1,500-1,800 litros.</t>
  </si>
  <si>
    <t>Valor del transporte por cada pozo con capacidad 10 a 15 personas. Volumen de 2,300-2,500 litros.</t>
  </si>
  <si>
    <t>Valor del transporte por cada pozo con capacidad 16 a 20 personas. Volumen de 3,000-3,300 litros.</t>
  </si>
  <si>
    <t>Valor del transporte por cada pozo con capacidad 21 a 30 personas. Volumen de 4,500-5,000 litros.</t>
  </si>
  <si>
    <t>Valor del transporte por cada pozo con capacidad 31 a 40 personas. Volumen de 6,000-6,500 litros.</t>
  </si>
  <si>
    <t>Valor del transporte por cada pozo con capacidad 41 a 50 personas. Volumen de 7,500-8,000 litros.</t>
  </si>
  <si>
    <t>Valor del transporte por cada pozo con capacidad 51 a 70 personas. Volumen de 10,000-12,000 litros.</t>
  </si>
  <si>
    <t>Valor del transporte por cada pozo con capacidad 71 a 90 personas. Volumen &gt; 12,000 litros.</t>
  </si>
  <si>
    <r>
      <t xml:space="preserve">Suministro sistema séptico y FAFA  prefabricado en P.R.F.V (Poliéster  Reforzado Con Fibra  De Vidrio) con capacidad para atender una población de tres a nueve (3 a 9) habitantes, (incluye: accesorios internos, material filtrante para el FAFA que garanticen un área superficial de contacto  ≥ 90m2/m3, tubería de PVC-S ø2" con accesorios y malla mosquitera doble. </t>
    </r>
    <r>
      <rPr>
        <b/>
        <sz val="10"/>
        <color theme="1"/>
        <rFont val="Arial"/>
        <family val="2"/>
      </rPr>
      <t>Volumen de 1,500-1,800 litros</t>
    </r>
  </si>
  <si>
    <r>
      <t xml:space="preserve">Suministro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t>
    </r>
    <r>
      <rPr>
        <b/>
        <sz val="10"/>
        <color theme="1"/>
        <rFont val="Arial"/>
        <family val="2"/>
      </rPr>
      <t>Volumen de 2,300-2,500 litros</t>
    </r>
  </si>
  <si>
    <r>
      <t xml:space="preserve">Suministro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t>
    </r>
    <r>
      <rPr>
        <b/>
        <sz val="10"/>
        <color theme="1"/>
        <rFont val="Arial"/>
        <family val="2"/>
      </rPr>
      <t>Volumen de 3,000-3,300 litros</t>
    </r>
  </si>
  <si>
    <r>
      <t xml:space="preserve">Suministro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t>
    </r>
    <r>
      <rPr>
        <b/>
        <sz val="10"/>
        <color theme="1"/>
        <rFont val="Arial"/>
        <family val="2"/>
      </rPr>
      <t>Volumen de 6,000-6,500 litros</t>
    </r>
    <r>
      <rPr>
        <sz val="10"/>
        <color theme="1"/>
        <rFont val="Arial"/>
        <family val="2"/>
      </rPr>
      <t xml:space="preserve">. </t>
    </r>
  </si>
  <si>
    <r>
      <t>Suministro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t>
    </r>
    <r>
      <rPr>
        <b/>
        <sz val="10"/>
        <color theme="1"/>
        <rFont val="Arial"/>
        <family val="2"/>
      </rPr>
      <t xml:space="preserve"> Volumen de 4,500-5,000 litros</t>
    </r>
  </si>
  <si>
    <r>
      <t xml:space="preserve">Suministro 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t>
    </r>
    <r>
      <rPr>
        <b/>
        <sz val="10"/>
        <color theme="1"/>
        <rFont val="Arial"/>
        <family val="2"/>
      </rPr>
      <t>Volumen de 7,500-8,000 litros.</t>
    </r>
  </si>
  <si>
    <r>
      <t xml:space="preserve">Suministro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t>
    </r>
    <r>
      <rPr>
        <b/>
        <sz val="10"/>
        <color theme="1"/>
        <rFont val="Arial"/>
        <family val="2"/>
      </rPr>
      <t>Volumen de 10,000-12,000 litros.</t>
    </r>
  </si>
  <si>
    <r>
      <t xml:space="preserve">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t>
    </r>
    <r>
      <rPr>
        <b/>
        <sz val="10"/>
        <color theme="1"/>
        <rFont val="Arial"/>
        <family val="2"/>
      </rPr>
      <t>Volumen &gt; 12,000 litros.</t>
    </r>
  </si>
  <si>
    <t>S.T.I. sistema séptico y FAFA prefabricado en P.R.F.V (Poliéster Reforzado Con Fibra De Vidrio) con capacidad para atender una población entre tres a nueve (3 a 9) habitantes(INCLUYE: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1,500-1,800 litros.</t>
  </si>
  <si>
    <t>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</si>
  <si>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S.T.I. sistema séptico y FAFA prefabricado en P.R.F.V (Poliéster Reforzado Con Fibra De Vidrio) con capacidad para  atender una población de diez a quince (10 a 15) habitantes (INCLUYE: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2,300-2,500 litros.</t>
  </si>
  <si>
    <t>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</si>
  <si>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S.T.I. sistema séptico y FAFA prefabricado en P.R.F.V (Poliéster Reforzado Con Fibra De Vidrio) con capacidad para atender una población de dieciséis a veinte (16 a 20) habitantes (INCLUYE: ACCESORIOS INTERNOS, MATERIAL FILTRANTE PARA EL FAFA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3,000-3,300 litros.</t>
  </si>
  <si>
    <t>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</si>
  <si>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S.T.I. sistema séptico y FAFA prefabricado en P.R.F.V (Poliéster Reforzado Con Fibra De Vidrio) con capacidad para atender una población de veinti uno a treinta (21 a 30)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4,500-5,000 litros</t>
  </si>
  <si>
    <t>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</si>
  <si>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S.T.I. Ssistema séptico y FAFA prefabricado en P.R.F.V (Poliéster Reforzado Con Fibra De Vidrio) con capacidad para atender una población de treinta y uno a cuarenta (31 a 40)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6,000-6,500 litros.</t>
  </si>
  <si>
    <t>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</si>
  <si>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S.T.I. sistema séptico y FAFA prefabricado en P.R.F.V (Poliéster Reforzado Con Fibra De Vidrio) con capacidad para atender una población de cuarenta y uno a cincuenta (41 a 50)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7,500-8,000 litros.</t>
  </si>
  <si>
    <t>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</si>
  <si>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S.T.I. sistema séptico y FAFA prefabricado en P.R.F.V (Poliéster Reforzado Con Fibra De Vidrio) con capacidad para atender una población de cincuenta y uno a setenta (51 a 70)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de 10,000-12,000 litros.</t>
  </si>
  <si>
    <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</si>
  <si>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S.T.I. sistema séptico y FAFA prefabricado en P.R.F.V (Poliéster Reforzado Con Fibra De Vidrio) con capacidad para atender una población de setenta y uno a noventa (71 a 90) habitantes (INCLUYE: ACCESORIOS INTERNOS, MATERIAL FILTRANTE PARA EL FAFA EN FORMA DE DISPOSITIVOS OCTOGONALES DE Ø 187 mm EN POLIPROPILENO DE BAJA DENSIDAD QUE GARANTICEN UN ÁREA SUPERFICIAL DE CONTACTO ≥ DE 90m2/m3, TUBERÍA DE PVC-S Ø2" CON ACCESORIOS Y MALLA MOSQUITERA DOBLE Y TRANSPORTE Y ACARREO HASTA EL SITIO DE LAS OBRAS). ADICIONALMENTE INCLUYE EL PROCESO DE ARRANQUE Y PUESTA EN MARCHA DEL SISTEMA Y SUMINISTRO DE LODO PARA SU INOCULACIÓN (un). Volumen &gt; 12,000 litros.</t>
  </si>
  <si>
    <t>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</si>
  <si>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Se actualiza con IPC 13,12% o con catalogo Gerfor</t>
  </si>
  <si>
    <t>Se actualiza el valor de acuerdo al IPC 13,12%</t>
  </si>
  <si>
    <t>https://www.homecenter.com.co/homecenter-co/category/cat6040001/pinturas-especializadas-e-industriales/</t>
  </si>
  <si>
    <t>Fecha última consulta 21/02/2023</t>
  </si>
  <si>
    <t>Techo tipo invernadero con cubierta en teja traslucida  
Fecha última consulta 21/02/2023</t>
  </si>
  <si>
    <t>https://www.homecenter.com.co/homecenter-co/category/cat5820029/tejas-traslucidas/</t>
  </si>
  <si>
    <t>ANÁLISIS DE PRECIOS UNITARIOS (A.P.U) 2023</t>
  </si>
  <si>
    <t>Valor usado 2022</t>
  </si>
  <si>
    <t>PRECIOS UNITARIOS SISTEMAS SÉPTICOS 2023</t>
  </si>
  <si>
    <t>Valor a usar 2023</t>
  </si>
  <si>
    <t>PRECIOS UNITARIOSTRAMPAS DE GRASA 2023</t>
  </si>
  <si>
    <t>Ejercicio 1. Semáforo: Promedio de valores de cotización para tanques sépticos, canales de entrada y lechos de secado</t>
  </si>
  <si>
    <t>Análisis de datos</t>
  </si>
  <si>
    <t>Fibrasing S.A.S</t>
  </si>
  <si>
    <t>Fiberglasing S.A.S</t>
  </si>
  <si>
    <t>Solo Fibras</t>
  </si>
  <si>
    <t>Fibras Industriales JL</t>
  </si>
  <si>
    <t>Ingeaguas S.A.S</t>
  </si>
  <si>
    <t xml:space="preserve">110-COE2301-1508 </t>
  </si>
  <si>
    <t>110-COE2302-5538</t>
  </si>
  <si>
    <t xml:space="preserve">110-COE2301-2792 </t>
  </si>
  <si>
    <t>110-COE2302-5079</t>
  </si>
  <si>
    <t>110-COE2302-5730</t>
  </si>
  <si>
    <t>Media Geométrica</t>
  </si>
  <si>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 </t>
    </r>
    <r>
      <rPr>
        <b/>
        <sz val="10"/>
        <color theme="1"/>
        <rFont val="Arial"/>
        <family val="2"/>
      </rPr>
      <t>tres a nueve (3 a 9)</t>
    </r>
    <r>
      <rPr>
        <sz val="10"/>
        <color theme="1"/>
        <rFont val="Arial"/>
        <family val="2"/>
      </rPr>
      <t xml:space="preserve"> </t>
    </r>
    <r>
      <rPr>
        <b/>
        <sz val="10"/>
        <color theme="1"/>
        <rFont val="Arial"/>
        <family val="2"/>
      </rPr>
      <t>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de 1.500-1.800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</si>
  <si>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 </t>
    </r>
    <r>
      <rPr>
        <b/>
        <sz val="10"/>
        <color theme="1"/>
        <rFont val="Arial"/>
        <family val="2"/>
      </rPr>
      <t>diez a quince (10 a 15) habitantes</t>
    </r>
    <r>
      <rPr>
        <sz val="10"/>
        <color theme="1"/>
        <rFont val="Arial"/>
        <family val="2"/>
      </rPr>
      <t>, (incluye: accesorios internos, material filtrante para el FAFA que garanticen un área superficial de contacto  ≥ 90m2/m3, tubería de PVC-S ø2" con accesorios y malla mosquitera doble.Recogido en fábrica. Volumen de 2.300-2.500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</si>
  <si>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 </t>
    </r>
    <r>
      <rPr>
        <b/>
        <sz val="10"/>
        <color theme="1"/>
        <rFont val="Arial"/>
        <family val="2"/>
      </rPr>
      <t>dieciséis a veinte (16 a 20) 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de 3.000-3.300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</si>
  <si>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t>
    </r>
    <r>
      <rPr>
        <b/>
        <sz val="10"/>
        <color theme="1"/>
        <rFont val="Arial"/>
        <family val="2"/>
      </rPr>
      <t xml:space="preserve"> veinti uno a treinta (21 a 30) 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de 4.500-5.000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</si>
  <si>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t>
    </r>
    <r>
      <rPr>
        <b/>
        <sz val="10"/>
        <color theme="1"/>
        <rFont val="Arial"/>
        <family val="2"/>
      </rPr>
      <t xml:space="preserve"> treinta y uno  a cuarenta (31 a 40) 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de 6.000-6.500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</si>
  <si>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 </t>
    </r>
    <r>
      <rPr>
        <b/>
        <sz val="10"/>
        <color theme="1"/>
        <rFont val="Arial"/>
        <family val="2"/>
      </rPr>
      <t>cuarenta y uno a cincuenta (41 a 50) 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de 7.500-8.000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</si>
  <si>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t>
    </r>
    <r>
      <rPr>
        <b/>
        <sz val="10"/>
        <color theme="1"/>
        <rFont val="Arial"/>
        <family val="2"/>
      </rPr>
      <t xml:space="preserve"> cincuenta y uno a setenta (51 a 70) 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de 10.000-12.000 Litros.</t>
    </r>
  </si>
  <si>
    <r>
      <rPr>
        <b/>
        <sz val="10"/>
        <color theme="1"/>
        <rFont val="Arial"/>
        <family val="2"/>
      </rPr>
      <t>Suministro</t>
    </r>
    <r>
      <rPr>
        <sz val="10"/>
        <color theme="1"/>
        <rFont val="Arial"/>
        <family val="2"/>
      </rPr>
      <t xml:space="preserve"> sistema séptico y FAFA  prefabricado en P.R.F.V (Poliéster  Reforzado Con Fibra  De Vidrio) con capacidad para atender una población de </t>
    </r>
    <r>
      <rPr>
        <b/>
        <sz val="10"/>
        <color theme="1"/>
        <rFont val="Arial"/>
        <family val="2"/>
      </rPr>
      <t>setenta y uno a noventa (71 a 90) habitantes</t>
    </r>
    <r>
      <rPr>
        <sz val="10"/>
        <color theme="1"/>
        <rFont val="Arial"/>
        <family val="2"/>
      </rPr>
      <t>, (incluye: accesorios internos, material filtrante para el FAFA que garanticen un área superficial de contacto  ≥ 90m2/m3, tubería de PVC-S ø2" con accesorios y malla mosquitera doble. Recogido en fábrica. Volumen &gt;12.000 Litros.</t>
    </r>
  </si>
  <si>
    <r>
      <rPr>
        <b/>
        <sz val="10"/>
        <color theme="1"/>
        <rFont val="Arial"/>
        <family val="2"/>
      </rPr>
      <t>Suministro</t>
    </r>
    <r>
      <rPr>
        <sz val="10"/>
        <color theme="1"/>
        <rFont val="Arial"/>
        <family val="2"/>
      </rPr>
      <t xml:space="preserve"> de</t>
    </r>
    <r>
      <rPr>
        <b/>
        <sz val="10"/>
        <color theme="1"/>
        <rFont val="Arial"/>
        <family val="2"/>
      </rPr>
      <t xml:space="preserve"> lecho de secado</t>
    </r>
    <r>
      <rPr>
        <sz val="10"/>
        <color theme="1"/>
        <rFont val="Arial"/>
        <family val="2"/>
      </rPr>
      <t xml:space="preserve"> elaborado en P.R.F.V (Poliéster Reforzado con Fibra de Vidrio) Ø=1,2m h=1,0m. </t>
    </r>
  </si>
  <si>
    <t>Suministro de canal de entrada y lechos de secado</t>
  </si>
  <si>
    <t>Valor empleado en la vigencia 2022</t>
  </si>
  <si>
    <t>Valor a emplear vigencia 2023 IPC</t>
  </si>
  <si>
    <t>110-IT2207-7799</t>
  </si>
  <si>
    <t>IPC 13,12%</t>
  </si>
  <si>
    <t>ESTUDIO DE MERCADO PARA TRAMPAS DE GRASA VIGENCIA 2023.</t>
  </si>
  <si>
    <t>SUMINISTRO DE TRAMPA DE GRASA DE ACUERDO A LA CAPACIDAD</t>
  </si>
  <si>
    <t xml:space="preserve">110-COE2301-2768 </t>
  </si>
  <si>
    <t>Trampa de grasas prefabricada en P.R.F.V (Poliéster Reforzado con Fibra De Vidrio) con capacidad para atender una población de tres a nueve (3-9) habitantes.</t>
  </si>
  <si>
    <t>Trampa de grasas prefabricada en P.R.F.V (Poliéster Reforzado con Fibra De Vidrio) con capacidad para atender una población de diez a quince (10-15) habitantes.</t>
  </si>
  <si>
    <t>No reporta Valor</t>
  </si>
  <si>
    <t>NOTA: LOS VALORES INCLUYEN IVA DEL 19%</t>
  </si>
  <si>
    <t>190-MEM2301-176 Jornal 2023</t>
  </si>
  <si>
    <t>Valores empleados vigencia 2022 según informe técnico 110-IT2207-7799</t>
  </si>
  <si>
    <t>Valores a emplear vigencia 2023 IPC</t>
  </si>
  <si>
    <t>Promedio (1) IPC 13,12%</t>
  </si>
  <si>
    <t>Promedio (2) IPC 13,12%</t>
  </si>
  <si>
    <t>SMMMLV 2023</t>
  </si>
  <si>
    <t>TARIFAS PERMISO DE VERTIMIENTOS 2023</t>
  </si>
  <si>
    <t>Tarifa 2023</t>
  </si>
  <si>
    <t>SISTEMA DE GESTIÓN INTEGRAL - SGI</t>
  </si>
  <si>
    <t>Instructivo</t>
  </si>
  <si>
    <t>COMPONENTE FINANCIERO  EP - PLAN DE EJECUCIÓN FÍSICA Y DE INVERSIONES</t>
  </si>
  <si>
    <t>CÓDIGO: F-PGC-21</t>
  </si>
  <si>
    <t>MODALIDAD DE CONTRATACIÓN:</t>
  </si>
  <si>
    <t>CONVENIO INTERADMINISTRATIVO</t>
  </si>
  <si>
    <t>OBJETO A CONTRATAR:</t>
  </si>
  <si>
    <t>NOMBRE DEL TÉCNICO (A):</t>
  </si>
  <si>
    <t>mensual</t>
  </si>
  <si>
    <t>% de importancia</t>
  </si>
  <si>
    <t>% de importancia subactividades</t>
  </si>
  <si>
    <t xml:space="preserve">Distribución física </t>
  </si>
  <si>
    <t>Período 6</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</si>
  <si>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</si>
  <si>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</si>
  <si>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</si>
  <si>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</si>
  <si>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</si>
  <si>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</si>
  <si>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</si>
  <si>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</si>
  <si>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</si>
  <si>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</si>
  <si>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</si>
  <si>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</si>
  <si>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</si>
  <si>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</si>
  <si>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</si>
  <si>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</si>
  <si>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PROGRAMACIÓN FINANCIERA INICIAL</t>
  </si>
  <si>
    <t>Valor aportado por Corantioquia</t>
  </si>
  <si>
    <t>Distribución de recursos del valor aportado por Corantioquia</t>
  </si>
  <si>
    <t>Período 8</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</si>
  <si>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</si>
  <si>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</si>
  <si>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</si>
  <si>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</si>
  <si>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</si>
  <si>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</si>
  <si>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</si>
  <si>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</si>
  <si>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</si>
  <si>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</si>
  <si>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COORDINADOR GIT</t>
  </si>
  <si>
    <t>EL DESIGNADO POR EL ORDENADOR DEL GASTO</t>
  </si>
  <si>
    <t>Tanques</t>
  </si>
  <si>
    <t>TOMADO DE 190-MEM2301-323</t>
  </si>
  <si>
    <t>S.T. Tubería pvc-s de ø3" (75 mm). Incluye accesorios  (ver A.P.U)</t>
  </si>
  <si>
    <t xml:space="preserve">I. Tubería pvc-s de ø2" (50 mm).  Trampa de grasas.Incluye accesorios </t>
  </si>
  <si>
    <t>S.T.I. Tubería pvc-s de ø2" (50 mm). Trampa de grasa. Incluye accesorios</t>
  </si>
  <si>
    <t>Distancia Horizontal 
Trampa de grasa al postratamiento  (m)</t>
  </si>
  <si>
    <t>S.T. Tubería pvc-s de ø2" (50 mm). Trampa de grasa. Incluye accesorios</t>
  </si>
  <si>
    <t>Ver informe técnico: 110-IT2302-1897</t>
  </si>
  <si>
    <t>Ver informe técnico:110-IT2302-1897</t>
  </si>
  <si>
    <t>Corantioquia con IVA</t>
  </si>
  <si>
    <t>Corantioquia sin IVA</t>
  </si>
  <si>
    <t>10≤P≤15</t>
  </si>
  <si>
    <t>SI</t>
  </si>
  <si>
    <t>6 meses</t>
  </si>
  <si>
    <t>Salmon de Jesus Santana Garces</t>
  </si>
  <si>
    <t>Jaime de Jesus Castrillon</t>
  </si>
  <si>
    <t>Edilberto Arango Restrepo</t>
  </si>
  <si>
    <t>Rosa Maria David de Marin</t>
  </si>
  <si>
    <t>Piedad de Jesus Urrego Padierna</t>
  </si>
  <si>
    <t>Niria del Carmen Graciano</t>
  </si>
  <si>
    <t>Jesus Alberto Marin David</t>
  </si>
  <si>
    <t>Luis Argiro Oquendo</t>
  </si>
  <si>
    <t>Alexander Urreo Urrego</t>
  </si>
  <si>
    <t>Celsa Julia Yepez</t>
  </si>
  <si>
    <t xml:space="preserve">Yaned Virginia Oquendo </t>
  </si>
  <si>
    <t>C.E.R. El Tunal</t>
  </si>
  <si>
    <t>Dario Higuita Caola</t>
  </si>
  <si>
    <t xml:space="preserve">Beatriz Helena Toro Hernandez </t>
  </si>
  <si>
    <t>Obed de Jesus Urrego Lopez</t>
  </si>
  <si>
    <t>Diana Maria Vega Tabera</t>
  </si>
  <si>
    <t>Luis Gustavo Yepes Gamboa</t>
  </si>
  <si>
    <t>Oscar Orlando Gamboa</t>
  </si>
  <si>
    <t>Gabriel Carvajal Pulgarin</t>
  </si>
  <si>
    <t>Carmen Julia Yepes Rodriguez</t>
  </si>
  <si>
    <t>Carmen Aide Caro Graciano</t>
  </si>
  <si>
    <t>Rafael Maria Marin Rueda</t>
  </si>
  <si>
    <t>Martha Ines Marin Rueda</t>
  </si>
  <si>
    <t>Luis Alberto Mejia Durango</t>
  </si>
  <si>
    <t>Yessica Tatiana Yepes Gamboa</t>
  </si>
  <si>
    <t>Juliana Zapata Garcia</t>
  </si>
  <si>
    <t>Gloria Lopez Serna</t>
  </si>
  <si>
    <t>Gildardo de Jesus Garcia Perez</t>
  </si>
  <si>
    <t>Maricela Alvarez Holguin</t>
  </si>
  <si>
    <t>Keny de Jesus Cano</t>
  </si>
  <si>
    <t xml:space="preserve">Guillermo Carvajal Pulgarin </t>
  </si>
  <si>
    <t>David Guitierrez Carvajal</t>
  </si>
  <si>
    <t xml:space="preserve">Alejandro Lujan </t>
  </si>
  <si>
    <t>Gloria Mabel Urrego Urrego</t>
  </si>
  <si>
    <t>Ruby del Socorro Gonzales Restrepo</t>
  </si>
  <si>
    <t>Alfonso Aguiar</t>
  </si>
  <si>
    <t>Henrry Humberto Mora Espinosa</t>
  </si>
  <si>
    <t>Eladio Humberto Aguiar Bedoya</t>
  </si>
  <si>
    <t>Libia del Socorro Presiga</t>
  </si>
  <si>
    <t xml:space="preserve">Gonzalo Vargas Escobar </t>
  </si>
  <si>
    <t>Jorge Ivan Robledo</t>
  </si>
  <si>
    <t xml:space="preserve">Jose Carvajal Hernandez </t>
  </si>
  <si>
    <t xml:space="preserve">Alejandro Vargas Holguin </t>
  </si>
  <si>
    <t>Javier Ignacio Vargas Quiros</t>
  </si>
  <si>
    <t>El Tunal</t>
  </si>
  <si>
    <t>El Espinal</t>
  </si>
  <si>
    <t xml:space="preserve">El Espinal </t>
  </si>
  <si>
    <t>Ninguna</t>
  </si>
  <si>
    <t>NO</t>
  </si>
  <si>
    <t>Suelo</t>
  </si>
  <si>
    <t>5.5 km</t>
  </si>
  <si>
    <t>PRESUPUESTO OFICIAL
ESTUDIOS PREVIOS 
CONVENIO INTERADMINISTRATIVO 
“Aunar esfuerzos con el municipio de Santa Fe de Antioquia para cofinanciar el saneamiento hídrico rural en su territorio"
MODALIDAD DE SELECCIÓN - OBJETO 
Convenio interadministrativo</t>
  </si>
  <si>
    <t>Guali</t>
  </si>
  <si>
    <t>Municipio de Santa Fe de Antioquia</t>
  </si>
  <si>
    <t>“Aunar esfuerzos con el municipio de Santa Fe de Antioquia para cofinanciar el saneamiento hídrico rural en su territorio"</t>
  </si>
  <si>
    <t xml:space="preserve">Cofinanciar al Municipio de Santa Fe de Antioquia  para el suministro, transporte e instalación de cuarenta y cuatro  (44) sistemas sépticos. 
</t>
  </si>
  <si>
    <t>APORTES EN DINERO MUNICIPIO</t>
  </si>
  <si>
    <t xml:space="preserve">PAGO PRUEBAS DE PERCOLACIÓN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</si>
</sst>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8">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_);\(&quot;$&quot;\ #,##0\)"/>
    <numFmt numFmtId="166" formatCode="_(* #,##0_);_(* \(#,##0\);_(* &quot;-&quot;_);_(@_)"/>
    <numFmt numFmtId="167" formatCode="_(&quot;$&quot;\ * #,##0.00_);_(&quot;$&quot;\ * \(#,##0.00\);_(&quot;$&quot;\ * &quot;-&quot;??_);_(@_)"/>
    <numFmt numFmtId="168" formatCode="_(* #,##0.00_);_(* \(#,##0.00\);_(* &quot;-&quot;??_);_(@_)"/>
    <numFmt numFmtId="169" formatCode="0.000"/>
    <numFmt numFmtId="170" formatCode="0.0"/>
    <numFmt numFmtId="171" formatCode="#,##0.0"/>
    <numFmt numFmtId="172" formatCode="0.0%"/>
    <numFmt numFmtId="173" formatCode="_([$$-240A]\ * #,##0.00_);_([$$-240A]\ * \(#,##0.00\);_([$$-240A]\ * &quot;-&quot;??_);_(@_)"/>
    <numFmt numFmtId="174" formatCode="_([$$-240A]\ * #,##0_);_([$$-240A]\ * \(#,##0\);_([$$-240A]\ * &quot;-&quot;??_);_(@_)"/>
    <numFmt numFmtId="175" formatCode="#,##0.000"/>
    <numFmt numFmtId="176" formatCode="[$$-240A]\ #,##0"/>
    <numFmt numFmtId="177" formatCode="#,##0.0000"/>
    <numFmt numFmtId="178" formatCode="&quot;$&quot;\ #,##0"/>
    <numFmt numFmtId="179" formatCode="&quot;$&quot;#,##0_);\(&quot;$&quot;#,##0\)"/>
    <numFmt numFmtId="180" formatCode="&quot;$&quot;#,##0"/>
    <numFmt numFmtId="181" formatCode="#."/>
    <numFmt numFmtId="182" formatCode="&quot;$&quot;#,##0\ ;\(&quot;$&quot;#,##0\)"/>
    <numFmt numFmtId="183" formatCode="_([$€]* #,##0.00_);_([$€]* \(#,##0.00\);_([$€]* &quot;-&quot;??_);_(@_)"/>
    <numFmt numFmtId="184" formatCode="#,##0.0___);\-#,##0.0___);* @___)"/>
    <numFmt numFmtId="185" formatCode="#,##0.0_____);\-#,##0.0_____);* @_____)"/>
    <numFmt numFmtId="186" formatCode="#,##0.0________;\-#,##0.0________;* @________"/>
    <numFmt numFmtId="187" formatCode="#,##0.0__________;\-#,##0.0__________;* @__________"/>
    <numFmt numFmtId="188" formatCode="#,##0.0____________;\-#,##0.0____________;* @____________"/>
    <numFmt numFmtId="189" formatCode="#,##0.0_______________);\-#,##0.0_______________);* @_______________)"/>
    <numFmt numFmtId="190" formatCode="#,##0.0%___);\-#,##0.0%___);* @___)"/>
    <numFmt numFmtId="191" formatCode="#,##0.0%_____);\-#,##0.0%_____);* @_____)"/>
    <numFmt numFmtId="192" formatCode="#,##0.0%________;\-#,##0.0%________;* @________"/>
    <numFmt numFmtId="193" formatCode="#,##0.0%__________;\-#,##0.0%__________;* @__________"/>
    <numFmt numFmtId="194" formatCode="#,##0.0%____________;\-#,##0.0%____________;* @____________"/>
    <numFmt numFmtId="195" formatCode="#,#00"/>
    <numFmt numFmtId="196" formatCode="_-* #,##0\ _P_t_s_-;\-* #,##0\ _P_t_s_-;_-* &quot;-&quot;??\ _P_t_s_-;_-@_-"/>
    <numFmt numFmtId="197" formatCode="_-* #,##0.00\ _P_t_s_-;\-* #,##0.00\ _P_t_s_-;_-* &quot;-&quot;??\ _P_t_s_-;_-@_-"/>
    <numFmt numFmtId="198" formatCode="#.00"/>
    <numFmt numFmtId="199" formatCode="_(&quot;$&quot;* #,##0.00_);_(&quot;$&quot;* \(#,##0.00\);_(&quot;$&quot;* &quot;-&quot;??_);_(@_)"/>
    <numFmt numFmtId="200" formatCode="_(&quot;C$&quot;* #,##0.00_);_(&quot;C$&quot;* \(#,##0.00\);_(&quot;C$&quot;* &quot;-&quot;??_);_(@_)"/>
    <numFmt numFmtId="201" formatCode="\$#,#00"/>
    <numFmt numFmtId="202" formatCode="#,##0.000;\-#,##0.000"/>
    <numFmt numFmtId="203" formatCode="#.##000"/>
    <numFmt numFmtId="204" formatCode="\$#,##0.00\ ;\(\$#,##0.00\)"/>
    <numFmt numFmtId="205" formatCode="&quot;$&quot;\ #,##0.0"/>
    <numFmt numFmtId="206" formatCode="&quot;$&quot;\ #,##0.00"/>
    <numFmt numFmtId="207" formatCode="[$$-240A]\ #,##0.0"/>
    <numFmt numFmtId="208" formatCode="[$$-240A]\ #,##0.00"/>
    <numFmt numFmtId="209" formatCode="[$$-240A]#,##0.00"/>
    <numFmt numFmtId="210" formatCode="&quot;$&quot;#,##0.00"/>
    <numFmt numFmtId="211" formatCode="_(&quot;$&quot;\ * #,##0_);_(&quot;$&quot;\ * \(#,##0\);_(&quot;$&quot;\ * &quot;-&quot;??_);_(@_)"/>
    <numFmt numFmtId="212" formatCode="[$$-240A]\ #,##0.0000"/>
    <numFmt numFmtId="213" formatCode="_(&quot;$&quot;#,##0_);_(&quot;$&quot;*(#,##0\);_(&quot;$&quot;* &quot;-&quot;??_);_(@_)"/>
    <numFmt numFmtId="214" formatCode="_(&quot;$&quot;\ * #,##0.0_);_(&quot;$&quot;\ * \(#,##0.0\);_(&quot;$&quot;\ * &quot;-&quot;??_);_(@_)"/>
    <numFmt numFmtId="215" formatCode="_-&quot;$&quot;\ * #,##0_-;\-&quot;$&quot;\ * #,##0_-;_-&quot;$&quot;\ * &quot;-&quot;??_-;_-@_-"/>
    <numFmt numFmtId="216" formatCode="_-[$$-240A]\ * #,##0.00_-;\-[$$-240A]\ * #,##0.00_-;_-[$$-240A]\ * &quot;-&quot;??_-;_-@_-"/>
  </numFmts>
  <fonts count="86">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b/>
      <sz val="10"/>
      <color indexed="8"/>
      <name val="Arial"/>
      <family val="2"/>
    </font>
    <font>
      <sz val="8"/>
      <color indexed="8"/>
      <name val="Arial"/>
      <family val="2"/>
    </font>
    <font>
      <b/>
      <sz val="9"/>
      <color indexed="81"/>
      <name val="Tahoma"/>
      <family val="2"/>
    </font>
    <font>
      <sz val="9"/>
      <color indexed="81"/>
      <name val="Tahoma"/>
      <family val="2"/>
    </font>
    <font>
      <sz val="8"/>
      <color indexed="81"/>
      <name val="Tahoma"/>
      <family val="2"/>
    </font>
    <font>
      <b/>
      <sz val="8"/>
      <color indexed="8"/>
      <name val="Arial"/>
      <family val="2"/>
    </font>
    <font>
      <sz val="10"/>
      <name val="Times New Roman"/>
      <family val="1"/>
    </font>
    <font>
      <sz val="9"/>
      <name val="Arial"/>
      <family val="2"/>
    </font>
    <font>
      <b/>
      <sz val="9"/>
      <name val="Arial"/>
      <family val="2"/>
    </font>
    <font>
      <b/>
      <i/>
      <sz val="10"/>
      <name val="Arial"/>
      <family val="2"/>
    </font>
    <font>
      <sz val="10"/>
      <name val="MS Sans Serif"/>
      <family val="2"/>
    </font>
    <font>
      <b/>
      <sz val="8"/>
      <color indexed="81"/>
      <name val="Tahoma"/>
      <family val="2"/>
    </font>
    <font>
      <b/>
      <sz val="10"/>
      <color indexed="81"/>
      <name val="Tahoma"/>
      <family val="2"/>
    </font>
    <font>
      <b/>
      <sz val="11"/>
      <name val="Arial"/>
      <family val="2"/>
    </font>
    <font>
      <sz val="11"/>
      <name val="Arial"/>
      <family val="2"/>
    </font>
    <font>
      <sz val="10"/>
      <color indexed="10"/>
      <name val="Arial"/>
      <family val="2"/>
    </font>
    <font>
      <vertAlign val="superscript"/>
      <sz val="11"/>
      <color indexed="8"/>
      <name val="Arial"/>
      <family val="2"/>
    </font>
    <font>
      <b/>
      <vertAlign val="superscript"/>
      <sz val="10"/>
      <name val="Arial"/>
      <family val="2"/>
    </font>
    <font>
      <b/>
      <sz val="10"/>
      <color indexed="9"/>
      <name val="Arial"/>
      <family val="2"/>
    </font>
    <font>
      <sz val="10"/>
      <color indexed="9"/>
      <name val="Arial"/>
      <family val="2"/>
    </font>
    <font>
      <b/>
      <sz val="1"/>
      <color indexed="8"/>
      <name val="Courier"/>
      <family val="3"/>
    </font>
    <font>
      <sz val="1"/>
      <color indexed="16"/>
      <name val="Courier"/>
      <family val="3"/>
    </font>
    <font>
      <sz val="10"/>
      <color indexed="24"/>
      <name val="Arial"/>
      <family val="2"/>
    </font>
    <font>
      <sz val="9"/>
      <color indexed="8"/>
      <name val="Arial"/>
      <family val="2"/>
    </font>
    <font>
      <sz val="1"/>
      <color indexed="8"/>
      <name val="Courier"/>
      <family val="3"/>
    </font>
    <font>
      <b/>
      <sz val="10"/>
      <color indexed="24"/>
      <name val="Arial"/>
      <family val="2"/>
    </font>
    <font>
      <sz val="8"/>
      <color indexed="24"/>
      <name val="Arial"/>
      <family val="2"/>
    </font>
    <font>
      <b/>
      <sz val="1"/>
      <color indexed="16"/>
      <name val="Courier"/>
      <family val="3"/>
    </font>
    <font>
      <u/>
      <sz val="10"/>
      <color indexed="12"/>
      <name val="Arial"/>
      <family val="2"/>
    </font>
    <font>
      <sz val="12"/>
      <name val="Arial MT"/>
    </font>
    <font>
      <sz val="12"/>
      <color indexed="24"/>
      <name val="Modern"/>
      <family val="3"/>
      <charset val="255"/>
    </font>
    <font>
      <b/>
      <sz val="18"/>
      <color indexed="24"/>
      <name val="Modern"/>
      <family val="3"/>
      <charset val="255"/>
    </font>
    <font>
      <b/>
      <sz val="12"/>
      <color indexed="24"/>
      <name val="Modern"/>
      <family val="3"/>
      <charset val="255"/>
    </font>
    <font>
      <u/>
      <sz val="7.5"/>
      <color indexed="12"/>
      <name val="Arial"/>
      <family val="2"/>
    </font>
    <font>
      <sz val="10"/>
      <name val="Arial"/>
      <family val="2"/>
    </font>
    <font>
      <sz val="14"/>
      <name val="Arial"/>
      <family val="2"/>
    </font>
    <font>
      <b/>
      <sz val="11"/>
      <name val="Helv"/>
    </font>
    <font>
      <sz val="8"/>
      <name val="Helv"/>
    </font>
    <font>
      <sz val="10"/>
      <name val="Helv"/>
    </font>
    <font>
      <b/>
      <sz val="9"/>
      <name val="Helv"/>
    </font>
    <font>
      <b/>
      <sz val="8"/>
      <name val="Helv"/>
    </font>
    <font>
      <b/>
      <sz val="10"/>
      <name val="Helv"/>
    </font>
    <font>
      <b/>
      <sz val="12"/>
      <name val="Helv"/>
    </font>
    <font>
      <b/>
      <sz val="9"/>
      <color indexed="8"/>
      <name val="Arial"/>
      <family val="2"/>
    </font>
    <font>
      <sz val="11"/>
      <color theme="1"/>
      <name val="Calibri"/>
      <family val="2"/>
      <scheme val="minor"/>
    </font>
    <font>
      <b/>
      <sz val="10"/>
      <color theme="1"/>
      <name val="Arial"/>
      <family val="2"/>
    </font>
    <font>
      <sz val="8"/>
      <color rgb="FF000000"/>
      <name val="Arial"/>
      <family val="2"/>
    </font>
    <font>
      <sz val="10"/>
      <color theme="1"/>
      <name val="Arial"/>
      <family val="2"/>
    </font>
    <font>
      <b/>
      <sz val="10"/>
      <color rgb="FFFF0000"/>
      <name val="Arial"/>
      <family val="2"/>
    </font>
    <font>
      <sz val="10"/>
      <color rgb="FFFF0000"/>
      <name val="Arial"/>
      <family val="2"/>
    </font>
    <font>
      <b/>
      <sz val="10"/>
      <color theme="3" tint="-0.249977111117893"/>
      <name val="Arial"/>
      <family val="2"/>
    </font>
    <font>
      <sz val="11"/>
      <color theme="1"/>
      <name val="Arial"/>
      <family val="2"/>
    </font>
    <font>
      <b/>
      <sz val="11"/>
      <color theme="1"/>
      <name val="Arial"/>
      <family val="2"/>
    </font>
    <font>
      <sz val="11"/>
      <color rgb="FFFF0000"/>
      <name val="Arial"/>
      <family val="2"/>
    </font>
    <font>
      <b/>
      <sz val="12"/>
      <color theme="1"/>
      <name val="Arial"/>
      <family val="2"/>
    </font>
    <font>
      <b/>
      <sz val="11"/>
      <color rgb="FF000000"/>
      <name val="Calibri"/>
      <family val="2"/>
    </font>
    <font>
      <sz val="11"/>
      <color rgb="FF000000"/>
      <name val="Calibri"/>
      <family val="2"/>
    </font>
    <font>
      <b/>
      <sz val="10"/>
      <color rgb="FFFFFF00"/>
      <name val="Arial"/>
      <family val="2"/>
    </font>
    <font>
      <sz val="10"/>
      <color rgb="FFFFFF00"/>
      <name val="Arial"/>
      <family val="2"/>
    </font>
    <font>
      <sz val="9"/>
      <color rgb="FF000000"/>
      <name val="Arial"/>
      <family val="2"/>
    </font>
    <font>
      <sz val="10"/>
      <color theme="0"/>
      <name val="Arial"/>
      <family val="2"/>
    </font>
    <font>
      <b/>
      <sz val="9"/>
      <color rgb="FF000000"/>
      <name val="Arial"/>
      <family val="2"/>
    </font>
    <font>
      <b/>
      <sz val="9"/>
      <color theme="1"/>
      <name val="Arial"/>
      <family val="2"/>
    </font>
    <font>
      <sz val="12"/>
      <color theme="1"/>
      <name val="Arial"/>
      <family val="2"/>
    </font>
    <font>
      <u/>
      <sz val="10"/>
      <color theme="10"/>
      <name val="Times New Roman"/>
      <family val="1"/>
    </font>
    <font>
      <b/>
      <sz val="8"/>
      <name val="Arial"/>
      <family val="2"/>
    </font>
    <font>
      <sz val="8"/>
      <name val="Times New Roman"/>
      <family val="1"/>
    </font>
    <font>
      <b/>
      <sz val="9"/>
      <color theme="1"/>
      <name val="Calibri"/>
      <family val="2"/>
      <scheme val="minor"/>
    </font>
    <font>
      <b/>
      <sz val="10"/>
      <color theme="1"/>
      <name val="Calibri"/>
      <family val="2"/>
      <scheme val="minor"/>
    </font>
    <font>
      <sz val="11"/>
      <name val="Calibri"/>
      <family val="2"/>
    </font>
    <font>
      <b/>
      <sz val="14"/>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sz val="8"/>
      <name val="Times New Roman"/>
      <family val="1"/>
    </font>
  </fonts>
  <fills count="44">
    <fill>
      <patternFill patternType="none"/>
    </fill>
    <fill>
      <patternFill patternType="gray125"/>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7"/>
        <bgColor indexed="64"/>
      </patternFill>
    </fill>
    <fill>
      <patternFill patternType="solid">
        <fgColor indexed="27"/>
        <bgColor indexed="64"/>
      </patternFill>
    </fill>
    <fill>
      <patternFill patternType="solid">
        <fgColor indexed="52"/>
        <bgColor indexed="64"/>
      </patternFill>
    </fill>
    <fill>
      <patternFill patternType="solid">
        <fgColor indexed="41"/>
        <bgColor indexed="64"/>
      </patternFill>
    </fill>
    <fill>
      <patternFill patternType="solid">
        <fgColor indexed="50"/>
        <bgColor indexed="64"/>
      </patternFill>
    </fill>
    <fill>
      <patternFill patternType="solid">
        <fgColor theme="0"/>
        <bgColor indexed="64"/>
      </patternFill>
    </fill>
    <fill>
      <patternFill patternType="solid">
        <fgColor rgb="FFFFFFCC"/>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FFC000"/>
        <bgColor indexed="64"/>
      </patternFill>
    </fill>
    <fill>
      <patternFill patternType="solid">
        <fgColor rgb="FFFF000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rgb="FFFFFF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rgb="FF00B050"/>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tint="0.79998168889431442"/>
        <bgColor indexed="64"/>
      </patternFill>
    </fill>
  </fills>
  <borders count="97">
    <border>
      <left/>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bottom style="double">
        <color indexed="64"/>
      </bottom>
      <diagonal/>
    </border>
    <border>
      <left/>
      <right style="double">
        <color indexed="64"/>
      </right>
      <top style="double">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indexed="64"/>
      </left>
      <right style="medium">
        <color indexed="64"/>
      </right>
      <top style="medium">
        <color indexed="64"/>
      </top>
      <bottom/>
      <diagonal/>
    </border>
    <border>
      <left style="medium">
        <color rgb="FFCCCCCC"/>
      </left>
      <right style="medium">
        <color rgb="FF000000"/>
      </right>
      <top/>
      <bottom style="medium">
        <color indexed="64"/>
      </bottom>
      <diagonal/>
    </border>
    <border>
      <left style="medium">
        <color rgb="FFCCCCCC"/>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s>
  <cellStyleXfs count="134">
    <xf numFmtId="0" fontId="0" fillId="0" borderId="0"/>
    <xf numFmtId="0" fontId="21" fillId="0" borderId="0"/>
    <xf numFmtId="0" fontId="31" fillId="0" borderId="0">
      <protection locked="0"/>
    </xf>
    <xf numFmtId="0" fontId="31" fillId="0" borderId="0">
      <protection locked="0"/>
    </xf>
    <xf numFmtId="168" fontId="5" fillId="0" borderId="0" applyFont="0" applyFill="0" applyBorder="0" applyAlignment="0" applyProtection="0"/>
    <xf numFmtId="43" fontId="5"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81" fontId="32" fillId="0" borderId="0">
      <protection locked="0"/>
    </xf>
    <xf numFmtId="3" fontId="33" fillId="0" borderId="0" applyFont="0" applyFill="0" applyBorder="0" applyAlignment="0" applyProtection="0"/>
    <xf numFmtId="181" fontId="32" fillId="0" borderId="0">
      <protection locked="0"/>
    </xf>
    <xf numFmtId="182" fontId="33" fillId="0" borderId="0" applyFont="0" applyFill="0" applyBorder="0" applyAlignment="0" applyProtection="0"/>
    <xf numFmtId="0" fontId="33" fillId="0" borderId="0" applyFont="0" applyFill="0" applyBorder="0" applyAlignment="0" applyProtection="0"/>
    <xf numFmtId="0" fontId="8" fillId="0" borderId="0"/>
    <xf numFmtId="183" fontId="8" fillId="0" borderId="0" applyFont="0" applyFill="0" applyBorder="0" applyAlignment="0" applyProtection="0"/>
    <xf numFmtId="184" fontId="34" fillId="0" borderId="1" applyFont="0" applyFill="0" applyBorder="0" applyProtection="0"/>
    <xf numFmtId="185" fontId="34" fillId="0" borderId="2" applyFont="0" applyFill="0" applyBorder="0" applyProtection="0"/>
    <xf numFmtId="186" fontId="34" fillId="0" borderId="2" applyFont="0" applyFill="0" applyBorder="0" applyProtection="0"/>
    <xf numFmtId="187" fontId="34" fillId="0" borderId="2" applyFont="0" applyFill="0" applyBorder="0" applyProtection="0"/>
    <xf numFmtId="188" fontId="34" fillId="0" borderId="2" applyFont="0" applyFill="0" applyBorder="0" applyProtection="0"/>
    <xf numFmtId="189" fontId="34" fillId="0" borderId="1" applyFont="0" applyFill="0" applyBorder="0" applyProtection="0"/>
    <xf numFmtId="190" fontId="18" fillId="0" borderId="3" applyFont="0" applyFill="0" applyBorder="0" applyProtection="0"/>
    <xf numFmtId="191" fontId="8" fillId="0" borderId="0" applyFont="0" applyFill="0" applyBorder="0" applyProtection="0"/>
    <xf numFmtId="192" fontId="8" fillId="0" borderId="0" applyFont="0" applyFill="0" applyBorder="0" applyProtection="0"/>
    <xf numFmtId="193" fontId="34" fillId="0" borderId="4" applyFont="0" applyFill="0" applyBorder="0" applyProtection="0"/>
    <xf numFmtId="194" fontId="34" fillId="0" borderId="4" applyFont="0" applyFill="0" applyBorder="0" applyProtection="0"/>
    <xf numFmtId="0" fontId="35" fillId="0" borderId="0">
      <protection locked="0"/>
    </xf>
    <xf numFmtId="195" fontId="35" fillId="0" borderId="0">
      <protection locked="0"/>
    </xf>
    <xf numFmtId="2" fontId="33" fillId="0" borderId="0" applyFon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181" fontId="38" fillId="0" borderId="0">
      <protection locked="0"/>
    </xf>
    <xf numFmtId="181" fontId="38" fillId="0" borderId="0">
      <protection locked="0"/>
    </xf>
    <xf numFmtId="0" fontId="39"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43" fontId="7" fillId="0" borderId="0" applyFont="0" applyFill="0" applyBorder="0" applyAlignment="0" applyProtection="0"/>
    <xf numFmtId="166" fontId="8" fillId="0" borderId="0" applyFont="0" applyFill="0" applyBorder="0" applyAlignment="0" applyProtection="0"/>
    <xf numFmtId="41" fontId="8" fillId="0" borderId="0" applyFont="0" applyFill="0" applyBorder="0" applyAlignment="0" applyProtection="0"/>
    <xf numFmtId="196" fontId="8" fillId="0" borderId="0" applyFont="0" applyFill="0" applyBorder="0" applyAlignment="0" applyProtection="0"/>
    <xf numFmtId="168" fontId="6" fillId="0" borderId="0" applyFont="0" applyFill="0" applyBorder="0" applyAlignment="0" applyProtection="0"/>
    <xf numFmtId="170" fontId="8" fillId="0" borderId="0" applyFont="0" applyFill="0" applyBorder="0" applyAlignment="0" applyProtection="0"/>
    <xf numFmtId="43" fontId="8" fillId="0" borderId="0" applyFont="0" applyFill="0" applyBorder="0" applyAlignment="0" applyProtection="0"/>
    <xf numFmtId="168" fontId="6" fillId="0" borderId="0" applyFont="0" applyFill="0" applyBorder="0" applyAlignment="0" applyProtection="0"/>
    <xf numFmtId="197" fontId="8" fillId="0" borderId="0" applyFont="0" applyFill="0" applyBorder="0" applyAlignment="0" applyProtection="0"/>
    <xf numFmtId="43" fontId="5" fillId="0" borderId="0" applyFont="0" applyFill="0" applyBorder="0" applyAlignment="0" applyProtection="0"/>
    <xf numFmtId="43" fontId="7" fillId="0" borderId="0" applyFont="0" applyFill="0" applyBorder="0" applyAlignment="0" applyProtection="0"/>
    <xf numFmtId="168" fontId="5" fillId="0" borderId="0" applyFont="0" applyFill="0" applyBorder="0" applyAlignment="0" applyProtection="0"/>
    <xf numFmtId="175" fontId="8" fillId="0" borderId="0" applyFont="0" applyFill="0" applyBorder="0" applyAlignment="0" applyProtection="0"/>
    <xf numFmtId="44" fontId="8" fillId="0" borderId="0" applyFont="0" applyFill="0" applyBorder="0" applyAlignment="0" applyProtection="0"/>
    <xf numFmtId="168" fontId="5" fillId="0" borderId="0" applyFont="0" applyFill="0" applyBorder="0" applyAlignment="0" applyProtection="0"/>
    <xf numFmtId="198" fontId="8" fillId="0" borderId="0" applyFont="0" applyFill="0" applyBorder="0" applyAlignment="0" applyProtection="0"/>
    <xf numFmtId="198" fontId="8"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167" fontId="17" fillId="0" borderId="0" applyFont="0" applyFill="0" applyBorder="0" applyAlignment="0" applyProtection="0"/>
    <xf numFmtId="42" fontId="7" fillId="0" borderId="0" applyFont="0" applyFill="0" applyBorder="0" applyAlignment="0" applyProtection="0"/>
    <xf numFmtId="167" fontId="8" fillId="0" borderId="0" applyFont="0" applyFill="0" applyBorder="0" applyAlignment="0" applyProtection="0"/>
    <xf numFmtId="199" fontId="8" fillId="0" borderId="0" applyFont="0" applyFill="0" applyBorder="0" applyAlignment="0" applyProtection="0"/>
    <xf numFmtId="164" fontId="8" fillId="0" borderId="0" applyFont="0" applyFill="0" applyBorder="0" applyAlignment="0" applyProtection="0"/>
    <xf numFmtId="200" fontId="8" fillId="0" borderId="0" applyFont="0" applyFill="0" applyBorder="0" applyAlignment="0" applyProtection="0"/>
    <xf numFmtId="167" fontId="5" fillId="0" borderId="0" applyFont="0" applyFill="0" applyBorder="0" applyAlignment="0" applyProtection="0"/>
    <xf numFmtId="164" fontId="8" fillId="0" borderId="0" applyFont="0" applyFill="0" applyBorder="0" applyAlignment="0" applyProtection="0"/>
    <xf numFmtId="167" fontId="7" fillId="0" borderId="0" applyFont="0" applyFill="0" applyBorder="0" applyAlignment="0" applyProtection="0"/>
    <xf numFmtId="201" fontId="35" fillId="0" borderId="0">
      <protection locked="0"/>
    </xf>
    <xf numFmtId="202" fontId="8" fillId="0" borderId="0">
      <protection locked="0"/>
    </xf>
    <xf numFmtId="0" fontId="45" fillId="0" borderId="0"/>
    <xf numFmtId="0" fontId="8" fillId="0" borderId="0"/>
    <xf numFmtId="0" fontId="8" fillId="0" borderId="0"/>
    <xf numFmtId="0" fontId="8" fillId="0" borderId="0"/>
    <xf numFmtId="0" fontId="7"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8" fillId="0" borderId="0"/>
    <xf numFmtId="0" fontId="8" fillId="0" borderId="0"/>
    <xf numFmtId="0" fontId="8" fillId="0" borderId="0"/>
    <xf numFmtId="0" fontId="7" fillId="0" borderId="0"/>
    <xf numFmtId="0" fontId="21" fillId="0" borderId="0"/>
    <xf numFmtId="0" fontId="8" fillId="0" borderId="0"/>
    <xf numFmtId="0" fontId="8" fillId="0" borderId="0"/>
    <xf numFmtId="0" fontId="55" fillId="0" borderId="0"/>
    <xf numFmtId="0" fontId="8" fillId="0" borderId="0"/>
    <xf numFmtId="0" fontId="7" fillId="0" borderId="0"/>
    <xf numFmtId="0" fontId="8" fillId="0" borderId="0"/>
    <xf numFmtId="0" fontId="8" fillId="0" borderId="0"/>
    <xf numFmtId="0" fontId="8" fillId="0" borderId="0"/>
    <xf numFmtId="0" fontId="8" fillId="0" borderId="0"/>
    <xf numFmtId="0" fontId="21" fillId="0" borderId="0"/>
    <xf numFmtId="0" fontId="8" fillId="0" borderId="0"/>
    <xf numFmtId="0" fontId="8" fillId="0" borderId="0"/>
    <xf numFmtId="0" fontId="21" fillId="0" borderId="0"/>
    <xf numFmtId="0" fontId="8" fillId="0" borderId="0"/>
    <xf numFmtId="5" fontId="8" fillId="0" borderId="0"/>
    <xf numFmtId="0" fontId="8" fillId="0" borderId="0"/>
    <xf numFmtId="5" fontId="8" fillId="0" borderId="0"/>
    <xf numFmtId="181" fontId="32" fillId="0" borderId="0">
      <protection locked="0"/>
    </xf>
    <xf numFmtId="9" fontId="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5" fillId="0" borderId="0" applyFont="0" applyFill="0" applyBorder="0" applyAlignment="0" applyProtection="0"/>
    <xf numFmtId="203" fontId="35" fillId="0" borderId="0">
      <protection locked="0"/>
    </xf>
    <xf numFmtId="5" fontId="40" fillId="0" borderId="0">
      <protection locked="0"/>
    </xf>
    <xf numFmtId="0" fontId="26" fillId="0" borderId="0">
      <alignment vertical="top"/>
    </xf>
    <xf numFmtId="39" fontId="10" fillId="0" borderId="5" applyFill="0">
      <alignment horizontal="left"/>
    </xf>
    <xf numFmtId="0" fontId="8" fillId="0" borderId="0" applyNumberFormat="0"/>
    <xf numFmtId="0" fontId="41" fillId="0" borderId="0" applyProtection="0"/>
    <xf numFmtId="204" fontId="41" fillId="0" borderId="0" applyProtection="0"/>
    <xf numFmtId="0" fontId="42" fillId="0" borderId="0" applyProtection="0"/>
    <xf numFmtId="0" fontId="43" fillId="0" borderId="0" applyProtection="0"/>
    <xf numFmtId="0" fontId="41" fillId="0" borderId="6" applyProtection="0"/>
    <xf numFmtId="0" fontId="41" fillId="0" borderId="0"/>
    <xf numFmtId="10" fontId="41" fillId="0" borderId="0" applyProtection="0"/>
    <xf numFmtId="0" fontId="41" fillId="0" borderId="0"/>
    <xf numFmtId="2" fontId="41" fillId="0" borderId="0" applyProtection="0"/>
    <xf numFmtId="4" fontId="41" fillId="0" borderId="0" applyProtection="0"/>
    <xf numFmtId="0" fontId="4" fillId="0" borderId="0"/>
    <xf numFmtId="9" fontId="4" fillId="0" borderId="0" applyFont="0" applyFill="0" applyBorder="0" applyAlignment="0" applyProtection="0"/>
    <xf numFmtId="0" fontId="75" fillId="0" borderId="0" applyNumberFormat="0" applyFill="0" applyBorder="0" applyAlignment="0" applyProtection="0"/>
    <xf numFmtId="0" fontId="3" fillId="0" borderId="0"/>
    <xf numFmtId="44" fontId="3" fillId="0" borderId="0" applyFont="0" applyFill="0" applyBorder="0" applyAlignment="0" applyProtection="0"/>
    <xf numFmtId="9" fontId="3" fillId="0" borderId="0" applyFont="0" applyFill="0" applyBorder="0" applyAlignment="0" applyProtection="0"/>
    <xf numFmtId="0" fontId="3" fillId="0" borderId="0"/>
    <xf numFmtId="0" fontId="2" fillId="0" borderId="0"/>
    <xf numFmtId="0" fontId="1" fillId="0" borderId="0"/>
    <xf numFmtId="0" fontId="8" fillId="0" borderId="0"/>
  </cellStyleXfs>
  <cellXfs count="1224">
    <xf numFmtId="0" fontId="0" fillId="0" borderId="0" xfId="0"/>
    <xf numFmtId="0" fontId="8" fillId="0" borderId="0" xfId="0" applyFont="1" applyProtection="1">
      <protection hidden="1"/>
    </xf>
    <xf numFmtId="0" fontId="8" fillId="0" borderId="0" xfId="0" applyFont="1" applyAlignment="1" applyProtection="1">
      <alignment horizontal="center" vertical="center" wrapText="1"/>
      <protection hidden="1"/>
    </xf>
    <xf numFmtId="0" fontId="8" fillId="0" borderId="0" xfId="0" applyFont="1" applyAlignment="1" applyProtection="1">
      <alignment horizontal="center" wrapText="1"/>
      <protection hidden="1"/>
    </xf>
    <xf numFmtId="0" fontId="56" fillId="0" borderId="27" xfId="0" applyFont="1" applyBorder="1" applyAlignment="1" applyProtection="1">
      <alignment horizontal="center" vertical="center" wrapText="1"/>
      <protection hidden="1"/>
    </xf>
    <xf numFmtId="0" fontId="56" fillId="0" borderId="28" xfId="0" applyFont="1" applyBorder="1" applyAlignment="1" applyProtection="1">
      <alignment horizontal="center" vertical="center" wrapText="1"/>
      <protection hidden="1"/>
    </xf>
    <xf numFmtId="0" fontId="12" fillId="0" borderId="18" xfId="0" applyFont="1" applyBorder="1" applyAlignment="1" applyProtection="1">
      <alignment horizontal="left" vertical="center" wrapText="1"/>
      <protection hidden="1"/>
    </xf>
    <xf numFmtId="0" fontId="8" fillId="0" borderId="0" xfId="0" applyFont="1" applyAlignment="1" applyProtection="1">
      <alignment horizontal="center"/>
      <protection hidden="1"/>
    </xf>
    <xf numFmtId="9" fontId="12" fillId="0" borderId="7" xfId="104" applyFont="1" applyFill="1" applyBorder="1" applyAlignment="1" applyProtection="1">
      <alignment horizontal="center" vertical="center" wrapText="1"/>
      <protection hidden="1"/>
    </xf>
    <xf numFmtId="0" fontId="12" fillId="0" borderId="7" xfId="0" applyFont="1" applyBorder="1" applyAlignment="1" applyProtection="1">
      <alignment horizontal="center" vertical="center" wrapText="1"/>
      <protection hidden="1"/>
    </xf>
    <xf numFmtId="3" fontId="57" fillId="0" borderId="7" xfId="0" applyNumberFormat="1" applyFont="1" applyBorder="1" applyAlignment="1" applyProtection="1">
      <alignment horizontal="center" vertical="center"/>
      <protection hidden="1"/>
    </xf>
    <xf numFmtId="173" fontId="12" fillId="0" borderId="7" xfId="0" applyNumberFormat="1" applyFont="1" applyBorder="1" applyAlignment="1" applyProtection="1">
      <alignment horizontal="center" vertical="center" wrapText="1"/>
      <protection hidden="1"/>
    </xf>
    <xf numFmtId="4" fontId="12" fillId="0" borderId="7" xfId="0" applyNumberFormat="1" applyFont="1" applyBorder="1" applyAlignment="1" applyProtection="1">
      <alignment horizontal="center" vertical="center" wrapText="1"/>
      <protection hidden="1"/>
    </xf>
    <xf numFmtId="174" fontId="12" fillId="0" borderId="20" xfId="62" applyNumberFormat="1" applyFont="1" applyFill="1" applyBorder="1" applyAlignment="1" applyProtection="1">
      <alignment horizontal="right" vertical="center" wrapText="1"/>
      <protection hidden="1"/>
    </xf>
    <xf numFmtId="0" fontId="12" fillId="0" borderId="30" xfId="0" applyFont="1" applyBorder="1" applyAlignment="1" applyProtection="1">
      <alignment horizontal="left" vertical="center" wrapText="1"/>
      <protection hidden="1"/>
    </xf>
    <xf numFmtId="0" fontId="12" fillId="0" borderId="21" xfId="0" applyFont="1" applyBorder="1" applyAlignment="1" applyProtection="1">
      <alignment horizontal="center" vertical="center" wrapText="1"/>
      <protection hidden="1"/>
    </xf>
    <xf numFmtId="9" fontId="12" fillId="0" borderId="21" xfId="104" applyFont="1" applyFill="1" applyBorder="1" applyAlignment="1" applyProtection="1">
      <alignment horizontal="center" vertical="center" wrapText="1"/>
      <protection hidden="1"/>
    </xf>
    <xf numFmtId="173" fontId="12" fillId="0" borderId="21" xfId="0" applyNumberFormat="1" applyFont="1" applyBorder="1" applyAlignment="1" applyProtection="1">
      <alignment horizontal="center" vertical="center" wrapText="1"/>
      <protection hidden="1"/>
    </xf>
    <xf numFmtId="174" fontId="16" fillId="0" borderId="15" xfId="62" applyNumberFormat="1" applyFont="1" applyFill="1" applyBorder="1" applyAlignment="1" applyProtection="1">
      <alignment horizontal="right" vertical="center" wrapText="1"/>
      <protection hidden="1"/>
    </xf>
    <xf numFmtId="0" fontId="57" fillId="0" borderId="30" xfId="0" applyFont="1" applyBorder="1" applyAlignment="1" applyProtection="1">
      <alignment horizontal="left" wrapText="1"/>
      <protection hidden="1"/>
    </xf>
    <xf numFmtId="0" fontId="12" fillId="0" borderId="7" xfId="0" applyFont="1" applyBorder="1" applyAlignment="1" applyProtection="1">
      <alignment horizontal="center" vertical="center"/>
      <protection hidden="1"/>
    </xf>
    <xf numFmtId="9" fontId="12" fillId="0" borderId="7" xfId="104" applyFont="1" applyFill="1" applyBorder="1" applyAlignment="1" applyProtection="1">
      <alignment horizontal="center" vertical="center"/>
      <protection hidden="1"/>
    </xf>
    <xf numFmtId="3" fontId="57" fillId="0" borderId="21" xfId="0" applyNumberFormat="1" applyFont="1" applyBorder="1" applyAlignment="1" applyProtection="1">
      <alignment horizontal="center"/>
      <protection hidden="1"/>
    </xf>
    <xf numFmtId="174" fontId="12" fillId="0" borderId="21" xfId="0" applyNumberFormat="1" applyFont="1" applyBorder="1" applyAlignment="1" applyProtection="1">
      <alignment horizontal="center" vertical="center" wrapText="1"/>
      <protection hidden="1"/>
    </xf>
    <xf numFmtId="0" fontId="12" fillId="0" borderId="21" xfId="0" applyFont="1" applyBorder="1" applyAlignment="1" applyProtection="1">
      <alignment horizontal="center" vertical="center"/>
      <protection hidden="1"/>
    </xf>
    <xf numFmtId="9" fontId="12" fillId="0" borderId="21" xfId="104" applyFont="1" applyFill="1" applyBorder="1" applyAlignment="1" applyProtection="1">
      <alignment horizontal="center" vertical="center"/>
      <protection hidden="1"/>
    </xf>
    <xf numFmtId="0" fontId="11" fillId="0" borderId="31" xfId="0" applyFont="1" applyBorder="1" applyAlignment="1" applyProtection="1">
      <alignment vertical="center"/>
      <protection hidden="1"/>
    </xf>
    <xf numFmtId="0" fontId="11" fillId="0" borderId="32" xfId="0" applyFont="1" applyBorder="1" applyAlignment="1" applyProtection="1">
      <alignment vertical="center"/>
      <protection hidden="1"/>
    </xf>
    <xf numFmtId="0" fontId="8" fillId="0" borderId="32" xfId="0" applyFont="1" applyBorder="1" applyAlignment="1" applyProtection="1">
      <alignment vertical="center"/>
      <protection hidden="1"/>
    </xf>
    <xf numFmtId="1" fontId="8" fillId="0" borderId="32" xfId="0" applyNumberFormat="1" applyFont="1" applyBorder="1" applyAlignment="1" applyProtection="1">
      <alignment vertical="center"/>
      <protection hidden="1"/>
    </xf>
    <xf numFmtId="0" fontId="8" fillId="0" borderId="33" xfId="0" applyFont="1" applyBorder="1" applyAlignment="1" applyProtection="1">
      <alignment vertical="center"/>
      <protection hidden="1"/>
    </xf>
    <xf numFmtId="174" fontId="54" fillId="0" borderId="34" xfId="62" applyNumberFormat="1" applyFont="1" applyFill="1" applyBorder="1" applyAlignment="1" applyProtection="1">
      <alignment horizontal="right" vertical="center" wrapText="1"/>
      <protection hidden="1"/>
    </xf>
    <xf numFmtId="174" fontId="11" fillId="0" borderId="15" xfId="62" applyNumberFormat="1" applyFont="1" applyFill="1" applyBorder="1" applyAlignment="1" applyProtection="1">
      <alignment horizontal="right" vertical="center" wrapText="1"/>
      <protection hidden="1"/>
    </xf>
    <xf numFmtId="0" fontId="11" fillId="0" borderId="0" xfId="0" applyFont="1" applyAlignment="1" applyProtection="1">
      <alignment horizontal="right" vertical="center"/>
      <protection hidden="1"/>
    </xf>
    <xf numFmtId="0" fontId="8" fillId="0" borderId="0" xfId="0" applyFont="1" applyAlignment="1" applyProtection="1">
      <alignment horizontal="right" vertical="center"/>
      <protection hidden="1"/>
    </xf>
    <xf numFmtId="3" fontId="11" fillId="0" borderId="0" xfId="0" applyNumberFormat="1" applyFont="1" applyAlignment="1" applyProtection="1">
      <alignment horizontal="center" vertical="center" wrapText="1"/>
      <protection hidden="1"/>
    </xf>
    <xf numFmtId="0" fontId="56" fillId="0" borderId="7" xfId="0" applyFont="1" applyBorder="1" applyAlignment="1" applyProtection="1">
      <alignment horizontal="center" vertical="center" wrapText="1"/>
      <protection hidden="1"/>
    </xf>
    <xf numFmtId="3" fontId="18" fillId="0" borderId="7" xfId="0" applyNumberFormat="1" applyFont="1" applyBorder="1" applyAlignment="1" applyProtection="1">
      <alignment horizontal="center" vertical="center"/>
      <protection hidden="1"/>
    </xf>
    <xf numFmtId="174" fontId="18" fillId="0" borderId="7" xfId="0" applyNumberFormat="1" applyFont="1" applyBorder="1" applyAlignment="1" applyProtection="1">
      <alignment vertical="center"/>
      <protection hidden="1"/>
    </xf>
    <xf numFmtId="174" fontId="8" fillId="0" borderId="0" xfId="0" applyNumberFormat="1" applyFont="1" applyProtection="1">
      <protection hidden="1"/>
    </xf>
    <xf numFmtId="171" fontId="18" fillId="0" borderId="7" xfId="0" applyNumberFormat="1" applyFont="1" applyBorder="1" applyAlignment="1" applyProtection="1">
      <alignment horizontal="center" vertical="center"/>
      <protection hidden="1"/>
    </xf>
    <xf numFmtId="173" fontId="34" fillId="0" borderId="7" xfId="35" applyNumberFormat="1" applyFont="1" applyFill="1" applyBorder="1" applyAlignment="1" applyProtection="1">
      <alignment horizontal="center" vertical="center" wrapText="1"/>
      <protection hidden="1"/>
    </xf>
    <xf numFmtId="0" fontId="9" fillId="0" borderId="7" xfId="0" applyFont="1" applyBorder="1" applyAlignment="1" applyProtection="1">
      <alignment horizontal="center" vertical="center"/>
      <protection hidden="1"/>
    </xf>
    <xf numFmtId="0" fontId="8" fillId="0" borderId="0" xfId="0" applyFont="1" applyAlignment="1" applyProtection="1">
      <alignment vertical="center"/>
      <protection hidden="1"/>
    </xf>
    <xf numFmtId="173" fontId="8" fillId="0" borderId="7" xfId="0" applyNumberFormat="1" applyFont="1" applyBorder="1" applyAlignment="1" applyProtection="1">
      <alignment vertical="center"/>
      <protection hidden="1"/>
    </xf>
    <xf numFmtId="165" fontId="8" fillId="0" borderId="0" xfId="0" applyNumberFormat="1" applyFont="1" applyAlignment="1" applyProtection="1">
      <alignment vertical="center"/>
      <protection hidden="1"/>
    </xf>
    <xf numFmtId="176" fontId="9" fillId="0" borderId="7" xfId="62" applyNumberFormat="1" applyFont="1" applyFill="1" applyBorder="1" applyAlignment="1" applyProtection="1">
      <alignment vertical="center"/>
      <protection hidden="1"/>
    </xf>
    <xf numFmtId="173" fontId="9" fillId="0" borderId="7" xfId="62" applyNumberFormat="1" applyFont="1" applyFill="1" applyBorder="1" applyAlignment="1" applyProtection="1">
      <alignment vertical="center"/>
      <protection hidden="1"/>
    </xf>
    <xf numFmtId="176" fontId="8" fillId="0" borderId="0" xfId="0" applyNumberFormat="1" applyFont="1" applyAlignment="1" applyProtection="1">
      <alignment vertical="center"/>
      <protection hidden="1"/>
    </xf>
    <xf numFmtId="165" fontId="8" fillId="0" borderId="0" xfId="0" applyNumberFormat="1" applyFont="1" applyProtection="1">
      <protection hidden="1"/>
    </xf>
    <xf numFmtId="176" fontId="8" fillId="0" borderId="0" xfId="0" applyNumberFormat="1" applyFont="1" applyProtection="1">
      <protection hidden="1"/>
    </xf>
    <xf numFmtId="208" fontId="61" fillId="0" borderId="0" xfId="0" applyNumberFormat="1" applyFont="1" applyAlignment="1" applyProtection="1">
      <alignment horizontal="left"/>
      <protection hidden="1"/>
    </xf>
    <xf numFmtId="212" fontId="9" fillId="0" borderId="0" xfId="0" applyNumberFormat="1" applyFont="1" applyProtection="1">
      <protection hidden="1"/>
    </xf>
    <xf numFmtId="176" fontId="9" fillId="0" borderId="0" xfId="62" applyNumberFormat="1" applyFont="1" applyFill="1" applyAlignment="1" applyProtection="1">
      <alignment vertical="center"/>
      <protection hidden="1"/>
    </xf>
    <xf numFmtId="0" fontId="8" fillId="0" borderId="7" xfId="0" applyFont="1" applyBorder="1" applyProtection="1">
      <protection hidden="1"/>
    </xf>
    <xf numFmtId="4" fontId="9" fillId="0" borderId="0" xfId="62" applyNumberFormat="1" applyFont="1" applyFill="1" applyAlignment="1" applyProtection="1">
      <alignment vertical="center"/>
      <protection hidden="1"/>
    </xf>
    <xf numFmtId="0" fontId="62" fillId="10" borderId="0" xfId="101" applyFont="1" applyFill="1" applyAlignment="1" applyProtection="1">
      <alignment vertical="center"/>
      <protection hidden="1"/>
    </xf>
    <xf numFmtId="0" fontId="63" fillId="10" borderId="0" xfId="101" applyFont="1" applyFill="1" applyAlignment="1" applyProtection="1">
      <alignment horizontal="center" vertical="center" wrapText="1"/>
      <protection hidden="1"/>
    </xf>
    <xf numFmtId="0" fontId="63" fillId="0" borderId="0" xfId="101" applyFont="1" applyAlignment="1" applyProtection="1">
      <alignment horizontal="center" vertical="center" wrapText="1"/>
      <protection hidden="1"/>
    </xf>
    <xf numFmtId="205" fontId="62" fillId="10" borderId="0" xfId="101" applyNumberFormat="1" applyFont="1" applyFill="1" applyAlignment="1" applyProtection="1">
      <alignment vertical="center"/>
      <protection hidden="1"/>
    </xf>
    <xf numFmtId="0" fontId="62" fillId="0" borderId="0" xfId="101" applyFont="1" applyAlignment="1" applyProtection="1">
      <alignment vertical="center"/>
      <protection hidden="1"/>
    </xf>
    <xf numFmtId="171" fontId="63" fillId="10" borderId="0" xfId="101" applyNumberFormat="1" applyFont="1" applyFill="1" applyAlignment="1" applyProtection="1">
      <alignment horizontal="center" vertical="center" wrapText="1"/>
      <protection hidden="1"/>
    </xf>
    <xf numFmtId="177" fontId="63" fillId="10" borderId="0" xfId="101" applyNumberFormat="1" applyFont="1" applyFill="1" applyAlignment="1" applyProtection="1">
      <alignment horizontal="center" vertical="center" wrapText="1"/>
      <protection hidden="1"/>
    </xf>
    <xf numFmtId="171" fontId="63" fillId="12" borderId="18" xfId="99" applyNumberFormat="1" applyFont="1" applyFill="1" applyBorder="1" applyAlignment="1" applyProtection="1">
      <alignment horizontal="center" vertical="center" wrapText="1"/>
      <protection hidden="1"/>
    </xf>
    <xf numFmtId="171" fontId="63" fillId="12" borderId="7" xfId="99" applyNumberFormat="1" applyFont="1" applyFill="1" applyBorder="1" applyAlignment="1" applyProtection="1">
      <alignment horizontal="center" vertical="center" wrapText="1"/>
      <protection hidden="1"/>
    </xf>
    <xf numFmtId="171" fontId="63" fillId="13" borderId="37" xfId="76" applyNumberFormat="1" applyFont="1" applyFill="1" applyBorder="1" applyAlignment="1" applyProtection="1">
      <alignment horizontal="center" vertical="center" wrapText="1"/>
      <protection hidden="1"/>
    </xf>
    <xf numFmtId="171" fontId="63" fillId="13" borderId="35" xfId="76" applyNumberFormat="1" applyFont="1" applyFill="1" applyBorder="1" applyAlignment="1" applyProtection="1">
      <alignment horizontal="center" vertical="center" wrapText="1"/>
      <protection hidden="1"/>
    </xf>
    <xf numFmtId="171" fontId="63" fillId="14" borderId="7" xfId="76" applyNumberFormat="1" applyFont="1" applyFill="1" applyBorder="1" applyAlignment="1" applyProtection="1">
      <alignment horizontal="center" vertical="center" wrapText="1"/>
      <protection hidden="1"/>
    </xf>
    <xf numFmtId="171" fontId="63" fillId="14" borderId="35" xfId="76" applyNumberFormat="1" applyFont="1" applyFill="1" applyBorder="1" applyAlignment="1" applyProtection="1">
      <alignment horizontal="center" vertical="center" wrapText="1"/>
      <protection hidden="1"/>
    </xf>
    <xf numFmtId="171" fontId="63" fillId="11" borderId="7" xfId="76" applyNumberFormat="1" applyFont="1" applyFill="1" applyBorder="1" applyAlignment="1" applyProtection="1">
      <alignment horizontal="center" vertical="center" wrapText="1"/>
      <protection hidden="1"/>
    </xf>
    <xf numFmtId="171" fontId="63" fillId="11" borderId="35" xfId="76" applyNumberFormat="1" applyFont="1" applyFill="1" applyBorder="1" applyAlignment="1" applyProtection="1">
      <alignment horizontal="center" vertical="center" wrapText="1"/>
      <protection hidden="1"/>
    </xf>
    <xf numFmtId="0" fontId="62" fillId="10" borderId="0" xfId="101" applyFont="1" applyFill="1" applyAlignment="1" applyProtection="1">
      <alignment horizontal="center" vertical="center" wrapText="1"/>
      <protection hidden="1"/>
    </xf>
    <xf numFmtId="171" fontId="63" fillId="12" borderId="38" xfId="99" applyNumberFormat="1" applyFont="1" applyFill="1" applyBorder="1" applyAlignment="1" applyProtection="1">
      <alignment horizontal="center" vertical="center" wrapText="1"/>
      <protection hidden="1"/>
    </xf>
    <xf numFmtId="3" fontId="63" fillId="12" borderId="14" xfId="101" applyNumberFormat="1" applyFont="1" applyFill="1" applyBorder="1" applyAlignment="1" applyProtection="1">
      <alignment horizontal="center" vertical="center" wrapText="1"/>
      <protection hidden="1"/>
    </xf>
    <xf numFmtId="171" fontId="63" fillId="13" borderId="39" xfId="76" applyNumberFormat="1" applyFont="1" applyFill="1" applyBorder="1" applyAlignment="1" applyProtection="1">
      <alignment horizontal="center" vertical="center" wrapText="1"/>
      <protection hidden="1"/>
    </xf>
    <xf numFmtId="3" fontId="63" fillId="13" borderId="40" xfId="101" applyNumberFormat="1" applyFont="1" applyFill="1" applyBorder="1" applyAlignment="1" applyProtection="1">
      <alignment horizontal="center" vertical="center" wrapText="1"/>
      <protection hidden="1"/>
    </xf>
    <xf numFmtId="171" fontId="63" fillId="14" borderId="14" xfId="76" applyNumberFormat="1" applyFont="1" applyFill="1" applyBorder="1" applyAlignment="1" applyProtection="1">
      <alignment horizontal="center" vertical="center" wrapText="1"/>
      <protection hidden="1"/>
    </xf>
    <xf numFmtId="3" fontId="63" fillId="14" borderId="40" xfId="101" applyNumberFormat="1" applyFont="1" applyFill="1" applyBorder="1" applyAlignment="1" applyProtection="1">
      <alignment horizontal="center" vertical="center" wrapText="1"/>
      <protection hidden="1"/>
    </xf>
    <xf numFmtId="171" fontId="63" fillId="11" borderId="14" xfId="76" applyNumberFormat="1" applyFont="1" applyFill="1" applyBorder="1" applyAlignment="1" applyProtection="1">
      <alignment horizontal="center" vertical="center" wrapText="1"/>
      <protection hidden="1"/>
    </xf>
    <xf numFmtId="3" fontId="63" fillId="11" borderId="40" xfId="101" applyNumberFormat="1" applyFont="1" applyFill="1" applyBorder="1" applyAlignment="1" applyProtection="1">
      <alignment horizontal="center" vertical="center" wrapText="1"/>
      <protection hidden="1"/>
    </xf>
    <xf numFmtId="171" fontId="63" fillId="12" borderId="41" xfId="99" applyNumberFormat="1" applyFont="1" applyFill="1" applyBorder="1" applyAlignment="1" applyProtection="1">
      <alignment horizontal="center" vertical="center" wrapText="1"/>
      <protection hidden="1"/>
    </xf>
    <xf numFmtId="3" fontId="63" fillId="12" borderId="42" xfId="101" applyNumberFormat="1" applyFont="1" applyFill="1" applyBorder="1" applyAlignment="1" applyProtection="1">
      <alignment horizontal="center" vertical="center" wrapText="1"/>
      <protection hidden="1"/>
    </xf>
    <xf numFmtId="171" fontId="63" fillId="13" borderId="42" xfId="99" applyNumberFormat="1" applyFont="1" applyFill="1" applyBorder="1" applyAlignment="1" applyProtection="1">
      <alignment horizontal="center" vertical="center" wrapText="1"/>
      <protection hidden="1"/>
    </xf>
    <xf numFmtId="3" fontId="63" fillId="13" borderId="43" xfId="101" applyNumberFormat="1" applyFont="1" applyFill="1" applyBorder="1" applyAlignment="1" applyProtection="1">
      <alignment horizontal="center" vertical="center" wrapText="1"/>
      <protection hidden="1"/>
    </xf>
    <xf numFmtId="171" fontId="63" fillId="14" borderId="42" xfId="99" applyNumberFormat="1" applyFont="1" applyFill="1" applyBorder="1" applyAlignment="1" applyProtection="1">
      <alignment horizontal="center" vertical="center" wrapText="1"/>
      <protection hidden="1"/>
    </xf>
    <xf numFmtId="3" fontId="63" fillId="14" borderId="43" xfId="101" applyNumberFormat="1" applyFont="1" applyFill="1" applyBorder="1" applyAlignment="1" applyProtection="1">
      <alignment horizontal="center" vertical="center" wrapText="1"/>
      <protection hidden="1"/>
    </xf>
    <xf numFmtId="171" fontId="63" fillId="11" borderId="42" xfId="99" applyNumberFormat="1" applyFont="1" applyFill="1" applyBorder="1" applyAlignment="1" applyProtection="1">
      <alignment horizontal="center" vertical="center" wrapText="1"/>
      <protection hidden="1"/>
    </xf>
    <xf numFmtId="3" fontId="63" fillId="11" borderId="43" xfId="101" applyNumberFormat="1" applyFont="1" applyFill="1" applyBorder="1" applyAlignment="1" applyProtection="1">
      <alignment horizontal="center" vertical="center" wrapText="1"/>
      <protection hidden="1"/>
    </xf>
    <xf numFmtId="4" fontId="63" fillId="11" borderId="44" xfId="98" applyNumberFormat="1" applyFont="1" applyFill="1" applyBorder="1" applyAlignment="1" applyProtection="1">
      <alignment horizontal="center" vertical="center" wrapText="1"/>
      <protection hidden="1"/>
    </xf>
    <xf numFmtId="4" fontId="63" fillId="11" borderId="45" xfId="98" applyNumberFormat="1" applyFont="1" applyFill="1" applyBorder="1" applyAlignment="1" applyProtection="1">
      <alignment horizontal="center" vertical="center" wrapText="1"/>
      <protection hidden="1"/>
    </xf>
    <xf numFmtId="4" fontId="63" fillId="11" borderId="46" xfId="98" applyNumberFormat="1" applyFont="1" applyFill="1" applyBorder="1" applyAlignment="1" applyProtection="1">
      <alignment horizontal="center" vertical="center" wrapText="1"/>
      <protection hidden="1"/>
    </xf>
    <xf numFmtId="171" fontId="63" fillId="11" borderId="2" xfId="101" applyNumberFormat="1" applyFont="1" applyFill="1" applyBorder="1" applyAlignment="1" applyProtection="1">
      <alignment horizontal="center" vertical="center" wrapText="1"/>
      <protection hidden="1"/>
    </xf>
    <xf numFmtId="171" fontId="63" fillId="11" borderId="45" xfId="101" applyNumberFormat="1" applyFont="1" applyFill="1" applyBorder="1" applyAlignment="1" applyProtection="1">
      <alignment horizontal="center" vertical="center" wrapText="1"/>
      <protection hidden="1"/>
    </xf>
    <xf numFmtId="0" fontId="63" fillId="11" borderId="45" xfId="99" applyFont="1" applyFill="1" applyBorder="1" applyAlignment="1" applyProtection="1">
      <alignment horizontal="center" vertical="center" wrapText="1"/>
      <protection hidden="1"/>
    </xf>
    <xf numFmtId="0" fontId="63" fillId="11" borderId="47" xfId="99" applyFont="1" applyFill="1" applyBorder="1" applyAlignment="1" applyProtection="1">
      <alignment horizontal="center" vertical="center" wrapText="1"/>
      <protection hidden="1"/>
    </xf>
    <xf numFmtId="0" fontId="63" fillId="11" borderId="46" xfId="99" applyFont="1" applyFill="1" applyBorder="1" applyAlignment="1" applyProtection="1">
      <alignment horizontal="center" vertical="center" wrapText="1"/>
      <protection hidden="1"/>
    </xf>
    <xf numFmtId="178" fontId="56" fillId="15" borderId="44" xfId="99" applyNumberFormat="1" applyFont="1" applyFill="1" applyBorder="1" applyAlignment="1" applyProtection="1">
      <alignment horizontal="center" vertical="center" wrapText="1"/>
      <protection hidden="1"/>
    </xf>
    <xf numFmtId="0" fontId="56" fillId="15" borderId="46" xfId="101" applyFont="1" applyFill="1" applyBorder="1" applyAlignment="1" applyProtection="1">
      <alignment horizontal="center" vertical="center" wrapText="1"/>
      <protection hidden="1"/>
    </xf>
    <xf numFmtId="178" fontId="56" fillId="13" borderId="44" xfId="99" applyNumberFormat="1" applyFont="1" applyFill="1" applyBorder="1" applyAlignment="1" applyProtection="1">
      <alignment horizontal="center" vertical="center" wrapText="1"/>
      <protection hidden="1"/>
    </xf>
    <xf numFmtId="0" fontId="56" fillId="13" borderId="47" xfId="101" applyFont="1" applyFill="1" applyBorder="1" applyAlignment="1" applyProtection="1">
      <alignment horizontal="center" vertical="center" wrapText="1"/>
      <protection hidden="1"/>
    </xf>
    <xf numFmtId="178" fontId="56" fillId="16" borderId="2" xfId="99" applyNumberFormat="1" applyFont="1" applyFill="1" applyBorder="1" applyAlignment="1" applyProtection="1">
      <alignment horizontal="center" vertical="center" wrapText="1"/>
      <protection hidden="1"/>
    </xf>
    <xf numFmtId="0" fontId="56" fillId="0" borderId="47" xfId="101" applyFont="1" applyBorder="1" applyAlignment="1" applyProtection="1">
      <alignment horizontal="center" vertical="center" wrapText="1"/>
      <protection hidden="1"/>
    </xf>
    <xf numFmtId="0" fontId="63" fillId="11" borderId="48" xfId="101" applyFont="1" applyFill="1" applyBorder="1" applyAlignment="1" applyProtection="1">
      <alignment horizontal="center" vertical="center" wrapText="1"/>
      <protection hidden="1"/>
    </xf>
    <xf numFmtId="0" fontId="62" fillId="0" borderId="23" xfId="95" applyFont="1" applyBorder="1" applyAlignment="1" applyProtection="1">
      <alignment horizontal="center" vertical="center" wrapText="1"/>
      <protection hidden="1"/>
    </xf>
    <xf numFmtId="0" fontId="62" fillId="0" borderId="19" xfId="95" applyFont="1" applyBorder="1" applyAlignment="1" applyProtection="1">
      <alignment horizontal="center" vertical="center" wrapText="1"/>
      <protection hidden="1"/>
    </xf>
    <xf numFmtId="4" fontId="62" fillId="0" borderId="19" xfId="95" applyNumberFormat="1" applyFont="1" applyBorder="1" applyAlignment="1" applyProtection="1">
      <alignment horizontal="justify" vertical="center" wrapText="1"/>
      <protection hidden="1"/>
    </xf>
    <xf numFmtId="0" fontId="62" fillId="0" borderId="49" xfId="95" applyFont="1" applyBorder="1" applyAlignment="1" applyProtection="1">
      <alignment horizontal="center" vertical="center"/>
      <protection hidden="1"/>
    </xf>
    <xf numFmtId="171" fontId="62" fillId="0" borderId="23" xfId="102" applyNumberFormat="1" applyFont="1" applyBorder="1" applyAlignment="1" applyProtection="1">
      <alignment horizontal="center" vertical="center"/>
      <protection hidden="1"/>
    </xf>
    <xf numFmtId="171" fontId="62" fillId="0" borderId="19" xfId="99" applyNumberFormat="1" applyFont="1" applyBorder="1" applyAlignment="1" applyProtection="1">
      <alignment horizontal="center" vertical="center"/>
      <protection hidden="1"/>
    </xf>
    <xf numFmtId="171" fontId="62" fillId="0" borderId="19" xfId="102" applyNumberFormat="1" applyFont="1" applyBorder="1" applyAlignment="1" applyProtection="1">
      <alignment horizontal="center" vertical="center"/>
      <protection hidden="1"/>
    </xf>
    <xf numFmtId="171" fontId="62" fillId="0" borderId="19" xfId="76" applyNumberFormat="1" applyFont="1" applyBorder="1" applyAlignment="1" applyProtection="1">
      <alignment horizontal="center" vertical="center"/>
      <protection hidden="1"/>
    </xf>
    <xf numFmtId="171" fontId="62" fillId="0" borderId="49" xfId="76" applyNumberFormat="1" applyFont="1" applyBorder="1" applyAlignment="1" applyProtection="1">
      <alignment horizontal="center" vertical="center"/>
      <protection hidden="1"/>
    </xf>
    <xf numFmtId="171" fontId="62" fillId="0" borderId="7" xfId="76" applyNumberFormat="1" applyFont="1" applyBorder="1" applyAlignment="1" applyProtection="1">
      <alignment horizontal="center" vertical="center"/>
      <protection hidden="1"/>
    </xf>
    <xf numFmtId="3" fontId="62" fillId="0" borderId="19" xfId="101" applyNumberFormat="1" applyFont="1" applyBorder="1" applyAlignment="1" applyProtection="1">
      <alignment horizontal="center" vertical="center"/>
      <protection hidden="1"/>
    </xf>
    <xf numFmtId="178" fontId="62" fillId="0" borderId="19" xfId="99" applyNumberFormat="1" applyFont="1" applyBorder="1" applyAlignment="1" applyProtection="1">
      <alignment horizontal="right" vertical="center"/>
      <protection hidden="1"/>
    </xf>
    <xf numFmtId="178" fontId="62" fillId="10" borderId="25" xfId="99" applyNumberFormat="1" applyFont="1" applyFill="1" applyBorder="1" applyAlignment="1" applyProtection="1">
      <alignment horizontal="right" vertical="center"/>
      <protection hidden="1"/>
    </xf>
    <xf numFmtId="178" fontId="62" fillId="0" borderId="24" xfId="99" applyNumberFormat="1" applyFont="1" applyBorder="1" applyAlignment="1" applyProtection="1">
      <alignment horizontal="right" vertical="center"/>
      <protection hidden="1"/>
    </xf>
    <xf numFmtId="0" fontId="62" fillId="0" borderId="23" xfId="101" applyFont="1" applyBorder="1" applyAlignment="1" applyProtection="1">
      <alignment vertical="center"/>
      <protection hidden="1"/>
    </xf>
    <xf numFmtId="178" fontId="62" fillId="0" borderId="49" xfId="99" applyNumberFormat="1" applyFont="1" applyBorder="1" applyAlignment="1" applyProtection="1">
      <alignment horizontal="right" vertical="center"/>
      <protection hidden="1"/>
    </xf>
    <xf numFmtId="178" fontId="62" fillId="0" borderId="23" xfId="99" applyNumberFormat="1" applyFont="1" applyBorder="1" applyAlignment="1" applyProtection="1">
      <alignment horizontal="right" vertical="center"/>
      <protection hidden="1"/>
    </xf>
    <xf numFmtId="178" fontId="62" fillId="0" borderId="25" xfId="99" applyNumberFormat="1" applyFont="1" applyBorder="1" applyAlignment="1" applyProtection="1">
      <alignment horizontal="right" vertical="center"/>
      <protection hidden="1"/>
    </xf>
    <xf numFmtId="178" fontId="62" fillId="0" borderId="7" xfId="99" applyNumberFormat="1" applyFont="1" applyBorder="1" applyAlignment="1" applyProtection="1">
      <alignment horizontal="right" vertical="center"/>
      <protection hidden="1"/>
    </xf>
    <xf numFmtId="0" fontId="62" fillId="0" borderId="18" xfId="95" applyFont="1" applyBorder="1" applyAlignment="1" applyProtection="1">
      <alignment horizontal="center" vertical="center" wrapText="1"/>
      <protection hidden="1"/>
    </xf>
    <xf numFmtId="0" fontId="62" fillId="0" borderId="7" xfId="95" applyFont="1" applyBorder="1" applyAlignment="1" applyProtection="1">
      <alignment horizontal="center" vertical="center" wrapText="1"/>
      <protection hidden="1"/>
    </xf>
    <xf numFmtId="4" fontId="62" fillId="0" borderId="7" xfId="95" applyNumberFormat="1" applyFont="1" applyBorder="1" applyAlignment="1" applyProtection="1">
      <alignment horizontal="justify" vertical="center" wrapText="1"/>
      <protection hidden="1"/>
    </xf>
    <xf numFmtId="0" fontId="62" fillId="0" borderId="35" xfId="95" applyFont="1" applyBorder="1" applyAlignment="1" applyProtection="1">
      <alignment horizontal="center" vertical="center"/>
      <protection hidden="1"/>
    </xf>
    <xf numFmtId="4" fontId="62" fillId="0" borderId="18" xfId="102" applyNumberFormat="1" applyFont="1" applyBorder="1" applyAlignment="1" applyProtection="1">
      <alignment horizontal="center" vertical="center"/>
      <protection hidden="1"/>
    </xf>
    <xf numFmtId="171" fontId="62" fillId="0" borderId="7" xfId="102" applyNumberFormat="1" applyFont="1" applyBorder="1" applyAlignment="1" applyProtection="1">
      <alignment horizontal="center" vertical="center"/>
      <protection hidden="1"/>
    </xf>
    <xf numFmtId="171" fontId="62" fillId="0" borderId="35" xfId="76" applyNumberFormat="1" applyFont="1" applyBorder="1" applyAlignment="1" applyProtection="1">
      <alignment horizontal="center" vertical="center"/>
      <protection hidden="1"/>
    </xf>
    <xf numFmtId="178" fontId="62" fillId="10" borderId="37" xfId="99" applyNumberFormat="1" applyFont="1" applyFill="1" applyBorder="1" applyAlignment="1" applyProtection="1">
      <alignment horizontal="right" vertical="center"/>
      <protection hidden="1"/>
    </xf>
    <xf numFmtId="178" fontId="62" fillId="0" borderId="20" xfId="99" applyNumberFormat="1" applyFont="1" applyBorder="1" applyAlignment="1" applyProtection="1">
      <alignment horizontal="right" vertical="center"/>
      <protection hidden="1"/>
    </xf>
    <xf numFmtId="178" fontId="62" fillId="0" borderId="18" xfId="99" applyNumberFormat="1" applyFont="1" applyBorder="1" applyAlignment="1" applyProtection="1">
      <alignment horizontal="right" vertical="center"/>
      <protection hidden="1"/>
    </xf>
    <xf numFmtId="178" fontId="62" fillId="0" borderId="35" xfId="99" applyNumberFormat="1" applyFont="1" applyBorder="1" applyAlignment="1" applyProtection="1">
      <alignment horizontal="right" vertical="center"/>
      <protection hidden="1"/>
    </xf>
    <xf numFmtId="178" fontId="62" fillId="0" borderId="37" xfId="99" applyNumberFormat="1" applyFont="1" applyBorder="1" applyAlignment="1" applyProtection="1">
      <alignment horizontal="right" vertical="center"/>
      <protection hidden="1"/>
    </xf>
    <xf numFmtId="171" fontId="62" fillId="0" borderId="18" xfId="102" applyNumberFormat="1" applyFont="1" applyBorder="1" applyAlignment="1" applyProtection="1">
      <alignment horizontal="center" vertical="center"/>
      <protection hidden="1"/>
    </xf>
    <xf numFmtId="171" fontId="62" fillId="0" borderId="7" xfId="99" applyNumberFormat="1" applyFont="1" applyBorder="1" applyAlignment="1" applyProtection="1">
      <alignment horizontal="center" vertical="center"/>
      <protection hidden="1"/>
    </xf>
    <xf numFmtId="171" fontId="62" fillId="0" borderId="35" xfId="99" applyNumberFormat="1" applyFont="1" applyBorder="1" applyAlignment="1" applyProtection="1">
      <alignment horizontal="center" vertical="center"/>
      <protection hidden="1"/>
    </xf>
    <xf numFmtId="178" fontId="25" fillId="0" borderId="18" xfId="99" applyNumberFormat="1" applyFont="1" applyBorder="1" applyAlignment="1" applyProtection="1">
      <alignment horizontal="right" vertical="center"/>
      <protection hidden="1"/>
    </xf>
    <xf numFmtId="178" fontId="25" fillId="0" borderId="35" xfId="99" applyNumberFormat="1" applyFont="1" applyBorder="1" applyAlignment="1" applyProtection="1">
      <alignment horizontal="right" vertical="center"/>
      <protection hidden="1"/>
    </xf>
    <xf numFmtId="178" fontId="25" fillId="0" borderId="20" xfId="99" applyNumberFormat="1" applyFont="1" applyBorder="1" applyAlignment="1" applyProtection="1">
      <alignment horizontal="right" vertical="center"/>
      <protection hidden="1"/>
    </xf>
    <xf numFmtId="178" fontId="25" fillId="0" borderId="37" xfId="99" applyNumberFormat="1" applyFont="1" applyBorder="1" applyAlignment="1" applyProtection="1">
      <alignment horizontal="right" vertical="center"/>
      <protection hidden="1"/>
    </xf>
    <xf numFmtId="178" fontId="25" fillId="0" borderId="7" xfId="99" applyNumberFormat="1" applyFont="1" applyBorder="1" applyAlignment="1" applyProtection="1">
      <alignment horizontal="right" vertical="center"/>
      <protection hidden="1"/>
    </xf>
    <xf numFmtId="0" fontId="25" fillId="17" borderId="18" xfId="95" applyFont="1" applyFill="1" applyBorder="1" applyAlignment="1" applyProtection="1">
      <alignment horizontal="center" vertical="center" wrapText="1"/>
      <protection hidden="1"/>
    </xf>
    <xf numFmtId="0" fontId="25" fillId="17" borderId="7" xfId="95" applyFont="1" applyFill="1" applyBorder="1" applyAlignment="1" applyProtection="1">
      <alignment horizontal="center" vertical="center" wrapText="1"/>
      <protection hidden="1"/>
    </xf>
    <xf numFmtId="3" fontId="25" fillId="17" borderId="7" xfId="95" applyNumberFormat="1" applyFont="1" applyFill="1" applyBorder="1" applyAlignment="1" applyProtection="1">
      <alignment horizontal="justify" vertical="center" wrapText="1"/>
      <protection hidden="1"/>
    </xf>
    <xf numFmtId="171" fontId="25" fillId="17" borderId="7" xfId="99" applyNumberFormat="1" applyFont="1" applyFill="1" applyBorder="1" applyAlignment="1" applyProtection="1">
      <alignment horizontal="center" vertical="center"/>
      <protection hidden="1"/>
    </xf>
    <xf numFmtId="171" fontId="62" fillId="17" borderId="7" xfId="76" applyNumberFormat="1" applyFont="1" applyFill="1" applyBorder="1" applyAlignment="1" applyProtection="1">
      <alignment horizontal="center" vertical="center"/>
      <protection hidden="1"/>
    </xf>
    <xf numFmtId="171" fontId="25" fillId="17" borderId="35" xfId="99" applyNumberFormat="1" applyFont="1" applyFill="1" applyBorder="1" applyAlignment="1" applyProtection="1">
      <alignment horizontal="center" vertical="center"/>
      <protection hidden="1"/>
    </xf>
    <xf numFmtId="3" fontId="25" fillId="17" borderId="19" xfId="101" applyNumberFormat="1" applyFont="1" applyFill="1" applyBorder="1" applyAlignment="1" applyProtection="1">
      <alignment horizontal="center" vertical="center"/>
      <protection hidden="1"/>
    </xf>
    <xf numFmtId="178" fontId="25" fillId="17" borderId="7" xfId="99" applyNumberFormat="1" applyFont="1" applyFill="1" applyBorder="1" applyAlignment="1" applyProtection="1">
      <alignment horizontal="right" vertical="center"/>
      <protection hidden="1"/>
    </xf>
    <xf numFmtId="178" fontId="25" fillId="17" borderId="37" xfId="99" applyNumberFormat="1" applyFont="1" applyFill="1" applyBorder="1" applyAlignment="1" applyProtection="1">
      <alignment horizontal="right" vertical="center"/>
      <protection hidden="1"/>
    </xf>
    <xf numFmtId="178" fontId="25" fillId="17" borderId="20" xfId="99" applyNumberFormat="1" applyFont="1" applyFill="1" applyBorder="1" applyAlignment="1" applyProtection="1">
      <alignment horizontal="right" vertical="center"/>
      <protection hidden="1"/>
    </xf>
    <xf numFmtId="178" fontId="25" fillId="17" borderId="18" xfId="99" applyNumberFormat="1" applyFont="1" applyFill="1" applyBorder="1" applyAlignment="1" applyProtection="1">
      <alignment horizontal="right" vertical="center"/>
      <protection hidden="1"/>
    </xf>
    <xf numFmtId="0" fontId="25" fillId="17" borderId="0" xfId="101" applyFont="1" applyFill="1" applyAlignment="1" applyProtection="1">
      <alignment vertical="center"/>
      <protection hidden="1"/>
    </xf>
    <xf numFmtId="0" fontId="25" fillId="18" borderId="18" xfId="95" applyFont="1" applyFill="1" applyBorder="1" applyAlignment="1" applyProtection="1">
      <alignment horizontal="center" vertical="center" wrapText="1"/>
      <protection hidden="1"/>
    </xf>
    <xf numFmtId="0" fontId="25" fillId="18" borderId="7" xfId="95" applyFont="1" applyFill="1" applyBorder="1" applyAlignment="1" applyProtection="1">
      <alignment horizontal="center" vertical="center" wrapText="1"/>
      <protection hidden="1"/>
    </xf>
    <xf numFmtId="3" fontId="25" fillId="18" borderId="7" xfId="95" applyNumberFormat="1" applyFont="1" applyFill="1" applyBorder="1" applyAlignment="1" applyProtection="1">
      <alignment horizontal="justify" vertical="center" wrapText="1"/>
      <protection hidden="1"/>
    </xf>
    <xf numFmtId="0" fontId="25" fillId="18" borderId="35" xfId="95" applyFont="1" applyFill="1" applyBorder="1" applyAlignment="1" applyProtection="1">
      <alignment horizontal="center" vertical="center"/>
      <protection hidden="1"/>
    </xf>
    <xf numFmtId="171" fontId="25" fillId="18" borderId="18" xfId="102" applyNumberFormat="1" applyFont="1" applyFill="1" applyBorder="1" applyAlignment="1" applyProtection="1">
      <alignment horizontal="center" vertical="center"/>
      <protection hidden="1"/>
    </xf>
    <xf numFmtId="171" fontId="25" fillId="18" borderId="7" xfId="99" applyNumberFormat="1" applyFont="1" applyFill="1" applyBorder="1" applyAlignment="1" applyProtection="1">
      <alignment horizontal="center" vertical="center"/>
      <protection hidden="1"/>
    </xf>
    <xf numFmtId="171" fontId="25" fillId="18" borderId="7" xfId="102" applyNumberFormat="1" applyFont="1" applyFill="1" applyBorder="1" applyAlignment="1" applyProtection="1">
      <alignment horizontal="center" vertical="center"/>
      <protection hidden="1"/>
    </xf>
    <xf numFmtId="171" fontId="25" fillId="18" borderId="7" xfId="76" applyNumberFormat="1" applyFont="1" applyFill="1" applyBorder="1" applyAlignment="1" applyProtection="1">
      <alignment horizontal="center" vertical="center"/>
      <protection hidden="1"/>
    </xf>
    <xf numFmtId="171" fontId="25" fillId="18" borderId="35" xfId="99" applyNumberFormat="1" applyFont="1" applyFill="1" applyBorder="1" applyAlignment="1" applyProtection="1">
      <alignment horizontal="center" vertical="center"/>
      <protection hidden="1"/>
    </xf>
    <xf numFmtId="3" fontId="25" fillId="18" borderId="19" xfId="101" applyNumberFormat="1" applyFont="1" applyFill="1" applyBorder="1" applyAlignment="1" applyProtection="1">
      <alignment horizontal="center" vertical="center"/>
      <protection hidden="1"/>
    </xf>
    <xf numFmtId="178" fontId="25" fillId="18" borderId="7" xfId="99" applyNumberFormat="1" applyFont="1" applyFill="1" applyBorder="1" applyAlignment="1" applyProtection="1">
      <alignment horizontal="right" vertical="center"/>
      <protection hidden="1"/>
    </xf>
    <xf numFmtId="178" fontId="25" fillId="18" borderId="37" xfId="99" applyNumberFormat="1" applyFont="1" applyFill="1" applyBorder="1" applyAlignment="1" applyProtection="1">
      <alignment horizontal="right" vertical="center"/>
      <protection hidden="1"/>
    </xf>
    <xf numFmtId="178" fontId="25" fillId="18" borderId="20" xfId="99" applyNumberFormat="1" applyFont="1" applyFill="1" applyBorder="1" applyAlignment="1" applyProtection="1">
      <alignment horizontal="right" vertical="center"/>
      <protection hidden="1"/>
    </xf>
    <xf numFmtId="178" fontId="25" fillId="18" borderId="18" xfId="99" applyNumberFormat="1" applyFont="1" applyFill="1" applyBorder="1" applyAlignment="1" applyProtection="1">
      <alignment horizontal="right" vertical="center"/>
      <protection hidden="1"/>
    </xf>
    <xf numFmtId="178" fontId="25" fillId="18" borderId="35" xfId="99" applyNumberFormat="1" applyFont="1" applyFill="1" applyBorder="1" applyAlignment="1" applyProtection="1">
      <alignment horizontal="right" vertical="center"/>
      <protection hidden="1"/>
    </xf>
    <xf numFmtId="0" fontId="25" fillId="18" borderId="0" xfId="101" applyFont="1" applyFill="1" applyAlignment="1" applyProtection="1">
      <alignment vertical="center"/>
      <protection hidden="1"/>
    </xf>
    <xf numFmtId="0" fontId="25" fillId="19" borderId="18" xfId="95" applyFont="1" applyFill="1" applyBorder="1" applyAlignment="1" applyProtection="1">
      <alignment horizontal="center" vertical="center" wrapText="1"/>
      <protection hidden="1"/>
    </xf>
    <xf numFmtId="0" fontId="25" fillId="19" borderId="7" xfId="95" applyFont="1" applyFill="1" applyBorder="1" applyAlignment="1" applyProtection="1">
      <alignment horizontal="center" vertical="center" wrapText="1"/>
      <protection hidden="1"/>
    </xf>
    <xf numFmtId="3" fontId="25" fillId="19" borderId="7" xfId="95" applyNumberFormat="1" applyFont="1" applyFill="1" applyBorder="1" applyAlignment="1" applyProtection="1">
      <alignment horizontal="justify" vertical="center" wrapText="1"/>
      <protection hidden="1"/>
    </xf>
    <xf numFmtId="0" fontId="25" fillId="19" borderId="35" xfId="95" applyFont="1" applyFill="1" applyBorder="1" applyAlignment="1" applyProtection="1">
      <alignment horizontal="center" vertical="center"/>
      <protection hidden="1"/>
    </xf>
    <xf numFmtId="171" fontId="25" fillId="19" borderId="18" xfId="102" applyNumberFormat="1" applyFont="1" applyFill="1" applyBorder="1" applyAlignment="1" applyProtection="1">
      <alignment horizontal="center" vertical="center"/>
      <protection hidden="1"/>
    </xf>
    <xf numFmtId="171" fontId="25" fillId="19" borderId="7" xfId="99" applyNumberFormat="1" applyFont="1" applyFill="1" applyBorder="1" applyAlignment="1" applyProtection="1">
      <alignment horizontal="center" vertical="center"/>
      <protection hidden="1"/>
    </xf>
    <xf numFmtId="171" fontId="25" fillId="19" borderId="7" xfId="102" applyNumberFormat="1" applyFont="1" applyFill="1" applyBorder="1" applyAlignment="1" applyProtection="1">
      <alignment horizontal="center" vertical="center"/>
      <protection hidden="1"/>
    </xf>
    <xf numFmtId="171" fontId="25" fillId="19" borderId="35" xfId="99" applyNumberFormat="1" applyFont="1" applyFill="1" applyBorder="1" applyAlignment="1" applyProtection="1">
      <alignment horizontal="center" vertical="center"/>
      <protection hidden="1"/>
    </xf>
    <xf numFmtId="3" fontId="25" fillId="19" borderId="19" xfId="101" applyNumberFormat="1" applyFont="1" applyFill="1" applyBorder="1" applyAlignment="1" applyProtection="1">
      <alignment horizontal="center" vertical="center"/>
      <protection hidden="1"/>
    </xf>
    <xf numFmtId="178" fontId="25" fillId="19" borderId="7" xfId="99" applyNumberFormat="1" applyFont="1" applyFill="1" applyBorder="1" applyAlignment="1" applyProtection="1">
      <alignment horizontal="right" vertical="center"/>
      <protection hidden="1"/>
    </xf>
    <xf numFmtId="178" fontId="25" fillId="19" borderId="37" xfId="99" applyNumberFormat="1" applyFont="1" applyFill="1" applyBorder="1" applyAlignment="1" applyProtection="1">
      <alignment horizontal="right" vertical="center"/>
      <protection hidden="1"/>
    </xf>
    <xf numFmtId="178" fontId="25" fillId="19" borderId="20" xfId="99" applyNumberFormat="1" applyFont="1" applyFill="1" applyBorder="1" applyAlignment="1" applyProtection="1">
      <alignment horizontal="right" vertical="center"/>
      <protection hidden="1"/>
    </xf>
    <xf numFmtId="178" fontId="25" fillId="19" borderId="18" xfId="99" applyNumberFormat="1" applyFont="1" applyFill="1" applyBorder="1" applyAlignment="1" applyProtection="1">
      <alignment horizontal="right" vertical="center"/>
      <protection hidden="1"/>
    </xf>
    <xf numFmtId="178" fontId="25" fillId="19" borderId="35" xfId="99" applyNumberFormat="1" applyFont="1" applyFill="1" applyBorder="1" applyAlignment="1" applyProtection="1">
      <alignment horizontal="right" vertical="center"/>
      <protection hidden="1"/>
    </xf>
    <xf numFmtId="0" fontId="25" fillId="19" borderId="0" xfId="101" applyFont="1" applyFill="1" applyAlignment="1" applyProtection="1">
      <alignment vertical="center"/>
      <protection hidden="1"/>
    </xf>
    <xf numFmtId="0" fontId="25" fillId="20" borderId="18" xfId="95" applyFont="1" applyFill="1" applyBorder="1" applyAlignment="1" applyProtection="1">
      <alignment horizontal="center" vertical="center" wrapText="1"/>
      <protection hidden="1"/>
    </xf>
    <xf numFmtId="0" fontId="25" fillId="20" borderId="7" xfId="95" applyFont="1" applyFill="1" applyBorder="1" applyAlignment="1" applyProtection="1">
      <alignment horizontal="center" vertical="center" wrapText="1"/>
      <protection hidden="1"/>
    </xf>
    <xf numFmtId="3" fontId="25" fillId="20" borderId="7" xfId="95" applyNumberFormat="1" applyFont="1" applyFill="1" applyBorder="1" applyAlignment="1" applyProtection="1">
      <alignment horizontal="justify" vertical="center" wrapText="1"/>
      <protection hidden="1"/>
    </xf>
    <xf numFmtId="0" fontId="25" fillId="20" borderId="35" xfId="95" applyFont="1" applyFill="1" applyBorder="1" applyAlignment="1" applyProtection="1">
      <alignment horizontal="center" vertical="center"/>
      <protection hidden="1"/>
    </xf>
    <xf numFmtId="171" fontId="25" fillId="20" borderId="18" xfId="102" applyNumberFormat="1" applyFont="1" applyFill="1" applyBorder="1" applyAlignment="1" applyProtection="1">
      <alignment horizontal="center" vertical="center"/>
      <protection hidden="1"/>
    </xf>
    <xf numFmtId="171" fontId="25" fillId="20" borderId="7" xfId="99" applyNumberFormat="1" applyFont="1" applyFill="1" applyBorder="1" applyAlignment="1" applyProtection="1">
      <alignment horizontal="center" vertical="center"/>
      <protection hidden="1"/>
    </xf>
    <xf numFmtId="171" fontId="25" fillId="20" borderId="7" xfId="102" applyNumberFormat="1" applyFont="1" applyFill="1" applyBorder="1" applyAlignment="1" applyProtection="1">
      <alignment horizontal="center" vertical="center"/>
      <protection hidden="1"/>
    </xf>
    <xf numFmtId="171" fontId="25" fillId="20" borderId="35" xfId="99" applyNumberFormat="1" applyFont="1" applyFill="1" applyBorder="1" applyAlignment="1" applyProtection="1">
      <alignment horizontal="center" vertical="center"/>
      <protection hidden="1"/>
    </xf>
    <xf numFmtId="3" fontId="25" fillId="20" borderId="19" xfId="101" applyNumberFormat="1" applyFont="1" applyFill="1" applyBorder="1" applyAlignment="1" applyProtection="1">
      <alignment horizontal="center" vertical="center"/>
      <protection hidden="1"/>
    </xf>
    <xf numFmtId="178" fontId="25" fillId="20" borderId="7" xfId="99" applyNumberFormat="1" applyFont="1" applyFill="1" applyBorder="1" applyAlignment="1" applyProtection="1">
      <alignment horizontal="right" vertical="center"/>
      <protection hidden="1"/>
    </xf>
    <xf numFmtId="178" fontId="25" fillId="20" borderId="37" xfId="99" applyNumberFormat="1" applyFont="1" applyFill="1" applyBorder="1" applyAlignment="1" applyProtection="1">
      <alignment horizontal="right" vertical="center"/>
      <protection hidden="1"/>
    </xf>
    <xf numFmtId="178" fontId="25" fillId="20" borderId="20" xfId="99" applyNumberFormat="1" applyFont="1" applyFill="1" applyBorder="1" applyAlignment="1" applyProtection="1">
      <alignment horizontal="right" vertical="center"/>
      <protection hidden="1"/>
    </xf>
    <xf numFmtId="178" fontId="25" fillId="20" borderId="18" xfId="99" applyNumberFormat="1" applyFont="1" applyFill="1" applyBorder="1" applyAlignment="1" applyProtection="1">
      <alignment horizontal="right" vertical="center"/>
      <protection hidden="1"/>
    </xf>
    <xf numFmtId="0" fontId="25" fillId="20" borderId="0" xfId="101" applyFont="1" applyFill="1" applyAlignment="1" applyProtection="1">
      <alignment vertical="center"/>
      <protection hidden="1"/>
    </xf>
    <xf numFmtId="179" fontId="25" fillId="19" borderId="7" xfId="100" applyNumberFormat="1" applyFont="1" applyFill="1" applyBorder="1" applyAlignment="1" applyProtection="1">
      <alignment horizontal="justify" vertical="center" wrapText="1"/>
      <protection hidden="1"/>
    </xf>
    <xf numFmtId="171" fontId="25" fillId="19" borderId="35" xfId="102" applyNumberFormat="1" applyFont="1" applyFill="1" applyBorder="1" applyAlignment="1" applyProtection="1">
      <alignment horizontal="center" vertical="center"/>
      <protection hidden="1"/>
    </xf>
    <xf numFmtId="0" fontId="25" fillId="21" borderId="18" xfId="95" applyFont="1" applyFill="1" applyBorder="1" applyAlignment="1" applyProtection="1">
      <alignment horizontal="center" vertical="center" wrapText="1"/>
      <protection hidden="1"/>
    </xf>
    <xf numFmtId="0" fontId="25" fillId="21" borderId="7" xfId="95" applyFont="1" applyFill="1" applyBorder="1" applyAlignment="1" applyProtection="1">
      <alignment horizontal="center" vertical="center" wrapText="1"/>
      <protection hidden="1"/>
    </xf>
    <xf numFmtId="3" fontId="25" fillId="21" borderId="7" xfId="99" applyNumberFormat="1" applyFont="1" applyFill="1" applyBorder="1" applyAlignment="1" applyProtection="1">
      <alignment horizontal="justify" vertical="center" wrapText="1"/>
      <protection hidden="1"/>
    </xf>
    <xf numFmtId="3" fontId="25" fillId="21" borderId="35" xfId="99" applyNumberFormat="1" applyFont="1" applyFill="1" applyBorder="1" applyAlignment="1" applyProtection="1">
      <alignment horizontal="center" vertical="center" wrapText="1"/>
      <protection hidden="1"/>
    </xf>
    <xf numFmtId="171" fontId="25" fillId="21" borderId="7" xfId="99" applyNumberFormat="1" applyFont="1" applyFill="1" applyBorder="1" applyAlignment="1" applyProtection="1">
      <alignment horizontal="center" vertical="center" wrapText="1"/>
      <protection hidden="1"/>
    </xf>
    <xf numFmtId="171" fontId="25" fillId="21" borderId="7" xfId="99" applyNumberFormat="1" applyFont="1" applyFill="1" applyBorder="1" applyAlignment="1" applyProtection="1">
      <alignment horizontal="center" vertical="center"/>
      <protection hidden="1"/>
    </xf>
    <xf numFmtId="171" fontId="25" fillId="21" borderId="35" xfId="99" applyNumberFormat="1" applyFont="1" applyFill="1" applyBorder="1" applyAlignment="1" applyProtection="1">
      <alignment horizontal="center" vertical="center"/>
      <protection hidden="1"/>
    </xf>
    <xf numFmtId="3" fontId="25" fillId="21" borderId="19" xfId="101" applyNumberFormat="1" applyFont="1" applyFill="1" applyBorder="1" applyAlignment="1" applyProtection="1">
      <alignment horizontal="center" vertical="center"/>
      <protection hidden="1"/>
    </xf>
    <xf numFmtId="178" fontId="25" fillId="21" borderId="7" xfId="99" applyNumberFormat="1" applyFont="1" applyFill="1" applyBorder="1" applyAlignment="1" applyProtection="1">
      <alignment horizontal="right" vertical="center"/>
      <protection hidden="1"/>
    </xf>
    <xf numFmtId="178" fontId="25" fillId="21" borderId="37" xfId="99" applyNumberFormat="1" applyFont="1" applyFill="1" applyBorder="1" applyAlignment="1" applyProtection="1">
      <alignment horizontal="right" vertical="center"/>
      <protection hidden="1"/>
    </xf>
    <xf numFmtId="178" fontId="25" fillId="21" borderId="20" xfId="99" applyNumberFormat="1" applyFont="1" applyFill="1" applyBorder="1" applyAlignment="1" applyProtection="1">
      <alignment horizontal="right" vertical="center"/>
      <protection hidden="1"/>
    </xf>
    <xf numFmtId="178" fontId="25" fillId="21" borderId="18" xfId="99" applyNumberFormat="1" applyFont="1" applyFill="1" applyBorder="1" applyAlignment="1" applyProtection="1">
      <alignment horizontal="right" vertical="center"/>
      <protection hidden="1"/>
    </xf>
    <xf numFmtId="178" fontId="25" fillId="21" borderId="35" xfId="99" applyNumberFormat="1" applyFont="1" applyFill="1" applyBorder="1" applyAlignment="1" applyProtection="1">
      <alignment horizontal="right" vertical="center"/>
      <protection hidden="1"/>
    </xf>
    <xf numFmtId="0" fontId="25" fillId="21" borderId="0" xfId="101" applyFont="1" applyFill="1" applyAlignment="1" applyProtection="1">
      <alignment vertical="center"/>
      <protection hidden="1"/>
    </xf>
    <xf numFmtId="179" fontId="25" fillId="18" borderId="7" xfId="100" applyNumberFormat="1" applyFont="1" applyFill="1" applyBorder="1" applyAlignment="1" applyProtection="1">
      <alignment horizontal="justify" vertical="center" wrapText="1"/>
      <protection hidden="1"/>
    </xf>
    <xf numFmtId="3" fontId="25" fillId="19" borderId="7" xfId="100" applyNumberFormat="1" applyFont="1" applyFill="1" applyBorder="1" applyAlignment="1" applyProtection="1">
      <alignment horizontal="justify" vertical="center" wrapText="1"/>
      <protection hidden="1"/>
    </xf>
    <xf numFmtId="178" fontId="25" fillId="19" borderId="25" xfId="99" applyNumberFormat="1" applyFont="1" applyFill="1" applyBorder="1" applyAlignment="1" applyProtection="1">
      <alignment horizontal="right" vertical="center"/>
      <protection hidden="1"/>
    </xf>
    <xf numFmtId="171" fontId="25" fillId="21" borderId="18" xfId="99" applyNumberFormat="1" applyFont="1" applyFill="1" applyBorder="1" applyAlignment="1" applyProtection="1">
      <alignment horizontal="center" vertical="center" wrapText="1"/>
      <protection hidden="1"/>
    </xf>
    <xf numFmtId="3" fontId="64" fillId="21" borderId="7" xfId="99" applyNumberFormat="1" applyFont="1" applyFill="1" applyBorder="1" applyAlignment="1" applyProtection="1">
      <alignment horizontal="justify" vertical="center" wrapText="1"/>
      <protection hidden="1"/>
    </xf>
    <xf numFmtId="171" fontId="64" fillId="21" borderId="18" xfId="99" applyNumberFormat="1" applyFont="1" applyFill="1" applyBorder="1" applyAlignment="1" applyProtection="1">
      <alignment horizontal="center" vertical="center" wrapText="1"/>
      <protection hidden="1"/>
    </xf>
    <xf numFmtId="0" fontId="63" fillId="0" borderId="7" xfId="95" applyFont="1" applyBorder="1" applyAlignment="1" applyProtection="1">
      <alignment horizontal="center" vertical="center" wrapText="1"/>
      <protection hidden="1"/>
    </xf>
    <xf numFmtId="3" fontId="65" fillId="0" borderId="7" xfId="76" applyNumberFormat="1" applyFont="1" applyBorder="1" applyAlignment="1" applyProtection="1">
      <alignment vertical="center" wrapText="1"/>
      <protection hidden="1"/>
    </xf>
    <xf numFmtId="0" fontId="62" fillId="0" borderId="35" xfId="76" applyFont="1" applyBorder="1" applyAlignment="1" applyProtection="1">
      <alignment horizontal="center" vertical="center" wrapText="1"/>
      <protection hidden="1"/>
    </xf>
    <xf numFmtId="171" fontId="62" fillId="0" borderId="18" xfId="76" applyNumberFormat="1" applyFont="1" applyBorder="1" applyAlignment="1" applyProtection="1">
      <alignment horizontal="center" vertical="center" wrapText="1"/>
      <protection hidden="1"/>
    </xf>
    <xf numFmtId="0" fontId="62" fillId="0" borderId="7" xfId="99" applyFont="1" applyBorder="1" applyAlignment="1" applyProtection="1">
      <alignment horizontal="right" vertical="center" wrapText="1"/>
      <protection hidden="1"/>
    </xf>
    <xf numFmtId="0" fontId="62" fillId="0" borderId="20" xfId="99" applyFont="1" applyBorder="1" applyAlignment="1" applyProtection="1">
      <alignment horizontal="right" vertical="center" wrapText="1"/>
      <protection hidden="1"/>
    </xf>
    <xf numFmtId="178" fontId="25" fillId="0" borderId="25" xfId="99" applyNumberFormat="1" applyFont="1" applyBorder="1" applyAlignment="1" applyProtection="1">
      <alignment horizontal="right" vertical="center"/>
      <protection hidden="1"/>
    </xf>
    <xf numFmtId="178" fontId="62" fillId="0" borderId="0" xfId="101" applyNumberFormat="1" applyFont="1" applyAlignment="1" applyProtection="1">
      <alignment vertical="center"/>
      <protection hidden="1"/>
    </xf>
    <xf numFmtId="3" fontId="62" fillId="0" borderId="7" xfId="76" applyNumberFormat="1" applyFont="1" applyBorder="1" applyAlignment="1" applyProtection="1">
      <alignment horizontal="justify" vertical="center" wrapText="1"/>
      <protection hidden="1"/>
    </xf>
    <xf numFmtId="178" fontId="62" fillId="0" borderId="7" xfId="99" applyNumberFormat="1" applyFont="1" applyBorder="1" applyAlignment="1" applyProtection="1">
      <alignment horizontal="right" vertical="center" wrapText="1"/>
      <protection hidden="1"/>
    </xf>
    <xf numFmtId="0" fontId="62" fillId="21" borderId="18" xfId="95" applyFont="1" applyFill="1" applyBorder="1" applyAlignment="1" applyProtection="1">
      <alignment horizontal="center" vertical="center" wrapText="1"/>
      <protection hidden="1"/>
    </xf>
    <xf numFmtId="0" fontId="62" fillId="21" borderId="7" xfId="95" applyFont="1" applyFill="1" applyBorder="1" applyAlignment="1" applyProtection="1">
      <alignment horizontal="center" vertical="center" wrapText="1"/>
      <protection hidden="1"/>
    </xf>
    <xf numFmtId="3" fontId="62" fillId="21" borderId="7" xfId="76" applyNumberFormat="1" applyFont="1" applyFill="1" applyBorder="1" applyAlignment="1" applyProtection="1">
      <alignment horizontal="justify" vertical="center" wrapText="1"/>
      <protection hidden="1"/>
    </xf>
    <xf numFmtId="0" fontId="62" fillId="21" borderId="35" xfId="95" applyFont="1" applyFill="1" applyBorder="1" applyAlignment="1" applyProtection="1">
      <alignment horizontal="center" vertical="center"/>
      <protection hidden="1"/>
    </xf>
    <xf numFmtId="4" fontId="62" fillId="21" borderId="18" xfId="76" applyNumberFormat="1" applyFont="1" applyFill="1" applyBorder="1" applyAlignment="1" applyProtection="1">
      <alignment horizontal="center" vertical="center" wrapText="1"/>
      <protection hidden="1"/>
    </xf>
    <xf numFmtId="171" fontId="62" fillId="21" borderId="7" xfId="99" applyNumberFormat="1" applyFont="1" applyFill="1" applyBorder="1" applyAlignment="1" applyProtection="1">
      <alignment horizontal="center" vertical="center"/>
      <protection hidden="1"/>
    </xf>
    <xf numFmtId="171" fontId="62" fillId="21" borderId="7" xfId="76" applyNumberFormat="1" applyFont="1" applyFill="1" applyBorder="1" applyAlignment="1" applyProtection="1">
      <alignment horizontal="center" vertical="center" wrapText="1"/>
      <protection hidden="1"/>
    </xf>
    <xf numFmtId="171" fontId="62" fillId="21" borderId="35" xfId="99" applyNumberFormat="1" applyFont="1" applyFill="1" applyBorder="1" applyAlignment="1" applyProtection="1">
      <alignment horizontal="center" vertical="center"/>
      <protection hidden="1"/>
    </xf>
    <xf numFmtId="3" fontId="62" fillId="21" borderId="19" xfId="101" applyNumberFormat="1" applyFont="1" applyFill="1" applyBorder="1" applyAlignment="1" applyProtection="1">
      <alignment horizontal="center" vertical="center"/>
      <protection hidden="1"/>
    </xf>
    <xf numFmtId="178" fontId="62" fillId="21" borderId="7" xfId="99" applyNumberFormat="1" applyFont="1" applyFill="1" applyBorder="1" applyAlignment="1" applyProtection="1">
      <alignment horizontal="right" vertical="center" wrapText="1"/>
      <protection hidden="1"/>
    </xf>
    <xf numFmtId="178" fontId="62" fillId="21" borderId="37" xfId="99" applyNumberFormat="1" applyFont="1" applyFill="1" applyBorder="1" applyAlignment="1" applyProtection="1">
      <alignment horizontal="right" vertical="center"/>
      <protection hidden="1"/>
    </xf>
    <xf numFmtId="178" fontId="62" fillId="21" borderId="20" xfId="99" applyNumberFormat="1" applyFont="1" applyFill="1" applyBorder="1" applyAlignment="1" applyProtection="1">
      <alignment horizontal="right" vertical="center"/>
      <protection hidden="1"/>
    </xf>
    <xf numFmtId="0" fontId="62" fillId="21" borderId="0" xfId="101" applyFont="1" applyFill="1" applyAlignment="1" applyProtection="1">
      <alignment vertical="center"/>
      <protection hidden="1"/>
    </xf>
    <xf numFmtId="178" fontId="63" fillId="10" borderId="39" xfId="99" applyNumberFormat="1" applyFont="1" applyFill="1" applyBorder="1" applyAlignment="1" applyProtection="1">
      <alignment horizontal="right" vertical="center"/>
      <protection hidden="1"/>
    </xf>
    <xf numFmtId="178" fontId="63" fillId="0" borderId="40" xfId="99" applyNumberFormat="1" applyFont="1" applyBorder="1" applyAlignment="1" applyProtection="1">
      <alignment horizontal="right" vertical="center"/>
      <protection hidden="1"/>
    </xf>
    <xf numFmtId="178" fontId="63" fillId="0" borderId="40" xfId="99" applyNumberFormat="1" applyFont="1" applyBorder="1" applyAlignment="1" applyProtection="1">
      <alignment vertical="center"/>
      <protection hidden="1"/>
    </xf>
    <xf numFmtId="178" fontId="63" fillId="0" borderId="38" xfId="99" applyNumberFormat="1" applyFont="1" applyBorder="1" applyAlignment="1" applyProtection="1">
      <alignment vertical="center"/>
      <protection hidden="1"/>
    </xf>
    <xf numFmtId="178" fontId="63" fillId="10" borderId="15" xfId="99" applyNumberFormat="1" applyFont="1" applyFill="1" applyBorder="1" applyAlignment="1" applyProtection="1">
      <alignment vertical="center"/>
      <protection hidden="1"/>
    </xf>
    <xf numFmtId="178" fontId="63" fillId="0" borderId="39" xfId="99" applyNumberFormat="1" applyFont="1" applyBorder="1" applyAlignment="1" applyProtection="1">
      <alignment vertical="center"/>
      <protection hidden="1"/>
    </xf>
    <xf numFmtId="178" fontId="63" fillId="0" borderId="7" xfId="99" applyNumberFormat="1" applyFont="1" applyBorder="1" applyAlignment="1" applyProtection="1">
      <alignment vertical="center"/>
      <protection hidden="1"/>
    </xf>
    <xf numFmtId="205" fontId="63" fillId="0" borderId="39" xfId="99" applyNumberFormat="1" applyFont="1" applyBorder="1" applyAlignment="1" applyProtection="1">
      <alignment vertical="center"/>
      <protection hidden="1"/>
    </xf>
    <xf numFmtId="178" fontId="63" fillId="0" borderId="15" xfId="99" applyNumberFormat="1" applyFont="1" applyBorder="1" applyAlignment="1" applyProtection="1">
      <alignment vertical="center"/>
      <protection hidden="1"/>
    </xf>
    <xf numFmtId="178" fontId="63" fillId="0" borderId="52" xfId="99" applyNumberFormat="1" applyFont="1" applyBorder="1" applyAlignment="1" applyProtection="1">
      <alignment vertical="center"/>
      <protection hidden="1"/>
    </xf>
    <xf numFmtId="206" fontId="62" fillId="0" borderId="20" xfId="99" applyNumberFormat="1" applyFont="1" applyBorder="1" applyAlignment="1" applyProtection="1">
      <alignment horizontal="right" vertical="center"/>
      <protection hidden="1"/>
    </xf>
    <xf numFmtId="0" fontId="62" fillId="0" borderId="0" xfId="101" applyFont="1" applyAlignment="1" applyProtection="1">
      <alignment horizontal="center" vertical="center"/>
      <protection hidden="1"/>
    </xf>
    <xf numFmtId="171" fontId="62" fillId="0" borderId="0" xfId="101" applyNumberFormat="1" applyFont="1" applyAlignment="1" applyProtection="1">
      <alignment horizontal="justify" vertical="center"/>
      <protection hidden="1"/>
    </xf>
    <xf numFmtId="171" fontId="62" fillId="0" borderId="0" xfId="102" applyNumberFormat="1" applyFont="1" applyAlignment="1" applyProtection="1">
      <alignment horizontal="center" vertical="center"/>
      <protection hidden="1"/>
    </xf>
    <xf numFmtId="171" fontId="62" fillId="0" borderId="0" xfId="99" applyNumberFormat="1" applyFont="1" applyAlignment="1" applyProtection="1">
      <alignment horizontal="center" vertical="center"/>
      <protection hidden="1"/>
    </xf>
    <xf numFmtId="171" fontId="62" fillId="0" borderId="0" xfId="101" applyNumberFormat="1" applyFont="1" applyAlignment="1" applyProtection="1">
      <alignment horizontal="center" vertical="center"/>
      <protection hidden="1"/>
    </xf>
    <xf numFmtId="179" fontId="62" fillId="0" borderId="0" xfId="102" applyNumberFormat="1" applyFont="1" applyAlignment="1" applyProtection="1">
      <alignment horizontal="right" vertical="center"/>
      <protection hidden="1"/>
    </xf>
    <xf numFmtId="179" fontId="62" fillId="10" borderId="0" xfId="102" applyNumberFormat="1" applyFont="1" applyFill="1" applyAlignment="1" applyProtection="1">
      <alignment horizontal="right" vertical="center"/>
      <protection hidden="1"/>
    </xf>
    <xf numFmtId="178" fontId="64" fillId="0" borderId="0" xfId="101" applyNumberFormat="1" applyFont="1" applyAlignment="1" applyProtection="1">
      <alignment vertical="center"/>
      <protection hidden="1"/>
    </xf>
    <xf numFmtId="205" fontId="62" fillId="0" borderId="0" xfId="101" applyNumberFormat="1" applyFont="1" applyAlignment="1" applyProtection="1">
      <alignment vertical="center"/>
      <protection hidden="1"/>
    </xf>
    <xf numFmtId="43" fontId="62" fillId="0" borderId="0" xfId="35" applyFont="1" applyAlignment="1" applyProtection="1">
      <alignment vertical="center"/>
      <protection hidden="1"/>
    </xf>
    <xf numFmtId="0" fontId="62" fillId="0" borderId="7" xfId="101" applyFont="1" applyBorder="1" applyAlignment="1" applyProtection="1">
      <alignment horizontal="justify" vertical="center"/>
      <protection hidden="1"/>
    </xf>
    <xf numFmtId="178" fontId="63" fillId="0" borderId="0" xfId="99" applyNumberFormat="1" applyFont="1" applyAlignment="1" applyProtection="1">
      <alignment vertical="center"/>
      <protection hidden="1"/>
    </xf>
    <xf numFmtId="0" fontId="62" fillId="10" borderId="0" xfId="101" applyFont="1" applyFill="1" applyAlignment="1" applyProtection="1">
      <alignment horizontal="center" vertical="center"/>
      <protection hidden="1"/>
    </xf>
    <xf numFmtId="178" fontId="62" fillId="10" borderId="0" xfId="101" applyNumberFormat="1" applyFont="1" applyFill="1" applyAlignment="1" applyProtection="1">
      <alignment horizontal="center" vertical="center"/>
      <protection hidden="1"/>
    </xf>
    <xf numFmtId="0" fontId="66" fillId="22" borderId="8" xfId="0" applyFont="1" applyFill="1" applyBorder="1" applyAlignment="1" applyProtection="1">
      <alignment horizontal="center" vertical="center"/>
      <protection hidden="1"/>
    </xf>
    <xf numFmtId="0" fontId="66" fillId="22" borderId="53" xfId="0" applyFont="1" applyFill="1" applyBorder="1" applyAlignment="1" applyProtection="1">
      <alignment horizontal="center" vertical="center"/>
      <protection hidden="1"/>
    </xf>
    <xf numFmtId="178" fontId="62" fillId="10" borderId="0" xfId="101" applyNumberFormat="1" applyFont="1" applyFill="1" applyAlignment="1" applyProtection="1">
      <alignment horizontal="justify" vertical="center"/>
      <protection hidden="1"/>
    </xf>
    <xf numFmtId="171" fontId="62" fillId="10" borderId="0" xfId="102" applyNumberFormat="1" applyFont="1" applyFill="1" applyAlignment="1" applyProtection="1">
      <alignment horizontal="center" vertical="center"/>
      <protection hidden="1"/>
    </xf>
    <xf numFmtId="171" fontId="62" fillId="10" borderId="0" xfId="99" applyNumberFormat="1" applyFont="1" applyFill="1" applyAlignment="1" applyProtection="1">
      <alignment horizontal="center" vertical="center"/>
      <protection hidden="1"/>
    </xf>
    <xf numFmtId="171" fontId="62" fillId="12" borderId="0" xfId="99" applyNumberFormat="1" applyFont="1" applyFill="1" applyAlignment="1" applyProtection="1">
      <alignment horizontal="center" vertical="center"/>
      <protection hidden="1"/>
    </xf>
    <xf numFmtId="171" fontId="62" fillId="10" borderId="0" xfId="101" applyNumberFormat="1" applyFont="1" applyFill="1" applyAlignment="1" applyProtection="1">
      <alignment horizontal="center" vertical="center"/>
      <protection hidden="1"/>
    </xf>
    <xf numFmtId="178" fontId="62" fillId="10" borderId="0" xfId="101" applyNumberFormat="1" applyFont="1" applyFill="1" applyAlignment="1" applyProtection="1">
      <alignment vertical="center"/>
      <protection hidden="1"/>
    </xf>
    <xf numFmtId="0" fontId="62" fillId="10" borderId="0" xfId="101" applyFont="1" applyFill="1" applyAlignment="1" applyProtection="1">
      <alignment horizontal="justify" vertical="center"/>
      <protection hidden="1"/>
    </xf>
    <xf numFmtId="210" fontId="62" fillId="10" borderId="0" xfId="101" applyNumberFormat="1" applyFont="1" applyFill="1" applyAlignment="1" applyProtection="1">
      <alignment vertical="center"/>
      <protection hidden="1"/>
    </xf>
    <xf numFmtId="180" fontId="63" fillId="10" borderId="0" xfId="101" applyNumberFormat="1" applyFont="1" applyFill="1" applyAlignment="1" applyProtection="1">
      <alignment vertical="center"/>
      <protection hidden="1"/>
    </xf>
    <xf numFmtId="0" fontId="63" fillId="10" borderId="0" xfId="101" quotePrefix="1" applyFont="1" applyFill="1" applyAlignment="1" applyProtection="1">
      <alignment vertical="center"/>
      <protection hidden="1"/>
    </xf>
    <xf numFmtId="205" fontId="63" fillId="10" borderId="0" xfId="101" applyNumberFormat="1" applyFont="1" applyFill="1" applyAlignment="1" applyProtection="1">
      <alignment vertical="center"/>
      <protection hidden="1"/>
    </xf>
    <xf numFmtId="176" fontId="8" fillId="10" borderId="7" xfId="76" applyNumberFormat="1" applyFill="1" applyBorder="1" applyAlignment="1" applyProtection="1">
      <alignment horizontal="center" vertical="center" wrapText="1"/>
      <protection hidden="1"/>
    </xf>
    <xf numFmtId="209" fontId="62" fillId="10" borderId="0" xfId="101" applyNumberFormat="1" applyFont="1" applyFill="1" applyAlignment="1" applyProtection="1">
      <alignment vertical="center"/>
      <protection hidden="1"/>
    </xf>
    <xf numFmtId="180" fontId="62" fillId="10" borderId="0" xfId="101" applyNumberFormat="1" applyFont="1" applyFill="1" applyAlignment="1" applyProtection="1">
      <alignment vertical="center"/>
      <protection hidden="1"/>
    </xf>
    <xf numFmtId="210" fontId="62" fillId="0" borderId="0" xfId="101" applyNumberFormat="1" applyFont="1" applyAlignment="1" applyProtection="1">
      <alignment vertical="center"/>
      <protection hidden="1"/>
    </xf>
    <xf numFmtId="206" fontId="62" fillId="10" borderId="0" xfId="101" applyNumberFormat="1" applyFont="1" applyFill="1" applyAlignment="1" applyProtection="1">
      <alignment vertical="center"/>
      <protection hidden="1"/>
    </xf>
    <xf numFmtId="171" fontId="62" fillId="10" borderId="7" xfId="99" applyNumberFormat="1" applyFont="1" applyFill="1" applyBorder="1" applyAlignment="1" applyProtection="1">
      <alignment horizontal="center" vertical="center"/>
      <protection hidden="1"/>
    </xf>
    <xf numFmtId="0" fontId="8" fillId="0" borderId="0" xfId="97" applyAlignment="1" applyProtection="1">
      <alignment vertical="center"/>
      <protection locked="0"/>
    </xf>
    <xf numFmtId="0" fontId="9" fillId="0" borderId="0" xfId="97" applyFont="1" applyAlignment="1" applyProtection="1">
      <alignment horizontal="left" vertical="center"/>
      <protection locked="0"/>
    </xf>
    <xf numFmtId="0" fontId="8" fillId="0" borderId="0" xfId="97" applyAlignment="1" applyProtection="1">
      <alignment horizontal="center" vertical="center"/>
      <protection locked="0"/>
    </xf>
    <xf numFmtId="0" fontId="8" fillId="25" borderId="0" xfId="97" applyFill="1" applyAlignment="1" applyProtection="1">
      <alignment horizontal="center" vertical="center"/>
      <protection locked="0"/>
    </xf>
    <xf numFmtId="0" fontId="9" fillId="0" borderId="0" xfId="97" applyFont="1" applyAlignment="1" applyProtection="1">
      <alignment vertical="center"/>
      <protection locked="0"/>
    </xf>
    <xf numFmtId="0" fontId="9" fillId="0" borderId="0" xfId="0" applyFont="1" applyAlignment="1" applyProtection="1">
      <alignment horizontal="center" vertical="center" wrapText="1"/>
      <protection locked="0"/>
    </xf>
    <xf numFmtId="0" fontId="8" fillId="0" borderId="0" xfId="97" applyAlignment="1" applyProtection="1">
      <alignment vertical="center" wrapText="1"/>
      <protection locked="0"/>
    </xf>
    <xf numFmtId="0" fontId="9" fillId="0" borderId="0" xfId="97" applyFont="1" applyAlignment="1" applyProtection="1">
      <alignment horizontal="center" vertical="center" wrapText="1"/>
      <protection locked="0"/>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0" xfId="97" applyProtection="1">
      <protection locked="0"/>
    </xf>
    <xf numFmtId="0" fontId="9" fillId="0" borderId="0" xfId="97" applyFont="1" applyAlignment="1" applyProtection="1">
      <alignment horizontal="center"/>
      <protection locked="0"/>
    </xf>
    <xf numFmtId="170" fontId="9" fillId="0" borderId="0" xfId="97" applyNumberFormat="1" applyFont="1" applyAlignment="1" applyProtection="1">
      <alignment horizontal="center"/>
      <protection locked="0"/>
    </xf>
    <xf numFmtId="1" fontId="8" fillId="0" borderId="0" xfId="97" applyNumberFormat="1" applyProtection="1">
      <protection locked="0"/>
    </xf>
    <xf numFmtId="1" fontId="8" fillId="21" borderId="0" xfId="97" applyNumberFormat="1" applyFill="1" applyProtection="1">
      <protection locked="0"/>
    </xf>
    <xf numFmtId="0" fontId="0" fillId="0" borderId="0" xfId="97" applyFont="1" applyAlignment="1" applyProtection="1">
      <alignment horizontal="center" vertical="center"/>
      <protection locked="0"/>
    </xf>
    <xf numFmtId="0" fontId="8" fillId="25" borderId="0" xfId="97" applyFill="1" applyAlignment="1" applyProtection="1">
      <alignment vertical="center"/>
      <protection locked="0"/>
    </xf>
    <xf numFmtId="0" fontId="0" fillId="0" borderId="0" xfId="97" applyFont="1" applyAlignment="1" applyProtection="1">
      <alignment horizontal="right" vertical="center"/>
      <protection locked="0"/>
    </xf>
    <xf numFmtId="0" fontId="7" fillId="0" borderId="0" xfId="97" applyFont="1" applyAlignment="1" applyProtection="1">
      <alignment horizontal="left" vertical="center"/>
      <protection locked="0"/>
    </xf>
    <xf numFmtId="0" fontId="9" fillId="4" borderId="7" xfId="97" applyFont="1" applyFill="1" applyBorder="1" applyAlignment="1" applyProtection="1">
      <alignment horizontal="center" vertical="center" wrapText="1"/>
      <protection hidden="1"/>
    </xf>
    <xf numFmtId="0" fontId="9" fillId="25" borderId="7" xfId="97"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0" borderId="0" xfId="0" applyFont="1" applyAlignment="1" applyProtection="1">
      <alignment horizontal="center" vertical="center" wrapText="1"/>
      <protection hidden="1"/>
    </xf>
    <xf numFmtId="17" fontId="9" fillId="6" borderId="7" xfId="0" applyNumberFormat="1" applyFont="1" applyFill="1" applyBorder="1" applyAlignment="1" applyProtection="1">
      <alignment horizontal="center" vertical="center" wrapText="1"/>
      <protection hidden="1"/>
    </xf>
    <xf numFmtId="0" fontId="9" fillId="3" borderId="7" xfId="0" applyFont="1" applyFill="1" applyBorder="1" applyAlignment="1" applyProtection="1">
      <alignment horizontal="center" vertical="center" wrapText="1"/>
      <protection hidden="1"/>
    </xf>
    <xf numFmtId="0" fontId="9" fillId="2" borderId="7" xfId="0" applyFont="1" applyFill="1" applyBorder="1" applyAlignment="1" applyProtection="1">
      <alignment horizontal="center" vertical="center" wrapText="1"/>
      <protection hidden="1"/>
    </xf>
    <xf numFmtId="0" fontId="9" fillId="5" borderId="7" xfId="0" applyFont="1" applyFill="1" applyBorder="1" applyAlignment="1" applyProtection="1">
      <alignment horizontal="center" vertical="center" wrapText="1"/>
      <protection hidden="1"/>
    </xf>
    <xf numFmtId="0" fontId="9" fillId="7" borderId="7" xfId="0" applyFont="1" applyFill="1" applyBorder="1" applyAlignment="1" applyProtection="1">
      <alignment horizontal="center" vertical="center" wrapText="1"/>
      <protection hidden="1"/>
    </xf>
    <xf numFmtId="0" fontId="9"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0" fillId="0" borderId="7" xfId="0" applyBorder="1" applyAlignment="1" applyProtection="1">
      <alignment horizontal="center" vertical="center"/>
      <protection hidden="1"/>
    </xf>
    <xf numFmtId="0" fontId="8" fillId="0" borderId="7"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0" fontId="8" fillId="0" borderId="0" xfId="97" applyAlignment="1" applyProtection="1">
      <alignment horizontal="center" vertical="center"/>
      <protection hidden="1"/>
    </xf>
    <xf numFmtId="0" fontId="8" fillId="10" borderId="20" xfId="97" applyFill="1" applyBorder="1" applyAlignment="1" applyProtection="1">
      <alignment horizontal="center" vertical="center"/>
      <protection hidden="1"/>
    </xf>
    <xf numFmtId="0" fontId="9" fillId="0" borderId="0" xfId="97" applyFont="1" applyAlignment="1" applyProtection="1">
      <alignment horizontal="center" vertical="center"/>
      <protection hidden="1"/>
    </xf>
    <xf numFmtId="0" fontId="9" fillId="0" borderId="0" xfId="97" applyFont="1" applyAlignment="1" applyProtection="1">
      <alignment vertical="center"/>
      <protection hidden="1"/>
    </xf>
    <xf numFmtId="0" fontId="9" fillId="0" borderId="56" xfId="97" applyFont="1" applyBorder="1" applyAlignment="1" applyProtection="1">
      <alignment horizontal="center" vertical="center"/>
      <protection hidden="1"/>
    </xf>
    <xf numFmtId="0" fontId="8" fillId="0" borderId="0" xfId="97" applyAlignment="1" applyProtection="1">
      <alignment vertical="center"/>
      <protection hidden="1"/>
    </xf>
    <xf numFmtId="0" fontId="9" fillId="0" borderId="0" xfId="97" applyFont="1" applyAlignment="1" applyProtection="1">
      <alignment vertical="center" wrapText="1"/>
      <protection hidden="1"/>
    </xf>
    <xf numFmtId="169" fontId="8" fillId="0" borderId="0" xfId="0" applyNumberFormat="1" applyFont="1" applyAlignment="1" applyProtection="1">
      <alignment horizontal="center" vertical="center"/>
      <protection hidden="1"/>
    </xf>
    <xf numFmtId="170" fontId="8" fillId="0" borderId="0" xfId="97" applyNumberFormat="1" applyAlignment="1" applyProtection="1">
      <alignment horizontal="center"/>
      <protection hidden="1"/>
    </xf>
    <xf numFmtId="0" fontId="8" fillId="0" borderId="0" xfId="97" applyAlignment="1" applyProtection="1">
      <alignment horizontal="center"/>
      <protection hidden="1"/>
    </xf>
    <xf numFmtId="0" fontId="8" fillId="0" borderId="0" xfId="97" applyProtection="1">
      <protection hidden="1"/>
    </xf>
    <xf numFmtId="2" fontId="8" fillId="0" borderId="0" xfId="97" applyNumberFormat="1" applyAlignment="1" applyProtection="1">
      <alignment horizontal="center"/>
      <protection hidden="1"/>
    </xf>
    <xf numFmtId="1" fontId="9" fillId="0" borderId="0" xfId="97" applyNumberFormat="1" applyFont="1" applyAlignment="1" applyProtection="1">
      <alignment vertical="center"/>
      <protection hidden="1"/>
    </xf>
    <xf numFmtId="0" fontId="8" fillId="0" borderId="55" xfId="97" applyBorder="1" applyAlignment="1" applyProtection="1">
      <alignment horizontal="center" vertical="center"/>
      <protection hidden="1"/>
    </xf>
    <xf numFmtId="0" fontId="9" fillId="4" borderId="7" xfId="97" applyFont="1" applyFill="1" applyBorder="1" applyAlignment="1" applyProtection="1">
      <alignment horizontal="center" vertical="center"/>
      <protection hidden="1"/>
    </xf>
    <xf numFmtId="0" fontId="9" fillId="25" borderId="7" xfId="97" applyFont="1" applyFill="1" applyBorder="1" applyAlignment="1" applyProtection="1">
      <alignment horizontal="center" vertical="center"/>
      <protection hidden="1"/>
    </xf>
    <xf numFmtId="0" fontId="29" fillId="0" borderId="7" xfId="97" applyFont="1" applyBorder="1" applyAlignment="1" applyProtection="1">
      <alignment horizontal="center" vertical="center"/>
      <protection hidden="1"/>
    </xf>
    <xf numFmtId="0" fontId="9" fillId="0" borderId="7" xfId="97" applyFont="1" applyBorder="1" applyAlignment="1" applyProtection="1">
      <alignment horizontal="center" vertical="center"/>
      <protection hidden="1"/>
    </xf>
    <xf numFmtId="1" fontId="8" fillId="25" borderId="0" xfId="97" applyNumberFormat="1" applyFill="1" applyAlignment="1" applyProtection="1">
      <alignment horizontal="center" vertical="center"/>
      <protection hidden="1"/>
    </xf>
    <xf numFmtId="0" fontId="8" fillId="25" borderId="0" xfId="97" applyFill="1" applyAlignment="1" applyProtection="1">
      <alignment horizontal="center" vertical="center"/>
      <protection hidden="1"/>
    </xf>
    <xf numFmtId="0" fontId="29" fillId="0" borderId="0" xfId="97" applyFont="1" applyAlignment="1" applyProtection="1">
      <alignment horizontal="center" vertical="center"/>
      <protection hidden="1"/>
    </xf>
    <xf numFmtId="0" fontId="30" fillId="0" borderId="0" xfId="97" applyFont="1" applyAlignment="1" applyProtection="1">
      <alignment horizontal="center" vertical="center"/>
      <protection hidden="1"/>
    </xf>
    <xf numFmtId="0" fontId="20" fillId="0" borderId="0" xfId="97" applyFont="1" applyProtection="1">
      <protection hidden="1"/>
    </xf>
    <xf numFmtId="0" fontId="20" fillId="0" borderId="0" xfId="97" applyFont="1" applyAlignment="1" applyProtection="1">
      <alignment horizontal="center"/>
      <protection hidden="1"/>
    </xf>
    <xf numFmtId="0" fontId="9" fillId="0" borderId="0" xfId="97" applyFont="1" applyAlignment="1" applyProtection="1">
      <alignment horizontal="center"/>
      <protection hidden="1"/>
    </xf>
    <xf numFmtId="0" fontId="8" fillId="25" borderId="0" xfId="97" applyFill="1" applyProtection="1">
      <protection hidden="1"/>
    </xf>
    <xf numFmtId="0" fontId="20" fillId="25" borderId="0" xfId="97" applyFont="1" applyFill="1" applyProtection="1">
      <protection hidden="1"/>
    </xf>
    <xf numFmtId="0" fontId="0" fillId="0" borderId="0" xfId="97" applyFont="1" applyProtection="1">
      <protection hidden="1"/>
    </xf>
    <xf numFmtId="3" fontId="9" fillId="4" borderId="57" xfId="97" applyNumberFormat="1" applyFont="1" applyFill="1" applyBorder="1" applyAlignment="1" applyProtection="1">
      <alignment horizontal="center" vertical="center"/>
      <protection hidden="1"/>
    </xf>
    <xf numFmtId="3" fontId="9" fillId="4" borderId="8" xfId="97" applyNumberFormat="1" applyFont="1" applyFill="1" applyBorder="1" applyAlignment="1" applyProtection="1">
      <alignment horizontal="center" vertical="center"/>
      <protection hidden="1"/>
    </xf>
    <xf numFmtId="0" fontId="8" fillId="0" borderId="19" xfId="97" applyBorder="1" applyAlignment="1" applyProtection="1">
      <alignment horizontal="center"/>
      <protection hidden="1"/>
    </xf>
    <xf numFmtId="0" fontId="8" fillId="0" borderId="58" xfId="97" applyBorder="1" applyAlignment="1" applyProtection="1">
      <alignment horizontal="center"/>
      <protection hidden="1"/>
    </xf>
    <xf numFmtId="0" fontId="9" fillId="4" borderId="35" xfId="0" applyFont="1" applyFill="1" applyBorder="1" applyAlignment="1" applyProtection="1">
      <alignment vertical="center"/>
      <protection hidden="1"/>
    </xf>
    <xf numFmtId="0" fontId="9" fillId="4" borderId="7" xfId="0" applyFont="1" applyFill="1" applyBorder="1" applyAlignment="1" applyProtection="1">
      <alignment horizontal="center" vertical="center"/>
      <protection hidden="1"/>
    </xf>
    <xf numFmtId="0" fontId="8" fillId="0" borderId="14" xfId="97" applyBorder="1" applyAlignment="1" applyProtection="1">
      <alignment horizontal="center"/>
      <protection hidden="1"/>
    </xf>
    <xf numFmtId="0" fontId="8" fillId="0" borderId="59" xfId="97" applyBorder="1" applyAlignment="1" applyProtection="1">
      <alignment horizontal="center"/>
      <protection hidden="1"/>
    </xf>
    <xf numFmtId="0" fontId="9" fillId="8" borderId="35" xfId="0" applyFont="1" applyFill="1" applyBorder="1" applyAlignment="1" applyProtection="1">
      <alignment vertical="center"/>
      <protection hidden="1"/>
    </xf>
    <xf numFmtId="0" fontId="9" fillId="8" borderId="7" xfId="0" applyFont="1" applyFill="1" applyBorder="1" applyAlignment="1" applyProtection="1">
      <alignment horizontal="center" vertical="center"/>
      <protection hidden="1"/>
    </xf>
    <xf numFmtId="0" fontId="9" fillId="5" borderId="35" xfId="0" applyFont="1" applyFill="1" applyBorder="1" applyAlignment="1" applyProtection="1">
      <alignment vertical="center"/>
      <protection hidden="1"/>
    </xf>
    <xf numFmtId="3" fontId="9" fillId="5" borderId="7" xfId="0" applyNumberFormat="1" applyFont="1" applyFill="1" applyBorder="1" applyAlignment="1" applyProtection="1">
      <alignment horizontal="center" vertical="center"/>
      <protection hidden="1"/>
    </xf>
    <xf numFmtId="3" fontId="9" fillId="4" borderId="29" xfId="97" applyNumberFormat="1" applyFont="1" applyFill="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 fillId="0" borderId="24" xfId="97" applyBorder="1" applyAlignment="1" applyProtection="1">
      <alignment horizontal="center" vertical="center"/>
      <protection hidden="1"/>
    </xf>
    <xf numFmtId="3" fontId="9" fillId="4" borderId="41" xfId="97" applyNumberFormat="1" applyFont="1" applyFill="1" applyBorder="1" applyAlignment="1" applyProtection="1">
      <alignment horizontal="center" vertical="center" wrapText="1"/>
      <protection hidden="1"/>
    </xf>
    <xf numFmtId="0" fontId="8" fillId="0" borderId="34" xfId="97" applyBorder="1" applyAlignment="1" applyProtection="1">
      <alignment horizontal="center" vertical="center"/>
      <protection hidden="1"/>
    </xf>
    <xf numFmtId="0" fontId="8" fillId="0" borderId="20" xfId="97" applyBorder="1" applyAlignment="1" applyProtection="1">
      <alignment horizontal="center" vertical="center"/>
      <protection hidden="1"/>
    </xf>
    <xf numFmtId="3" fontId="9" fillId="4" borderId="18" xfId="97" applyNumberFormat="1" applyFont="1" applyFill="1" applyBorder="1" applyAlignment="1" applyProtection="1">
      <alignment horizontal="center" vertical="center" wrapText="1"/>
      <protection hidden="1"/>
    </xf>
    <xf numFmtId="0" fontId="9" fillId="0" borderId="15" xfId="97" applyFont="1" applyBorder="1" applyAlignment="1" applyProtection="1">
      <alignment horizontal="center" vertical="center"/>
      <protection hidden="1"/>
    </xf>
    <xf numFmtId="3" fontId="9" fillId="4" borderId="38" xfId="97" applyNumberFormat="1" applyFont="1" applyFill="1" applyBorder="1" applyAlignment="1" applyProtection="1">
      <alignment horizontal="center" vertical="center" wrapText="1"/>
      <protection hidden="1"/>
    </xf>
    <xf numFmtId="0" fontId="0" fillId="0" borderId="0" xfId="97" applyFont="1" applyAlignment="1" applyProtection="1">
      <alignment horizontal="center" vertical="center"/>
      <protection hidden="1"/>
    </xf>
    <xf numFmtId="0" fontId="9" fillId="0" borderId="60" xfId="96" applyFont="1" applyBorder="1" applyAlignment="1" applyProtection="1">
      <alignment horizontal="center" vertical="center" wrapText="1"/>
      <protection hidden="1"/>
    </xf>
    <xf numFmtId="3" fontId="9" fillId="0" borderId="61" xfId="96" applyNumberFormat="1" applyFont="1" applyBorder="1" applyAlignment="1" applyProtection="1">
      <alignment horizontal="center" vertical="center" wrapText="1"/>
      <protection hidden="1"/>
    </xf>
    <xf numFmtId="4" fontId="9" fillId="0" borderId="61" xfId="96" applyNumberFormat="1" applyFont="1" applyBorder="1" applyAlignment="1" applyProtection="1">
      <alignment horizontal="center" vertical="center" wrapText="1"/>
      <protection hidden="1"/>
    </xf>
    <xf numFmtId="176" fontId="9" fillId="0" borderId="61" xfId="96" applyNumberFormat="1" applyFont="1" applyBorder="1" applyAlignment="1" applyProtection="1">
      <alignment horizontal="center" vertical="center" wrapText="1"/>
      <protection hidden="1"/>
    </xf>
    <xf numFmtId="176" fontId="9" fillId="0" borderId="62" xfId="96" applyNumberFormat="1" applyFont="1" applyBorder="1" applyAlignment="1" applyProtection="1">
      <alignment horizontal="center" vertical="center" wrapText="1"/>
      <protection hidden="1"/>
    </xf>
    <xf numFmtId="0" fontId="9" fillId="0" borderId="63" xfId="96" applyFont="1" applyBorder="1" applyAlignment="1" applyProtection="1">
      <alignment horizontal="center" vertical="center" wrapText="1"/>
      <protection hidden="1"/>
    </xf>
    <xf numFmtId="3" fontId="9" fillId="0" borderId="63" xfId="96" applyNumberFormat="1" applyFont="1" applyBorder="1" applyAlignment="1" applyProtection="1">
      <alignment horizontal="center" vertical="center"/>
      <protection hidden="1"/>
    </xf>
    <xf numFmtId="4" fontId="9" fillId="0" borderId="63" xfId="96" applyNumberFormat="1" applyFont="1" applyBorder="1" applyAlignment="1" applyProtection="1">
      <alignment vertical="center"/>
      <protection hidden="1"/>
    </xf>
    <xf numFmtId="176" fontId="9" fillId="0" borderId="63" xfId="96" applyNumberFormat="1" applyFont="1" applyBorder="1" applyAlignment="1" applyProtection="1">
      <alignment vertical="center"/>
      <protection hidden="1"/>
    </xf>
    <xf numFmtId="176" fontId="9" fillId="0" borderId="63" xfId="96" applyNumberFormat="1" applyFont="1" applyBorder="1" applyAlignment="1" applyProtection="1">
      <alignment horizontal="center" vertical="center"/>
      <protection hidden="1"/>
    </xf>
    <xf numFmtId="176" fontId="9" fillId="0" borderId="65" xfId="48" applyNumberFormat="1" applyFont="1" applyBorder="1" applyAlignment="1" applyProtection="1">
      <alignment horizontal="right" vertical="center"/>
      <protection hidden="1"/>
    </xf>
    <xf numFmtId="3" fontId="9" fillId="0" borderId="66" xfId="96" applyNumberFormat="1" applyFont="1" applyBorder="1" applyAlignment="1" applyProtection="1">
      <alignment horizontal="left" vertical="center"/>
      <protection hidden="1"/>
    </xf>
    <xf numFmtId="176" fontId="9" fillId="0" borderId="61" xfId="96" applyNumberFormat="1" applyFont="1" applyBorder="1" applyAlignment="1" applyProtection="1">
      <alignment vertical="center"/>
      <protection hidden="1"/>
    </xf>
    <xf numFmtId="176" fontId="9" fillId="0" borderId="62" xfId="48" applyNumberFormat="1" applyFont="1" applyBorder="1" applyAlignment="1" applyProtection="1">
      <alignment horizontal="right" vertical="center"/>
      <protection hidden="1"/>
    </xf>
    <xf numFmtId="3" fontId="9" fillId="0" borderId="0" xfId="96" applyNumberFormat="1" applyFont="1" applyAlignment="1" applyProtection="1">
      <alignment horizontal="left" vertical="center"/>
      <protection hidden="1"/>
    </xf>
    <xf numFmtId="3" fontId="9" fillId="0" borderId="0" xfId="96" applyNumberFormat="1" applyFont="1" applyAlignment="1" applyProtection="1">
      <alignment horizontal="center" vertical="center"/>
      <protection hidden="1"/>
    </xf>
    <xf numFmtId="4" fontId="9" fillId="0" borderId="0" xfId="96" applyNumberFormat="1" applyFont="1" applyAlignment="1" applyProtection="1">
      <alignment vertical="center"/>
      <protection hidden="1"/>
    </xf>
    <xf numFmtId="176" fontId="9" fillId="0" borderId="0" xfId="96" applyNumberFormat="1" applyFont="1" applyAlignment="1" applyProtection="1">
      <alignment vertical="center"/>
      <protection hidden="1"/>
    </xf>
    <xf numFmtId="176" fontId="9" fillId="0" borderId="0" xfId="96" applyNumberFormat="1" applyFont="1" applyAlignment="1" applyProtection="1">
      <alignment horizontal="right" vertical="center"/>
      <protection hidden="1"/>
    </xf>
    <xf numFmtId="0" fontId="9" fillId="0" borderId="0" xfId="96" applyFont="1" applyAlignment="1" applyProtection="1">
      <alignment horizontal="center" vertical="center"/>
      <protection hidden="1"/>
    </xf>
    <xf numFmtId="0" fontId="9" fillId="0" borderId="0" xfId="96" applyFont="1" applyAlignment="1" applyProtection="1">
      <alignment vertical="center"/>
      <protection hidden="1"/>
    </xf>
    <xf numFmtId="176" fontId="9" fillId="0" borderId="65" xfId="96" applyNumberFormat="1" applyFont="1" applyBorder="1" applyProtection="1">
      <protection hidden="1"/>
    </xf>
    <xf numFmtId="176" fontId="9" fillId="0" borderId="63" xfId="96" applyNumberFormat="1" applyFont="1" applyBorder="1" applyAlignment="1" applyProtection="1">
      <alignment horizontal="right" vertical="center"/>
      <protection hidden="1"/>
    </xf>
    <xf numFmtId="176" fontId="9" fillId="0" borderId="0" xfId="96" applyNumberFormat="1" applyFont="1" applyProtection="1">
      <protection hidden="1"/>
    </xf>
    <xf numFmtId="176" fontId="9" fillId="0" borderId="0" xfId="48" applyNumberFormat="1" applyFont="1" applyAlignment="1" applyProtection="1">
      <alignment horizontal="right" vertical="center"/>
      <protection hidden="1"/>
    </xf>
    <xf numFmtId="0" fontId="9" fillId="0" borderId="64" xfId="96" applyFont="1" applyBorder="1" applyAlignment="1" applyProtection="1">
      <alignment vertical="center"/>
      <protection hidden="1"/>
    </xf>
    <xf numFmtId="176" fontId="9" fillId="0" borderId="0" xfId="48" applyNumberFormat="1" applyFont="1" applyAlignment="1" applyProtection="1">
      <alignment vertical="center"/>
      <protection hidden="1"/>
    </xf>
    <xf numFmtId="176" fontId="9" fillId="0" borderId="65" xfId="48" applyNumberFormat="1" applyFont="1" applyBorder="1" applyAlignment="1" applyProtection="1">
      <alignment vertical="center"/>
      <protection hidden="1"/>
    </xf>
    <xf numFmtId="0" fontId="9" fillId="0" borderId="69" xfId="96" applyFont="1" applyBorder="1" applyAlignment="1" applyProtection="1">
      <alignment vertical="center"/>
      <protection hidden="1"/>
    </xf>
    <xf numFmtId="3" fontId="9" fillId="0" borderId="0" xfId="96" applyNumberFormat="1" applyFont="1" applyProtection="1">
      <protection hidden="1"/>
    </xf>
    <xf numFmtId="0" fontId="9" fillId="0" borderId="66" xfId="96" applyFont="1" applyBorder="1" applyAlignment="1" applyProtection="1">
      <alignment vertical="center"/>
      <protection hidden="1"/>
    </xf>
    <xf numFmtId="0" fontId="9" fillId="0" borderId="0" xfId="96" applyFont="1" applyProtection="1">
      <protection hidden="1"/>
    </xf>
    <xf numFmtId="3" fontId="9" fillId="0" borderId="64" xfId="96" applyNumberFormat="1" applyFont="1" applyBorder="1" applyAlignment="1" applyProtection="1">
      <alignment horizontal="left" vertical="center"/>
      <protection hidden="1"/>
    </xf>
    <xf numFmtId="3" fontId="60" fillId="0" borderId="0" xfId="96" applyNumberFormat="1" applyFont="1" applyProtection="1">
      <protection hidden="1"/>
    </xf>
    <xf numFmtId="176" fontId="60" fillId="0" borderId="0" xfId="96" applyNumberFormat="1" applyFont="1" applyProtection="1">
      <protection hidden="1"/>
    </xf>
    <xf numFmtId="0" fontId="60" fillId="0" borderId="0" xfId="96" applyFont="1" applyProtection="1">
      <protection hidden="1"/>
    </xf>
    <xf numFmtId="176" fontId="9" fillId="0" borderId="70" xfId="48" applyNumberFormat="1" applyFont="1" applyBorder="1" applyAlignment="1" applyProtection="1">
      <alignment horizontal="right" vertical="center"/>
      <protection hidden="1"/>
    </xf>
    <xf numFmtId="3" fontId="9" fillId="0" borderId="61" xfId="96" applyNumberFormat="1" applyFont="1" applyBorder="1" applyAlignment="1" applyProtection="1">
      <alignment horizontal="left" vertical="center"/>
      <protection hidden="1"/>
    </xf>
    <xf numFmtId="176" fontId="9" fillId="0" borderId="65" xfId="96" applyNumberFormat="1" applyFont="1" applyBorder="1" applyAlignment="1" applyProtection="1">
      <alignment horizontal="right" vertical="center"/>
      <protection hidden="1"/>
    </xf>
    <xf numFmtId="176" fontId="9" fillId="0" borderId="71" xfId="48" applyNumberFormat="1" applyFont="1" applyBorder="1" applyAlignment="1" applyProtection="1">
      <alignment horizontal="right" vertical="center"/>
      <protection hidden="1"/>
    </xf>
    <xf numFmtId="0" fontId="48" fillId="0" borderId="0" xfId="0" applyFont="1" applyProtection="1">
      <protection hidden="1"/>
    </xf>
    <xf numFmtId="0" fontId="49" fillId="0" borderId="72" xfId="0" applyFont="1" applyBorder="1" applyProtection="1">
      <protection hidden="1"/>
    </xf>
    <xf numFmtId="0" fontId="49" fillId="0" borderId="73" xfId="0" applyFont="1" applyBorder="1" applyProtection="1">
      <protection hidden="1"/>
    </xf>
    <xf numFmtId="0" fontId="50" fillId="0" borderId="73" xfId="0" applyFont="1" applyBorder="1" applyAlignment="1" applyProtection="1">
      <alignment horizontal="left" vertical="center"/>
      <protection hidden="1"/>
    </xf>
    <xf numFmtId="0" fontId="51" fillId="0" borderId="73" xfId="0" applyFont="1" applyBorder="1" applyAlignment="1" applyProtection="1">
      <alignment horizontal="left" vertical="center"/>
      <protection hidden="1"/>
    </xf>
    <xf numFmtId="0" fontId="48" fillId="0" borderId="73" xfId="0" applyFont="1" applyBorder="1" applyProtection="1">
      <protection hidden="1"/>
    </xf>
    <xf numFmtId="0" fontId="51" fillId="0" borderId="74" xfId="0" applyFont="1" applyBorder="1" applyAlignment="1" applyProtection="1">
      <alignment horizontal="center" vertical="center"/>
      <protection hidden="1"/>
    </xf>
    <xf numFmtId="0" fontId="49" fillId="0" borderId="75" xfId="0" applyFont="1" applyBorder="1" applyProtection="1">
      <protection hidden="1"/>
    </xf>
    <xf numFmtId="0" fontId="52" fillId="0" borderId="9" xfId="0" applyFont="1" applyBorder="1" applyAlignment="1" applyProtection="1">
      <alignment horizontal="left"/>
      <protection hidden="1"/>
    </xf>
    <xf numFmtId="0" fontId="52" fillId="0" borderId="0" xfId="0" applyFont="1" applyAlignment="1" applyProtection="1">
      <alignment horizontal="left" vertical="center"/>
      <protection hidden="1"/>
    </xf>
    <xf numFmtId="0" fontId="49" fillId="0" borderId="0" xfId="0" applyFont="1" applyProtection="1">
      <protection hidden="1"/>
    </xf>
    <xf numFmtId="0" fontId="49" fillId="0" borderId="0" xfId="0" applyFont="1" applyAlignment="1" applyProtection="1">
      <alignment horizontal="center" vertical="center"/>
      <protection hidden="1"/>
    </xf>
    <xf numFmtId="0" fontId="49" fillId="0" borderId="48" xfId="0" applyFont="1" applyBorder="1" applyAlignment="1" applyProtection="1">
      <alignment horizontal="center" vertical="center"/>
      <protection hidden="1"/>
    </xf>
    <xf numFmtId="0" fontId="49" fillId="0" borderId="76" xfId="0" applyFont="1" applyBorder="1" applyProtection="1">
      <protection hidden="1"/>
    </xf>
    <xf numFmtId="0" fontId="52" fillId="0" borderId="9" xfId="0" applyFont="1" applyBorder="1" applyProtection="1">
      <protection hidden="1"/>
    </xf>
    <xf numFmtId="0" fontId="52" fillId="0" borderId="0" xfId="0" applyFont="1" applyProtection="1">
      <protection hidden="1"/>
    </xf>
    <xf numFmtId="0" fontId="51" fillId="0" borderId="0" xfId="0" applyFont="1" applyProtection="1">
      <protection hidden="1"/>
    </xf>
    <xf numFmtId="0" fontId="52" fillId="0" borderId="48" xfId="0" applyFont="1" applyBorder="1" applyAlignment="1" applyProtection="1">
      <alignment horizontal="center" vertical="center"/>
      <protection hidden="1"/>
    </xf>
    <xf numFmtId="0" fontId="49" fillId="0" borderId="2" xfId="0" applyFont="1" applyBorder="1" applyProtection="1">
      <protection hidden="1"/>
    </xf>
    <xf numFmtId="0" fontId="49" fillId="0" borderId="9" xfId="0" applyFont="1" applyBorder="1" applyProtection="1">
      <protection hidden="1"/>
    </xf>
    <xf numFmtId="0" fontId="49" fillId="0" borderId="48" xfId="0" applyFont="1" applyBorder="1" applyProtection="1">
      <protection hidden="1"/>
    </xf>
    <xf numFmtId="0" fontId="52" fillId="0" borderId="48" xfId="0" applyFont="1" applyBorder="1" applyProtection="1">
      <protection hidden="1"/>
    </xf>
    <xf numFmtId="0" fontId="51" fillId="0" borderId="9" xfId="0" applyFont="1" applyBorder="1" applyProtection="1">
      <protection hidden="1"/>
    </xf>
    <xf numFmtId="0" fontId="48" fillId="0" borderId="2" xfId="0" applyFont="1" applyBorder="1" applyProtection="1">
      <protection hidden="1"/>
    </xf>
    <xf numFmtId="0" fontId="48" fillId="0" borderId="9" xfId="0" applyFont="1" applyBorder="1" applyProtection="1">
      <protection hidden="1"/>
    </xf>
    <xf numFmtId="0" fontId="48" fillId="0" borderId="48" xfId="0" applyFont="1" applyBorder="1" applyProtection="1">
      <protection hidden="1"/>
    </xf>
    <xf numFmtId="0" fontId="48" fillId="0" borderId="9" xfId="0" applyFont="1" applyBorder="1" applyAlignment="1" applyProtection="1">
      <alignment vertical="top"/>
      <protection hidden="1"/>
    </xf>
    <xf numFmtId="0" fontId="49" fillId="0" borderId="0" xfId="0" applyFont="1" applyAlignment="1" applyProtection="1">
      <alignment wrapText="1"/>
      <protection hidden="1"/>
    </xf>
    <xf numFmtId="0" fontId="51" fillId="0" borderId="48" xfId="0" applyFont="1" applyBorder="1" applyProtection="1">
      <protection hidden="1"/>
    </xf>
    <xf numFmtId="0" fontId="49" fillId="0" borderId="0" xfId="0" applyFont="1" applyAlignment="1" applyProtection="1">
      <alignment horizontal="justify" wrapText="1"/>
      <protection hidden="1"/>
    </xf>
    <xf numFmtId="0" fontId="48" fillId="0" borderId="48" xfId="0" applyFont="1" applyBorder="1" applyAlignment="1" applyProtection="1">
      <alignment horizontal="right"/>
      <protection hidden="1"/>
    </xf>
    <xf numFmtId="0" fontId="51" fillId="0" borderId="0" xfId="0" applyFont="1" applyAlignment="1" applyProtection="1">
      <alignment horizontal="right"/>
      <protection hidden="1"/>
    </xf>
    <xf numFmtId="9" fontId="52" fillId="0" borderId="48" xfId="0" applyNumberFormat="1" applyFont="1" applyBorder="1" applyAlignment="1" applyProtection="1">
      <alignment horizontal="center" vertical="center"/>
      <protection hidden="1"/>
    </xf>
    <xf numFmtId="9" fontId="52" fillId="0" borderId="48" xfId="0" applyNumberFormat="1" applyFont="1" applyBorder="1" applyAlignment="1" applyProtection="1">
      <alignment horizontal="right" vertical="center"/>
      <protection hidden="1"/>
    </xf>
    <xf numFmtId="0" fontId="53" fillId="0" borderId="0" xfId="0" applyFont="1" applyAlignment="1" applyProtection="1">
      <alignment horizontal="right" vertical="center"/>
      <protection hidden="1"/>
    </xf>
    <xf numFmtId="9" fontId="51" fillId="0" borderId="48" xfId="0" applyNumberFormat="1" applyFont="1" applyBorder="1" applyProtection="1">
      <protection hidden="1"/>
    </xf>
    <xf numFmtId="0" fontId="10" fillId="0" borderId="37" xfId="0" applyFont="1" applyBorder="1" applyAlignment="1" applyProtection="1">
      <alignment horizontal="center" vertical="center" wrapText="1"/>
      <protection hidden="1"/>
    </xf>
    <xf numFmtId="0" fontId="48" fillId="0" borderId="0" xfId="0" applyFont="1" applyAlignment="1" applyProtection="1">
      <alignment vertical="center"/>
      <protection hidden="1"/>
    </xf>
    <xf numFmtId="0" fontId="48" fillId="0" borderId="26" xfId="0" applyFont="1" applyBorder="1" applyAlignment="1" applyProtection="1">
      <alignment vertical="center"/>
      <protection hidden="1"/>
    </xf>
    <xf numFmtId="0" fontId="68" fillId="0" borderId="0" xfId="0" applyFont="1" applyAlignment="1" applyProtection="1">
      <alignment horizontal="right"/>
      <protection hidden="1"/>
    </xf>
    <xf numFmtId="0" fontId="68" fillId="0" borderId="0" xfId="0" applyFont="1" applyAlignment="1" applyProtection="1">
      <alignment horizontal="center"/>
      <protection hidden="1"/>
    </xf>
    <xf numFmtId="0" fontId="9" fillId="0" borderId="7" xfId="0" applyFont="1" applyBorder="1" applyAlignment="1" applyProtection="1">
      <alignment horizontal="center" vertical="center" wrapText="1"/>
      <protection hidden="1"/>
    </xf>
    <xf numFmtId="9" fontId="9" fillId="0" borderId="7" xfId="104" applyFont="1" applyFill="1" applyBorder="1" applyAlignment="1" applyProtection="1">
      <alignment horizontal="center" vertical="center" wrapText="1"/>
      <protection hidden="1"/>
    </xf>
    <xf numFmtId="0" fontId="8" fillId="0" borderId="7" xfId="0" applyFont="1" applyBorder="1" applyAlignment="1" applyProtection="1">
      <alignment wrapText="1"/>
      <protection hidden="1"/>
    </xf>
    <xf numFmtId="176" fontId="8" fillId="0" borderId="7" xfId="62" applyNumberFormat="1" applyFont="1" applyFill="1" applyBorder="1" applyAlignment="1" applyProtection="1">
      <alignment horizontal="center" vertical="center"/>
      <protection hidden="1"/>
    </xf>
    <xf numFmtId="174" fontId="8" fillId="0" borderId="7" xfId="0" applyNumberFormat="1" applyFont="1" applyBorder="1" applyAlignment="1" applyProtection="1">
      <alignment horizontal="center" vertical="center"/>
      <protection hidden="1"/>
    </xf>
    <xf numFmtId="4" fontId="8" fillId="0" borderId="7" xfId="0" applyNumberFormat="1" applyFont="1" applyBorder="1" applyAlignment="1" applyProtection="1">
      <alignment horizontal="center" vertical="center"/>
      <protection hidden="1"/>
    </xf>
    <xf numFmtId="2" fontId="8" fillId="0" borderId="7" xfId="0" applyNumberFormat="1" applyFont="1" applyBorder="1" applyAlignment="1" applyProtection="1">
      <alignment horizontal="center" vertical="center"/>
      <protection hidden="1"/>
    </xf>
    <xf numFmtId="176" fontId="9" fillId="0" borderId="7" xfId="62" applyNumberFormat="1" applyFont="1" applyFill="1" applyBorder="1" applyAlignment="1" applyProtection="1">
      <alignment horizontal="center" vertical="center"/>
      <protection hidden="1"/>
    </xf>
    <xf numFmtId="170" fontId="8" fillId="0" borderId="7" xfId="0" applyNumberFormat="1" applyFont="1" applyBorder="1" applyAlignment="1" applyProtection="1">
      <alignment horizontal="center" vertical="center"/>
      <protection hidden="1"/>
    </xf>
    <xf numFmtId="3" fontId="9" fillId="0" borderId="7" xfId="0" applyNumberFormat="1" applyFont="1" applyBorder="1" applyAlignment="1" applyProtection="1">
      <alignment horizontal="center"/>
      <protection hidden="1"/>
    </xf>
    <xf numFmtId="4" fontId="9" fillId="0" borderId="7" xfId="0" applyNumberFormat="1" applyFont="1" applyBorder="1" applyAlignment="1" applyProtection="1">
      <alignment horizontal="center" vertical="center"/>
      <protection hidden="1"/>
    </xf>
    <xf numFmtId="176" fontId="9" fillId="0" borderId="7" xfId="104" applyNumberFormat="1" applyFont="1" applyFill="1" applyBorder="1" applyAlignment="1" applyProtection="1">
      <alignment horizontal="center"/>
      <protection hidden="1"/>
    </xf>
    <xf numFmtId="176" fontId="8" fillId="0" borderId="7" xfId="104" applyNumberFormat="1" applyFont="1" applyFill="1" applyBorder="1" applyAlignment="1" applyProtection="1">
      <alignment horizontal="center"/>
      <protection hidden="1"/>
    </xf>
    <xf numFmtId="0" fontId="8" fillId="0" borderId="7" xfId="0" applyFont="1" applyBorder="1" applyAlignment="1" applyProtection="1">
      <alignment horizontal="center"/>
      <protection hidden="1"/>
    </xf>
    <xf numFmtId="0" fontId="9" fillId="0" borderId="7" xfId="0" applyFont="1" applyBorder="1" applyAlignment="1" applyProtection="1">
      <alignment horizontal="center"/>
      <protection hidden="1"/>
    </xf>
    <xf numFmtId="208" fontId="8" fillId="0" borderId="7" xfId="0" applyNumberFormat="1" applyFont="1" applyBorder="1" applyProtection="1">
      <protection hidden="1"/>
    </xf>
    <xf numFmtId="0" fontId="59" fillId="0" borderId="0" xfId="0" applyFont="1" applyAlignment="1" applyProtection="1">
      <alignment horizontal="center" vertical="center" wrapText="1"/>
      <protection hidden="1"/>
    </xf>
    <xf numFmtId="3" fontId="8" fillId="0" borderId="7" xfId="0" applyNumberFormat="1" applyFont="1" applyBorder="1" applyAlignment="1" applyProtection="1">
      <alignment horizontal="center" vertical="center"/>
      <protection hidden="1"/>
    </xf>
    <xf numFmtId="176" fontId="8" fillId="0" borderId="7" xfId="0" applyNumberFormat="1" applyFont="1" applyBorder="1" applyAlignment="1" applyProtection="1">
      <alignment horizontal="center" vertical="center"/>
      <protection hidden="1"/>
    </xf>
    <xf numFmtId="3" fontId="8" fillId="0" borderId="0" xfId="0" applyNumberFormat="1" applyFont="1" applyAlignment="1" applyProtection="1">
      <alignment horizontal="center" vertical="center"/>
      <protection hidden="1"/>
    </xf>
    <xf numFmtId="176" fontId="8" fillId="0" borderId="0" xfId="0" applyNumberFormat="1" applyFont="1" applyAlignment="1" applyProtection="1">
      <alignment horizontal="center" vertical="center"/>
      <protection hidden="1"/>
    </xf>
    <xf numFmtId="0" fontId="59" fillId="0" borderId="7" xfId="0" applyFont="1" applyBorder="1" applyAlignment="1" applyProtection="1">
      <alignment horizontal="center" vertical="center" wrapText="1"/>
      <protection hidden="1"/>
    </xf>
    <xf numFmtId="0" fontId="8" fillId="0" borderId="0" xfId="96" applyProtection="1">
      <protection hidden="1"/>
    </xf>
    <xf numFmtId="3" fontId="8" fillId="0" borderId="0" xfId="96" applyNumberFormat="1" applyAlignment="1" applyProtection="1">
      <alignment horizontal="right" vertical="center"/>
      <protection hidden="1"/>
    </xf>
    <xf numFmtId="0" fontId="8" fillId="0" borderId="0" xfId="96" applyAlignment="1" applyProtection="1">
      <alignment horizontal="center" vertical="center"/>
      <protection hidden="1"/>
    </xf>
    <xf numFmtId="0" fontId="8" fillId="0" borderId="0" xfId="96" applyAlignment="1" applyProtection="1">
      <alignment vertical="center"/>
      <protection hidden="1"/>
    </xf>
    <xf numFmtId="0" fontId="8" fillId="0" borderId="0" xfId="96" applyAlignment="1" applyProtection="1">
      <alignment horizontal="left" vertical="center"/>
      <protection hidden="1"/>
    </xf>
    <xf numFmtId="3" fontId="8" fillId="0" borderId="0" xfId="96" applyNumberFormat="1" applyAlignment="1" applyProtection="1">
      <alignment vertical="center"/>
      <protection hidden="1"/>
    </xf>
    <xf numFmtId="175" fontId="8" fillId="0" borderId="0" xfId="96" applyNumberFormat="1" applyAlignment="1" applyProtection="1">
      <alignment horizontal="right" vertical="center"/>
      <protection hidden="1"/>
    </xf>
    <xf numFmtId="3" fontId="8" fillId="0" borderId="7" xfId="96" applyNumberFormat="1" applyBorder="1" applyAlignment="1" applyProtection="1">
      <alignment horizontal="left" vertical="center"/>
      <protection hidden="1"/>
    </xf>
    <xf numFmtId="0" fontId="8" fillId="0" borderId="7" xfId="96" applyBorder="1" applyProtection="1">
      <protection hidden="1"/>
    </xf>
    <xf numFmtId="0" fontId="8" fillId="0" borderId="0" xfId="96" applyAlignment="1" applyProtection="1">
      <alignment horizontal="center" vertical="center" wrapText="1"/>
      <protection hidden="1"/>
    </xf>
    <xf numFmtId="0" fontId="58" fillId="0" borderId="7" xfId="124" applyFont="1" applyBorder="1" applyAlignment="1">
      <alignment horizontal="justify" vertical="center" wrapText="1"/>
    </xf>
    <xf numFmtId="0" fontId="58" fillId="0" borderId="0" xfId="124" applyFont="1" applyAlignment="1">
      <alignment horizontal="center" vertical="center" wrapText="1"/>
    </xf>
    <xf numFmtId="0" fontId="58" fillId="0" borderId="0" xfId="124" applyFont="1" applyAlignment="1">
      <alignment horizontal="center" vertical="center"/>
    </xf>
    <xf numFmtId="0" fontId="58" fillId="0" borderId="0" xfId="124" applyFont="1"/>
    <xf numFmtId="0" fontId="56" fillId="27" borderId="7" xfId="124" applyFont="1" applyFill="1" applyBorder="1" applyAlignment="1">
      <alignment horizontal="center" vertical="center" wrapText="1"/>
    </xf>
    <xf numFmtId="0" fontId="56" fillId="0" borderId="7" xfId="124" applyFont="1" applyBorder="1" applyAlignment="1">
      <alignment vertical="center" wrapText="1"/>
    </xf>
    <xf numFmtId="0" fontId="58" fillId="10" borderId="7" xfId="124" applyFont="1" applyFill="1" applyBorder="1" applyAlignment="1">
      <alignment horizontal="justify" vertical="center" wrapText="1"/>
    </xf>
    <xf numFmtId="0" fontId="9" fillId="26" borderId="7" xfId="96" applyFont="1" applyFill="1" applyBorder="1" applyAlignment="1" applyProtection="1">
      <alignment horizontal="center" vertical="center" wrapText="1"/>
      <protection hidden="1"/>
    </xf>
    <xf numFmtId="3" fontId="9" fillId="26" borderId="7" xfId="96" applyNumberFormat="1" applyFont="1" applyFill="1" applyBorder="1" applyAlignment="1" applyProtection="1">
      <alignment horizontal="center" vertical="center" wrapText="1"/>
      <protection hidden="1"/>
    </xf>
    <xf numFmtId="176" fontId="9" fillId="26" borderId="7" xfId="96" applyNumberFormat="1" applyFont="1" applyFill="1" applyBorder="1" applyAlignment="1" applyProtection="1">
      <alignment horizontal="center" vertical="center" wrapText="1"/>
      <protection hidden="1"/>
    </xf>
    <xf numFmtId="176" fontId="58" fillId="0" borderId="7" xfId="96" applyNumberFormat="1" applyFont="1" applyBorder="1" applyAlignment="1" applyProtection="1">
      <alignment vertical="center"/>
      <protection hidden="1"/>
    </xf>
    <xf numFmtId="176" fontId="8" fillId="0" borderId="0" xfId="96" applyNumberFormat="1" applyProtection="1">
      <protection hidden="1"/>
    </xf>
    <xf numFmtId="3" fontId="8" fillId="0" borderId="7" xfId="96" applyNumberFormat="1" applyBorder="1" applyAlignment="1" applyProtection="1">
      <alignment horizontal="center" vertical="center"/>
      <protection hidden="1"/>
    </xf>
    <xf numFmtId="176" fontId="8" fillId="10" borderId="7" xfId="48" applyNumberFormat="1" applyFont="1" applyFill="1" applyBorder="1" applyAlignment="1" applyProtection="1">
      <alignment vertical="center"/>
      <protection hidden="1"/>
    </xf>
    <xf numFmtId="0" fontId="8" fillId="0" borderId="7" xfId="96" applyBorder="1" applyAlignment="1" applyProtection="1">
      <alignment vertical="center"/>
      <protection hidden="1"/>
    </xf>
    <xf numFmtId="0" fontId="8" fillId="0" borderId="7" xfId="96" applyBorder="1" applyAlignment="1" applyProtection="1">
      <alignment horizontal="center" vertical="center"/>
      <protection hidden="1"/>
    </xf>
    <xf numFmtId="176" fontId="8" fillId="0" borderId="7" xfId="96" applyNumberFormat="1" applyBorder="1" applyAlignment="1" applyProtection="1">
      <alignment vertical="center"/>
      <protection hidden="1"/>
    </xf>
    <xf numFmtId="176" fontId="8" fillId="0" borderId="7" xfId="48" applyNumberFormat="1" applyFont="1" applyFill="1" applyBorder="1" applyAlignment="1" applyProtection="1">
      <alignment vertical="center"/>
      <protection hidden="1"/>
    </xf>
    <xf numFmtId="3" fontId="8" fillId="0" borderId="7" xfId="76" applyNumberFormat="1" applyBorder="1" applyAlignment="1" applyProtection="1">
      <alignment horizontal="left" vertical="center"/>
      <protection hidden="1"/>
    </xf>
    <xf numFmtId="3" fontId="8" fillId="0" borderId="7" xfId="76" applyNumberFormat="1" applyBorder="1" applyAlignment="1" applyProtection="1">
      <alignment horizontal="center" vertical="center"/>
      <protection hidden="1"/>
    </xf>
    <xf numFmtId="0" fontId="8" fillId="0" borderId="7" xfId="96" applyBorder="1" applyAlignment="1" applyProtection="1">
      <alignment horizontal="justify" vertical="center"/>
      <protection hidden="1"/>
    </xf>
    <xf numFmtId="176" fontId="8" fillId="0" borderId="0" xfId="48" applyNumberFormat="1" applyFont="1" applyFill="1" applyAlignment="1" applyProtection="1">
      <alignment vertical="center"/>
      <protection hidden="1"/>
    </xf>
    <xf numFmtId="3" fontId="8" fillId="0" borderId="7" xfId="96" applyNumberFormat="1" applyBorder="1" applyAlignment="1" applyProtection="1">
      <alignment horizontal="left" vertical="center" wrapText="1"/>
      <protection hidden="1"/>
    </xf>
    <xf numFmtId="3" fontId="8" fillId="0" borderId="7" xfId="96" applyNumberFormat="1" applyBorder="1" applyAlignment="1" applyProtection="1">
      <alignment horizontal="center" vertical="center" wrapText="1"/>
      <protection hidden="1"/>
    </xf>
    <xf numFmtId="3" fontId="18" fillId="0" borderId="7" xfId="96" applyNumberFormat="1" applyFont="1" applyBorder="1" applyAlignment="1" applyProtection="1">
      <alignment horizontal="justify" vertical="center"/>
      <protection hidden="1"/>
    </xf>
    <xf numFmtId="3" fontId="18" fillId="0" borderId="7" xfId="96" applyNumberFormat="1" applyFont="1" applyBorder="1" applyAlignment="1" applyProtection="1">
      <alignment horizontal="left" vertical="center"/>
      <protection hidden="1"/>
    </xf>
    <xf numFmtId="0" fontId="75" fillId="0" borderId="7" xfId="126" applyBorder="1" applyAlignment="1" applyProtection="1">
      <alignment wrapText="1"/>
      <protection hidden="1"/>
    </xf>
    <xf numFmtId="0" fontId="8" fillId="0" borderId="7" xfId="96" applyBorder="1" applyAlignment="1" applyProtection="1">
      <alignment wrapText="1"/>
      <protection hidden="1"/>
    </xf>
    <xf numFmtId="176" fontId="9" fillId="0" borderId="62" xfId="48" applyNumberFormat="1" applyFont="1" applyFill="1" applyBorder="1" applyAlignment="1" applyProtection="1">
      <alignment horizontal="right" vertical="center"/>
      <protection hidden="1"/>
    </xf>
    <xf numFmtId="0" fontId="8" fillId="29" borderId="7" xfId="96" applyFill="1" applyBorder="1" applyProtection="1">
      <protection hidden="1"/>
    </xf>
    <xf numFmtId="176" fontId="8" fillId="0" borderId="7" xfId="96" applyNumberFormat="1" applyBorder="1" applyProtection="1">
      <protection hidden="1"/>
    </xf>
    <xf numFmtId="0" fontId="8" fillId="19" borderId="7" xfId="96" applyFill="1" applyBorder="1" applyProtection="1">
      <protection hidden="1"/>
    </xf>
    <xf numFmtId="3" fontId="8" fillId="0" borderId="0" xfId="96" applyNumberFormat="1" applyAlignment="1" applyProtection="1">
      <alignment horizontal="center" vertical="center" wrapText="1"/>
      <protection hidden="1"/>
    </xf>
    <xf numFmtId="3" fontId="8" fillId="0" borderId="0" xfId="96" applyNumberFormat="1" applyProtection="1">
      <protection hidden="1"/>
    </xf>
    <xf numFmtId="3" fontId="8" fillId="0" borderId="64" xfId="96" applyNumberFormat="1" applyBorder="1" applyAlignment="1" applyProtection="1">
      <alignment horizontal="left" vertical="center"/>
      <protection hidden="1"/>
    </xf>
    <xf numFmtId="3" fontId="8" fillId="0" borderId="0" xfId="96" applyNumberFormat="1" applyAlignment="1" applyProtection="1">
      <alignment horizontal="center" vertical="center"/>
      <protection hidden="1"/>
    </xf>
    <xf numFmtId="4" fontId="8" fillId="19" borderId="0" xfId="96" applyNumberFormat="1" applyFill="1" applyAlignment="1" applyProtection="1">
      <alignment vertical="center"/>
      <protection hidden="1"/>
    </xf>
    <xf numFmtId="176" fontId="8" fillId="19" borderId="0" xfId="48" applyNumberFormat="1" applyFont="1" applyFill="1" applyAlignment="1" applyProtection="1">
      <alignment vertical="center"/>
      <protection hidden="1"/>
    </xf>
    <xf numFmtId="176" fontId="8" fillId="19" borderId="0" xfId="48" applyNumberFormat="1" applyFont="1" applyFill="1" applyAlignment="1" applyProtection="1">
      <alignment horizontal="right" vertical="center" indent="1"/>
      <protection hidden="1"/>
    </xf>
    <xf numFmtId="176" fontId="8" fillId="19" borderId="65" xfId="48" applyNumberFormat="1" applyFont="1" applyFill="1" applyBorder="1" applyAlignment="1" applyProtection="1">
      <alignment horizontal="right" vertical="center"/>
      <protection hidden="1"/>
    </xf>
    <xf numFmtId="4" fontId="8" fillId="0" borderId="0" xfId="96" applyNumberFormat="1" applyAlignment="1" applyProtection="1">
      <alignment vertical="center"/>
      <protection hidden="1"/>
    </xf>
    <xf numFmtId="176" fontId="8" fillId="0" borderId="0" xfId="48" applyNumberFormat="1" applyFont="1" applyAlignment="1" applyProtection="1">
      <alignment vertical="center"/>
      <protection hidden="1"/>
    </xf>
    <xf numFmtId="176" fontId="8" fillId="0" borderId="0" xfId="48" applyNumberFormat="1" applyFont="1" applyAlignment="1" applyProtection="1">
      <alignment horizontal="right" vertical="center" indent="1"/>
      <protection hidden="1"/>
    </xf>
    <xf numFmtId="176" fontId="8" fillId="0" borderId="65" xfId="48" applyNumberFormat="1" applyFont="1" applyBorder="1" applyAlignment="1" applyProtection="1">
      <alignment horizontal="right" vertical="center"/>
      <protection hidden="1"/>
    </xf>
    <xf numFmtId="176" fontId="8" fillId="0" borderId="0" xfId="96" applyNumberFormat="1" applyAlignment="1" applyProtection="1">
      <alignment vertical="center"/>
      <protection hidden="1"/>
    </xf>
    <xf numFmtId="176" fontId="8" fillId="0" borderId="0" xfId="96" applyNumberFormat="1" applyAlignment="1" applyProtection="1">
      <alignment horizontal="right" vertical="center"/>
      <protection hidden="1"/>
    </xf>
    <xf numFmtId="3" fontId="8" fillId="0" borderId="67" xfId="96" applyNumberFormat="1" applyBorder="1" applyAlignment="1" applyProtection="1">
      <alignment horizontal="center" vertical="center"/>
      <protection hidden="1"/>
    </xf>
    <xf numFmtId="4" fontId="8" fillId="0" borderId="67" xfId="96" applyNumberFormat="1" applyBorder="1" applyAlignment="1" applyProtection="1">
      <alignment vertical="center"/>
      <protection hidden="1"/>
    </xf>
    <xf numFmtId="176" fontId="8" fillId="0" borderId="67" xfId="96" applyNumberFormat="1" applyBorder="1" applyAlignment="1" applyProtection="1">
      <alignment vertical="center"/>
      <protection hidden="1"/>
    </xf>
    <xf numFmtId="176" fontId="8" fillId="0" borderId="67" xfId="96" applyNumberFormat="1" applyBorder="1" applyAlignment="1" applyProtection="1">
      <alignment horizontal="right" vertical="center"/>
      <protection hidden="1"/>
    </xf>
    <xf numFmtId="169" fontId="8" fillId="0" borderId="0" xfId="96" applyNumberFormat="1" applyProtection="1">
      <protection hidden="1"/>
    </xf>
    <xf numFmtId="0" fontId="8" fillId="0" borderId="64" xfId="96" applyBorder="1" applyAlignment="1" applyProtection="1">
      <alignment vertical="center"/>
      <protection hidden="1"/>
    </xf>
    <xf numFmtId="2" fontId="8" fillId="0" borderId="0" xfId="96" applyNumberFormat="1" applyAlignment="1" applyProtection="1">
      <alignment vertical="center"/>
      <protection hidden="1"/>
    </xf>
    <xf numFmtId="176" fontId="8" fillId="0" borderId="65" xfId="96" applyNumberFormat="1" applyBorder="1" applyProtection="1">
      <protection hidden="1"/>
    </xf>
    <xf numFmtId="170" fontId="8" fillId="19" borderId="0" xfId="96" applyNumberFormat="1" applyFill="1" applyAlignment="1" applyProtection="1">
      <alignment vertical="center"/>
      <protection hidden="1"/>
    </xf>
    <xf numFmtId="176" fontId="8" fillId="19" borderId="65" xfId="96" applyNumberFormat="1" applyFill="1" applyBorder="1" applyProtection="1">
      <protection hidden="1"/>
    </xf>
    <xf numFmtId="9" fontId="8" fillId="0" borderId="0" xfId="106" applyFont="1" applyAlignment="1" applyProtection="1">
      <alignment horizontal="center" vertical="center"/>
      <protection hidden="1"/>
    </xf>
    <xf numFmtId="176" fontId="8" fillId="0" borderId="65" xfId="96" applyNumberFormat="1" applyBorder="1" applyAlignment="1" applyProtection="1">
      <alignment horizontal="right" vertical="center"/>
      <protection hidden="1"/>
    </xf>
    <xf numFmtId="1" fontId="8" fillId="0" borderId="0" xfId="96" applyNumberFormat="1" applyAlignment="1" applyProtection="1">
      <alignment horizontal="right" vertical="center"/>
      <protection hidden="1"/>
    </xf>
    <xf numFmtId="3" fontId="8" fillId="0" borderId="0" xfId="96" applyNumberFormat="1" applyAlignment="1" applyProtection="1">
      <alignment horizontal="left" vertical="center"/>
      <protection hidden="1"/>
    </xf>
    <xf numFmtId="2" fontId="8" fillId="19" borderId="0" xfId="96" applyNumberFormat="1" applyFill="1" applyAlignment="1" applyProtection="1">
      <alignment vertical="center"/>
      <protection hidden="1"/>
    </xf>
    <xf numFmtId="208" fontId="8" fillId="0" borderId="65" xfId="96" applyNumberFormat="1" applyBorder="1" applyProtection="1">
      <protection hidden="1"/>
    </xf>
    <xf numFmtId="208" fontId="8" fillId="0" borderId="0" xfId="96" applyNumberFormat="1" applyProtection="1">
      <protection hidden="1"/>
    </xf>
    <xf numFmtId="175" fontId="8" fillId="0" borderId="0" xfId="96" applyNumberFormat="1" applyAlignment="1" applyProtection="1">
      <alignment vertical="center"/>
      <protection hidden="1"/>
    </xf>
    <xf numFmtId="208" fontId="8" fillId="0" borderId="0" xfId="48" applyNumberFormat="1" applyFont="1" applyFill="1" applyAlignment="1" applyProtection="1">
      <alignment vertical="center"/>
      <protection hidden="1"/>
    </xf>
    <xf numFmtId="3" fontId="8" fillId="0" borderId="64" xfId="76" applyNumberFormat="1" applyBorder="1" applyAlignment="1" applyProtection="1">
      <alignment horizontal="left" vertical="center"/>
      <protection hidden="1"/>
    </xf>
    <xf numFmtId="3" fontId="8" fillId="0" borderId="0" xfId="76" applyNumberFormat="1" applyAlignment="1" applyProtection="1">
      <alignment horizontal="center" vertical="center"/>
      <protection hidden="1"/>
    </xf>
    <xf numFmtId="4" fontId="8" fillId="0" borderId="0" xfId="76" applyNumberFormat="1" applyAlignment="1" applyProtection="1">
      <alignment vertical="center"/>
      <protection hidden="1"/>
    </xf>
    <xf numFmtId="3" fontId="8" fillId="0" borderId="0" xfId="76" applyNumberFormat="1" applyProtection="1">
      <protection hidden="1"/>
    </xf>
    <xf numFmtId="3" fontId="8" fillId="19" borderId="0" xfId="96" applyNumberFormat="1" applyFill="1" applyAlignment="1" applyProtection="1">
      <alignment vertical="center"/>
      <protection hidden="1"/>
    </xf>
    <xf numFmtId="0" fontId="8" fillId="0" borderId="64" xfId="96" applyBorder="1" applyAlignment="1" applyProtection="1">
      <alignment vertical="center" wrapText="1"/>
      <protection hidden="1"/>
    </xf>
    <xf numFmtId="0" fontId="8" fillId="0" borderId="0" xfId="96" applyAlignment="1" applyProtection="1">
      <alignment horizontal="center"/>
      <protection hidden="1"/>
    </xf>
    <xf numFmtId="4" fontId="8" fillId="0" borderId="0" xfId="96" applyNumberFormat="1" applyProtection="1">
      <protection hidden="1"/>
    </xf>
    <xf numFmtId="176" fontId="8" fillId="0" borderId="0" xfId="48" applyNumberFormat="1" applyFont="1" applyFill="1" applyProtection="1">
      <protection hidden="1"/>
    </xf>
    <xf numFmtId="176" fontId="8" fillId="0" borderId="0" xfId="48" applyNumberFormat="1" applyFont="1" applyProtection="1">
      <protection hidden="1"/>
    </xf>
    <xf numFmtId="176" fontId="8" fillId="0" borderId="68" xfId="48" applyNumberFormat="1" applyFont="1" applyBorder="1" applyProtection="1">
      <protection hidden="1"/>
    </xf>
    <xf numFmtId="176" fontId="8" fillId="0" borderId="65" xfId="48" applyNumberFormat="1" applyFont="1" applyBorder="1" applyAlignment="1" applyProtection="1">
      <alignment vertical="center"/>
      <protection hidden="1"/>
    </xf>
    <xf numFmtId="2" fontId="8" fillId="0" borderId="0" xfId="96" applyNumberFormat="1" applyProtection="1">
      <protection hidden="1"/>
    </xf>
    <xf numFmtId="176" fontId="8" fillId="0" borderId="68" xfId="96" applyNumberFormat="1" applyBorder="1" applyProtection="1">
      <protection hidden="1"/>
    </xf>
    <xf numFmtId="176" fontId="8" fillId="0" borderId="65" xfId="48" applyNumberFormat="1" applyFont="1" applyBorder="1" applyProtection="1">
      <protection hidden="1"/>
    </xf>
    <xf numFmtId="4" fontId="8" fillId="0" borderId="0" xfId="96" applyNumberFormat="1" applyAlignment="1" applyProtection="1">
      <alignment horizontal="right"/>
      <protection hidden="1"/>
    </xf>
    <xf numFmtId="208" fontId="8" fillId="0" borderId="0" xfId="48" applyNumberFormat="1" applyFont="1" applyProtection="1">
      <protection hidden="1"/>
    </xf>
    <xf numFmtId="208" fontId="8" fillId="0" borderId="65" xfId="48" applyNumberFormat="1" applyFont="1" applyBorder="1" applyAlignment="1" applyProtection="1">
      <alignment vertical="center"/>
      <protection hidden="1"/>
    </xf>
    <xf numFmtId="0" fontId="8" fillId="0" borderId="64" xfId="96" applyBorder="1" applyAlignment="1" applyProtection="1">
      <alignment horizontal="justify" vertical="center"/>
      <protection hidden="1"/>
    </xf>
    <xf numFmtId="176" fontId="8" fillId="0" borderId="68" xfId="48" applyNumberFormat="1" applyFont="1" applyBorder="1" applyAlignment="1" applyProtection="1">
      <alignment vertical="center"/>
      <protection hidden="1"/>
    </xf>
    <xf numFmtId="176" fontId="8" fillId="0" borderId="0" xfId="48" applyNumberFormat="1" applyFont="1" applyAlignment="1" applyProtection="1">
      <alignment horizontal="right" vertical="center"/>
      <protection hidden="1"/>
    </xf>
    <xf numFmtId="3" fontId="8" fillId="0" borderId="64" xfId="96" applyNumberFormat="1" applyBorder="1" applyAlignment="1" applyProtection="1">
      <alignment horizontal="left" vertical="center" wrapText="1"/>
      <protection hidden="1"/>
    </xf>
    <xf numFmtId="2" fontId="8" fillId="0" borderId="0" xfId="96" applyNumberFormat="1" applyAlignment="1" applyProtection="1">
      <alignment vertical="center" wrapText="1"/>
      <protection hidden="1"/>
    </xf>
    <xf numFmtId="0" fontId="8" fillId="0" borderId="0" xfId="96" applyAlignment="1" applyProtection="1">
      <alignment wrapText="1"/>
      <protection hidden="1"/>
    </xf>
    <xf numFmtId="2" fontId="8" fillId="29" borderId="0" xfId="96" applyNumberFormat="1" applyFill="1" applyAlignment="1" applyProtection="1">
      <alignment vertical="center"/>
      <protection hidden="1"/>
    </xf>
    <xf numFmtId="176" fontId="8" fillId="29" borderId="0" xfId="96" applyNumberFormat="1" applyFill="1" applyAlignment="1" applyProtection="1">
      <alignment vertical="center"/>
      <protection hidden="1"/>
    </xf>
    <xf numFmtId="176" fontId="8" fillId="29" borderId="0" xfId="96" applyNumberFormat="1" applyFill="1" applyAlignment="1" applyProtection="1">
      <alignment horizontal="right" vertical="center"/>
      <protection hidden="1"/>
    </xf>
    <xf numFmtId="176" fontId="8" fillId="29" borderId="65" xfId="96" applyNumberFormat="1" applyFill="1" applyBorder="1" applyAlignment="1" applyProtection="1">
      <alignment horizontal="right" vertical="center"/>
      <protection hidden="1"/>
    </xf>
    <xf numFmtId="4" fontId="8" fillId="29" borderId="0" xfId="96" applyNumberFormat="1" applyFill="1" applyAlignment="1" applyProtection="1">
      <alignment vertical="center"/>
      <protection hidden="1"/>
    </xf>
    <xf numFmtId="208" fontId="8" fillId="0" borderId="65" xfId="96" applyNumberFormat="1" applyBorder="1" applyAlignment="1" applyProtection="1">
      <alignment horizontal="right" vertical="center"/>
      <protection hidden="1"/>
    </xf>
    <xf numFmtId="169" fontId="8" fillId="0" borderId="0" xfId="96" applyNumberFormat="1" applyAlignment="1" applyProtection="1">
      <alignment vertical="center"/>
      <protection hidden="1"/>
    </xf>
    <xf numFmtId="176" fontId="8" fillId="29" borderId="65" xfId="96" applyNumberFormat="1" applyFill="1" applyBorder="1" applyProtection="1">
      <protection hidden="1"/>
    </xf>
    <xf numFmtId="176" fontId="8" fillId="0" borderId="65" xfId="48" applyNumberFormat="1" applyFont="1" applyFill="1" applyBorder="1" applyAlignment="1" applyProtection="1">
      <alignment vertical="center"/>
      <protection hidden="1"/>
    </xf>
    <xf numFmtId="176" fontId="58" fillId="0" borderId="0" xfId="48" applyNumberFormat="1" applyFont="1" applyFill="1" applyAlignment="1" applyProtection="1">
      <alignment vertical="center"/>
      <protection hidden="1"/>
    </xf>
    <xf numFmtId="208" fontId="8" fillId="0" borderId="68" xfId="48" applyNumberFormat="1" applyFont="1" applyFill="1" applyBorder="1" applyAlignment="1" applyProtection="1">
      <alignment vertical="center"/>
      <protection hidden="1"/>
    </xf>
    <xf numFmtId="208" fontId="8" fillId="0" borderId="65" xfId="48" applyNumberFormat="1" applyFont="1" applyFill="1" applyBorder="1" applyAlignment="1" applyProtection="1">
      <alignment vertical="center"/>
      <protection hidden="1"/>
    </xf>
    <xf numFmtId="176" fontId="8" fillId="0" borderId="65" xfId="48" applyNumberFormat="1" applyFont="1" applyFill="1" applyBorder="1" applyAlignment="1" applyProtection="1">
      <alignment horizontal="right" vertical="center"/>
      <protection hidden="1"/>
    </xf>
    <xf numFmtId="176" fontId="8" fillId="0" borderId="0" xfId="48" applyNumberFormat="1" applyFont="1" applyFill="1" applyAlignment="1" applyProtection="1">
      <alignment horizontal="right" vertical="center" indent="1"/>
      <protection hidden="1"/>
    </xf>
    <xf numFmtId="9" fontId="8" fillId="0" borderId="0" xfId="96" applyNumberFormat="1" applyAlignment="1" applyProtection="1">
      <alignment horizontal="center" vertical="center"/>
      <protection hidden="1"/>
    </xf>
    <xf numFmtId="176" fontId="8" fillId="0" borderId="70" xfId="96" applyNumberFormat="1" applyBorder="1" applyProtection="1">
      <protection hidden="1"/>
    </xf>
    <xf numFmtId="176" fontId="58" fillId="0" borderId="0" xfId="96" applyNumberFormat="1" applyFont="1" applyAlignment="1" applyProtection="1">
      <alignment vertical="center"/>
      <protection hidden="1"/>
    </xf>
    <xf numFmtId="174" fontId="34" fillId="28" borderId="7" xfId="0" applyNumberFormat="1" applyFont="1" applyFill="1" applyBorder="1" applyProtection="1">
      <protection hidden="1"/>
    </xf>
    <xf numFmtId="176" fontId="8" fillId="26" borderId="7" xfId="0" applyNumberFormat="1" applyFont="1" applyFill="1" applyBorder="1" applyAlignment="1" applyProtection="1">
      <alignment vertical="center"/>
      <protection hidden="1"/>
    </xf>
    <xf numFmtId="176" fontId="8" fillId="28" borderId="0" xfId="48" applyNumberFormat="1" applyFont="1" applyFill="1" applyAlignment="1" applyProtection="1">
      <alignment vertical="center"/>
      <protection hidden="1"/>
    </xf>
    <xf numFmtId="176" fontId="8" fillId="28" borderId="0" xfId="48" applyNumberFormat="1" applyFont="1" applyFill="1" applyProtection="1">
      <protection hidden="1"/>
    </xf>
    <xf numFmtId="0" fontId="60" fillId="0" borderId="0" xfId="96" applyFont="1" applyAlignment="1" applyProtection="1">
      <alignment wrapText="1"/>
      <protection hidden="1"/>
    </xf>
    <xf numFmtId="0" fontId="75" fillId="0" borderId="7" xfId="126" applyFill="1" applyBorder="1" applyAlignment="1" applyProtection="1">
      <alignment wrapText="1"/>
      <protection hidden="1"/>
    </xf>
    <xf numFmtId="0" fontId="58" fillId="0" borderId="7" xfId="96" applyFont="1" applyBorder="1" applyAlignment="1" applyProtection="1">
      <alignment wrapText="1"/>
      <protection hidden="1"/>
    </xf>
    <xf numFmtId="176" fontId="8" fillId="0" borderId="0" xfId="48" applyNumberFormat="1" applyFont="1" applyFill="1" applyBorder="1" applyAlignment="1" applyProtection="1">
      <alignment vertical="center"/>
      <protection hidden="1"/>
    </xf>
    <xf numFmtId="0" fontId="75" fillId="0" borderId="0" xfId="126" applyBorder="1" applyAlignment="1" applyProtection="1">
      <alignment wrapText="1"/>
      <protection hidden="1"/>
    </xf>
    <xf numFmtId="9" fontId="8" fillId="0" borderId="0" xfId="104" applyFont="1" applyFill="1" applyProtection="1">
      <protection hidden="1"/>
    </xf>
    <xf numFmtId="211" fontId="8" fillId="0" borderId="7" xfId="54" applyNumberFormat="1" applyFont="1" applyBorder="1" applyProtection="1">
      <protection hidden="1"/>
    </xf>
    <xf numFmtId="211" fontId="8" fillId="0" borderId="7" xfId="54" applyNumberFormat="1" applyFont="1" applyBorder="1" applyAlignment="1" applyProtection="1">
      <alignment horizontal="right" vertical="center"/>
      <protection hidden="1"/>
    </xf>
    <xf numFmtId="176" fontId="8" fillId="32" borderId="0" xfId="48" applyNumberFormat="1" applyFont="1" applyFill="1" applyAlignment="1" applyProtection="1">
      <alignment vertical="center"/>
      <protection hidden="1"/>
    </xf>
    <xf numFmtId="176" fontId="8" fillId="32" borderId="0" xfId="96" applyNumberFormat="1" applyFill="1" applyAlignment="1" applyProtection="1">
      <alignment vertical="center"/>
      <protection hidden="1"/>
    </xf>
    <xf numFmtId="0" fontId="56" fillId="33" borderId="7" xfId="124" applyFont="1" applyFill="1" applyBorder="1" applyAlignment="1">
      <alignment horizontal="center" vertical="center" wrapText="1"/>
    </xf>
    <xf numFmtId="0" fontId="8" fillId="26" borderId="7" xfId="0" applyFont="1" applyFill="1" applyBorder="1" applyAlignment="1" applyProtection="1">
      <alignment vertical="center"/>
      <protection hidden="1"/>
    </xf>
    <xf numFmtId="4" fontId="62" fillId="0" borderId="7" xfId="102" applyNumberFormat="1" applyFont="1" applyBorder="1" applyAlignment="1" applyProtection="1">
      <alignment horizontal="center" vertical="center"/>
      <protection hidden="1"/>
    </xf>
    <xf numFmtId="4" fontId="62" fillId="0" borderId="7" xfId="76" applyNumberFormat="1" applyFont="1" applyBorder="1" applyAlignment="1" applyProtection="1">
      <alignment horizontal="center" vertical="center"/>
      <protection hidden="1"/>
    </xf>
    <xf numFmtId="176" fontId="9" fillId="0" borderId="0" xfId="48" applyNumberFormat="1" applyFont="1" applyBorder="1" applyAlignment="1" applyProtection="1">
      <alignment horizontal="right" vertical="center"/>
      <protection hidden="1"/>
    </xf>
    <xf numFmtId="178" fontId="25" fillId="0" borderId="0" xfId="101" applyNumberFormat="1" applyFont="1" applyAlignment="1" applyProtection="1">
      <alignment vertical="center"/>
      <protection hidden="1"/>
    </xf>
    <xf numFmtId="0" fontId="25" fillId="0" borderId="0" xfId="101" applyFont="1" applyAlignment="1" applyProtection="1">
      <alignment vertical="center"/>
      <protection hidden="1"/>
    </xf>
    <xf numFmtId="0" fontId="8" fillId="0" borderId="0" xfId="96" applyAlignment="1" applyProtection="1">
      <alignment vertical="center" wrapText="1"/>
      <protection hidden="1"/>
    </xf>
    <xf numFmtId="0" fontId="56" fillId="0" borderId="0" xfId="124" applyFont="1" applyAlignment="1">
      <alignment horizontal="left" vertical="center" wrapText="1"/>
    </xf>
    <xf numFmtId="0" fontId="58" fillId="0" borderId="7" xfId="0" applyFont="1" applyBorder="1" applyAlignment="1">
      <alignment horizontal="justify" vertical="center" wrapText="1"/>
    </xf>
    <xf numFmtId="178" fontId="0" fillId="0" borderId="7" xfId="0" applyNumberFormat="1" applyBorder="1" applyAlignment="1">
      <alignment horizontal="center" vertical="center"/>
    </xf>
    <xf numFmtId="0" fontId="78" fillId="26" borderId="7" xfId="0" applyFont="1" applyFill="1" applyBorder="1" applyAlignment="1">
      <alignment horizontal="center" vertical="center" wrapText="1"/>
    </xf>
    <xf numFmtId="211" fontId="8" fillId="0" borderId="0" xfId="54" applyNumberFormat="1" applyFont="1" applyFill="1" applyBorder="1" applyProtection="1">
      <protection hidden="1"/>
    </xf>
    <xf numFmtId="9" fontId="8" fillId="0" borderId="0" xfId="104" applyFont="1" applyFill="1" applyBorder="1" applyProtection="1">
      <protection hidden="1"/>
    </xf>
    <xf numFmtId="211" fontId="8" fillId="10" borderId="7" xfId="96" applyNumberFormat="1" applyFill="1" applyBorder="1" applyProtection="1">
      <protection hidden="1"/>
    </xf>
    <xf numFmtId="0" fontId="8" fillId="0" borderId="90" xfId="0" applyFont="1" applyBorder="1" applyAlignment="1">
      <alignment wrapText="1"/>
    </xf>
    <xf numFmtId="0" fontId="80" fillId="0" borderId="89" xfId="0" applyFont="1" applyBorder="1" applyAlignment="1">
      <alignment wrapText="1"/>
    </xf>
    <xf numFmtId="0" fontId="8" fillId="35" borderId="90" xfId="0" applyFont="1" applyFill="1" applyBorder="1" applyAlignment="1">
      <alignment wrapText="1"/>
    </xf>
    <xf numFmtId="0" fontId="80" fillId="35" borderId="89" xfId="0" applyFont="1" applyFill="1" applyBorder="1" applyAlignment="1">
      <alignment horizontal="right" wrapText="1"/>
    </xf>
    <xf numFmtId="0" fontId="8" fillId="24" borderId="90" xfId="0" applyFont="1" applyFill="1" applyBorder="1" applyAlignment="1">
      <alignment wrapText="1"/>
    </xf>
    <xf numFmtId="0" fontId="80" fillId="24" borderId="89" xfId="0" applyFont="1" applyFill="1" applyBorder="1" applyAlignment="1">
      <alignment horizontal="right" wrapText="1"/>
    </xf>
    <xf numFmtId="0" fontId="8" fillId="36" borderId="90" xfId="0" applyFont="1" applyFill="1" applyBorder="1" applyAlignment="1">
      <alignment wrapText="1"/>
    </xf>
    <xf numFmtId="0" fontId="80" fillId="36" borderId="89" xfId="0" applyFont="1" applyFill="1" applyBorder="1" applyAlignment="1">
      <alignment horizontal="right" wrapText="1"/>
    </xf>
    <xf numFmtId="0" fontId="8" fillId="30" borderId="90" xfId="0" applyFont="1" applyFill="1" applyBorder="1" applyAlignment="1">
      <alignment wrapText="1"/>
    </xf>
    <xf numFmtId="0" fontId="80" fillId="30" borderId="89" xfId="0" applyFont="1" applyFill="1" applyBorder="1" applyAlignment="1">
      <alignment horizontal="right" wrapText="1"/>
    </xf>
    <xf numFmtId="2" fontId="8" fillId="0" borderId="0" xfId="0" applyNumberFormat="1" applyFont="1" applyAlignment="1" applyProtection="1">
      <alignment vertical="center"/>
      <protection hidden="1"/>
    </xf>
    <xf numFmtId="174" fontId="8" fillId="0" borderId="0" xfId="0" applyNumberFormat="1" applyFont="1" applyAlignment="1" applyProtection="1">
      <alignment vertical="center"/>
      <protection hidden="1"/>
    </xf>
    <xf numFmtId="211" fontId="8" fillId="0" borderId="0" xfId="96" applyNumberFormat="1" applyProtection="1">
      <protection hidden="1"/>
    </xf>
    <xf numFmtId="211" fontId="8" fillId="0" borderId="7" xfId="96" applyNumberFormat="1" applyBorder="1" applyProtection="1">
      <protection hidden="1"/>
    </xf>
    <xf numFmtId="3" fontId="58" fillId="0" borderId="7" xfId="124" applyNumberFormat="1" applyFont="1" applyBorder="1" applyAlignment="1">
      <alignment horizontal="center" vertical="center"/>
    </xf>
    <xf numFmtId="4" fontId="8" fillId="0" borderId="7" xfId="96" applyNumberFormat="1" applyBorder="1" applyAlignment="1" applyProtection="1">
      <alignment horizontal="center" vertical="center"/>
      <protection hidden="1"/>
    </xf>
    <xf numFmtId="0" fontId="56" fillId="0" borderId="0" xfId="124" applyFont="1" applyAlignment="1">
      <alignment horizontal="center" vertical="center" wrapText="1"/>
    </xf>
    <xf numFmtId="0" fontId="25" fillId="19" borderId="7" xfId="95" applyFont="1" applyFill="1" applyBorder="1" applyAlignment="1" applyProtection="1">
      <alignment horizontal="center" vertical="center"/>
      <protection hidden="1"/>
    </xf>
    <xf numFmtId="170" fontId="80" fillId="24" borderId="89" xfId="0" applyNumberFormat="1" applyFont="1" applyFill="1" applyBorder="1" applyAlignment="1">
      <alignment horizontal="right" wrapText="1"/>
    </xf>
    <xf numFmtId="170" fontId="80" fillId="36" borderId="89" xfId="0" applyNumberFormat="1" applyFont="1" applyFill="1" applyBorder="1" applyAlignment="1">
      <alignment horizontal="right" wrapText="1"/>
    </xf>
    <xf numFmtId="170" fontId="80" fillId="30" borderId="89" xfId="0" applyNumberFormat="1" applyFont="1" applyFill="1" applyBorder="1" applyAlignment="1">
      <alignment horizontal="right" wrapText="1"/>
    </xf>
    <xf numFmtId="0" fontId="56" fillId="34" borderId="92" xfId="0" applyFont="1" applyFill="1" applyBorder="1" applyAlignment="1">
      <alignment horizontal="center" vertical="center" wrapText="1"/>
    </xf>
    <xf numFmtId="0" fontId="56" fillId="34" borderId="93" xfId="0" applyFont="1" applyFill="1" applyBorder="1" applyAlignment="1">
      <alignment horizontal="center" vertical="center" wrapText="1"/>
    </xf>
    <xf numFmtId="0" fontId="56" fillId="25" borderId="19" xfId="0" applyFont="1" applyFill="1" applyBorder="1" applyAlignment="1">
      <alignment horizontal="center" vertical="center" wrapText="1"/>
    </xf>
    <xf numFmtId="0" fontId="8" fillId="0" borderId="26" xfId="96" applyBorder="1" applyAlignment="1" applyProtection="1">
      <alignment horizontal="center" vertical="center" wrapText="1"/>
      <protection hidden="1"/>
    </xf>
    <xf numFmtId="0" fontId="9" fillId="38" borderId="7" xfId="96" applyFont="1" applyFill="1" applyBorder="1" applyAlignment="1" applyProtection="1">
      <alignment vertical="center" wrapText="1"/>
      <protection hidden="1"/>
    </xf>
    <xf numFmtId="3" fontId="9" fillId="38" borderId="7" xfId="96" applyNumberFormat="1" applyFont="1" applyFill="1" applyBorder="1" applyAlignment="1" applyProtection="1">
      <alignment horizontal="left" vertical="center"/>
      <protection hidden="1"/>
    </xf>
    <xf numFmtId="211" fontId="9" fillId="10" borderId="7" xfId="96" applyNumberFormat="1" applyFont="1" applyFill="1" applyBorder="1" applyProtection="1">
      <protection hidden="1"/>
    </xf>
    <xf numFmtId="211" fontId="9" fillId="38" borderId="7" xfId="96" applyNumberFormat="1" applyFont="1" applyFill="1" applyBorder="1" applyProtection="1">
      <protection hidden="1"/>
    </xf>
    <xf numFmtId="211" fontId="24" fillId="38" borderId="7" xfId="96" applyNumberFormat="1" applyFont="1" applyFill="1" applyBorder="1" applyProtection="1">
      <protection hidden="1"/>
    </xf>
    <xf numFmtId="178" fontId="62" fillId="12" borderId="7" xfId="101" applyNumberFormat="1" applyFont="1" applyFill="1" applyBorder="1" applyAlignment="1" applyProtection="1">
      <alignment horizontal="center" vertical="center"/>
      <protection hidden="1"/>
    </xf>
    <xf numFmtId="178" fontId="62" fillId="14" borderId="7" xfId="101" applyNumberFormat="1" applyFont="1" applyFill="1" applyBorder="1" applyAlignment="1" applyProtection="1">
      <alignment horizontal="center" vertical="center"/>
      <protection hidden="1"/>
    </xf>
    <xf numFmtId="178" fontId="8" fillId="0" borderId="0" xfId="0" applyNumberFormat="1" applyFont="1" applyProtection="1">
      <protection hidden="1"/>
    </xf>
    <xf numFmtId="0" fontId="62" fillId="21" borderId="7" xfId="101" applyFont="1" applyFill="1" applyBorder="1" applyAlignment="1" applyProtection="1">
      <alignment vertical="center"/>
      <protection hidden="1"/>
    </xf>
    <xf numFmtId="178" fontId="25" fillId="0" borderId="51" xfId="101" applyNumberFormat="1" applyFont="1" applyBorder="1" applyAlignment="1" applyProtection="1">
      <alignment vertical="center"/>
      <protection hidden="1"/>
    </xf>
    <xf numFmtId="0" fontId="63" fillId="23" borderId="21" xfId="101" applyFont="1" applyFill="1" applyBorder="1" applyAlignment="1" applyProtection="1">
      <alignment horizontal="center" vertical="center"/>
      <protection hidden="1"/>
    </xf>
    <xf numFmtId="178" fontId="62" fillId="12" borderId="7" xfId="101" applyNumberFormat="1" applyFont="1" applyFill="1" applyBorder="1" applyAlignment="1" applyProtection="1">
      <alignment vertical="center"/>
      <protection hidden="1"/>
    </xf>
    <xf numFmtId="211" fontId="62" fillId="10" borderId="0" xfId="54" applyNumberFormat="1" applyFont="1" applyFill="1" applyAlignment="1" applyProtection="1">
      <alignment vertical="center"/>
      <protection hidden="1"/>
    </xf>
    <xf numFmtId="214" fontId="62" fillId="10" borderId="0" xfId="101" applyNumberFormat="1" applyFont="1" applyFill="1" applyAlignment="1" applyProtection="1">
      <alignment vertical="center"/>
      <protection hidden="1"/>
    </xf>
    <xf numFmtId="178" fontId="62" fillId="14" borderId="7" xfId="101" applyNumberFormat="1" applyFont="1" applyFill="1" applyBorder="1" applyAlignment="1" applyProtection="1">
      <alignment vertical="center" wrapText="1"/>
      <protection hidden="1"/>
    </xf>
    <xf numFmtId="171" fontId="63" fillId="12" borderId="30" xfId="99" applyNumberFormat="1" applyFont="1" applyFill="1" applyBorder="1" applyAlignment="1" applyProtection="1">
      <alignment horizontal="center" vertical="center" wrapText="1"/>
      <protection hidden="1"/>
    </xf>
    <xf numFmtId="3" fontId="63" fillId="12" borderId="21" xfId="101" applyNumberFormat="1" applyFont="1" applyFill="1" applyBorder="1" applyAlignment="1" applyProtection="1">
      <alignment horizontal="center" vertical="center" wrapText="1"/>
      <protection hidden="1"/>
    </xf>
    <xf numFmtId="171" fontId="63" fillId="13" borderId="21" xfId="99" applyNumberFormat="1" applyFont="1" applyFill="1" applyBorder="1" applyAlignment="1" applyProtection="1">
      <alignment horizontal="center" vertical="center" wrapText="1"/>
      <protection hidden="1"/>
    </xf>
    <xf numFmtId="3" fontId="63" fillId="13" borderId="5" xfId="101" applyNumberFormat="1" applyFont="1" applyFill="1" applyBorder="1" applyAlignment="1" applyProtection="1">
      <alignment horizontal="center" vertical="center" wrapText="1"/>
      <protection hidden="1"/>
    </xf>
    <xf numFmtId="171" fontId="63" fillId="14" borderId="21" xfId="99" applyNumberFormat="1" applyFont="1" applyFill="1" applyBorder="1" applyAlignment="1" applyProtection="1">
      <alignment horizontal="center" vertical="center" wrapText="1"/>
      <protection hidden="1"/>
    </xf>
    <xf numFmtId="3" fontId="63" fillId="14" borderId="3" xfId="101" applyNumberFormat="1" applyFont="1" applyFill="1" applyBorder="1" applyAlignment="1" applyProtection="1">
      <alignment horizontal="center" vertical="center" wrapText="1"/>
      <protection hidden="1"/>
    </xf>
    <xf numFmtId="171" fontId="63" fillId="11" borderId="21" xfId="99" applyNumberFormat="1" applyFont="1" applyFill="1" applyBorder="1" applyAlignment="1" applyProtection="1">
      <alignment horizontal="center" vertical="center" wrapText="1"/>
      <protection hidden="1"/>
    </xf>
    <xf numFmtId="3" fontId="63" fillId="11" borderId="5" xfId="101" applyNumberFormat="1" applyFont="1" applyFill="1" applyBorder="1" applyAlignment="1" applyProtection="1">
      <alignment horizontal="center" vertical="center" wrapText="1"/>
      <protection hidden="1"/>
    </xf>
    <xf numFmtId="171" fontId="63" fillId="12" borderId="21" xfId="99" applyNumberFormat="1" applyFont="1" applyFill="1" applyBorder="1" applyAlignment="1" applyProtection="1">
      <alignment horizontal="center" vertical="center" wrapText="1"/>
      <protection hidden="1"/>
    </xf>
    <xf numFmtId="3" fontId="63" fillId="13" borderId="21" xfId="101" applyNumberFormat="1" applyFont="1" applyFill="1" applyBorder="1" applyAlignment="1" applyProtection="1">
      <alignment horizontal="center" vertical="center" wrapText="1"/>
      <protection hidden="1"/>
    </xf>
    <xf numFmtId="3" fontId="63" fillId="14" borderId="21" xfId="101" applyNumberFormat="1" applyFont="1" applyFill="1" applyBorder="1" applyAlignment="1" applyProtection="1">
      <alignment horizontal="center" vertical="center" wrapText="1"/>
      <protection hidden="1"/>
    </xf>
    <xf numFmtId="3" fontId="63" fillId="11" borderId="21" xfId="101" applyNumberFormat="1" applyFont="1" applyFill="1" applyBorder="1" applyAlignment="1" applyProtection="1">
      <alignment horizontal="center" vertical="center" wrapText="1"/>
      <protection hidden="1"/>
    </xf>
    <xf numFmtId="0" fontId="56" fillId="16" borderId="21" xfId="101" applyFont="1" applyFill="1" applyBorder="1" applyAlignment="1" applyProtection="1">
      <alignment horizontal="center" vertical="center" wrapText="1"/>
      <protection hidden="1"/>
    </xf>
    <xf numFmtId="205" fontId="56" fillId="11" borderId="2" xfId="99" applyNumberFormat="1" applyFont="1" applyFill="1" applyBorder="1" applyAlignment="1" applyProtection="1">
      <alignment horizontal="center" vertical="center" wrapText="1"/>
      <protection hidden="1"/>
    </xf>
    <xf numFmtId="178" fontId="8" fillId="0" borderId="0" xfId="0" applyNumberFormat="1" applyFont="1" applyAlignment="1" applyProtection="1">
      <alignment vertical="center"/>
      <protection hidden="1"/>
    </xf>
    <xf numFmtId="0" fontId="9" fillId="31" borderId="21" xfId="96" applyFont="1" applyFill="1" applyBorder="1" applyAlignment="1" applyProtection="1">
      <alignment horizontal="center" vertical="center" wrapText="1"/>
      <protection hidden="1"/>
    </xf>
    <xf numFmtId="0" fontId="76" fillId="30" borderId="21" xfId="96" applyFont="1" applyFill="1" applyBorder="1" applyAlignment="1" applyProtection="1">
      <alignment vertical="center" wrapText="1"/>
      <protection hidden="1"/>
    </xf>
    <xf numFmtId="213" fontId="8" fillId="0" borderId="7" xfId="96" applyNumberFormat="1" applyBorder="1" applyProtection="1">
      <protection hidden="1"/>
    </xf>
    <xf numFmtId="0" fontId="80" fillId="0" borderId="7" xfId="0" applyFont="1" applyBorder="1" applyAlignment="1">
      <alignment horizontal="right" wrapText="1"/>
    </xf>
    <xf numFmtId="0" fontId="8" fillId="39" borderId="7" xfId="96" applyFill="1" applyBorder="1" applyAlignment="1" applyProtection="1">
      <alignment vertical="center" wrapText="1"/>
      <protection hidden="1"/>
    </xf>
    <xf numFmtId="0" fontId="8" fillId="39" borderId="7" xfId="96" applyFill="1" applyBorder="1" applyProtection="1">
      <protection hidden="1"/>
    </xf>
    <xf numFmtId="213" fontId="8" fillId="39" borderId="7" xfId="96" applyNumberFormat="1" applyFill="1" applyBorder="1" applyAlignment="1" applyProtection="1">
      <alignment vertical="center"/>
      <protection hidden="1"/>
    </xf>
    <xf numFmtId="0" fontId="8" fillId="0" borderId="0" xfId="96" applyAlignment="1" applyProtection="1">
      <alignment horizontal="left" wrapText="1"/>
      <protection hidden="1"/>
    </xf>
    <xf numFmtId="0" fontId="9" fillId="0" borderId="0" xfId="96" applyFont="1" applyAlignment="1" applyProtection="1">
      <alignment horizontal="center" vertical="center" wrapText="1"/>
      <protection hidden="1"/>
    </xf>
    <xf numFmtId="211" fontId="8" fillId="0" borderId="0" xfId="54" applyNumberFormat="1" applyFont="1" applyBorder="1" applyProtection="1">
      <protection hidden="1"/>
    </xf>
    <xf numFmtId="0" fontId="8" fillId="35" borderId="0" xfId="96" applyFill="1" applyProtection="1">
      <protection hidden="1"/>
    </xf>
    <xf numFmtId="0" fontId="9" fillId="35" borderId="0" xfId="96" applyFont="1" applyFill="1" applyProtection="1">
      <protection hidden="1"/>
    </xf>
    <xf numFmtId="0" fontId="8" fillId="33" borderId="0" xfId="96" applyFill="1" applyProtection="1">
      <protection hidden="1"/>
    </xf>
    <xf numFmtId="0" fontId="8" fillId="17" borderId="0" xfId="96" applyFill="1" applyProtection="1">
      <protection hidden="1"/>
    </xf>
    <xf numFmtId="0" fontId="9" fillId="32" borderId="0" xfId="96" applyFont="1" applyFill="1" applyProtection="1">
      <protection hidden="1"/>
    </xf>
    <xf numFmtId="0" fontId="8" fillId="32" borderId="26" xfId="96" applyFill="1" applyBorder="1" applyAlignment="1" applyProtection="1">
      <alignment horizontal="center" vertical="center" wrapText="1"/>
      <protection hidden="1"/>
    </xf>
    <xf numFmtId="0" fontId="8" fillId="32" borderId="0" xfId="96" applyFill="1" applyProtection="1">
      <protection hidden="1"/>
    </xf>
    <xf numFmtId="0" fontId="8" fillId="0" borderId="0" xfId="96" applyAlignment="1" applyProtection="1">
      <alignment horizontal="right" wrapText="1"/>
      <protection hidden="1"/>
    </xf>
    <xf numFmtId="0" fontId="3" fillId="0" borderId="0" xfId="127" applyAlignment="1">
      <alignment vertical="center"/>
    </xf>
    <xf numFmtId="0" fontId="83" fillId="0" borderId="0" xfId="127" applyFont="1" applyAlignment="1">
      <alignment horizontal="center" vertical="center"/>
    </xf>
    <xf numFmtId="0" fontId="3" fillId="0" borderId="0" xfId="127"/>
    <xf numFmtId="213" fontId="0" fillId="0" borderId="0" xfId="128" applyNumberFormat="1" applyFont="1" applyBorder="1" applyAlignment="1">
      <alignment vertical="center"/>
    </xf>
    <xf numFmtId="213" fontId="8" fillId="12" borderId="7" xfId="62" applyNumberFormat="1" applyFont="1" applyFill="1" applyBorder="1" applyAlignment="1" applyProtection="1">
      <alignment horizontal="center" vertical="center"/>
    </xf>
    <xf numFmtId="213" fontId="8" fillId="0" borderId="0" xfId="62" applyNumberFormat="1" applyFont="1" applyFill="1" applyBorder="1" applyAlignment="1" applyProtection="1">
      <alignment horizontal="center" vertical="center"/>
    </xf>
    <xf numFmtId="213" fontId="8" fillId="14" borderId="7" xfId="62" applyNumberFormat="1" applyFont="1" applyFill="1" applyBorder="1" applyAlignment="1" applyProtection="1">
      <alignment horizontal="center" vertical="center"/>
    </xf>
    <xf numFmtId="1" fontId="8" fillId="29" borderId="0" xfId="97" applyNumberFormat="1" applyFill="1" applyAlignment="1" applyProtection="1">
      <alignment horizontal="center" vertical="center"/>
      <protection hidden="1"/>
    </xf>
    <xf numFmtId="0" fontId="8" fillId="14" borderId="0" xfId="0" applyFont="1" applyFill="1" applyAlignment="1" applyProtection="1">
      <alignment wrapText="1"/>
      <protection hidden="1"/>
    </xf>
    <xf numFmtId="211" fontId="8" fillId="13" borderId="7" xfId="54" applyNumberFormat="1" applyFont="1" applyFill="1" applyBorder="1" applyAlignment="1" applyProtection="1">
      <alignment horizontal="right" vertical="center"/>
      <protection hidden="1"/>
    </xf>
    <xf numFmtId="0" fontId="8" fillId="13" borderId="0" xfId="97" applyFill="1" applyAlignment="1" applyProtection="1">
      <alignment horizontal="right" vertical="center"/>
      <protection hidden="1"/>
    </xf>
    <xf numFmtId="0" fontId="9" fillId="0" borderId="19" xfId="96" applyFont="1" applyBorder="1" applyAlignment="1" applyProtection="1">
      <alignment wrapText="1"/>
      <protection hidden="1"/>
    </xf>
    <xf numFmtId="1" fontId="8" fillId="38" borderId="19" xfId="54" applyNumberFormat="1" applyFont="1" applyFill="1" applyBorder="1" applyAlignment="1" applyProtection="1">
      <alignment horizontal="center" vertical="center"/>
      <protection hidden="1"/>
    </xf>
    <xf numFmtId="0" fontId="8" fillId="38" borderId="7" xfId="96" applyFill="1" applyBorder="1" applyAlignment="1" applyProtection="1">
      <alignment horizontal="center" vertical="center" wrapText="1"/>
      <protection hidden="1"/>
    </xf>
    <xf numFmtId="0" fontId="58" fillId="38" borderId="7" xfId="0" applyFont="1" applyFill="1" applyBorder="1" applyAlignment="1">
      <alignment horizontal="center" vertical="center" wrapText="1"/>
    </xf>
    <xf numFmtId="0" fontId="8" fillId="13" borderId="7" xfId="96" applyFill="1" applyBorder="1" applyAlignment="1" applyProtection="1">
      <alignment vertical="center"/>
      <protection hidden="1"/>
    </xf>
    <xf numFmtId="0" fontId="8" fillId="0" borderId="7" xfId="96" applyBorder="1" applyAlignment="1" applyProtection="1">
      <alignment vertical="center" wrapText="1"/>
      <protection hidden="1"/>
    </xf>
    <xf numFmtId="0" fontId="72" fillId="0" borderId="35" xfId="0" applyFont="1" applyBorder="1" applyAlignment="1" applyProtection="1">
      <alignment vertical="center" wrapText="1"/>
      <protection hidden="1"/>
    </xf>
    <xf numFmtId="0" fontId="72" fillId="0" borderId="36" xfId="0" applyFont="1" applyBorder="1" applyAlignment="1" applyProtection="1">
      <alignment vertical="center" wrapText="1"/>
      <protection hidden="1"/>
    </xf>
    <xf numFmtId="211" fontId="18" fillId="0" borderId="7" xfId="54" applyNumberFormat="1" applyFont="1" applyFill="1" applyBorder="1" applyAlignment="1" applyProtection="1">
      <alignment horizontal="center" vertical="center"/>
      <protection hidden="1"/>
    </xf>
    <xf numFmtId="211" fontId="34" fillId="0" borderId="7" xfId="54" applyNumberFormat="1" applyFont="1" applyFill="1" applyBorder="1" applyAlignment="1" applyProtection="1">
      <alignment horizontal="right" vertical="center" wrapText="1"/>
      <protection hidden="1"/>
    </xf>
    <xf numFmtId="211" fontId="72" fillId="0" borderId="36" xfId="54" applyNumberFormat="1" applyFont="1" applyFill="1" applyBorder="1" applyAlignment="1" applyProtection="1">
      <alignment vertical="center" wrapText="1"/>
      <protection hidden="1"/>
    </xf>
    <xf numFmtId="211" fontId="18" fillId="0" borderId="7" xfId="54" applyNumberFormat="1" applyFont="1" applyFill="1" applyBorder="1" applyAlignment="1" applyProtection="1">
      <alignment vertical="center"/>
      <protection hidden="1"/>
    </xf>
    <xf numFmtId="0" fontId="56" fillId="0" borderId="0" xfId="124" applyFont="1" applyAlignment="1">
      <alignment horizontal="left" vertical="center"/>
    </xf>
    <xf numFmtId="174" fontId="54" fillId="0" borderId="0" xfId="62" applyNumberFormat="1" applyFont="1" applyFill="1" applyBorder="1" applyAlignment="1" applyProtection="1">
      <alignment horizontal="right" wrapText="1"/>
      <protection hidden="1"/>
    </xf>
    <xf numFmtId="0" fontId="18" fillId="0" borderId="0" xfId="0" applyFont="1" applyAlignment="1" applyProtection="1">
      <alignment horizontal="left" vertical="center" wrapText="1"/>
      <protection hidden="1"/>
    </xf>
    <xf numFmtId="0" fontId="11" fillId="0" borderId="0" xfId="0" applyFont="1" applyAlignment="1" applyProtection="1">
      <alignment horizontal="left" vertical="center"/>
      <protection hidden="1"/>
    </xf>
    <xf numFmtId="0" fontId="56" fillId="0" borderId="0" xfId="0" applyFont="1" applyAlignment="1" applyProtection="1">
      <alignment horizontal="center" vertical="center" wrapText="1"/>
      <protection hidden="1"/>
    </xf>
    <xf numFmtId="174" fontId="12" fillId="0" borderId="0" xfId="62" applyNumberFormat="1" applyFont="1" applyFill="1" applyBorder="1" applyAlignment="1" applyProtection="1">
      <alignment horizontal="right" vertical="center" wrapText="1"/>
      <protection hidden="1"/>
    </xf>
    <xf numFmtId="174" fontId="16" fillId="0" borderId="0" xfId="62" applyNumberFormat="1" applyFont="1" applyFill="1" applyBorder="1" applyAlignment="1" applyProtection="1">
      <alignment horizontal="right" vertical="center" wrapText="1"/>
      <protection hidden="1"/>
    </xf>
    <xf numFmtId="174" fontId="54" fillId="0" borderId="0" xfId="62" applyNumberFormat="1" applyFont="1" applyFill="1" applyBorder="1" applyAlignment="1" applyProtection="1">
      <alignment horizontal="right" vertical="center" wrapText="1"/>
      <protection hidden="1"/>
    </xf>
    <xf numFmtId="174" fontId="11" fillId="0" borderId="0" xfId="62" applyNumberFormat="1" applyFont="1" applyFill="1" applyBorder="1" applyAlignment="1" applyProtection="1">
      <alignment horizontal="right" vertical="center" wrapText="1"/>
      <protection hidden="1"/>
    </xf>
    <xf numFmtId="174" fontId="34" fillId="0" borderId="0" xfId="0" applyNumberFormat="1" applyFont="1" applyAlignment="1" applyProtection="1">
      <alignment horizontal="right" vertical="center" wrapText="1"/>
      <protection hidden="1"/>
    </xf>
    <xf numFmtId="211" fontId="34" fillId="0" borderId="0" xfId="54" applyNumberFormat="1" applyFont="1" applyFill="1" applyBorder="1" applyAlignment="1" applyProtection="1">
      <alignment horizontal="right" vertical="center" wrapText="1"/>
      <protection hidden="1"/>
    </xf>
    <xf numFmtId="173" fontId="8" fillId="0" borderId="0" xfId="0" applyNumberFormat="1" applyFont="1" applyAlignment="1" applyProtection="1">
      <alignment vertical="center"/>
      <protection hidden="1"/>
    </xf>
    <xf numFmtId="176" fontId="9" fillId="0" borderId="0" xfId="62" applyNumberFormat="1" applyFont="1" applyFill="1" applyBorder="1" applyAlignment="1" applyProtection="1">
      <alignment vertical="center"/>
      <protection hidden="1"/>
    </xf>
    <xf numFmtId="173" fontId="9" fillId="0" borderId="0" xfId="62" applyNumberFormat="1" applyFont="1" applyFill="1" applyBorder="1" applyAlignment="1" applyProtection="1">
      <alignment vertical="center"/>
      <protection hidden="1"/>
    </xf>
    <xf numFmtId="0" fontId="9" fillId="0" borderId="0" xfId="0" applyFont="1" applyAlignment="1" applyProtection="1">
      <alignment horizontal="left" vertical="top"/>
      <protection hidden="1"/>
    </xf>
    <xf numFmtId="167" fontId="8" fillId="25" borderId="7" xfId="54" applyFont="1" applyFill="1" applyBorder="1" applyProtection="1">
      <protection hidden="1"/>
    </xf>
    <xf numFmtId="211" fontId="8" fillId="0" borderId="7" xfId="0" applyNumberFormat="1" applyFont="1" applyBorder="1" applyProtection="1">
      <protection hidden="1"/>
    </xf>
    <xf numFmtId="215" fontId="8" fillId="0" borderId="7" xfId="0" applyNumberFormat="1" applyFont="1" applyBorder="1" applyProtection="1">
      <protection hidden="1"/>
    </xf>
    <xf numFmtId="178" fontId="8" fillId="0" borderId="7" xfId="0" applyNumberFormat="1" applyFont="1" applyBorder="1" applyProtection="1">
      <protection hidden="1"/>
    </xf>
    <xf numFmtId="0" fontId="8" fillId="15" borderId="0" xfId="0" applyFont="1" applyFill="1" applyProtection="1">
      <protection hidden="1"/>
    </xf>
    <xf numFmtId="176" fontId="58" fillId="0" borderId="7" xfId="48" applyNumberFormat="1" applyFont="1" applyFill="1" applyBorder="1" applyAlignment="1" applyProtection="1">
      <alignment vertical="center"/>
      <protection hidden="1"/>
    </xf>
    <xf numFmtId="3" fontId="8" fillId="35" borderId="7" xfId="96" applyNumberFormat="1" applyFill="1" applyBorder="1" applyAlignment="1" applyProtection="1">
      <alignment horizontal="left" vertical="center"/>
      <protection hidden="1"/>
    </xf>
    <xf numFmtId="3" fontId="8" fillId="35" borderId="7" xfId="96" applyNumberFormat="1" applyFill="1" applyBorder="1" applyAlignment="1" applyProtection="1">
      <alignment horizontal="center" vertical="center"/>
      <protection hidden="1"/>
    </xf>
    <xf numFmtId="0" fontId="8" fillId="35" borderId="7" xfId="96" applyFill="1" applyBorder="1" applyAlignment="1" applyProtection="1">
      <alignment vertical="center"/>
      <protection hidden="1"/>
    </xf>
    <xf numFmtId="0" fontId="8" fillId="35" borderId="7" xfId="96" applyFill="1" applyBorder="1" applyAlignment="1" applyProtection="1">
      <alignment horizontal="center" vertical="center"/>
      <protection hidden="1"/>
    </xf>
    <xf numFmtId="176" fontId="8" fillId="35" borderId="7" xfId="48" applyNumberFormat="1" applyFont="1" applyFill="1" applyBorder="1" applyAlignment="1" applyProtection="1">
      <alignment horizontal="center" vertical="center"/>
      <protection hidden="1"/>
    </xf>
    <xf numFmtId="176" fontId="8" fillId="10" borderId="7" xfId="48" applyNumberFormat="1" applyFont="1" applyFill="1" applyBorder="1" applyAlignment="1" applyProtection="1">
      <alignment horizontal="right" vertical="center"/>
      <protection hidden="1"/>
    </xf>
    <xf numFmtId="0" fontId="8" fillId="0" borderId="7" xfId="96" applyBorder="1" applyAlignment="1" applyProtection="1">
      <alignment horizontal="left" vertical="center"/>
      <protection hidden="1"/>
    </xf>
    <xf numFmtId="176" fontId="8" fillId="35" borderId="7" xfId="48" applyNumberFormat="1" applyFont="1" applyFill="1" applyBorder="1" applyAlignment="1" applyProtection="1">
      <alignment horizontal="left" vertical="center"/>
      <protection hidden="1"/>
    </xf>
    <xf numFmtId="167" fontId="8" fillId="0" borderId="7" xfId="54" applyFont="1" applyBorder="1" applyAlignment="1" applyProtection="1">
      <alignment horizontal="right"/>
      <protection hidden="1"/>
    </xf>
    <xf numFmtId="0" fontId="8" fillId="35" borderId="7" xfId="96" applyFill="1" applyBorder="1" applyAlignment="1" applyProtection="1">
      <alignment horizontal="center" vertical="center" wrapText="1"/>
      <protection hidden="1"/>
    </xf>
    <xf numFmtId="0" fontId="8" fillId="35" borderId="7" xfId="96" applyFill="1" applyBorder="1" applyAlignment="1" applyProtection="1">
      <alignment horizontal="justify" vertical="center"/>
      <protection hidden="1"/>
    </xf>
    <xf numFmtId="0" fontId="8" fillId="0" borderId="35" xfId="66" applyBorder="1" applyAlignment="1" applyProtection="1">
      <alignment horizontal="center" vertical="center"/>
      <protection locked="0"/>
    </xf>
    <xf numFmtId="0" fontId="8" fillId="0" borderId="7" xfId="97" applyBorder="1" applyAlignment="1" applyProtection="1">
      <alignment horizontal="center" vertical="center"/>
      <protection locked="0"/>
    </xf>
    <xf numFmtId="0" fontId="7" fillId="0" borderId="7" xfId="97" applyFont="1" applyBorder="1" applyAlignment="1" applyProtection="1">
      <alignment horizontal="center" vertical="center"/>
      <protection locked="0"/>
    </xf>
    <xf numFmtId="0" fontId="8" fillId="0" borderId="55" xfId="97" applyBorder="1" applyAlignment="1" applyProtection="1">
      <alignment horizontal="center" vertical="center"/>
      <protection locked="0"/>
    </xf>
    <xf numFmtId="0" fontId="58" fillId="0" borderId="0" xfId="124" applyFont="1" applyAlignment="1">
      <alignment horizontal="center"/>
    </xf>
    <xf numFmtId="213" fontId="9" fillId="27" borderId="7" xfId="62" applyNumberFormat="1" applyFont="1" applyFill="1" applyBorder="1" applyAlignment="1" applyProtection="1">
      <alignment horizontal="center" vertical="center"/>
    </xf>
    <xf numFmtId="213" fontId="9" fillId="33" borderId="7" xfId="62" applyNumberFormat="1" applyFont="1" applyFill="1" applyBorder="1" applyAlignment="1" applyProtection="1">
      <alignment horizontal="center" vertical="center"/>
    </xf>
    <xf numFmtId="176" fontId="8" fillId="25" borderId="0" xfId="48" applyNumberFormat="1" applyFont="1" applyFill="1" applyProtection="1">
      <protection hidden="1"/>
    </xf>
    <xf numFmtId="0" fontId="0" fillId="0" borderId="0" xfId="0" applyAlignment="1">
      <alignment vertical="center"/>
    </xf>
    <xf numFmtId="0" fontId="82" fillId="23" borderId="7" xfId="0" applyFont="1" applyFill="1" applyBorder="1" applyAlignment="1">
      <alignment horizontal="center" vertical="center" wrapText="1"/>
    </xf>
    <xf numFmtId="0" fontId="82" fillId="26" borderId="7" xfId="0" applyFont="1" applyFill="1" applyBorder="1" applyAlignment="1">
      <alignment horizontal="center" vertical="center" wrapText="1"/>
    </xf>
    <xf numFmtId="0" fontId="0" fillId="0" borderId="7" xfId="0" applyBorder="1" applyAlignment="1">
      <alignment horizontal="center" vertical="center"/>
    </xf>
    <xf numFmtId="213" fontId="8" fillId="10" borderId="7" xfId="62" applyNumberFormat="1" applyFont="1" applyFill="1" applyBorder="1" applyAlignment="1" applyProtection="1">
      <alignment horizontal="center" vertical="center"/>
    </xf>
    <xf numFmtId="0" fontId="0" fillId="0" borderId="0" xfId="0" applyAlignment="1">
      <alignment horizontal="center" vertical="center"/>
    </xf>
    <xf numFmtId="0" fontId="58" fillId="0" borderId="0" xfId="0" applyFont="1" applyAlignment="1">
      <alignment horizontal="justify" vertical="center" wrapText="1"/>
    </xf>
    <xf numFmtId="213" fontId="9" fillId="0" borderId="7" xfId="62" applyNumberFormat="1" applyFont="1" applyFill="1" applyBorder="1" applyAlignment="1" applyProtection="1">
      <alignment horizontal="center" vertical="center" wrapText="1"/>
    </xf>
    <xf numFmtId="0" fontId="82" fillId="0" borderId="7" xfId="0" applyFont="1" applyBorder="1"/>
    <xf numFmtId="213" fontId="9" fillId="0" borderId="7" xfId="62" applyNumberFormat="1" applyFont="1" applyFill="1" applyBorder="1" applyAlignment="1" applyProtection="1">
      <alignment horizontal="center" vertical="center"/>
    </xf>
    <xf numFmtId="213" fontId="8" fillId="0" borderId="7" xfId="62" applyNumberFormat="1" applyFont="1" applyFill="1" applyBorder="1" applyAlignment="1" applyProtection="1">
      <alignment horizontal="center" vertical="center"/>
    </xf>
    <xf numFmtId="0" fontId="82" fillId="26" borderId="5" xfId="0" applyFont="1" applyFill="1" applyBorder="1" applyAlignment="1">
      <alignment horizontal="center" vertical="center" wrapText="1"/>
    </xf>
    <xf numFmtId="0" fontId="82" fillId="26" borderId="49" xfId="0" applyFont="1" applyFill="1" applyBorder="1" applyAlignment="1">
      <alignment horizontal="center" vertical="center" wrapText="1"/>
    </xf>
    <xf numFmtId="0" fontId="78" fillId="39" borderId="7" xfId="0" applyFont="1" applyFill="1" applyBorder="1" applyAlignment="1">
      <alignment horizontal="center" vertical="center" wrapText="1"/>
    </xf>
    <xf numFmtId="178" fontId="82" fillId="0" borderId="7" xfId="54" applyNumberFormat="1" applyFont="1" applyBorder="1" applyAlignment="1">
      <alignment horizontal="center" vertical="center" wrapText="1"/>
    </xf>
    <xf numFmtId="178" fontId="25" fillId="0" borderId="0" xfId="104" applyNumberFormat="1" applyFont="1" applyFill="1" applyAlignment="1" applyProtection="1">
      <alignment vertical="center"/>
      <protection hidden="1"/>
    </xf>
    <xf numFmtId="0" fontId="67" fillId="0" borderId="54" xfId="0" applyFont="1" applyBorder="1" applyAlignment="1" applyProtection="1">
      <alignment vertical="center"/>
      <protection hidden="1"/>
    </xf>
    <xf numFmtId="180" fontId="62" fillId="0" borderId="7" xfId="101" applyNumberFormat="1" applyFont="1" applyBorder="1" applyAlignment="1" applyProtection="1">
      <alignment vertical="center"/>
      <protection hidden="1"/>
    </xf>
    <xf numFmtId="0" fontId="75" fillId="0" borderId="0" xfId="126" applyAlignment="1" applyProtection="1">
      <alignment vertical="center"/>
      <protection locked="0"/>
    </xf>
    <xf numFmtId="0" fontId="8" fillId="0" borderId="0" xfId="91" applyAlignment="1" applyProtection="1">
      <alignment vertical="center"/>
      <protection locked="0"/>
    </xf>
    <xf numFmtId="0" fontId="8" fillId="0" borderId="0" xfId="71" applyFont="1" applyAlignment="1" applyProtection="1">
      <alignment vertical="center"/>
      <protection locked="0"/>
    </xf>
    <xf numFmtId="0" fontId="71" fillId="0" borderId="0" xfId="71" applyFont="1" applyAlignment="1" applyProtection="1">
      <alignment vertical="center" wrapText="1"/>
      <protection hidden="1"/>
    </xf>
    <xf numFmtId="0" fontId="8" fillId="0" borderId="0" xfId="71" applyFont="1" applyAlignment="1" applyProtection="1">
      <alignment horizontal="center" vertical="center"/>
      <protection locked="0"/>
    </xf>
    <xf numFmtId="172" fontId="8" fillId="0" borderId="0" xfId="71" applyNumberFormat="1" applyFont="1" applyAlignment="1" applyProtection="1">
      <alignment horizontal="center" vertical="center"/>
      <protection locked="0"/>
    </xf>
    <xf numFmtId="0" fontId="8" fillId="0" borderId="0" xfId="71" applyFont="1" applyAlignment="1" applyProtection="1">
      <alignment horizontal="center" vertical="center" wrapText="1"/>
      <protection locked="0"/>
    </xf>
    <xf numFmtId="0" fontId="8" fillId="0" borderId="0" xfId="71" applyFont="1" applyAlignment="1" applyProtection="1">
      <alignment horizontal="left" vertical="center" wrapText="1"/>
      <protection locked="0"/>
    </xf>
    <xf numFmtId="0" fontId="8" fillId="0" borderId="0" xfId="71" applyFont="1" applyAlignment="1" applyProtection="1">
      <alignment vertical="center" wrapText="1"/>
      <protection locked="0"/>
    </xf>
    <xf numFmtId="0" fontId="8" fillId="0" borderId="0" xfId="71" applyFont="1" applyProtection="1">
      <protection locked="0"/>
    </xf>
    <xf numFmtId="172" fontId="8" fillId="0" borderId="0" xfId="71" applyNumberFormat="1" applyFont="1" applyProtection="1">
      <protection locked="0"/>
    </xf>
    <xf numFmtId="0" fontId="9" fillId="0" borderId="9" xfId="91" applyFont="1" applyBorder="1" applyAlignment="1" applyProtection="1">
      <alignment horizontal="center" vertical="center" wrapText="1"/>
      <protection locked="0"/>
    </xf>
    <xf numFmtId="0" fontId="9" fillId="0" borderId="0" xfId="91" applyFont="1" applyAlignment="1" applyProtection="1">
      <alignment horizontal="center" vertical="center" wrapText="1"/>
      <protection locked="0"/>
    </xf>
    <xf numFmtId="172" fontId="9" fillId="0" borderId="0" xfId="91" applyNumberFormat="1" applyFont="1" applyAlignment="1" applyProtection="1">
      <alignment horizontal="center" vertical="center" wrapText="1"/>
      <protection locked="0"/>
    </xf>
    <xf numFmtId="0" fontId="9" fillId="0" borderId="0" xfId="91" applyFont="1" applyAlignment="1" applyProtection="1">
      <alignment horizontal="center" vertical="center"/>
      <protection locked="0"/>
    </xf>
    <xf numFmtId="0" fontId="9" fillId="28" borderId="7" xfId="91" applyFont="1" applyFill="1" applyBorder="1" applyAlignment="1" applyProtection="1">
      <alignment horizontal="center" vertical="center" wrapText="1"/>
      <protection locked="0"/>
    </xf>
    <xf numFmtId="0" fontId="9" fillId="0" borderId="18" xfId="91" applyFont="1" applyBorder="1" applyAlignment="1" applyProtection="1">
      <alignment horizontal="center" vertical="center" wrapText="1"/>
      <protection locked="0"/>
    </xf>
    <xf numFmtId="0" fontId="8" fillId="0" borderId="7" xfId="71" applyFont="1" applyBorder="1" applyAlignment="1" applyProtection="1">
      <alignment horizontal="center" vertical="center" wrapText="1"/>
      <protection locked="0"/>
    </xf>
    <xf numFmtId="9" fontId="8" fillId="0" borderId="7" xfId="91" applyNumberFormat="1" applyBorder="1" applyAlignment="1" applyProtection="1">
      <alignment horizontal="center" vertical="center"/>
      <protection locked="0"/>
    </xf>
    <xf numFmtId="172" fontId="8" fillId="0" borderId="7" xfId="91" applyNumberFormat="1" applyBorder="1" applyAlignment="1" applyProtection="1">
      <alignment horizontal="center" vertical="center"/>
      <protection hidden="1"/>
    </xf>
    <xf numFmtId="0" fontId="8" fillId="0" borderId="7" xfId="91" applyBorder="1" applyAlignment="1" applyProtection="1">
      <alignment horizontal="center" vertical="center" wrapText="1"/>
      <protection locked="0"/>
    </xf>
    <xf numFmtId="1" fontId="9" fillId="0" borderId="7" xfId="91" applyNumberFormat="1" applyFont="1" applyBorder="1" applyAlignment="1" applyProtection="1">
      <alignment horizontal="center" vertical="center" wrapText="1"/>
      <protection locked="0"/>
    </xf>
    <xf numFmtId="1" fontId="9" fillId="0" borderId="35" xfId="91" applyNumberFormat="1" applyFont="1" applyBorder="1" applyAlignment="1" applyProtection="1">
      <alignment horizontal="center" vertical="center" wrapText="1"/>
      <protection locked="0"/>
    </xf>
    <xf numFmtId="1" fontId="9" fillId="0" borderId="20" xfId="91" applyNumberFormat="1" applyFont="1" applyBorder="1" applyAlignment="1" applyProtection="1">
      <alignment horizontal="center" vertical="center" wrapText="1"/>
      <protection locked="0"/>
    </xf>
    <xf numFmtId="1" fontId="10" fillId="0" borderId="0" xfId="91" applyNumberFormat="1" applyFont="1" applyAlignment="1" applyProtection="1">
      <alignment horizontal="left" vertical="center"/>
      <protection locked="0"/>
    </xf>
    <xf numFmtId="0" fontId="9" fillId="0" borderId="0" xfId="91" applyFont="1" applyAlignment="1" applyProtection="1">
      <alignment vertical="center"/>
      <protection locked="0"/>
    </xf>
    <xf numFmtId="0" fontId="9" fillId="41" borderId="18" xfId="91" applyFont="1" applyFill="1" applyBorder="1" applyAlignment="1" applyProtection="1">
      <alignment vertical="center" wrapText="1"/>
      <protection locked="0"/>
    </xf>
    <xf numFmtId="0" fontId="8" fillId="41" borderId="7" xfId="71" applyFont="1" applyFill="1" applyBorder="1" applyAlignment="1" applyProtection="1">
      <alignment horizontal="justify" vertical="justify" wrapText="1"/>
      <protection locked="0"/>
    </xf>
    <xf numFmtId="9" fontId="8" fillId="41" borderId="7" xfId="91" applyNumberFormat="1" applyFill="1" applyBorder="1" applyAlignment="1" applyProtection="1">
      <alignment horizontal="center" vertical="center"/>
      <protection locked="0"/>
    </xf>
    <xf numFmtId="172" fontId="8" fillId="41" borderId="7" xfId="91" applyNumberFormat="1" applyFill="1" applyBorder="1" applyAlignment="1" applyProtection="1">
      <alignment horizontal="center" vertical="center"/>
      <protection hidden="1"/>
    </xf>
    <xf numFmtId="0" fontId="8" fillId="41" borderId="7" xfId="91" applyFill="1" applyBorder="1" applyAlignment="1" applyProtection="1">
      <alignment horizontal="center" vertical="center" wrapText="1"/>
      <protection locked="0"/>
    </xf>
    <xf numFmtId="1" fontId="8" fillId="41" borderId="7" xfId="91" applyNumberFormat="1" applyFill="1" applyBorder="1" applyAlignment="1" applyProtection="1">
      <alignment horizontal="center" vertical="center"/>
      <protection locked="0"/>
    </xf>
    <xf numFmtId="0" fontId="9" fillId="40" borderId="55" xfId="91" applyFont="1" applyFill="1" applyBorder="1" applyAlignment="1" applyProtection="1">
      <alignment vertical="center"/>
      <protection hidden="1"/>
    </xf>
    <xf numFmtId="10" fontId="9" fillId="26" borderId="7" xfId="91" applyNumberFormat="1" applyFont="1" applyFill="1" applyBorder="1" applyAlignment="1">
      <alignment vertical="center" wrapText="1"/>
    </xf>
    <xf numFmtId="0" fontId="9" fillId="40" borderId="80" xfId="91" applyFont="1" applyFill="1" applyBorder="1" applyAlignment="1" applyProtection="1">
      <alignment vertical="center" wrapText="1"/>
      <protection locked="0"/>
    </xf>
    <xf numFmtId="10" fontId="9" fillId="26" borderId="14" xfId="91" applyNumberFormat="1" applyFont="1" applyFill="1" applyBorder="1" applyAlignment="1" applyProtection="1">
      <alignment vertical="center" wrapText="1"/>
      <protection locked="0"/>
    </xf>
    <xf numFmtId="167" fontId="9" fillId="0" borderId="0" xfId="62" applyFont="1" applyFill="1" applyBorder="1" applyAlignment="1" applyProtection="1">
      <alignment vertical="center" wrapText="1"/>
      <protection locked="0"/>
    </xf>
    <xf numFmtId="9" fontId="8" fillId="0" borderId="0" xfId="91" applyNumberFormat="1" applyAlignment="1" applyProtection="1">
      <alignment vertical="center"/>
      <protection locked="0"/>
    </xf>
    <xf numFmtId="172" fontId="8" fillId="0" borderId="0" xfId="91" applyNumberFormat="1" applyAlignment="1" applyProtection="1">
      <alignment vertical="center"/>
      <protection locked="0"/>
    </xf>
    <xf numFmtId="0" fontId="9" fillId="28" borderId="20" xfId="91" applyFont="1" applyFill="1" applyBorder="1" applyAlignment="1" applyProtection="1">
      <alignment horizontal="center" vertical="center" wrapText="1"/>
      <protection locked="0"/>
    </xf>
    <xf numFmtId="174" fontId="8" fillId="0" borderId="18" xfId="91" applyNumberFormat="1" applyBorder="1" applyAlignment="1" applyProtection="1">
      <alignment vertical="center"/>
      <protection locked="0"/>
    </xf>
    <xf numFmtId="174" fontId="8" fillId="0" borderId="7" xfId="91" applyNumberFormat="1" applyBorder="1" applyAlignment="1" applyProtection="1">
      <alignment vertical="center"/>
      <protection locked="0"/>
    </xf>
    <xf numFmtId="173" fontId="8" fillId="0" borderId="7" xfId="91" applyNumberFormat="1" applyBorder="1" applyAlignment="1" applyProtection="1">
      <alignment vertical="center"/>
      <protection locked="0"/>
    </xf>
    <xf numFmtId="173" fontId="8" fillId="0" borderId="20" xfId="91" applyNumberFormat="1" applyBorder="1" applyAlignment="1" applyProtection="1">
      <alignment vertical="center"/>
      <protection locked="0"/>
    </xf>
    <xf numFmtId="1" fontId="8" fillId="0" borderId="0" xfId="91" applyNumberFormat="1" applyAlignment="1" applyProtection="1">
      <alignment vertical="center"/>
      <protection locked="0"/>
    </xf>
    <xf numFmtId="10" fontId="8" fillId="26" borderId="7" xfId="91" applyNumberFormat="1" applyFill="1" applyBorder="1" applyAlignment="1" applyProtection="1">
      <alignment vertical="center"/>
      <protection locked="0"/>
    </xf>
    <xf numFmtId="10" fontId="8" fillId="26" borderId="20" xfId="91" applyNumberFormat="1" applyFill="1" applyBorder="1" applyAlignment="1" applyProtection="1">
      <alignment vertical="center"/>
      <protection locked="0"/>
    </xf>
    <xf numFmtId="167" fontId="8" fillId="0" borderId="7" xfId="62" applyFont="1" applyFill="1" applyBorder="1" applyAlignment="1" applyProtection="1">
      <alignment vertical="center"/>
      <protection locked="0"/>
    </xf>
    <xf numFmtId="9" fontId="8" fillId="26" borderId="7" xfId="91" applyNumberFormat="1" applyFill="1" applyBorder="1" applyAlignment="1" applyProtection="1">
      <alignment vertical="center"/>
      <protection locked="0"/>
    </xf>
    <xf numFmtId="9" fontId="8" fillId="26" borderId="20" xfId="91" applyNumberFormat="1" applyFill="1" applyBorder="1" applyAlignment="1" applyProtection="1">
      <alignment vertical="center"/>
      <protection locked="0"/>
    </xf>
    <xf numFmtId="9" fontId="8" fillId="26" borderId="14" xfId="91" applyNumberFormat="1" applyFill="1" applyBorder="1" applyAlignment="1" applyProtection="1">
      <alignment vertical="center"/>
      <protection locked="0"/>
    </xf>
    <xf numFmtId="0" fontId="18" fillId="0" borderId="0" xfId="91" applyFont="1" applyAlignment="1" applyProtection="1">
      <alignment horizontal="justify" vertical="center" wrapText="1"/>
      <protection locked="0"/>
    </xf>
    <xf numFmtId="9" fontId="8" fillId="26" borderId="8" xfId="91" applyNumberFormat="1" applyFill="1" applyBorder="1" applyAlignment="1" applyProtection="1">
      <alignment vertical="center"/>
      <protection locked="0"/>
    </xf>
    <xf numFmtId="9" fontId="8" fillId="26" borderId="0" xfId="91" applyNumberFormat="1" applyFill="1" applyAlignment="1" applyProtection="1">
      <alignment vertical="center"/>
      <protection locked="0"/>
    </xf>
    <xf numFmtId="0" fontId="8" fillId="0" borderId="0" xfId="91" applyAlignment="1" applyProtection="1">
      <alignment horizontal="center" vertical="center"/>
      <protection locked="0"/>
    </xf>
    <xf numFmtId="0" fontId="8" fillId="28" borderId="7" xfId="91" applyFill="1" applyBorder="1" applyAlignment="1" applyProtection="1">
      <alignment vertical="center"/>
      <protection locked="0"/>
    </xf>
    <xf numFmtId="0" fontId="9" fillId="0" borderId="7" xfId="91" applyFont="1" applyBorder="1" applyAlignment="1" applyProtection="1">
      <alignment vertical="center" wrapText="1"/>
      <protection locked="0"/>
    </xf>
    <xf numFmtId="167" fontId="8" fillId="0" borderId="7" xfId="62" applyFont="1" applyFill="1" applyBorder="1" applyAlignment="1" applyProtection="1">
      <alignment horizontal="center" vertical="center" wrapText="1"/>
      <protection locked="0"/>
    </xf>
    <xf numFmtId="167" fontId="9" fillId="28" borderId="20" xfId="91" applyNumberFormat="1" applyFont="1" applyFill="1" applyBorder="1" applyAlignment="1" applyProtection="1">
      <alignment horizontal="center" vertical="center" wrapText="1"/>
      <protection locked="0"/>
    </xf>
    <xf numFmtId="0" fontId="8" fillId="26" borderId="7" xfId="91" applyFill="1" applyBorder="1" applyAlignment="1" applyProtection="1">
      <alignment vertical="center"/>
      <protection locked="0"/>
    </xf>
    <xf numFmtId="172" fontId="8" fillId="26" borderId="7" xfId="91" applyNumberFormat="1" applyFill="1" applyBorder="1" applyAlignment="1" applyProtection="1">
      <alignment vertical="center"/>
      <protection locked="0"/>
    </xf>
    <xf numFmtId="0" fontId="8" fillId="0" borderId="20" xfId="91" applyBorder="1" applyAlignment="1" applyProtection="1">
      <alignment vertical="center"/>
      <protection locked="0"/>
    </xf>
    <xf numFmtId="0" fontId="8" fillId="26" borderId="7" xfId="91" applyFill="1" applyBorder="1" applyAlignment="1" applyProtection="1">
      <alignment vertical="center" wrapText="1"/>
      <protection locked="0"/>
    </xf>
    <xf numFmtId="9" fontId="8" fillId="26" borderId="21" xfId="91" applyNumberFormat="1" applyFill="1" applyBorder="1" applyAlignment="1" applyProtection="1">
      <alignment vertical="center"/>
      <protection locked="0"/>
    </xf>
    <xf numFmtId="9" fontId="9" fillId="28" borderId="22" xfId="104" applyFont="1" applyFill="1" applyBorder="1" applyAlignment="1" applyProtection="1">
      <alignment vertical="center"/>
      <protection locked="0"/>
    </xf>
    <xf numFmtId="0" fontId="9" fillId="26" borderId="21" xfId="91" applyFont="1" applyFill="1" applyBorder="1" applyAlignment="1" applyProtection="1">
      <alignment horizontal="right" vertical="center"/>
      <protection locked="0"/>
    </xf>
    <xf numFmtId="9" fontId="9" fillId="28" borderId="21" xfId="104" applyFont="1" applyFill="1" applyBorder="1" applyAlignment="1" applyProtection="1">
      <alignment vertical="center"/>
      <protection locked="0"/>
    </xf>
    <xf numFmtId="0" fontId="8" fillId="0" borderId="8" xfId="91" applyBorder="1" applyAlignment="1" applyProtection="1">
      <alignment vertical="center"/>
      <protection locked="0"/>
    </xf>
    <xf numFmtId="172" fontId="8" fillId="0" borderId="8" xfId="91" applyNumberFormat="1" applyBorder="1" applyAlignment="1" applyProtection="1">
      <alignment vertical="center"/>
      <protection locked="0"/>
    </xf>
    <xf numFmtId="0" fontId="8" fillId="0" borderId="8" xfId="91" applyBorder="1" applyAlignment="1" applyProtection="1">
      <alignment horizontal="center" vertical="center"/>
      <protection locked="0"/>
    </xf>
    <xf numFmtId="9" fontId="8" fillId="0" borderId="8" xfId="91" applyNumberFormat="1" applyBorder="1" applyAlignment="1" applyProtection="1">
      <alignment vertical="center"/>
      <protection locked="0"/>
    </xf>
    <xf numFmtId="44" fontId="10" fillId="0" borderId="8" xfId="91" applyNumberFormat="1" applyFont="1" applyBorder="1" applyAlignment="1" applyProtection="1">
      <alignment vertical="center"/>
      <protection locked="0"/>
    </xf>
    <xf numFmtId="216" fontId="10" fillId="0" borderId="0" xfId="91" applyNumberFormat="1" applyFont="1" applyAlignment="1" applyProtection="1">
      <alignment vertical="center"/>
      <protection locked="0"/>
    </xf>
    <xf numFmtId="0" fontId="8" fillId="0" borderId="26" xfId="91" applyBorder="1" applyAlignment="1" applyProtection="1">
      <alignment vertical="center"/>
      <protection locked="0"/>
    </xf>
    <xf numFmtId="172" fontId="9" fillId="0" borderId="0" xfId="76" applyNumberFormat="1" applyFont="1" applyAlignment="1" applyProtection="1">
      <alignment horizontal="center" vertical="center" wrapText="1"/>
      <protection locked="0"/>
    </xf>
    <xf numFmtId="0" fontId="9" fillId="0" borderId="0" xfId="76" applyFont="1" applyAlignment="1" applyProtection="1">
      <alignment vertical="center" wrapText="1"/>
      <protection locked="0"/>
    </xf>
    <xf numFmtId="0" fontId="8" fillId="0" borderId="0" xfId="76" applyAlignment="1" applyProtection="1">
      <alignment horizontal="center" vertical="center" wrapText="1"/>
      <protection locked="0"/>
    </xf>
    <xf numFmtId="0" fontId="8" fillId="0" borderId="0" xfId="76" applyAlignment="1" applyProtection="1">
      <alignment vertical="center" wrapText="1"/>
      <protection locked="0"/>
    </xf>
    <xf numFmtId="0" fontId="9" fillId="0" borderId="0" xfId="76" applyFont="1" applyAlignment="1" applyProtection="1">
      <alignment horizontal="center" vertical="center"/>
      <protection locked="0"/>
    </xf>
    <xf numFmtId="3" fontId="8" fillId="0" borderId="0" xfId="76" applyNumberFormat="1" applyAlignment="1" applyProtection="1">
      <alignment vertical="center" wrapText="1"/>
      <protection locked="0"/>
    </xf>
    <xf numFmtId="3" fontId="9" fillId="0" borderId="0" xfId="76" applyNumberFormat="1" applyFont="1" applyAlignment="1" applyProtection="1">
      <alignment horizontal="right" vertical="center" wrapText="1"/>
      <protection locked="0"/>
    </xf>
    <xf numFmtId="172" fontId="8" fillId="0" borderId="0" xfId="76" applyNumberFormat="1" applyAlignment="1" applyProtection="1">
      <alignment horizontal="center" vertical="center" wrapText="1"/>
      <protection locked="0"/>
    </xf>
    <xf numFmtId="3" fontId="8" fillId="0" borderId="0" xfId="76" applyNumberFormat="1" applyAlignment="1" applyProtection="1">
      <alignment horizontal="center" vertical="center"/>
      <protection locked="0"/>
    </xf>
    <xf numFmtId="10" fontId="9" fillId="0" borderId="7" xfId="91" applyNumberFormat="1" applyFont="1" applyBorder="1" applyAlignment="1">
      <alignment vertical="center" wrapText="1"/>
    </xf>
    <xf numFmtId="0" fontId="9" fillId="0" borderId="81" xfId="91" applyFont="1" applyBorder="1" applyAlignment="1" applyProtection="1">
      <alignment vertical="center" wrapText="1"/>
      <protection locked="0"/>
    </xf>
    <xf numFmtId="0" fontId="9" fillId="0" borderId="40" xfId="91" applyFont="1" applyBorder="1" applyAlignment="1" applyProtection="1">
      <alignment vertical="center" wrapText="1"/>
      <protection locked="0"/>
    </xf>
    <xf numFmtId="10" fontId="9" fillId="0" borderId="40" xfId="91" applyNumberFormat="1" applyFont="1" applyBorder="1" applyAlignment="1" applyProtection="1">
      <alignment vertical="center" wrapText="1"/>
      <protection locked="0"/>
    </xf>
    <xf numFmtId="0" fontId="9" fillId="40" borderId="7" xfId="91" applyFont="1" applyFill="1" applyBorder="1" applyAlignment="1" applyProtection="1">
      <alignment vertical="center"/>
      <protection hidden="1"/>
    </xf>
    <xf numFmtId="0" fontId="9" fillId="0" borderId="7" xfId="91" applyFont="1" applyBorder="1" applyAlignment="1" applyProtection="1">
      <alignment vertical="center"/>
      <protection hidden="1"/>
    </xf>
    <xf numFmtId="0" fontId="9" fillId="0" borderId="37" xfId="91" applyFont="1" applyBorder="1" applyAlignment="1" applyProtection="1">
      <alignment vertical="center"/>
      <protection hidden="1"/>
    </xf>
    <xf numFmtId="0" fontId="9" fillId="40" borderId="7" xfId="91" applyFont="1" applyFill="1" applyBorder="1" applyAlignment="1" applyProtection="1">
      <alignment vertical="center" wrapText="1"/>
      <protection locked="0"/>
    </xf>
    <xf numFmtId="167" fontId="8" fillId="26" borderId="42" xfId="62" applyFont="1" applyFill="1" applyBorder="1" applyAlignment="1" applyProtection="1">
      <alignment vertical="center"/>
      <protection locked="0"/>
    </xf>
    <xf numFmtId="167" fontId="8" fillId="30" borderId="14" xfId="62" applyFont="1" applyFill="1" applyBorder="1" applyAlignment="1" applyProtection="1">
      <alignment vertical="center"/>
      <protection locked="0"/>
    </xf>
    <xf numFmtId="0" fontId="8" fillId="0" borderId="91" xfId="91" applyBorder="1" applyAlignment="1" applyProtection="1">
      <alignment horizontal="center" vertical="center"/>
      <protection locked="0"/>
    </xf>
    <xf numFmtId="0" fontId="8" fillId="0" borderId="91" xfId="91" applyBorder="1" applyAlignment="1" applyProtection="1">
      <alignment vertical="center"/>
      <protection locked="0"/>
    </xf>
    <xf numFmtId="9" fontId="8" fillId="0" borderId="91" xfId="91" applyNumberFormat="1" applyBorder="1" applyAlignment="1" applyProtection="1">
      <alignment vertical="center"/>
      <protection locked="0"/>
    </xf>
    <xf numFmtId="0" fontId="62" fillId="13" borderId="7" xfId="101" applyFont="1" applyFill="1" applyBorder="1" applyAlignment="1" applyProtection="1">
      <alignment vertical="center"/>
      <protection hidden="1"/>
    </xf>
    <xf numFmtId="211" fontId="62" fillId="13" borderId="7" xfId="54" applyNumberFormat="1" applyFont="1" applyFill="1" applyBorder="1" applyAlignment="1" applyProtection="1">
      <alignment vertical="center"/>
      <protection hidden="1"/>
    </xf>
    <xf numFmtId="180" fontId="25" fillId="0" borderId="7" xfId="101" applyNumberFormat="1" applyFont="1" applyBorder="1" applyAlignment="1" applyProtection="1">
      <alignment vertical="center"/>
      <protection hidden="1"/>
    </xf>
    <xf numFmtId="0" fontId="63" fillId="13" borderId="7" xfId="101" applyFont="1" applyFill="1" applyBorder="1" applyAlignment="1" applyProtection="1">
      <alignment horizontal="center" vertical="center"/>
      <protection hidden="1"/>
    </xf>
    <xf numFmtId="178" fontId="62" fillId="0" borderId="50" xfId="101" applyNumberFormat="1" applyFont="1" applyBorder="1" applyAlignment="1" applyProtection="1">
      <alignment vertical="center"/>
      <protection hidden="1"/>
    </xf>
    <xf numFmtId="178" fontId="62" fillId="0" borderId="51" xfId="101" applyNumberFormat="1" applyFont="1" applyBorder="1" applyAlignment="1" applyProtection="1">
      <alignment vertical="center"/>
      <protection hidden="1"/>
    </xf>
    <xf numFmtId="0" fontId="56" fillId="0" borderId="29" xfId="0" applyFont="1" applyBorder="1" applyAlignment="1" applyProtection="1">
      <alignment horizontal="center" vertical="center" wrapText="1"/>
      <protection hidden="1"/>
    </xf>
    <xf numFmtId="174" fontId="34" fillId="0" borderId="7" xfId="0" applyNumberFormat="1" applyFont="1" applyBorder="1" applyAlignment="1" applyProtection="1">
      <alignment horizontal="right" vertical="center" wrapText="1"/>
      <protection hidden="1"/>
    </xf>
    <xf numFmtId="178" fontId="54" fillId="0" borderId="7" xfId="54" applyNumberFormat="1" applyFont="1" applyFill="1" applyBorder="1" applyAlignment="1" applyProtection="1">
      <alignment horizontal="right" wrapText="1"/>
      <protection hidden="1"/>
    </xf>
    <xf numFmtId="178" fontId="34" fillId="0" borderId="7" xfId="54" applyNumberFormat="1" applyFont="1" applyFill="1" applyBorder="1" applyAlignment="1" applyProtection="1">
      <alignment horizontal="right" wrapText="1"/>
      <protection hidden="1"/>
    </xf>
    <xf numFmtId="178" fontId="8" fillId="0" borderId="7" xfId="54" applyNumberFormat="1" applyFont="1" applyFill="1" applyBorder="1" applyProtection="1">
      <protection hidden="1"/>
    </xf>
    <xf numFmtId="213" fontId="58" fillId="0" borderId="0" xfId="124" applyNumberFormat="1" applyFont="1"/>
    <xf numFmtId="0" fontId="8" fillId="0" borderId="7" xfId="66" applyBorder="1" applyAlignment="1" applyProtection="1">
      <alignment horizontal="justify" vertical="center"/>
      <protection locked="0"/>
    </xf>
    <xf numFmtId="0" fontId="58" fillId="0" borderId="7" xfId="66" applyFont="1" applyBorder="1" applyAlignment="1" applyProtection="1">
      <alignment horizontal="justify" vertical="center"/>
      <protection locked="0"/>
    </xf>
    <xf numFmtId="0" fontId="8" fillId="0" borderId="7" xfId="66" applyBorder="1" applyAlignment="1" applyProtection="1">
      <alignment horizontal="center" vertical="center" wrapText="1"/>
      <protection locked="0"/>
    </xf>
    <xf numFmtId="0" fontId="8" fillId="0" borderId="7" xfId="66" applyBorder="1" applyAlignment="1" applyProtection="1">
      <alignment horizontal="center" vertical="center"/>
      <protection locked="0"/>
    </xf>
    <xf numFmtId="0" fontId="8" fillId="10" borderId="7" xfId="97" applyFill="1" applyBorder="1" applyAlignment="1" applyProtection="1">
      <alignment horizontal="left" vertical="center" wrapText="1"/>
      <protection locked="0"/>
    </xf>
    <xf numFmtId="0" fontId="8" fillId="10" borderId="7" xfId="97" applyFill="1" applyBorder="1" applyAlignment="1" applyProtection="1">
      <alignment horizontal="center" vertical="center"/>
      <protection locked="0"/>
    </xf>
    <xf numFmtId="0" fontId="9" fillId="10" borderId="0" xfId="0" applyFont="1" applyFill="1" applyAlignment="1" applyProtection="1">
      <alignment horizontal="center" vertical="center" wrapText="1"/>
      <protection locked="0"/>
    </xf>
    <xf numFmtId="0" fontId="8" fillId="10" borderId="0" xfId="0" applyFont="1" applyFill="1" applyAlignment="1" applyProtection="1">
      <alignment horizontal="center" vertical="center"/>
      <protection hidden="1"/>
    </xf>
    <xf numFmtId="0" fontId="8" fillId="10" borderId="0" xfId="97" applyFill="1" applyAlignment="1" applyProtection="1">
      <alignment horizontal="center" vertical="center"/>
      <protection hidden="1"/>
    </xf>
    <xf numFmtId="0" fontId="8" fillId="10" borderId="0" xfId="0" applyFont="1" applyFill="1" applyAlignment="1" applyProtection="1">
      <alignment horizontal="center" vertical="center"/>
      <protection locked="0"/>
    </xf>
    <xf numFmtId="0" fontId="9" fillId="10" borderId="0" xfId="97" applyFont="1" applyFill="1" applyAlignment="1" applyProtection="1">
      <alignment horizontal="center" vertical="center" wrapText="1"/>
      <protection locked="0"/>
    </xf>
    <xf numFmtId="10" fontId="8" fillId="26" borderId="19" xfId="91" applyNumberFormat="1" applyFill="1" applyBorder="1" applyAlignment="1" applyProtection="1">
      <alignment vertical="center"/>
      <protection locked="0"/>
    </xf>
    <xf numFmtId="0" fontId="8" fillId="0" borderId="7" xfId="91" applyBorder="1" applyAlignment="1" applyProtection="1">
      <alignment vertical="center"/>
      <protection locked="0"/>
    </xf>
    <xf numFmtId="0" fontId="9" fillId="43" borderId="7" xfId="0" applyFont="1" applyFill="1" applyBorder="1" applyAlignment="1" applyProtection="1">
      <alignment horizontal="center" vertical="center"/>
      <protection hidden="1"/>
    </xf>
    <xf numFmtId="176" fontId="8" fillId="43" borderId="7" xfId="76" applyNumberFormat="1" applyFill="1" applyBorder="1" applyAlignment="1" applyProtection="1">
      <alignment horizontal="right" vertical="center" wrapText="1"/>
      <protection hidden="1"/>
    </xf>
    <xf numFmtId="0" fontId="8" fillId="43" borderId="7" xfId="0" applyFont="1" applyFill="1" applyBorder="1" applyAlignment="1" applyProtection="1">
      <alignment vertical="center"/>
      <protection hidden="1"/>
    </xf>
    <xf numFmtId="176" fontId="8" fillId="43" borderId="7" xfId="0" applyNumberFormat="1" applyFont="1" applyFill="1" applyBorder="1" applyAlignment="1" applyProtection="1">
      <alignment horizontal="right" vertical="center"/>
      <protection hidden="1"/>
    </xf>
    <xf numFmtId="176" fontId="9" fillId="43" borderId="7" xfId="62" applyNumberFormat="1" applyFont="1" applyFill="1" applyBorder="1" applyAlignment="1" applyProtection="1">
      <alignment vertical="center"/>
      <protection hidden="1"/>
    </xf>
    <xf numFmtId="176" fontId="9" fillId="43" borderId="7" xfId="104" applyNumberFormat="1" applyFont="1" applyFill="1" applyBorder="1" applyAlignment="1" applyProtection="1">
      <alignment vertical="center"/>
      <protection hidden="1"/>
    </xf>
    <xf numFmtId="9" fontId="9" fillId="43" borderId="7" xfId="104" applyFont="1" applyFill="1" applyBorder="1" applyAlignment="1" applyProtection="1">
      <alignment vertical="center"/>
      <protection hidden="1"/>
    </xf>
    <xf numFmtId="0" fontId="9" fillId="35" borderId="7" xfId="0" applyFont="1" applyFill="1" applyBorder="1" applyAlignment="1" applyProtection="1">
      <alignment horizontal="center" vertical="center"/>
      <protection hidden="1"/>
    </xf>
    <xf numFmtId="207" fontId="8" fillId="35" borderId="7" xfId="0" applyNumberFormat="1" applyFont="1" applyFill="1" applyBorder="1" applyAlignment="1" applyProtection="1">
      <alignment horizontal="right" vertical="center"/>
      <protection hidden="1"/>
    </xf>
    <xf numFmtId="207" fontId="8" fillId="35" borderId="7" xfId="0" applyNumberFormat="1" applyFont="1" applyFill="1" applyBorder="1" applyAlignment="1" applyProtection="1">
      <alignment vertical="center"/>
      <protection hidden="1"/>
    </xf>
    <xf numFmtId="207" fontId="8" fillId="35" borderId="21" xfId="0" applyNumberFormat="1" applyFont="1" applyFill="1" applyBorder="1" applyAlignment="1" applyProtection="1">
      <alignment horizontal="right" vertical="center"/>
      <protection hidden="1"/>
    </xf>
    <xf numFmtId="176" fontId="8" fillId="35" borderId="21" xfId="76" applyNumberFormat="1" applyFill="1" applyBorder="1" applyAlignment="1" applyProtection="1">
      <alignment horizontal="right" vertical="center" wrapText="1"/>
      <protection hidden="1"/>
    </xf>
    <xf numFmtId="0" fontId="8" fillId="35" borderId="7" xfId="0" applyFont="1" applyFill="1" applyBorder="1" applyAlignment="1" applyProtection="1">
      <alignment vertical="center"/>
      <protection hidden="1"/>
    </xf>
    <xf numFmtId="176" fontId="8" fillId="35" borderId="7" xfId="0" applyNumberFormat="1" applyFont="1" applyFill="1" applyBorder="1" applyAlignment="1" applyProtection="1">
      <alignment horizontal="right" vertical="center"/>
      <protection hidden="1"/>
    </xf>
    <xf numFmtId="176" fontId="8" fillId="35" borderId="7" xfId="76" applyNumberFormat="1" applyFill="1" applyBorder="1" applyAlignment="1" applyProtection="1">
      <alignment horizontal="right" vertical="center" wrapText="1"/>
      <protection hidden="1"/>
    </xf>
    <xf numFmtId="176" fontId="9" fillId="35" borderId="7" xfId="62" applyNumberFormat="1" applyFont="1" applyFill="1" applyBorder="1" applyAlignment="1" applyProtection="1">
      <alignment vertical="center"/>
      <protection hidden="1"/>
    </xf>
    <xf numFmtId="4" fontId="18" fillId="0" borderId="7" xfId="0" applyNumberFormat="1" applyFont="1" applyBorder="1" applyAlignment="1" applyProtection="1">
      <alignment horizontal="center" vertical="center"/>
      <protection hidden="1"/>
    </xf>
    <xf numFmtId="2" fontId="34" fillId="0" borderId="7" xfId="0" applyNumberFormat="1" applyFont="1" applyBorder="1" applyAlignment="1" applyProtection="1">
      <alignment horizontal="center" vertical="center"/>
      <protection hidden="1"/>
    </xf>
    <xf numFmtId="0" fontId="62" fillId="10" borderId="0" xfId="101" applyFont="1" applyFill="1" applyAlignment="1" applyProtection="1">
      <alignment horizontal="right" wrapText="1"/>
      <protection hidden="1"/>
    </xf>
    <xf numFmtId="9" fontId="9" fillId="43" borderId="7" xfId="104" applyFont="1" applyFill="1" applyBorder="1" applyAlignment="1" applyProtection="1">
      <alignment horizontal="right" vertical="center"/>
      <protection hidden="1"/>
    </xf>
    <xf numFmtId="174" fontId="9" fillId="43" borderId="7" xfId="62" applyNumberFormat="1" applyFont="1" applyFill="1" applyBorder="1" applyAlignment="1" applyProtection="1">
      <alignment horizontal="right" vertical="center"/>
      <protection hidden="1"/>
    </xf>
    <xf numFmtId="9" fontId="9" fillId="35" borderId="7" xfId="104" applyFont="1" applyFill="1" applyBorder="1" applyAlignment="1" applyProtection="1">
      <alignment horizontal="right" vertical="center"/>
      <protection hidden="1"/>
    </xf>
    <xf numFmtId="2" fontId="8" fillId="41" borderId="7" xfId="91" applyNumberFormat="1" applyFill="1" applyBorder="1" applyAlignment="1" applyProtection="1">
      <alignment horizontal="center" vertical="center"/>
      <protection locked="0"/>
    </xf>
    <xf numFmtId="0" fontId="8" fillId="0" borderId="7" xfId="97" applyBorder="1" applyAlignment="1" applyProtection="1">
      <alignment horizontal="left" vertical="center" wrapText="1"/>
      <protection locked="0"/>
    </xf>
    <xf numFmtId="0" fontId="8" fillId="0" borderId="21" xfId="66" applyBorder="1" applyAlignment="1" applyProtection="1">
      <alignment horizontal="center" vertical="center" wrapText="1"/>
      <protection locked="0"/>
    </xf>
    <xf numFmtId="0" fontId="8" fillId="0" borderId="96" xfId="97" applyBorder="1" applyAlignment="1" applyProtection="1">
      <alignment horizontal="center" vertical="center" wrapText="1"/>
      <protection locked="0"/>
    </xf>
    <xf numFmtId="0" fontId="8" fillId="0" borderId="36" xfId="97" applyBorder="1" applyAlignment="1" applyProtection="1">
      <alignment horizontal="center" vertical="center" wrapText="1"/>
      <protection locked="0"/>
    </xf>
    <xf numFmtId="0" fontId="8" fillId="0" borderId="35" xfId="66" applyBorder="1" applyAlignment="1" applyProtection="1">
      <alignment horizontal="center" vertical="center" wrapText="1"/>
      <protection locked="0"/>
    </xf>
    <xf numFmtId="0" fontId="8" fillId="0" borderId="7" xfId="97" applyBorder="1" applyAlignment="1" applyProtection="1">
      <alignment horizontal="center" vertical="center" wrapText="1"/>
      <protection locked="0"/>
    </xf>
    <xf numFmtId="0" fontId="7" fillId="0" borderId="7" xfId="97" applyFont="1" applyBorder="1" applyAlignment="1" applyProtection="1">
      <alignment horizontal="center" vertical="center" wrapText="1"/>
      <protection locked="0"/>
    </xf>
    <xf numFmtId="0" fontId="8" fillId="10" borderId="7" xfId="66" applyFill="1" applyBorder="1" applyAlignment="1" applyProtection="1">
      <alignment horizontal="center" vertical="center" wrapText="1"/>
      <protection locked="0"/>
    </xf>
    <xf numFmtId="0" fontId="8" fillId="10" borderId="21" xfId="66" applyFill="1" applyBorder="1" applyAlignment="1" applyProtection="1">
      <alignment horizontal="center" vertical="center" wrapText="1"/>
      <protection locked="0"/>
    </xf>
    <xf numFmtId="0" fontId="8" fillId="10" borderId="36" xfId="97" applyFill="1" applyBorder="1" applyAlignment="1" applyProtection="1">
      <alignment horizontal="center" vertical="center" wrapText="1"/>
      <protection locked="0"/>
    </xf>
    <xf numFmtId="0" fontId="8" fillId="10" borderId="35" xfId="66" applyFill="1" applyBorder="1" applyAlignment="1" applyProtection="1">
      <alignment horizontal="center" vertical="center" wrapText="1"/>
      <protection locked="0"/>
    </xf>
    <xf numFmtId="0" fontId="8" fillId="10" borderId="7" xfId="97" applyFill="1" applyBorder="1" applyAlignment="1" applyProtection="1">
      <alignment horizontal="center" vertical="center" wrapText="1"/>
      <protection locked="0"/>
    </xf>
    <xf numFmtId="0" fontId="7" fillId="10" borderId="7" xfId="97" applyFont="1" applyFill="1" applyBorder="1" applyAlignment="1" applyProtection="1">
      <alignment horizontal="center" vertical="center" wrapText="1"/>
      <protection locked="0"/>
    </xf>
    <xf numFmtId="0" fontId="8" fillId="10" borderId="55" xfId="97" applyFill="1" applyBorder="1" applyAlignment="1" applyProtection="1">
      <alignment horizontal="center" vertical="center"/>
      <protection locked="0"/>
    </xf>
    <xf numFmtId="0" fontId="9" fillId="0" borderId="0" xfId="76" applyFont="1" applyAlignment="1" applyProtection="1">
      <alignment horizontal="center" vertical="center" wrapText="1"/>
      <protection locked="0"/>
    </xf>
    <xf numFmtId="0" fontId="8" fillId="0" borderId="0" xfId="76" applyAlignment="1" applyProtection="1">
      <alignment horizontal="center" vertical="center" wrapText="1"/>
      <protection locked="0"/>
    </xf>
    <xf numFmtId="3" fontId="8" fillId="0" borderId="0" xfId="76" applyNumberFormat="1" applyAlignment="1" applyProtection="1">
      <alignment horizontal="center" vertical="center" wrapText="1"/>
      <protection locked="0"/>
    </xf>
    <xf numFmtId="0" fontId="46" fillId="0" borderId="7" xfId="92" applyFont="1" applyBorder="1" applyAlignment="1" applyProtection="1">
      <alignment horizontal="center" vertical="center" wrapText="1"/>
      <protection hidden="1"/>
    </xf>
    <xf numFmtId="174" fontId="8" fillId="0" borderId="18" xfId="91" applyNumberFormat="1" applyBorder="1" applyAlignment="1" applyProtection="1">
      <alignment horizontal="center" vertical="center"/>
      <protection locked="0"/>
    </xf>
    <xf numFmtId="174" fontId="8" fillId="0" borderId="7" xfId="91" applyNumberFormat="1" applyBorder="1" applyAlignment="1" applyProtection="1">
      <alignment horizontal="center" vertical="center"/>
      <protection locked="0"/>
    </xf>
    <xf numFmtId="0" fontId="9" fillId="26" borderId="94" xfId="91" applyFont="1" applyFill="1" applyBorder="1" applyAlignment="1" applyProtection="1">
      <alignment horizontal="right" vertical="center"/>
      <protection locked="0"/>
    </xf>
    <xf numFmtId="0" fontId="9" fillId="26" borderId="56" xfId="91" applyFont="1" applyFill="1" applyBorder="1" applyAlignment="1" applyProtection="1">
      <alignment horizontal="right" vertical="center"/>
      <protection locked="0"/>
    </xf>
    <xf numFmtId="0" fontId="9" fillId="26" borderId="75" xfId="91" applyFont="1" applyFill="1" applyBorder="1" applyAlignment="1" applyProtection="1">
      <alignment horizontal="right" vertical="center"/>
      <protection locked="0"/>
    </xf>
    <xf numFmtId="0" fontId="9" fillId="0" borderId="56" xfId="76" applyFont="1" applyBorder="1" applyAlignment="1" applyProtection="1">
      <alignment horizontal="center" vertical="center" wrapText="1"/>
      <protection locked="0"/>
    </xf>
    <xf numFmtId="0" fontId="9" fillId="30" borderId="10" xfId="91" applyFont="1" applyFill="1" applyBorder="1" applyAlignment="1" applyProtection="1">
      <alignment horizontal="center" vertical="center" wrapText="1"/>
      <protection locked="0"/>
    </xf>
    <xf numFmtId="0" fontId="9" fillId="30" borderId="53" xfId="91" applyFont="1" applyFill="1" applyBorder="1" applyAlignment="1" applyProtection="1">
      <alignment horizontal="center" vertical="center" wrapText="1"/>
      <protection locked="0"/>
    </xf>
    <xf numFmtId="0" fontId="9" fillId="28" borderId="31" xfId="91" applyFont="1" applyFill="1" applyBorder="1" applyAlignment="1" applyProtection="1">
      <alignment horizontal="center" vertical="center" wrapText="1"/>
      <protection locked="0"/>
    </xf>
    <xf numFmtId="0" fontId="9" fillId="28" borderId="32" xfId="91" applyFont="1" applyFill="1" applyBorder="1" applyAlignment="1" applyProtection="1">
      <alignment horizontal="center" vertical="center" wrapText="1"/>
      <protection locked="0"/>
    </xf>
    <xf numFmtId="0" fontId="9" fillId="28" borderId="85" xfId="91" applyFont="1" applyFill="1" applyBorder="1" applyAlignment="1" applyProtection="1">
      <alignment horizontal="center" vertical="center" wrapText="1"/>
      <protection locked="0"/>
    </xf>
    <xf numFmtId="0" fontId="19" fillId="28" borderId="18" xfId="91" applyFont="1" applyFill="1" applyBorder="1" applyAlignment="1" applyProtection="1">
      <alignment horizontal="center" vertical="center" wrapText="1"/>
      <protection locked="0"/>
    </xf>
    <xf numFmtId="172" fontId="19" fillId="28" borderId="21" xfId="91" applyNumberFormat="1" applyFont="1" applyFill="1" applyBorder="1" applyAlignment="1" applyProtection="1">
      <alignment horizontal="center" vertical="center" wrapText="1"/>
      <protection locked="0"/>
    </xf>
    <xf numFmtId="172" fontId="19" fillId="28" borderId="19" xfId="91" applyNumberFormat="1" applyFont="1" applyFill="1" applyBorder="1" applyAlignment="1" applyProtection="1">
      <alignment horizontal="center" vertical="center" wrapText="1"/>
      <protection locked="0"/>
    </xf>
    <xf numFmtId="0" fontId="19" fillId="28" borderId="7" xfId="91" applyFont="1" applyFill="1" applyBorder="1" applyAlignment="1" applyProtection="1">
      <alignment horizontal="center" vertical="center" wrapText="1"/>
      <protection locked="0"/>
    </xf>
    <xf numFmtId="0" fontId="9" fillId="28" borderId="35" xfId="91" applyFont="1" applyFill="1" applyBorder="1" applyAlignment="1" applyProtection="1">
      <alignment horizontal="center" vertical="center" wrapText="1"/>
      <protection locked="0"/>
    </xf>
    <xf numFmtId="0" fontId="9" fillId="28" borderId="36" xfId="91" applyFont="1" applyFill="1" applyBorder="1" applyAlignment="1" applyProtection="1">
      <alignment horizontal="center" vertical="center" wrapText="1"/>
      <protection locked="0"/>
    </xf>
    <xf numFmtId="0" fontId="9" fillId="28" borderId="51" xfId="91" applyFont="1" applyFill="1" applyBorder="1" applyAlignment="1" applyProtection="1">
      <alignment horizontal="center" vertical="center" wrapText="1"/>
      <protection locked="0"/>
    </xf>
    <xf numFmtId="0" fontId="8" fillId="26" borderId="18" xfId="91" applyFill="1" applyBorder="1" applyAlignment="1" applyProtection="1">
      <alignment horizontal="right" vertical="center"/>
      <protection locked="0"/>
    </xf>
    <xf numFmtId="0" fontId="8" fillId="26" borderId="7" xfId="91" applyFill="1" applyBorder="1" applyAlignment="1" applyProtection="1">
      <alignment horizontal="right" vertical="center"/>
      <protection locked="0"/>
    </xf>
    <xf numFmtId="0" fontId="9" fillId="41" borderId="18" xfId="91" applyFont="1" applyFill="1" applyBorder="1" applyAlignment="1" applyProtection="1">
      <alignment horizontal="right" vertical="center" wrapText="1"/>
      <protection locked="0"/>
    </xf>
    <xf numFmtId="0" fontId="9" fillId="41" borderId="7" xfId="91" applyFont="1" applyFill="1" applyBorder="1" applyAlignment="1" applyProtection="1">
      <alignment horizontal="right" vertical="center" wrapText="1"/>
      <protection locked="0"/>
    </xf>
    <xf numFmtId="0" fontId="8" fillId="41" borderId="18" xfId="91" applyFill="1" applyBorder="1" applyAlignment="1" applyProtection="1">
      <alignment horizontal="right" vertical="center"/>
      <protection locked="0"/>
    </xf>
    <xf numFmtId="0" fontId="8" fillId="41" borderId="7" xfId="91" applyFill="1" applyBorder="1" applyAlignment="1" applyProtection="1">
      <alignment horizontal="right" vertical="center"/>
      <protection locked="0"/>
    </xf>
    <xf numFmtId="0" fontId="8" fillId="41" borderId="38" xfId="91" applyFill="1" applyBorder="1" applyAlignment="1" applyProtection="1">
      <alignment horizontal="right" vertical="center" wrapText="1"/>
      <protection locked="0"/>
    </xf>
    <xf numFmtId="0" fontId="8" fillId="41" borderId="14" xfId="91" applyFill="1" applyBorder="1" applyAlignment="1" applyProtection="1">
      <alignment horizontal="right" vertical="center" wrapText="1"/>
      <protection locked="0"/>
    </xf>
    <xf numFmtId="0" fontId="9" fillId="0" borderId="10" xfId="91" applyFont="1" applyBorder="1" applyAlignment="1" applyProtection="1">
      <alignment horizontal="center" vertical="center" wrapText="1"/>
      <protection locked="0"/>
    </xf>
    <xf numFmtId="0" fontId="9" fillId="0" borderId="53" xfId="91" applyFont="1" applyBorder="1" applyAlignment="1" applyProtection="1">
      <alignment horizontal="center" vertical="center" wrapText="1"/>
      <protection locked="0"/>
    </xf>
    <xf numFmtId="0" fontId="9" fillId="28" borderId="41" xfId="91" applyFont="1" applyFill="1" applyBorder="1" applyAlignment="1" applyProtection="1">
      <alignment horizontal="center" vertical="center" wrapText="1"/>
      <protection locked="0"/>
    </xf>
    <xf numFmtId="0" fontId="9" fillId="28" borderId="42" xfId="91" applyFont="1" applyFill="1" applyBorder="1" applyAlignment="1" applyProtection="1">
      <alignment horizontal="center" vertical="center" wrapText="1"/>
      <protection locked="0"/>
    </xf>
    <xf numFmtId="0" fontId="9" fillId="28" borderId="43" xfId="91" applyFont="1" applyFill="1" applyBorder="1" applyAlignment="1" applyProtection="1">
      <alignment horizontal="center" vertical="center" wrapText="1"/>
      <protection locked="0"/>
    </xf>
    <xf numFmtId="0" fontId="9" fillId="28" borderId="34" xfId="91" applyFont="1" applyFill="1" applyBorder="1" applyAlignment="1" applyProtection="1">
      <alignment horizontal="center" vertical="center" wrapText="1"/>
      <protection locked="0"/>
    </xf>
    <xf numFmtId="0" fontId="9" fillId="28" borderId="18" xfId="91" applyFont="1" applyFill="1" applyBorder="1" applyAlignment="1" applyProtection="1">
      <alignment horizontal="center" vertical="center" wrapText="1"/>
      <protection locked="0"/>
    </xf>
    <xf numFmtId="0" fontId="9" fillId="28" borderId="7" xfId="91" applyFont="1" applyFill="1" applyBorder="1" applyAlignment="1" applyProtection="1">
      <alignment horizontal="center" vertical="center" wrapText="1"/>
      <protection locked="0"/>
    </xf>
    <xf numFmtId="0" fontId="9" fillId="28" borderId="20" xfId="91" applyFont="1" applyFill="1" applyBorder="1" applyAlignment="1" applyProtection="1">
      <alignment horizontal="center" vertical="center" wrapText="1"/>
      <protection locked="0"/>
    </xf>
    <xf numFmtId="0" fontId="8" fillId="0" borderId="7" xfId="133" applyBorder="1" applyAlignment="1" applyProtection="1">
      <alignment horizontal="center" vertical="center" wrapText="1"/>
      <protection locked="0"/>
    </xf>
    <xf numFmtId="0" fontId="9" fillId="28" borderId="7" xfId="133" applyFont="1" applyFill="1" applyBorder="1" applyAlignment="1" applyProtection="1">
      <alignment horizontal="left" vertical="center" wrapText="1"/>
      <protection locked="0"/>
    </xf>
    <xf numFmtId="0" fontId="9" fillId="0" borderId="7" xfId="133" applyFont="1" applyBorder="1" applyAlignment="1" applyProtection="1">
      <alignment horizontal="center" vertical="center" wrapText="1"/>
      <protection locked="0"/>
    </xf>
    <xf numFmtId="0" fontId="9" fillId="28" borderId="0" xfId="91" applyFont="1" applyFill="1" applyAlignment="1" applyProtection="1">
      <alignment horizontal="left" vertical="center"/>
      <protection locked="0"/>
    </xf>
    <xf numFmtId="0" fontId="8" fillId="0" borderId="10" xfId="91" applyBorder="1" applyAlignment="1" applyProtection="1">
      <alignment horizontal="center" vertical="center" wrapText="1"/>
      <protection locked="0"/>
    </xf>
    <xf numFmtId="0" fontId="8" fillId="0" borderId="11" xfId="91" applyBorder="1" applyAlignment="1" applyProtection="1">
      <alignment horizontal="center" vertical="center" wrapText="1"/>
      <protection locked="0"/>
    </xf>
    <xf numFmtId="0" fontId="8" fillId="0" borderId="53" xfId="91" applyBorder="1" applyAlignment="1" applyProtection="1">
      <alignment horizontal="center" vertical="center" wrapText="1"/>
      <protection locked="0"/>
    </xf>
    <xf numFmtId="0" fontId="8" fillId="0" borderId="41" xfId="91" applyBorder="1" applyAlignment="1" applyProtection="1">
      <alignment horizontal="center" vertical="center"/>
      <protection locked="0"/>
    </xf>
    <xf numFmtId="0" fontId="8" fillId="0" borderId="43" xfId="91" applyBorder="1" applyAlignment="1" applyProtection="1">
      <alignment horizontal="center" vertical="center"/>
      <protection locked="0"/>
    </xf>
    <xf numFmtId="0" fontId="8" fillId="0" borderId="18" xfId="91" applyBorder="1" applyAlignment="1" applyProtection="1">
      <alignment horizontal="center" vertical="center"/>
      <protection locked="0"/>
    </xf>
    <xf numFmtId="0" fontId="8" fillId="0" borderId="35" xfId="91" applyBorder="1" applyAlignment="1" applyProtection="1">
      <alignment horizontal="center" vertical="center"/>
      <protection locked="0"/>
    </xf>
    <xf numFmtId="0" fontId="8" fillId="0" borderId="30" xfId="91" applyBorder="1" applyAlignment="1" applyProtection="1">
      <alignment horizontal="center" vertical="center"/>
      <protection locked="0"/>
    </xf>
    <xf numFmtId="0" fontId="8" fillId="0" borderId="5" xfId="91" applyBorder="1" applyAlignment="1" applyProtection="1">
      <alignment horizontal="center" vertical="center"/>
      <protection locked="0"/>
    </xf>
    <xf numFmtId="0" fontId="8" fillId="0" borderId="7" xfId="91" applyBorder="1" applyAlignment="1" applyProtection="1">
      <alignment horizontal="center" vertical="center"/>
      <protection locked="0"/>
    </xf>
    <xf numFmtId="0" fontId="9" fillId="28" borderId="0" xfId="91" applyFont="1" applyFill="1" applyAlignment="1" applyProtection="1">
      <alignment horizontal="left" vertical="center" wrapText="1"/>
      <protection locked="0"/>
    </xf>
    <xf numFmtId="0" fontId="8" fillId="0" borderId="10" xfId="91" applyBorder="1" applyAlignment="1" applyProtection="1">
      <alignment horizontal="center" vertical="center"/>
      <protection locked="0"/>
    </xf>
    <xf numFmtId="0" fontId="8" fillId="0" borderId="11" xfId="91" applyBorder="1" applyAlignment="1" applyProtection="1">
      <alignment horizontal="center" vertical="center"/>
      <protection locked="0"/>
    </xf>
    <xf numFmtId="0" fontId="8" fillId="0" borderId="53" xfId="91" applyBorder="1" applyAlignment="1" applyProtection="1">
      <alignment horizontal="center" vertical="center"/>
      <protection locked="0"/>
    </xf>
    <xf numFmtId="0" fontId="9" fillId="28" borderId="84" xfId="91" applyFont="1" applyFill="1" applyBorder="1" applyAlignment="1" applyProtection="1">
      <alignment horizontal="center" vertical="center"/>
      <protection locked="0"/>
    </xf>
    <xf numFmtId="0" fontId="9" fillId="28" borderId="79" xfId="91" applyFont="1" applyFill="1" applyBorder="1" applyAlignment="1" applyProtection="1">
      <alignment horizontal="center" vertical="center"/>
      <protection locked="0"/>
    </xf>
    <xf numFmtId="0" fontId="9" fillId="28" borderId="3" xfId="91" applyFont="1" applyFill="1" applyBorder="1" applyAlignment="1" applyProtection="1">
      <alignment horizontal="center" vertical="center"/>
      <protection locked="0"/>
    </xf>
    <xf numFmtId="0" fontId="9" fillId="28" borderId="4" xfId="91" applyFont="1" applyFill="1" applyBorder="1" applyAlignment="1" applyProtection="1">
      <alignment horizontal="center" vertical="center"/>
      <protection locked="0"/>
    </xf>
    <xf numFmtId="0" fontId="9" fillId="28" borderId="7" xfId="91" applyFont="1" applyFill="1" applyBorder="1" applyAlignment="1" applyProtection="1">
      <alignment horizontal="center" vertical="center"/>
      <protection locked="0"/>
    </xf>
    <xf numFmtId="0" fontId="9" fillId="28" borderId="35" xfId="91" applyFont="1" applyFill="1" applyBorder="1" applyAlignment="1" applyProtection="1">
      <alignment horizontal="center" vertical="center"/>
      <protection locked="0"/>
    </xf>
    <xf numFmtId="0" fontId="9" fillId="28" borderId="20" xfId="91" applyFont="1" applyFill="1" applyBorder="1" applyAlignment="1" applyProtection="1">
      <alignment horizontal="center" vertical="center"/>
      <protection locked="0"/>
    </xf>
    <xf numFmtId="172" fontId="9" fillId="40" borderId="7" xfId="91" applyNumberFormat="1" applyFont="1" applyFill="1" applyBorder="1" applyAlignment="1" applyProtection="1">
      <alignment horizontal="center" vertical="center" wrapText="1"/>
      <protection hidden="1"/>
    </xf>
    <xf numFmtId="0" fontId="9" fillId="28" borderId="18" xfId="91" applyFont="1" applyFill="1" applyBorder="1" applyAlignment="1" applyProtection="1">
      <alignment horizontal="center" vertical="center"/>
      <protection locked="0"/>
    </xf>
    <xf numFmtId="0" fontId="70" fillId="0" borderId="7" xfId="0" applyFont="1" applyBorder="1" applyAlignment="1" applyProtection="1">
      <alignment horizontal="left" vertical="center" wrapText="1"/>
      <protection hidden="1"/>
    </xf>
    <xf numFmtId="0" fontId="34" fillId="0" borderId="7" xfId="0" applyFont="1" applyBorder="1" applyAlignment="1" applyProtection="1">
      <alignment horizontal="center" vertical="center" wrapText="1"/>
      <protection hidden="1"/>
    </xf>
    <xf numFmtId="0" fontId="34" fillId="0" borderId="35" xfId="0" applyFont="1" applyBorder="1" applyAlignment="1" applyProtection="1">
      <alignment horizontal="center" vertical="center" wrapText="1"/>
      <protection hidden="1"/>
    </xf>
    <xf numFmtId="0" fontId="34" fillId="0" borderId="37" xfId="0" applyFont="1" applyBorder="1" applyAlignment="1" applyProtection="1">
      <alignment horizontal="center" vertical="center" wrapText="1"/>
      <protection hidden="1"/>
    </xf>
    <xf numFmtId="0" fontId="11" fillId="0" borderId="41" xfId="0" applyFont="1" applyBorder="1" applyAlignment="1" applyProtection="1">
      <alignment horizontal="left" vertical="center"/>
      <protection hidden="1"/>
    </xf>
    <xf numFmtId="0" fontId="11" fillId="0" borderId="42" xfId="0" applyFont="1" applyBorder="1" applyAlignment="1" applyProtection="1">
      <alignment horizontal="left" vertical="center"/>
      <protection hidden="1"/>
    </xf>
    <xf numFmtId="0" fontId="11" fillId="0" borderId="34" xfId="0" applyFont="1" applyBorder="1" applyAlignment="1" applyProtection="1">
      <alignment horizontal="left" vertical="center"/>
      <protection hidden="1"/>
    </xf>
    <xf numFmtId="0" fontId="56" fillId="0" borderId="7" xfId="0" applyFont="1" applyBorder="1" applyAlignment="1" applyProtection="1">
      <alignment horizontal="center" vertical="center" wrapText="1"/>
      <protection hidden="1"/>
    </xf>
    <xf numFmtId="0" fontId="73" fillId="0" borderId="7" xfId="0" applyFont="1" applyBorder="1" applyAlignment="1" applyProtection="1">
      <alignment horizontal="left" vertical="center" wrapText="1"/>
      <protection hidden="1"/>
    </xf>
    <xf numFmtId="0" fontId="70" fillId="0" borderId="7" xfId="0" applyFont="1" applyBorder="1" applyAlignment="1" applyProtection="1">
      <alignment horizontal="left" vertical="top" wrapText="1"/>
      <protection hidden="1"/>
    </xf>
    <xf numFmtId="0" fontId="18" fillId="0" borderId="37" xfId="0" applyFont="1" applyBorder="1" applyAlignment="1" applyProtection="1">
      <alignment horizontal="center" vertical="center" wrapText="1"/>
      <protection hidden="1"/>
    </xf>
    <xf numFmtId="0" fontId="18" fillId="0" borderId="7" xfId="0" applyFont="1" applyBorder="1" applyAlignment="1" applyProtection="1">
      <alignment horizontal="center" vertical="center" wrapText="1"/>
      <protection hidden="1"/>
    </xf>
    <xf numFmtId="0" fontId="18" fillId="0" borderId="7" xfId="0" applyFont="1" applyBorder="1" applyAlignment="1" applyProtection="1">
      <alignment horizontal="left" vertical="center" wrapText="1"/>
      <protection hidden="1"/>
    </xf>
    <xf numFmtId="0" fontId="11" fillId="0" borderId="10" xfId="0" applyFont="1" applyBorder="1" applyAlignment="1" applyProtection="1">
      <alignment horizontal="left" vertical="center"/>
      <protection hidden="1"/>
    </xf>
    <xf numFmtId="0" fontId="11" fillId="0" borderId="11" xfId="0" applyFont="1" applyBorder="1" applyAlignment="1" applyProtection="1">
      <alignment horizontal="left" vertical="center"/>
      <protection hidden="1"/>
    </xf>
    <xf numFmtId="0" fontId="11" fillId="0" borderId="53" xfId="0" applyFont="1" applyBorder="1" applyAlignment="1" applyProtection="1">
      <alignment horizontal="left" vertical="center"/>
      <protection hidden="1"/>
    </xf>
    <xf numFmtId="0" fontId="11" fillId="0" borderId="80" xfId="0" applyFont="1" applyBorder="1" applyAlignment="1" applyProtection="1">
      <alignment horizontal="right" vertical="center"/>
      <protection hidden="1"/>
    </xf>
    <xf numFmtId="0" fontId="11" fillId="0" borderId="81" xfId="0" applyFont="1" applyBorder="1" applyAlignment="1" applyProtection="1">
      <alignment horizontal="right" vertical="center"/>
      <protection hidden="1"/>
    </xf>
    <xf numFmtId="0" fontId="8" fillId="0" borderId="81" xfId="0" applyFont="1" applyBorder="1" applyAlignment="1" applyProtection="1">
      <alignment horizontal="right" vertical="center"/>
      <protection hidden="1"/>
    </xf>
    <xf numFmtId="0" fontId="8" fillId="0" borderId="39" xfId="0" applyFont="1" applyBorder="1" applyAlignment="1" applyProtection="1">
      <alignment horizontal="right" vertical="center"/>
      <protection hidden="1"/>
    </xf>
    <xf numFmtId="0" fontId="18" fillId="0" borderId="5" xfId="0" applyFont="1" applyBorder="1" applyAlignment="1" applyProtection="1">
      <alignment horizontal="center"/>
      <protection hidden="1"/>
    </xf>
    <xf numFmtId="0" fontId="18" fillId="0" borderId="75" xfId="0" applyFont="1" applyBorder="1" applyAlignment="1" applyProtection="1">
      <alignment horizontal="center"/>
      <protection hidden="1"/>
    </xf>
    <xf numFmtId="0" fontId="18" fillId="0" borderId="49" xfId="0" applyFont="1" applyBorder="1" applyAlignment="1" applyProtection="1">
      <alignment horizontal="center"/>
      <protection hidden="1"/>
    </xf>
    <xf numFmtId="0" fontId="18" fillId="0" borderId="25" xfId="0" applyFont="1" applyBorder="1" applyAlignment="1" applyProtection="1">
      <alignment horizontal="center"/>
      <protection hidden="1"/>
    </xf>
    <xf numFmtId="0" fontId="11" fillId="0" borderId="7" xfId="0" applyFont="1" applyBorder="1" applyAlignment="1" applyProtection="1">
      <alignment horizontal="left" vertical="center"/>
      <protection hidden="1"/>
    </xf>
    <xf numFmtId="0" fontId="8" fillId="0" borderId="35" xfId="76" applyBorder="1" applyAlignment="1" applyProtection="1">
      <alignment horizontal="left" vertical="center" wrapText="1"/>
      <protection hidden="1"/>
    </xf>
    <xf numFmtId="0" fontId="8" fillId="0" borderId="37" xfId="76" applyBorder="1" applyAlignment="1" applyProtection="1">
      <alignment horizontal="left" vertical="center" wrapText="1"/>
      <protection hidden="1"/>
    </xf>
    <xf numFmtId="0" fontId="9" fillId="0" borderId="7" xfId="0" applyFont="1" applyBorder="1" applyAlignment="1" applyProtection="1">
      <alignment horizontal="center" vertical="center"/>
      <protection hidden="1"/>
    </xf>
    <xf numFmtId="0" fontId="9" fillId="0" borderId="7" xfId="0" applyFont="1" applyBorder="1" applyAlignment="1" applyProtection="1">
      <alignment horizontal="left" vertical="center" wrapText="1"/>
      <protection hidden="1"/>
    </xf>
    <xf numFmtId="0" fontId="8" fillId="0" borderId="7" xfId="76" applyBorder="1" applyAlignment="1" applyProtection="1">
      <alignment horizontal="left" vertical="center" wrapText="1"/>
      <protection hidden="1"/>
    </xf>
    <xf numFmtId="0" fontId="54" fillId="28" borderId="7" xfId="0" applyFont="1" applyFill="1" applyBorder="1" applyAlignment="1" applyProtection="1">
      <alignment horizontal="right" wrapText="1"/>
      <protection hidden="1"/>
    </xf>
    <xf numFmtId="0" fontId="18" fillId="28" borderId="7" xfId="0" applyFont="1" applyFill="1" applyBorder="1" applyAlignment="1" applyProtection="1">
      <alignment horizontal="right"/>
      <protection hidden="1"/>
    </xf>
    <xf numFmtId="0" fontId="54" fillId="28" borderId="7" xfId="0" applyFont="1" applyFill="1" applyBorder="1" applyAlignment="1" applyProtection="1">
      <alignment horizontal="right"/>
      <protection hidden="1"/>
    </xf>
    <xf numFmtId="0" fontId="69" fillId="0" borderId="7" xfId="0" applyFont="1" applyBorder="1" applyAlignment="1" applyProtection="1">
      <alignment horizontal="center"/>
      <protection hidden="1"/>
    </xf>
    <xf numFmtId="0" fontId="59" fillId="0" borderId="35" xfId="0" applyFont="1" applyBorder="1" applyAlignment="1" applyProtection="1">
      <alignment horizontal="center"/>
      <protection hidden="1"/>
    </xf>
    <xf numFmtId="0" fontId="59" fillId="0" borderId="37" xfId="0" applyFont="1" applyBorder="1" applyAlignment="1" applyProtection="1">
      <alignment horizontal="center"/>
      <protection hidden="1"/>
    </xf>
    <xf numFmtId="0" fontId="59" fillId="0" borderId="46" xfId="0" applyFont="1" applyBorder="1" applyAlignment="1" applyProtection="1">
      <alignment horizontal="center"/>
      <protection hidden="1"/>
    </xf>
    <xf numFmtId="0" fontId="59" fillId="0" borderId="0" xfId="0" applyFont="1" applyAlignment="1" applyProtection="1">
      <alignment horizontal="center"/>
      <protection hidden="1"/>
    </xf>
    <xf numFmtId="0" fontId="19" fillId="28" borderId="7" xfId="0" applyFont="1" applyFill="1" applyBorder="1" applyAlignment="1" applyProtection="1">
      <alignment horizontal="right"/>
      <protection hidden="1"/>
    </xf>
    <xf numFmtId="0" fontId="8" fillId="0" borderId="35" xfId="0" applyFont="1" applyBorder="1" applyAlignment="1" applyProtection="1">
      <alignment horizontal="center"/>
      <protection hidden="1"/>
    </xf>
    <xf numFmtId="0" fontId="8" fillId="0" borderId="36" xfId="0" applyFont="1" applyBorder="1" applyAlignment="1" applyProtection="1">
      <alignment horizontal="center"/>
      <protection hidden="1"/>
    </xf>
    <xf numFmtId="0" fontId="8" fillId="0" borderId="37" xfId="0" applyFont="1" applyBorder="1" applyAlignment="1" applyProtection="1">
      <alignment horizontal="center"/>
      <protection hidden="1"/>
    </xf>
    <xf numFmtId="0" fontId="9" fillId="43" borderId="7" xfId="0" applyFont="1" applyFill="1" applyBorder="1" applyAlignment="1" applyProtection="1">
      <alignment horizontal="center" vertical="center"/>
      <protection hidden="1"/>
    </xf>
    <xf numFmtId="0" fontId="9" fillId="35" borderId="7" xfId="0" applyFont="1" applyFill="1" applyBorder="1" applyAlignment="1" applyProtection="1">
      <alignment horizontal="center" vertical="center"/>
      <protection hidden="1"/>
    </xf>
    <xf numFmtId="0" fontId="69" fillId="0" borderId="0" xfId="0" applyFont="1" applyAlignment="1" applyProtection="1">
      <alignment horizontal="center"/>
      <protection hidden="1"/>
    </xf>
    <xf numFmtId="0" fontId="71" fillId="0" borderId="7" xfId="76" applyFont="1" applyBorder="1" applyAlignment="1" applyProtection="1">
      <alignment horizontal="left" vertical="center" wrapText="1"/>
      <protection hidden="1"/>
    </xf>
    <xf numFmtId="0" fontId="9" fillId="0" borderId="35" xfId="0" applyFont="1" applyBorder="1" applyAlignment="1" applyProtection="1">
      <alignment horizontal="left" vertical="center" wrapText="1"/>
      <protection hidden="1"/>
    </xf>
    <xf numFmtId="0" fontId="9" fillId="0" borderId="37" xfId="0" applyFont="1" applyBorder="1" applyAlignment="1" applyProtection="1">
      <alignment horizontal="left" vertical="center" wrapText="1"/>
      <protection hidden="1"/>
    </xf>
    <xf numFmtId="0" fontId="9" fillId="0" borderId="35" xfId="0" applyFont="1" applyBorder="1" applyAlignment="1" applyProtection="1">
      <alignment horizontal="left" vertical="top"/>
      <protection hidden="1"/>
    </xf>
    <xf numFmtId="0" fontId="9" fillId="0" borderId="36" xfId="0" applyFont="1" applyBorder="1" applyAlignment="1" applyProtection="1">
      <alignment horizontal="left" vertical="top"/>
      <protection hidden="1"/>
    </xf>
    <xf numFmtId="0" fontId="9" fillId="0" borderId="37" xfId="0" applyFont="1" applyBorder="1" applyAlignment="1" applyProtection="1">
      <alignment horizontal="left" vertical="top"/>
      <protection hidden="1"/>
    </xf>
    <xf numFmtId="0" fontId="19" fillId="28" borderId="35" xfId="0" applyFont="1" applyFill="1" applyBorder="1" applyAlignment="1" applyProtection="1">
      <alignment horizontal="right"/>
      <protection hidden="1"/>
    </xf>
    <xf numFmtId="0" fontId="19" fillId="28" borderId="36" xfId="0" applyFont="1" applyFill="1" applyBorder="1" applyAlignment="1" applyProtection="1">
      <alignment horizontal="right"/>
      <protection hidden="1"/>
    </xf>
    <xf numFmtId="0" fontId="19" fillId="28" borderId="37" xfId="0" applyFont="1" applyFill="1" applyBorder="1" applyAlignment="1" applyProtection="1">
      <alignment horizontal="right"/>
      <protection hidden="1"/>
    </xf>
    <xf numFmtId="0" fontId="70" fillId="0" borderId="35" xfId="0" applyFont="1" applyBorder="1" applyAlignment="1" applyProtection="1">
      <alignment horizontal="left" vertical="center" wrapText="1"/>
      <protection hidden="1"/>
    </xf>
    <xf numFmtId="0" fontId="70" fillId="0" borderId="36" xfId="0" applyFont="1" applyBorder="1" applyAlignment="1" applyProtection="1">
      <alignment horizontal="left" vertical="center" wrapText="1"/>
      <protection hidden="1"/>
    </xf>
    <xf numFmtId="0" fontId="70" fillId="0" borderId="37" xfId="0" applyFont="1" applyBorder="1" applyAlignment="1" applyProtection="1">
      <alignment horizontal="left" vertical="center" wrapText="1"/>
      <protection hidden="1"/>
    </xf>
    <xf numFmtId="0" fontId="63" fillId="10" borderId="0" xfId="101" applyFont="1" applyFill="1" applyAlignment="1" applyProtection="1">
      <alignment horizontal="center" vertical="center" wrapText="1"/>
      <protection hidden="1"/>
    </xf>
    <xf numFmtId="0" fontId="74" fillId="10" borderId="0" xfId="101" applyFont="1" applyFill="1" applyAlignment="1" applyProtection="1">
      <alignment horizontal="center" vertical="center" wrapText="1"/>
      <protection hidden="1"/>
    </xf>
    <xf numFmtId="0" fontId="62" fillId="10" borderId="0" xfId="101" applyFont="1" applyFill="1" applyAlignment="1" applyProtection="1">
      <alignment horizontal="center" vertical="center" wrapText="1"/>
      <protection hidden="1"/>
    </xf>
    <xf numFmtId="4" fontId="63" fillId="11" borderId="84" xfId="98" applyNumberFormat="1" applyFont="1" applyFill="1" applyBorder="1" applyAlignment="1" applyProtection="1">
      <alignment horizontal="center" vertical="center" wrapText="1"/>
      <protection hidden="1"/>
    </xf>
    <xf numFmtId="4" fontId="63" fillId="11" borderId="44" xfId="98" applyNumberFormat="1" applyFont="1" applyFill="1" applyBorder="1" applyAlignment="1" applyProtection="1">
      <alignment horizontal="center" vertical="center" wrapText="1"/>
      <protection hidden="1"/>
    </xf>
    <xf numFmtId="4" fontId="63" fillId="11" borderId="16" xfId="98" applyNumberFormat="1" applyFont="1" applyFill="1" applyBorder="1" applyAlignment="1" applyProtection="1">
      <alignment horizontal="center" vertical="center" wrapText="1"/>
      <protection hidden="1"/>
    </xf>
    <xf numFmtId="0" fontId="56" fillId="16" borderId="7" xfId="101" applyFont="1" applyFill="1" applyBorder="1" applyAlignment="1" applyProtection="1">
      <alignment horizontal="center" vertical="center" wrapText="1"/>
      <protection hidden="1"/>
    </xf>
    <xf numFmtId="4" fontId="63" fillId="11" borderId="79" xfId="98" applyNumberFormat="1" applyFont="1" applyFill="1" applyBorder="1" applyAlignment="1" applyProtection="1">
      <alignment horizontal="center" vertical="center" wrapText="1"/>
      <protection hidden="1"/>
    </xf>
    <xf numFmtId="4" fontId="63" fillId="11" borderId="45" xfId="98" applyNumberFormat="1" applyFont="1" applyFill="1" applyBorder="1" applyAlignment="1" applyProtection="1">
      <alignment horizontal="center" vertical="center" wrapText="1"/>
      <protection hidden="1"/>
    </xf>
    <xf numFmtId="4" fontId="63" fillId="11" borderId="13" xfId="98" applyNumberFormat="1" applyFont="1" applyFill="1" applyBorder="1" applyAlignment="1" applyProtection="1">
      <alignment horizontal="center" vertical="center" wrapText="1"/>
      <protection hidden="1"/>
    </xf>
    <xf numFmtId="178" fontId="56" fillId="15" borderId="30" xfId="99" applyNumberFormat="1" applyFont="1" applyFill="1" applyBorder="1" applyAlignment="1" applyProtection="1">
      <alignment horizontal="center" vertical="center" wrapText="1"/>
      <protection hidden="1"/>
    </xf>
    <xf numFmtId="178" fontId="56" fillId="15" borderId="44" xfId="99" applyNumberFormat="1" applyFont="1" applyFill="1" applyBorder="1" applyAlignment="1" applyProtection="1">
      <alignment horizontal="center" vertical="center" wrapText="1"/>
      <protection hidden="1"/>
    </xf>
    <xf numFmtId="178" fontId="56" fillId="15" borderId="16" xfId="99" applyNumberFormat="1" applyFont="1" applyFill="1" applyBorder="1" applyAlignment="1" applyProtection="1">
      <alignment horizontal="center" vertical="center" wrapText="1"/>
      <protection hidden="1"/>
    </xf>
    <xf numFmtId="171" fontId="63" fillId="11" borderId="42" xfId="98" applyNumberFormat="1" applyFont="1" applyFill="1" applyBorder="1" applyAlignment="1" applyProtection="1">
      <alignment horizontal="center" vertical="center" wrapText="1"/>
      <protection hidden="1"/>
    </xf>
    <xf numFmtId="171" fontId="63" fillId="11" borderId="43" xfId="98" applyNumberFormat="1" applyFont="1" applyFill="1" applyBorder="1" applyAlignment="1" applyProtection="1">
      <alignment horizontal="center" vertical="center" wrapText="1"/>
      <protection hidden="1"/>
    </xf>
    <xf numFmtId="171" fontId="63" fillId="13" borderId="33" xfId="98" applyNumberFormat="1" applyFont="1" applyFill="1" applyBorder="1" applyAlignment="1" applyProtection="1">
      <alignment horizontal="center" vertical="center" wrapText="1"/>
      <protection hidden="1"/>
    </xf>
    <xf numFmtId="171" fontId="63" fillId="13" borderId="43" xfId="98" applyNumberFormat="1" applyFont="1" applyFill="1" applyBorder="1" applyAlignment="1" applyProtection="1">
      <alignment horizontal="center" vertical="center" wrapText="1"/>
      <protection hidden="1"/>
    </xf>
    <xf numFmtId="171" fontId="63" fillId="12" borderId="41" xfId="98" applyNumberFormat="1" applyFont="1" applyFill="1" applyBorder="1" applyAlignment="1" applyProtection="1">
      <alignment horizontal="center" vertical="center" wrapText="1"/>
      <protection hidden="1"/>
    </xf>
    <xf numFmtId="171" fontId="63" fillId="12" borderId="42" xfId="98" applyNumberFormat="1" applyFont="1" applyFill="1" applyBorder="1" applyAlignment="1" applyProtection="1">
      <alignment horizontal="center" vertical="center" wrapText="1"/>
      <protection hidden="1"/>
    </xf>
    <xf numFmtId="171" fontId="63" fillId="14" borderId="42" xfId="98" applyNumberFormat="1" applyFont="1" applyFill="1" applyBorder="1" applyAlignment="1" applyProtection="1">
      <alignment horizontal="center" vertical="center" wrapText="1"/>
      <protection hidden="1"/>
    </xf>
    <xf numFmtId="171" fontId="63" fillId="14" borderId="43" xfId="98" applyNumberFormat="1" applyFont="1" applyFill="1" applyBorder="1" applyAlignment="1" applyProtection="1">
      <alignment horizontal="center" vertical="center" wrapText="1"/>
      <protection hidden="1"/>
    </xf>
    <xf numFmtId="0" fontId="63" fillId="11" borderId="41" xfId="101" applyFont="1" applyFill="1" applyBorder="1" applyAlignment="1" applyProtection="1">
      <alignment horizontal="center" vertical="center"/>
      <protection hidden="1"/>
    </xf>
    <xf numFmtId="0" fontId="63" fillId="11" borderId="42" xfId="101" applyFont="1" applyFill="1" applyBorder="1" applyAlignment="1" applyProtection="1">
      <alignment horizontal="center" vertical="center"/>
      <protection hidden="1"/>
    </xf>
    <xf numFmtId="0" fontId="63" fillId="11" borderId="34" xfId="101" applyFont="1" applyFill="1" applyBorder="1" applyAlignment="1" applyProtection="1">
      <alignment horizontal="center" vertical="center"/>
      <protection hidden="1"/>
    </xf>
    <xf numFmtId="0" fontId="62" fillId="10" borderId="77" xfId="101" applyFont="1" applyFill="1" applyBorder="1" applyAlignment="1" applyProtection="1">
      <alignment horizontal="center" vertical="center"/>
      <protection hidden="1"/>
    </xf>
    <xf numFmtId="0" fontId="62" fillId="10" borderId="12" xfId="101" applyFont="1" applyFill="1" applyBorder="1" applyAlignment="1" applyProtection="1">
      <alignment horizontal="center" vertical="center"/>
      <protection hidden="1"/>
    </xf>
    <xf numFmtId="0" fontId="62" fillId="10" borderId="83" xfId="101" applyFont="1" applyFill="1" applyBorder="1" applyAlignment="1" applyProtection="1">
      <alignment horizontal="center" vertical="center"/>
      <protection hidden="1"/>
    </xf>
    <xf numFmtId="0" fontId="63" fillId="11" borderId="74" xfId="101" applyFont="1" applyFill="1" applyBorder="1" applyAlignment="1" applyProtection="1">
      <alignment horizontal="center" vertical="center" wrapText="1"/>
      <protection hidden="1"/>
    </xf>
    <xf numFmtId="0" fontId="63" fillId="11" borderId="48" xfId="101" applyFont="1" applyFill="1" applyBorder="1" applyAlignment="1" applyProtection="1">
      <alignment horizontal="center" vertical="center" wrapText="1"/>
      <protection hidden="1"/>
    </xf>
    <xf numFmtId="0" fontId="63" fillId="11" borderId="83" xfId="101" applyFont="1" applyFill="1" applyBorder="1" applyAlignment="1" applyProtection="1">
      <alignment horizontal="center" vertical="center" wrapText="1"/>
      <protection hidden="1"/>
    </xf>
    <xf numFmtId="171" fontId="63" fillId="11" borderId="42" xfId="101" applyNumberFormat="1" applyFont="1" applyFill="1" applyBorder="1" applyAlignment="1" applyProtection="1">
      <alignment horizontal="center" vertical="center" wrapText="1"/>
      <protection hidden="1"/>
    </xf>
    <xf numFmtId="171" fontId="63" fillId="11" borderId="7" xfId="101" applyNumberFormat="1" applyFont="1" applyFill="1" applyBorder="1" applyAlignment="1" applyProtection="1">
      <alignment horizontal="center" vertical="center" wrapText="1"/>
      <protection hidden="1"/>
    </xf>
    <xf numFmtId="171" fontId="63" fillId="11" borderId="14" xfId="101" applyNumberFormat="1" applyFont="1" applyFill="1" applyBorder="1" applyAlignment="1" applyProtection="1">
      <alignment horizontal="center" vertical="center" wrapText="1"/>
      <protection hidden="1"/>
    </xf>
    <xf numFmtId="0" fontId="63" fillId="16" borderId="37" xfId="101" applyFont="1" applyFill="1" applyBorder="1" applyAlignment="1" applyProtection="1">
      <alignment horizontal="center" vertical="center"/>
      <protection hidden="1"/>
    </xf>
    <xf numFmtId="0" fontId="63" fillId="16" borderId="35" xfId="101" applyFont="1" applyFill="1" applyBorder="1" applyAlignment="1" applyProtection="1">
      <alignment horizontal="center" vertical="center"/>
      <protection hidden="1"/>
    </xf>
    <xf numFmtId="0" fontId="56" fillId="13" borderId="22" xfId="101" applyFont="1" applyFill="1" applyBorder="1" applyAlignment="1" applyProtection="1">
      <alignment horizontal="center" vertical="center" wrapText="1"/>
      <protection hidden="1"/>
    </xf>
    <xf numFmtId="0" fontId="56" fillId="13" borderId="47" xfId="101" applyFont="1" applyFill="1" applyBorder="1" applyAlignment="1" applyProtection="1">
      <alignment horizontal="center" vertical="center" wrapText="1"/>
      <protection hidden="1"/>
    </xf>
    <xf numFmtId="0" fontId="56" fillId="13" borderId="17" xfId="101" applyFont="1" applyFill="1" applyBorder="1" applyAlignment="1" applyProtection="1">
      <alignment horizontal="center" vertical="center" wrapText="1"/>
      <protection hidden="1"/>
    </xf>
    <xf numFmtId="0" fontId="63" fillId="11" borderId="43" xfId="99" applyFont="1" applyFill="1" applyBorder="1" applyAlignment="1" applyProtection="1">
      <alignment horizontal="center" vertical="center" wrapText="1"/>
      <protection hidden="1"/>
    </xf>
    <xf numFmtId="0" fontId="63" fillId="11" borderId="35" xfId="99" applyFont="1" applyFill="1" applyBorder="1" applyAlignment="1" applyProtection="1">
      <alignment horizontal="center" vertical="center" wrapText="1"/>
      <protection hidden="1"/>
    </xf>
    <xf numFmtId="0" fontId="63" fillId="11" borderId="40" xfId="99" applyFont="1" applyFill="1" applyBorder="1" applyAlignment="1" applyProtection="1">
      <alignment horizontal="center" vertical="center" wrapText="1"/>
      <protection hidden="1"/>
    </xf>
    <xf numFmtId="178" fontId="56" fillId="16" borderId="30" xfId="99" applyNumberFormat="1" applyFont="1" applyFill="1" applyBorder="1" applyAlignment="1" applyProtection="1">
      <alignment horizontal="center" vertical="center" wrapText="1"/>
      <protection hidden="1"/>
    </xf>
    <xf numFmtId="178" fontId="56" fillId="16" borderId="44" xfId="99" applyNumberFormat="1" applyFont="1" applyFill="1" applyBorder="1" applyAlignment="1" applyProtection="1">
      <alignment horizontal="center" vertical="center" wrapText="1"/>
      <protection hidden="1"/>
    </xf>
    <xf numFmtId="178" fontId="56" fillId="16" borderId="16" xfId="99" applyNumberFormat="1" applyFont="1" applyFill="1" applyBorder="1" applyAlignment="1" applyProtection="1">
      <alignment horizontal="center" vertical="center" wrapText="1"/>
      <protection hidden="1"/>
    </xf>
    <xf numFmtId="205" fontId="56" fillId="11" borderId="7" xfId="99" applyNumberFormat="1" applyFont="1" applyFill="1" applyBorder="1" applyAlignment="1" applyProtection="1">
      <alignment horizontal="center" vertical="center" wrapText="1"/>
      <protection hidden="1"/>
    </xf>
    <xf numFmtId="0" fontId="63" fillId="11" borderId="34" xfId="99" applyFont="1" applyFill="1" applyBorder="1" applyAlignment="1" applyProtection="1">
      <alignment horizontal="center" vertical="center" wrapText="1"/>
      <protection hidden="1"/>
    </xf>
    <xf numFmtId="0" fontId="63" fillId="11" borderId="20" xfId="99" applyFont="1" applyFill="1" applyBorder="1" applyAlignment="1" applyProtection="1">
      <alignment horizontal="center" vertical="center" wrapText="1"/>
      <protection hidden="1"/>
    </xf>
    <xf numFmtId="0" fontId="63" fillId="11" borderId="15" xfId="99" applyFont="1" applyFill="1" applyBorder="1" applyAlignment="1" applyProtection="1">
      <alignment horizontal="center" vertical="center" wrapText="1"/>
      <protection hidden="1"/>
    </xf>
    <xf numFmtId="0" fontId="63" fillId="11" borderId="42" xfId="99" applyFont="1" applyFill="1" applyBorder="1" applyAlignment="1" applyProtection="1">
      <alignment horizontal="center" vertical="center" wrapText="1"/>
      <protection hidden="1"/>
    </xf>
    <xf numFmtId="0" fontId="63" fillId="11" borderId="7" xfId="99" applyFont="1" applyFill="1" applyBorder="1" applyAlignment="1" applyProtection="1">
      <alignment horizontal="center" vertical="center" wrapText="1"/>
      <protection hidden="1"/>
    </xf>
    <xf numFmtId="0" fontId="63" fillId="11" borderId="14" xfId="99" applyFont="1" applyFill="1" applyBorder="1" applyAlignment="1" applyProtection="1">
      <alignment horizontal="center" vertical="center" wrapText="1"/>
      <protection hidden="1"/>
    </xf>
    <xf numFmtId="178" fontId="56" fillId="13" borderId="30" xfId="99" applyNumberFormat="1" applyFont="1" applyFill="1" applyBorder="1" applyAlignment="1" applyProtection="1">
      <alignment horizontal="center" vertical="center" wrapText="1"/>
      <protection hidden="1"/>
    </xf>
    <xf numFmtId="178" fontId="56" fillId="13" borderId="44" xfId="99" applyNumberFormat="1" applyFont="1" applyFill="1" applyBorder="1" applyAlignment="1" applyProtection="1">
      <alignment horizontal="center" vertical="center" wrapText="1"/>
      <protection hidden="1"/>
    </xf>
    <xf numFmtId="178" fontId="56" fillId="13" borderId="16" xfId="99" applyNumberFormat="1" applyFont="1" applyFill="1" applyBorder="1" applyAlignment="1" applyProtection="1">
      <alignment horizontal="center" vertical="center" wrapText="1"/>
      <protection hidden="1"/>
    </xf>
    <xf numFmtId="0" fontId="63" fillId="15" borderId="18" xfId="101" applyFont="1" applyFill="1" applyBorder="1" applyAlignment="1" applyProtection="1">
      <alignment horizontal="center" vertical="center"/>
      <protection hidden="1"/>
    </xf>
    <xf numFmtId="0" fontId="63" fillId="15" borderId="35" xfId="101" applyFont="1" applyFill="1" applyBorder="1" applyAlignment="1" applyProtection="1">
      <alignment horizontal="center" vertical="center"/>
      <protection hidden="1"/>
    </xf>
    <xf numFmtId="0" fontId="63" fillId="11" borderId="18" xfId="101" applyFont="1" applyFill="1" applyBorder="1" applyAlignment="1" applyProtection="1">
      <alignment horizontal="center" vertical="center"/>
      <protection hidden="1"/>
    </xf>
    <xf numFmtId="0" fontId="63" fillId="11" borderId="20" xfId="101" applyFont="1" applyFill="1" applyBorder="1" applyAlignment="1" applyProtection="1">
      <alignment horizontal="center" vertical="center"/>
      <protection hidden="1"/>
    </xf>
    <xf numFmtId="0" fontId="63" fillId="13" borderId="18" xfId="101" applyFont="1" applyFill="1" applyBorder="1" applyAlignment="1" applyProtection="1">
      <alignment horizontal="center" vertical="center"/>
      <protection hidden="1"/>
    </xf>
    <xf numFmtId="0" fontId="63" fillId="13" borderId="20" xfId="101" applyFont="1" applyFill="1" applyBorder="1" applyAlignment="1" applyProtection="1">
      <alignment horizontal="center" vertical="center"/>
      <protection hidden="1"/>
    </xf>
    <xf numFmtId="0" fontId="56" fillId="15" borderId="22" xfId="101" applyFont="1" applyFill="1" applyBorder="1" applyAlignment="1" applyProtection="1">
      <alignment horizontal="center" vertical="center" wrapText="1"/>
      <protection hidden="1"/>
    </xf>
    <xf numFmtId="0" fontId="56" fillId="15" borderId="47" xfId="101" applyFont="1" applyFill="1" applyBorder="1" applyAlignment="1" applyProtection="1">
      <alignment horizontal="center" vertical="center" wrapText="1"/>
      <protection hidden="1"/>
    </xf>
    <xf numFmtId="0" fontId="56" fillId="15" borderId="17" xfId="101" applyFont="1" applyFill="1" applyBorder="1" applyAlignment="1" applyProtection="1">
      <alignment horizontal="center" vertical="center" wrapText="1"/>
      <protection hidden="1"/>
    </xf>
    <xf numFmtId="0" fontId="56" fillId="0" borderId="22" xfId="101" applyFont="1" applyBorder="1" applyAlignment="1" applyProtection="1">
      <alignment horizontal="center" vertical="center" wrapText="1"/>
      <protection hidden="1"/>
    </xf>
    <xf numFmtId="0" fontId="56" fillId="0" borderId="47" xfId="101" applyFont="1" applyBorder="1" applyAlignment="1" applyProtection="1">
      <alignment horizontal="center" vertical="center" wrapText="1"/>
      <protection hidden="1"/>
    </xf>
    <xf numFmtId="0" fontId="56" fillId="0" borderId="17" xfId="101" applyFont="1" applyBorder="1" applyAlignment="1" applyProtection="1">
      <alignment horizontal="center" vertical="center" wrapText="1"/>
      <protection hidden="1"/>
    </xf>
    <xf numFmtId="178" fontId="62" fillId="0" borderId="7" xfId="101" applyNumberFormat="1" applyFont="1" applyBorder="1" applyAlignment="1" applyProtection="1">
      <alignment horizontal="center" vertical="center" wrapText="1"/>
      <protection hidden="1"/>
    </xf>
    <xf numFmtId="0" fontId="0" fillId="0" borderId="7" xfId="0" applyBorder="1" applyAlignment="1" applyProtection="1">
      <alignment vertical="center" wrapText="1"/>
      <protection hidden="1"/>
    </xf>
    <xf numFmtId="4" fontId="63" fillId="11" borderId="3" xfId="98" applyNumberFormat="1" applyFont="1" applyFill="1" applyBorder="1" applyAlignment="1" applyProtection="1">
      <alignment horizontal="center" vertical="center" wrapText="1"/>
      <protection hidden="1"/>
    </xf>
    <xf numFmtId="4" fontId="63" fillId="11" borderId="46" xfId="98" applyNumberFormat="1" applyFont="1" applyFill="1" applyBorder="1" applyAlignment="1" applyProtection="1">
      <alignment horizontal="center" vertical="center" wrapText="1"/>
      <protection hidden="1"/>
    </xf>
    <xf numFmtId="4" fontId="63" fillId="11" borderId="82" xfId="98" applyNumberFormat="1" applyFont="1" applyFill="1" applyBorder="1" applyAlignment="1" applyProtection="1">
      <alignment horizontal="center" vertical="center" wrapText="1"/>
      <protection hidden="1"/>
    </xf>
    <xf numFmtId="178" fontId="62" fillId="0" borderId="36" xfId="101" applyNumberFormat="1" applyFont="1" applyBorder="1" applyAlignment="1" applyProtection="1">
      <alignment horizontal="center" vertical="center" wrapText="1"/>
      <protection hidden="1"/>
    </xf>
    <xf numFmtId="0" fontId="0" fillId="0" borderId="36" xfId="0" applyBorder="1" applyAlignment="1" applyProtection="1">
      <alignment vertical="center" wrapText="1"/>
      <protection hidden="1"/>
    </xf>
    <xf numFmtId="0" fontId="0" fillId="0" borderId="37" xfId="0" applyBorder="1" applyAlignment="1" applyProtection="1">
      <alignment vertical="center" wrapText="1"/>
      <protection hidden="1"/>
    </xf>
    <xf numFmtId="0" fontId="63" fillId="0" borderId="38" xfId="99" applyFont="1" applyBorder="1" applyAlignment="1" applyProtection="1">
      <alignment horizontal="center" vertical="center" wrapText="1"/>
      <protection hidden="1"/>
    </xf>
    <xf numFmtId="0" fontId="63" fillId="0" borderId="14" xfId="99" applyFont="1" applyBorder="1" applyAlignment="1" applyProtection="1">
      <alignment horizontal="center" vertical="center" wrapText="1"/>
      <protection hidden="1"/>
    </xf>
    <xf numFmtId="0" fontId="63" fillId="0" borderId="15" xfId="99" applyFont="1" applyBorder="1" applyAlignment="1" applyProtection="1">
      <alignment horizontal="center" vertical="center" wrapText="1"/>
      <protection hidden="1"/>
    </xf>
    <xf numFmtId="3" fontId="9" fillId="4" borderId="80" xfId="97" applyNumberFormat="1" applyFont="1" applyFill="1" applyBorder="1" applyAlignment="1" applyProtection="1">
      <alignment horizontal="center" vertical="center"/>
      <protection hidden="1"/>
    </xf>
    <xf numFmtId="3" fontId="9" fillId="4" borderId="39" xfId="97" applyNumberFormat="1" applyFont="1" applyFill="1" applyBorder="1" applyAlignment="1" applyProtection="1">
      <alignment horizontal="center" vertical="center"/>
      <protection hidden="1"/>
    </xf>
    <xf numFmtId="0" fontId="8" fillId="0" borderId="31" xfId="97" applyBorder="1" applyAlignment="1" applyProtection="1">
      <alignment horizontal="center"/>
      <protection hidden="1"/>
    </xf>
    <xf numFmtId="0" fontId="8" fillId="0" borderId="33" xfId="97" applyBorder="1" applyAlignment="1" applyProtection="1">
      <alignment horizontal="center"/>
      <protection hidden="1"/>
    </xf>
    <xf numFmtId="0" fontId="8" fillId="0" borderId="43" xfId="97" applyBorder="1" applyAlignment="1" applyProtection="1">
      <alignment horizontal="center"/>
      <protection hidden="1"/>
    </xf>
    <xf numFmtId="0" fontId="8" fillId="0" borderId="32" xfId="97" applyBorder="1" applyAlignment="1" applyProtection="1">
      <alignment horizontal="center"/>
      <protection hidden="1"/>
    </xf>
    <xf numFmtId="0" fontId="8" fillId="0" borderId="85" xfId="97" applyBorder="1" applyAlignment="1" applyProtection="1">
      <alignment horizontal="center"/>
      <protection hidden="1"/>
    </xf>
    <xf numFmtId="0" fontId="9" fillId="4" borderId="21" xfId="97" applyFont="1" applyFill="1" applyBorder="1" applyAlignment="1" applyProtection="1">
      <alignment horizontal="center" vertical="center" wrapText="1"/>
      <protection hidden="1"/>
    </xf>
    <xf numFmtId="0" fontId="9" fillId="4" borderId="19" xfId="97" applyFont="1" applyFill="1" applyBorder="1" applyAlignment="1" applyProtection="1">
      <alignment horizontal="center" vertical="center" wrapText="1"/>
      <protection hidden="1"/>
    </xf>
    <xf numFmtId="0" fontId="9" fillId="9" borderId="0" xfId="97" applyFont="1" applyFill="1" applyAlignment="1" applyProtection="1">
      <alignment horizontal="center" vertical="center"/>
      <protection locked="0"/>
    </xf>
    <xf numFmtId="3" fontId="9" fillId="4" borderId="31" xfId="97" applyNumberFormat="1" applyFont="1" applyFill="1" applyBorder="1" applyAlignment="1" applyProtection="1">
      <alignment horizontal="center" vertical="center"/>
      <protection hidden="1"/>
    </xf>
    <xf numFmtId="3" fontId="9" fillId="4" borderId="33" xfId="97" applyNumberFormat="1" applyFont="1" applyFill="1" applyBorder="1" applyAlignment="1" applyProtection="1">
      <alignment horizontal="center" vertical="center"/>
      <protection hidden="1"/>
    </xf>
    <xf numFmtId="0" fontId="8" fillId="0" borderId="80" xfId="97" applyBorder="1" applyAlignment="1" applyProtection="1">
      <alignment horizontal="center"/>
      <protection hidden="1"/>
    </xf>
    <xf numFmtId="0" fontId="8" fillId="0" borderId="39" xfId="97" applyBorder="1" applyAlignment="1" applyProtection="1">
      <alignment horizontal="center"/>
      <protection hidden="1"/>
    </xf>
    <xf numFmtId="0" fontId="8" fillId="0" borderId="40" xfId="97" applyBorder="1" applyAlignment="1" applyProtection="1">
      <alignment horizontal="center"/>
      <protection hidden="1"/>
    </xf>
    <xf numFmtId="0" fontId="8" fillId="0" borderId="81" xfId="97" applyBorder="1" applyAlignment="1" applyProtection="1">
      <alignment horizontal="center"/>
      <protection hidden="1"/>
    </xf>
    <xf numFmtId="0" fontId="8" fillId="0" borderId="52" xfId="97" applyBorder="1" applyAlignment="1" applyProtection="1">
      <alignment horizontal="center"/>
      <protection hidden="1"/>
    </xf>
    <xf numFmtId="3" fontId="9" fillId="4" borderId="10" xfId="97" applyNumberFormat="1" applyFont="1" applyFill="1" applyBorder="1" applyAlignment="1" applyProtection="1">
      <alignment horizontal="center" vertical="center"/>
      <protection hidden="1"/>
    </xf>
    <xf numFmtId="3" fontId="9" fillId="4" borderId="78" xfId="97" applyNumberFormat="1" applyFont="1" applyFill="1" applyBorder="1" applyAlignment="1" applyProtection="1">
      <alignment horizontal="center" vertical="center"/>
      <protection hidden="1"/>
    </xf>
    <xf numFmtId="3" fontId="9" fillId="4" borderId="55" xfId="97" applyNumberFormat="1" applyFont="1" applyFill="1" applyBorder="1" applyAlignment="1" applyProtection="1">
      <alignment horizontal="center" vertical="center"/>
      <protection hidden="1"/>
    </xf>
    <xf numFmtId="3" fontId="9" fillId="4" borderId="37" xfId="97" applyNumberFormat="1" applyFont="1" applyFill="1" applyBorder="1" applyAlignment="1" applyProtection="1">
      <alignment horizontal="center" vertical="center"/>
      <protection hidden="1"/>
    </xf>
    <xf numFmtId="0" fontId="9" fillId="4" borderId="7" xfId="97" applyFont="1" applyFill="1" applyBorder="1" applyAlignment="1" applyProtection="1">
      <alignment horizontal="center" vertical="center" wrapText="1"/>
      <protection hidden="1"/>
    </xf>
    <xf numFmtId="0" fontId="20" fillId="0" borderId="0" xfId="97" applyFont="1" applyAlignment="1" applyProtection="1">
      <alignment horizontal="center"/>
      <protection hidden="1"/>
    </xf>
    <xf numFmtId="0" fontId="9" fillId="4" borderId="7" xfId="0" applyFont="1" applyFill="1" applyBorder="1" applyAlignment="1" applyProtection="1">
      <alignment horizontal="center" vertical="center" wrapText="1"/>
      <protection hidden="1"/>
    </xf>
    <xf numFmtId="3" fontId="9" fillId="4" borderId="57" xfId="97" applyNumberFormat="1" applyFont="1" applyFill="1" applyBorder="1" applyAlignment="1" applyProtection="1">
      <alignment horizontal="center" vertical="center"/>
      <protection hidden="1"/>
    </xf>
    <xf numFmtId="3" fontId="9" fillId="4" borderId="11" xfId="97" applyNumberFormat="1" applyFont="1" applyFill="1" applyBorder="1" applyAlignment="1" applyProtection="1">
      <alignment horizontal="center" vertical="center"/>
      <protection hidden="1"/>
    </xf>
    <xf numFmtId="3" fontId="9" fillId="4" borderId="53" xfId="97" applyNumberFormat="1" applyFont="1" applyFill="1" applyBorder="1" applyAlignment="1" applyProtection="1">
      <alignment horizontal="center" vertical="center"/>
      <protection hidden="1"/>
    </xf>
    <xf numFmtId="0" fontId="9" fillId="25" borderId="7" xfId="97" applyFont="1" applyFill="1" applyBorder="1" applyAlignment="1" applyProtection="1">
      <alignment horizontal="center" vertical="center" wrapText="1"/>
      <protection hidden="1"/>
    </xf>
    <xf numFmtId="0" fontId="24" fillId="0" borderId="0" xfId="97" applyFont="1" applyAlignment="1" applyProtection="1">
      <alignment horizontal="center" vertical="center" wrapText="1"/>
      <protection locked="0"/>
    </xf>
    <xf numFmtId="3" fontId="9" fillId="0" borderId="86" xfId="96" applyNumberFormat="1" applyFont="1" applyBorder="1" applyAlignment="1" applyProtection="1">
      <alignment horizontal="justify" vertical="center" wrapText="1"/>
      <protection hidden="1"/>
    </xf>
    <xf numFmtId="3" fontId="9" fillId="0" borderId="87" xfId="96" applyNumberFormat="1" applyFont="1" applyBorder="1" applyAlignment="1" applyProtection="1">
      <alignment horizontal="justify" vertical="center" wrapText="1"/>
      <protection hidden="1"/>
    </xf>
    <xf numFmtId="3" fontId="9" fillId="0" borderId="88" xfId="96" applyNumberFormat="1" applyFont="1" applyBorder="1" applyAlignment="1" applyProtection="1">
      <alignment horizontal="justify" vertical="center" wrapText="1"/>
      <protection hidden="1"/>
    </xf>
    <xf numFmtId="3" fontId="9" fillId="24" borderId="86" xfId="96" applyNumberFormat="1" applyFont="1" applyFill="1" applyBorder="1" applyAlignment="1" applyProtection="1">
      <alignment horizontal="justify" vertical="center" wrapText="1"/>
      <protection hidden="1"/>
    </xf>
    <xf numFmtId="3" fontId="9" fillId="24" borderId="87" xfId="96" applyNumberFormat="1" applyFont="1" applyFill="1" applyBorder="1" applyAlignment="1" applyProtection="1">
      <alignment horizontal="justify" vertical="center" wrapText="1"/>
      <protection hidden="1"/>
    </xf>
    <xf numFmtId="3" fontId="9" fillId="24" borderId="88" xfId="96" applyNumberFormat="1" applyFont="1" applyFill="1" applyBorder="1" applyAlignment="1" applyProtection="1">
      <alignment horizontal="justify" vertical="center" wrapText="1"/>
      <protection hidden="1"/>
    </xf>
    <xf numFmtId="3" fontId="9" fillId="12" borderId="86" xfId="96" applyNumberFormat="1" applyFont="1" applyFill="1" applyBorder="1" applyAlignment="1" applyProtection="1">
      <alignment horizontal="justify" vertical="center" wrapText="1"/>
      <protection hidden="1"/>
    </xf>
    <xf numFmtId="3" fontId="9" fillId="12" borderId="87" xfId="96" applyNumberFormat="1" applyFont="1" applyFill="1" applyBorder="1" applyAlignment="1" applyProtection="1">
      <alignment horizontal="justify" vertical="center" wrapText="1"/>
      <protection hidden="1"/>
    </xf>
    <xf numFmtId="3" fontId="9" fillId="12" borderId="88" xfId="96" applyNumberFormat="1" applyFont="1" applyFill="1" applyBorder="1" applyAlignment="1" applyProtection="1">
      <alignment horizontal="justify" vertical="center" wrapText="1"/>
      <protection hidden="1"/>
    </xf>
    <xf numFmtId="3" fontId="9" fillId="17" borderId="86" xfId="96" applyNumberFormat="1" applyFont="1" applyFill="1" applyBorder="1" applyAlignment="1" applyProtection="1">
      <alignment horizontal="justify" vertical="center" wrapText="1"/>
      <protection hidden="1"/>
    </xf>
    <xf numFmtId="3" fontId="9" fillId="17" borderId="87" xfId="96" applyNumberFormat="1" applyFont="1" applyFill="1" applyBorder="1" applyAlignment="1" applyProtection="1">
      <alignment horizontal="justify" vertical="center" wrapText="1"/>
      <protection hidden="1"/>
    </xf>
    <xf numFmtId="3" fontId="9" fillId="17" borderId="88" xfId="96" applyNumberFormat="1" applyFont="1" applyFill="1" applyBorder="1" applyAlignment="1" applyProtection="1">
      <alignment horizontal="justify" vertical="center" wrapText="1"/>
      <protection hidden="1"/>
    </xf>
    <xf numFmtId="3" fontId="9" fillId="34" borderId="86" xfId="96" applyNumberFormat="1" applyFont="1" applyFill="1" applyBorder="1" applyAlignment="1" applyProtection="1">
      <alignment horizontal="justify" vertical="center" wrapText="1"/>
      <protection hidden="1"/>
    </xf>
    <xf numFmtId="3" fontId="9" fillId="34" borderId="87" xfId="96" applyNumberFormat="1" applyFont="1" applyFill="1" applyBorder="1" applyAlignment="1" applyProtection="1">
      <alignment horizontal="justify" vertical="center" wrapText="1"/>
      <protection hidden="1"/>
    </xf>
    <xf numFmtId="3" fontId="9" fillId="34" borderId="88" xfId="96" applyNumberFormat="1" applyFont="1" applyFill="1" applyBorder="1" applyAlignment="1" applyProtection="1">
      <alignment horizontal="justify" vertical="center" wrapText="1"/>
      <protection hidden="1"/>
    </xf>
    <xf numFmtId="0" fontId="9" fillId="0" borderId="0" xfId="96" applyFont="1" applyAlignment="1" applyProtection="1">
      <alignment horizontal="center" vertical="center"/>
      <protection hidden="1"/>
    </xf>
    <xf numFmtId="0" fontId="9" fillId="0" borderId="86" xfId="96" applyFont="1" applyBorder="1" applyAlignment="1" applyProtection="1">
      <alignment horizontal="left" vertical="center"/>
      <protection hidden="1"/>
    </xf>
    <xf numFmtId="0" fontId="9" fillId="0" borderId="87" xfId="96" applyFont="1" applyBorder="1" applyAlignment="1" applyProtection="1">
      <alignment horizontal="left" vertical="center"/>
      <protection hidden="1"/>
    </xf>
    <xf numFmtId="0" fontId="9" fillId="0" borderId="88" xfId="96" applyFont="1" applyBorder="1" applyAlignment="1" applyProtection="1">
      <alignment horizontal="left" vertical="center"/>
      <protection hidden="1"/>
    </xf>
    <xf numFmtId="3" fontId="9" fillId="26" borderId="7" xfId="96" applyNumberFormat="1" applyFont="1" applyFill="1" applyBorder="1" applyAlignment="1" applyProtection="1">
      <alignment horizontal="center" vertical="center"/>
      <protection hidden="1"/>
    </xf>
    <xf numFmtId="0" fontId="9" fillId="26" borderId="7" xfId="96" applyFont="1" applyFill="1" applyBorder="1" applyAlignment="1" applyProtection="1">
      <alignment horizontal="center" vertical="center"/>
      <protection hidden="1"/>
    </xf>
    <xf numFmtId="0" fontId="56" fillId="42" borderId="7" xfId="124" applyFont="1" applyFill="1" applyBorder="1" applyAlignment="1">
      <alignment horizontal="center" vertical="center"/>
    </xf>
    <xf numFmtId="0" fontId="65" fillId="37" borderId="35" xfId="124" applyFont="1" applyFill="1" applyBorder="1" applyAlignment="1">
      <alignment horizontal="center" vertical="center"/>
    </xf>
    <xf numFmtId="0" fontId="65" fillId="37" borderId="36" xfId="124" applyFont="1" applyFill="1" applyBorder="1" applyAlignment="1">
      <alignment horizontal="center" vertical="center"/>
    </xf>
    <xf numFmtId="0" fontId="65" fillId="37" borderId="37" xfId="124" applyFont="1" applyFill="1" applyBorder="1" applyAlignment="1">
      <alignment horizontal="center" vertical="center"/>
    </xf>
    <xf numFmtId="0" fontId="56" fillId="37" borderId="7" xfId="124" applyFont="1" applyFill="1" applyBorder="1" applyAlignment="1">
      <alignment horizontal="center" vertical="center" wrapText="1"/>
    </xf>
    <xf numFmtId="0" fontId="56" fillId="42" borderId="95" xfId="124" applyFont="1" applyFill="1" applyBorder="1" applyAlignment="1">
      <alignment horizontal="center" vertical="center"/>
    </xf>
    <xf numFmtId="0" fontId="56" fillId="42" borderId="26" xfId="124" applyFont="1" applyFill="1" applyBorder="1" applyAlignment="1">
      <alignment horizontal="center" vertical="center"/>
    </xf>
    <xf numFmtId="0" fontId="56" fillId="0" borderId="7" xfId="0" applyFont="1" applyBorder="1" applyAlignment="1">
      <alignment horizontal="center" vertical="center" wrapText="1"/>
    </xf>
    <xf numFmtId="0" fontId="84" fillId="28" borderId="35" xfId="0" applyFont="1" applyFill="1" applyBorder="1" applyAlignment="1">
      <alignment horizontal="center" vertical="center"/>
    </xf>
    <xf numFmtId="0" fontId="84" fillId="28" borderId="36" xfId="0" applyFont="1" applyFill="1" applyBorder="1" applyAlignment="1">
      <alignment horizontal="center" vertical="center"/>
    </xf>
    <xf numFmtId="0" fontId="84" fillId="28" borderId="37" xfId="0" applyFont="1" applyFill="1" applyBorder="1" applyAlignment="1">
      <alignment horizontal="center" vertical="center"/>
    </xf>
    <xf numFmtId="0" fontId="79" fillId="26" borderId="7" xfId="0" applyFont="1" applyFill="1" applyBorder="1" applyAlignment="1">
      <alignment horizontal="center" vertical="center" wrapText="1"/>
    </xf>
    <xf numFmtId="0" fontId="82" fillId="26" borderId="21" xfId="0" applyFont="1" applyFill="1" applyBorder="1" applyAlignment="1">
      <alignment horizontal="center" vertical="center" wrapText="1"/>
    </xf>
    <xf numFmtId="0" fontId="82" fillId="26" borderId="45" xfId="0" applyFont="1" applyFill="1" applyBorder="1" applyAlignment="1">
      <alignment horizontal="center" vertical="center" wrapText="1"/>
    </xf>
    <xf numFmtId="0" fontId="82" fillId="26" borderId="19" xfId="0" applyFont="1" applyFill="1" applyBorder="1" applyAlignment="1">
      <alignment horizontal="center" vertical="center" wrapText="1"/>
    </xf>
    <xf numFmtId="0" fontId="81" fillId="42" borderId="7" xfId="127" applyFont="1" applyFill="1" applyBorder="1" applyAlignment="1">
      <alignment horizontal="center" vertical="center"/>
    </xf>
    <xf numFmtId="0" fontId="84" fillId="28" borderId="7" xfId="0" applyFont="1" applyFill="1" applyBorder="1" applyAlignment="1">
      <alignment horizontal="center" vertical="center"/>
    </xf>
    <xf numFmtId="211" fontId="24" fillId="42" borderId="7" xfId="54" applyNumberFormat="1" applyFont="1" applyFill="1" applyBorder="1" applyAlignment="1" applyProtection="1">
      <alignment horizontal="center" vertical="center"/>
      <protection hidden="1"/>
    </xf>
    <xf numFmtId="0" fontId="81" fillId="34" borderId="7" xfId="0" applyFont="1" applyFill="1" applyBorder="1" applyAlignment="1">
      <alignment horizontal="center" vertical="center"/>
    </xf>
    <xf numFmtId="0" fontId="8" fillId="0" borderId="7" xfId="96" applyBorder="1" applyAlignment="1" applyProtection="1">
      <alignment horizontal="center" vertical="center" wrapText="1"/>
      <protection hidden="1"/>
    </xf>
    <xf numFmtId="0" fontId="9" fillId="32" borderId="7" xfId="96" applyFont="1" applyFill="1" applyBorder="1" applyAlignment="1" applyProtection="1">
      <alignment horizontal="center" vertical="center" wrapText="1"/>
      <protection hidden="1"/>
    </xf>
    <xf numFmtId="0" fontId="79" fillId="26" borderId="21" xfId="0" applyFont="1" applyFill="1" applyBorder="1" applyAlignment="1">
      <alignment horizontal="center" vertical="center" wrapText="1"/>
    </xf>
    <xf numFmtId="0" fontId="79" fillId="26" borderId="45" xfId="0" applyFont="1" applyFill="1" applyBorder="1" applyAlignment="1">
      <alignment horizontal="center" vertical="center" wrapText="1"/>
    </xf>
    <xf numFmtId="0" fontId="79" fillId="26" borderId="19" xfId="0" applyFont="1" applyFill="1" applyBorder="1" applyAlignment="1">
      <alignment horizontal="center" vertical="center" wrapText="1"/>
    </xf>
    <xf numFmtId="211" fontId="9" fillId="26" borderId="7" xfId="62" applyNumberFormat="1" applyFont="1" applyFill="1" applyBorder="1" applyAlignment="1" applyProtection="1">
      <alignment horizontal="center" vertical="center" wrapText="1"/>
      <protection hidden="1"/>
    </xf>
    <xf numFmtId="211" fontId="9" fillId="39" borderId="7" xfId="62" applyNumberFormat="1" applyFont="1" applyFill="1" applyBorder="1" applyAlignment="1" applyProtection="1">
      <alignment horizontal="center" vertical="center" wrapText="1"/>
      <protection hidden="1"/>
    </xf>
    <xf numFmtId="0" fontId="78" fillId="26" borderId="7" xfId="0" applyFont="1" applyFill="1" applyBorder="1" applyAlignment="1">
      <alignment horizontal="center" vertical="center" wrapText="1"/>
    </xf>
    <xf numFmtId="0" fontId="78" fillId="39" borderId="7" xfId="0" applyFont="1" applyFill="1" applyBorder="1" applyAlignment="1">
      <alignment horizontal="center" vertical="center" wrapText="1"/>
    </xf>
    <xf numFmtId="0" fontId="9" fillId="32" borderId="0" xfId="96" applyFont="1" applyFill="1" applyAlignment="1" applyProtection="1">
      <alignment horizontal="center" vertical="center" wrapText="1"/>
      <protection hidden="1"/>
    </xf>
    <xf numFmtId="0" fontId="9" fillId="35" borderId="7" xfId="96" applyFont="1" applyFill="1" applyBorder="1" applyAlignment="1" applyProtection="1">
      <alignment horizontal="center" vertical="center" wrapText="1"/>
      <protection hidden="1"/>
    </xf>
    <xf numFmtId="0" fontId="9" fillId="26" borderId="7" xfId="96" applyFont="1" applyFill="1" applyBorder="1" applyAlignment="1" applyProtection="1">
      <alignment horizontal="center" vertical="center" wrapText="1"/>
      <protection hidden="1"/>
    </xf>
    <xf numFmtId="0" fontId="8" fillId="0" borderId="35" xfId="96" applyBorder="1" applyAlignment="1" applyProtection="1">
      <alignment horizontal="justify" vertical="center" wrapText="1"/>
      <protection hidden="1"/>
    </xf>
    <xf numFmtId="0" fontId="8" fillId="0" borderId="37" xfId="96" applyBorder="1" applyAlignment="1" applyProtection="1">
      <alignment horizontal="justify" vertical="center" wrapText="1"/>
      <protection hidden="1"/>
    </xf>
    <xf numFmtId="0" fontId="9" fillId="32" borderId="32" xfId="96" applyFont="1" applyFill="1" applyBorder="1" applyAlignment="1" applyProtection="1">
      <alignment horizontal="center" vertical="center" wrapText="1"/>
      <protection hidden="1"/>
    </xf>
    <xf numFmtId="0" fontId="9" fillId="32" borderId="85" xfId="96" applyFont="1" applyFill="1" applyBorder="1" applyAlignment="1" applyProtection="1">
      <alignment horizontal="center" vertical="center" wrapText="1"/>
      <protection hidden="1"/>
    </xf>
    <xf numFmtId="0" fontId="47" fillId="0" borderId="12" xfId="0" applyFont="1" applyBorder="1" applyAlignment="1" applyProtection="1">
      <alignment horizontal="center" vertical="center"/>
      <protection hidden="1"/>
    </xf>
    <xf numFmtId="0" fontId="10" fillId="0" borderId="77" xfId="0" applyFont="1" applyBorder="1" applyAlignment="1" applyProtection="1">
      <alignment horizontal="justify" vertical="center" wrapText="1"/>
      <protection hidden="1"/>
    </xf>
    <xf numFmtId="0" fontId="10" fillId="0" borderId="12" xfId="0" applyFont="1" applyBorder="1" applyAlignment="1" applyProtection="1">
      <alignment horizontal="justify" vertical="center" wrapText="1"/>
      <protection hidden="1"/>
    </xf>
    <xf numFmtId="0" fontId="10" fillId="0" borderId="83" xfId="0" applyFont="1" applyBorder="1" applyAlignment="1" applyProtection="1">
      <alignment horizontal="justify" vertical="center" wrapText="1"/>
      <protection hidden="1"/>
    </xf>
    <xf numFmtId="0" fontId="54" fillId="28" borderId="35" xfId="0" applyFont="1" applyFill="1" applyBorder="1" applyAlignment="1" applyProtection="1">
      <alignment horizontal="right"/>
      <protection hidden="1"/>
    </xf>
    <xf numFmtId="0" fontId="54" fillId="28" borderId="36" xfId="0" applyFont="1" applyFill="1" applyBorder="1" applyAlignment="1" applyProtection="1">
      <alignment horizontal="right"/>
      <protection hidden="1"/>
    </xf>
    <xf numFmtId="0" fontId="54" fillId="28" borderId="37" xfId="0" applyFont="1" applyFill="1" applyBorder="1" applyAlignment="1" applyProtection="1">
      <alignment horizontal="right"/>
      <protection hidden="1"/>
    </xf>
  </cellXfs>
  <cellStyles count="134">
    <cellStyle name="%" xfId="1"/>
    <cellStyle name="Cabecera 1" xfId="2"/>
    <cellStyle name="Cabecera 2" xfId="3"/>
    <cellStyle name="Coma 2" xfId="4"/>
    <cellStyle name="Coma 2 2" xfId="5"/>
    <cellStyle name="Coma 3" xfId="6"/>
    <cellStyle name="Coma 3 2" xfId="7"/>
    <cellStyle name="Comma" xfId="8"/>
    <cellStyle name="Comma0" xfId="9"/>
    <cellStyle name="Currency" xfId="10"/>
    <cellStyle name="Currency0" xfId="11"/>
    <cellStyle name="Date" xfId="12"/>
    <cellStyle name="Estilo 1" xfId="13"/>
    <cellStyle name="Euro" xfId="14"/>
    <cellStyle name="F#1" xfId="15"/>
    <cellStyle name="F#2" xfId="16"/>
    <cellStyle name="F#3" xfId="17"/>
    <cellStyle name="F#4" xfId="18"/>
    <cellStyle name="F#5" xfId="19"/>
    <cellStyle name="F#6" xfId="20"/>
    <cellStyle name="F%1" xfId="21"/>
    <cellStyle name="F%2" xfId="22"/>
    <cellStyle name="F%3" xfId="23"/>
    <cellStyle name="F%4" xfId="24"/>
    <cellStyle name="F%5" xfId="25"/>
    <cellStyle name="Fecha" xfId="26"/>
    <cellStyle name="Fijo" xfId="27"/>
    <cellStyle name="Fixed" xfId="28"/>
    <cellStyle name="Heading 1" xfId="29"/>
    <cellStyle name="Heading 2" xfId="30"/>
    <cellStyle name="Heading1" xfId="31"/>
    <cellStyle name="Heading2" xfId="32"/>
    <cellStyle name="Hipervínculo" xfId="126" builtinId="8"/>
    <cellStyle name="Hipervínculo 2" xfId="33"/>
    <cellStyle name="Hipervínculo 3" xfId="34"/>
    <cellStyle name="Millares" xfId="35" builtinId="3"/>
    <cellStyle name="Millares [0] 2" xfId="36"/>
    <cellStyle name="Millares [0] 2 2" xfId="37"/>
    <cellStyle name="Millares [0] 3" xfId="38"/>
    <cellStyle name="Millares 2" xfId="39"/>
    <cellStyle name="Millares 2 2" xfId="40"/>
    <cellStyle name="Millares 2 3" xfId="41"/>
    <cellStyle name="Millares 3" xfId="42"/>
    <cellStyle name="Millares 3 2" xfId="43"/>
    <cellStyle name="Millares 3 3" xfId="44"/>
    <cellStyle name="Millares 3 3 2" xfId="45"/>
    <cellStyle name="Millares 3 4" xfId="46"/>
    <cellStyle name="Millares 4" xfId="47"/>
    <cellStyle name="Millares 4 2" xfId="48"/>
    <cellStyle name="Millares 5" xfId="49"/>
    <cellStyle name="Millares 5 2" xfId="50"/>
    <cellStyle name="Millares 6" xfId="51"/>
    <cellStyle name="Millares 7" xfId="52"/>
    <cellStyle name="Millares 7 2" xfId="53"/>
    <cellStyle name="Moneda" xfId="54" builtinId="4"/>
    <cellStyle name="Moneda [0] 2" xfId="55"/>
    <cellStyle name="Moneda 2" xfId="56"/>
    <cellStyle name="Moneda 3" xfId="57"/>
    <cellStyle name="Moneda 3 2" xfId="58"/>
    <cellStyle name="Moneda 4" xfId="59"/>
    <cellStyle name="Moneda 5" xfId="60"/>
    <cellStyle name="Moneda 5 2" xfId="61"/>
    <cellStyle name="Moneda 6" xfId="62"/>
    <cellStyle name="Moneda 7" xfId="128"/>
    <cellStyle name="Monetario" xfId="63"/>
    <cellStyle name="Monetario0" xfId="64"/>
    <cellStyle name="Normal" xfId="0" builtinId="0"/>
    <cellStyle name="Normal 10" xfId="65"/>
    <cellStyle name="Normal 10 2 2" xfId="133"/>
    <cellStyle name="Normal 11" xfId="66"/>
    <cellStyle name="Normal 12" xfId="67"/>
    <cellStyle name="Normal 13" xfId="68"/>
    <cellStyle name="Normal 14" xfId="69"/>
    <cellStyle name="Normal 15" xfId="124"/>
    <cellStyle name="Normal 15 2" xfId="130"/>
    <cellStyle name="Normal 16" xfId="127"/>
    <cellStyle name="Normal 17" xfId="70"/>
    <cellStyle name="Normal 18" xfId="131"/>
    <cellStyle name="Normal 2" xfId="71"/>
    <cellStyle name="Normal 2 12" xfId="72"/>
    <cellStyle name="Normal 2 13" xfId="73"/>
    <cellStyle name="Normal 2 15" xfId="74"/>
    <cellStyle name="Normal 2 17" xfId="75"/>
    <cellStyle name="Normal 2 2" xfId="76"/>
    <cellStyle name="Normal 2 2 2" xfId="77"/>
    <cellStyle name="Normal 2 3" xfId="78"/>
    <cellStyle name="Normal 2 3 2" xfId="79"/>
    <cellStyle name="Normal 2 4" xfId="132"/>
    <cellStyle name="Normal 2 4 2" xfId="80"/>
    <cellStyle name="Normal 2 5" xfId="81"/>
    <cellStyle name="Normal 2 6" xfId="82"/>
    <cellStyle name="Normal 2 9" xfId="83"/>
    <cellStyle name="Normal 3" xfId="84"/>
    <cellStyle name="Normal 3 2" xfId="85"/>
    <cellStyle name="Normal 4" xfId="86"/>
    <cellStyle name="Normal 4 2" xfId="87"/>
    <cellStyle name="Normal 5" xfId="88"/>
    <cellStyle name="Normal 6" xfId="89"/>
    <cellStyle name="Normal 6 2" xfId="90"/>
    <cellStyle name="Normal 7" xfId="91"/>
    <cellStyle name="Normal 7 2" xfId="92"/>
    <cellStyle name="Normal 8" xfId="93"/>
    <cellStyle name="Normal 9" xfId="94"/>
    <cellStyle name="Normal_Acta apertura_formulario" xfId="95"/>
    <cellStyle name="Normal_APU TANQUES SEPTICOS 2" xfId="96"/>
    <cellStyle name="Normal_FICHAS UBIC.TANQUES SEPTICOS NUBIA" xfId="97"/>
    <cellStyle name="Normal_FOR-301.  Sábana CD-002070-3" xfId="98"/>
    <cellStyle name="Normal_Ppto. Sln. Indiv. Abril 14 Tarso 2" xfId="99"/>
    <cellStyle name="Normal_presupuesto Altavista Romaña 2" xfId="100"/>
    <cellStyle name="Normal_PRESUPUESTO OFICIAL" xfId="101"/>
    <cellStyle name="Normal_presupuesto San Cristobal Romaña con AIU 2" xfId="102"/>
    <cellStyle name="Percent" xfId="103"/>
    <cellStyle name="Porcentaje" xfId="104" builtinId="5"/>
    <cellStyle name="Porcentaje 2" xfId="105"/>
    <cellStyle name="Porcentaje 3" xfId="125"/>
    <cellStyle name="Porcentaje 4" xfId="129"/>
    <cellStyle name="Porcentual 2" xfId="106"/>
    <cellStyle name="Porcentual 3" xfId="107"/>
    <cellStyle name="Porcentual 4" xfId="108"/>
    <cellStyle name="Punto" xfId="109"/>
    <cellStyle name="Punto0" xfId="110"/>
    <cellStyle name="resaltado" xfId="111"/>
    <cellStyle name="Resumen" xfId="112"/>
    <cellStyle name="Text" xfId="113"/>
    <cellStyle name="ДАТА" xfId="114"/>
    <cellStyle name="ДЕНЕЖНЫЙ_BOPENGC" xfId="115"/>
    <cellStyle name="ЗАГОЛОВОК1" xfId="116"/>
    <cellStyle name="ЗАГОЛОВОК2" xfId="117"/>
    <cellStyle name="ИТОГОВЫЙ" xfId="118"/>
    <cellStyle name="Обычный_BOPENGC" xfId="119"/>
    <cellStyle name="ПРОЦЕНТНЫЙ_BOPENGC" xfId="120"/>
    <cellStyle name="ТЕКСТ" xfId="121"/>
    <cellStyle name="ФИКСИРОВАННЫЙ" xfId="122"/>
    <cellStyle name="ФИНАНСОВЫЙ_BOPENGC" xfId="123"/>
  </cellStyles>
  <dxfs count="23">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ont>
        <u/>
        <color indexed="10"/>
      </font>
    </dxf>
    <dxf>
      <font>
        <color indexed="10"/>
      </font>
    </dxf>
    <dxf>
      <fill>
        <patternFill>
          <bgColor theme="9" tint="-0.24994659260841701"/>
        </patternFill>
      </fill>
    </dxf>
    <dxf>
      <font>
        <u/>
        <color indexed="10"/>
      </font>
    </dxf>
    <dxf>
      <font>
        <color indexed="10"/>
      </font>
    </dxf>
    <dxf>
      <font>
        <u/>
        <color indexed="10"/>
      </font>
    </dxf>
    <dxf>
      <font>
        <color indexed="10"/>
      </font>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ont>
        <b/>
        <i val="0"/>
        <color rgb="FFFF0000"/>
      </font>
    </dxf>
    <dxf>
      <font>
        <b/>
        <i val="0"/>
        <color rgb="FF92D050"/>
      </font>
    </dxf>
    <dxf>
      <font>
        <color rgb="FFFFFF00"/>
      </font>
    </dxf>
    <dxf>
      <font>
        <b/>
        <i val="0"/>
        <color rgb="FFFF0000"/>
      </font>
    </dxf>
    <dxf>
      <font>
        <b/>
        <i val="0"/>
        <color rgb="FF92D050"/>
      </font>
    </dxf>
    <dxf>
      <font>
        <b/>
        <i val="0"/>
        <color rgb="FFFF000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84" Type="http://schemas.openxmlformats.org/officeDocument/2006/relationships/externalLink" Target="externalLinks/externalLink74.xml"/><Relationship Id="rId89" Type="http://schemas.openxmlformats.org/officeDocument/2006/relationships/calcChain" Target="calcChain.xml"/><Relationship Id="rId16" Type="http://schemas.openxmlformats.org/officeDocument/2006/relationships/externalLink" Target="externalLinks/externalLink6.xml"/><Relationship Id="rId11" Type="http://schemas.openxmlformats.org/officeDocument/2006/relationships/externalLink" Target="externalLinks/externalLink1.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74" Type="http://schemas.openxmlformats.org/officeDocument/2006/relationships/externalLink" Target="externalLinks/externalLink64.xml"/><Relationship Id="rId79" Type="http://schemas.openxmlformats.org/officeDocument/2006/relationships/externalLink" Target="externalLinks/externalLink69.xml"/><Relationship Id="rId5" Type="http://schemas.openxmlformats.org/officeDocument/2006/relationships/worksheet" Target="worksheets/sheet5.xml"/><Relationship Id="rId90" Type="http://schemas.openxmlformats.org/officeDocument/2006/relationships/customXml" Target="../customXml/item1.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externalLink" Target="externalLinks/externalLink62.xml"/><Relationship Id="rId80" Type="http://schemas.openxmlformats.org/officeDocument/2006/relationships/externalLink" Target="externalLinks/externalLink70.xml"/><Relationship Id="rId85" Type="http://schemas.openxmlformats.org/officeDocument/2006/relationships/externalLink" Target="externalLinks/externalLink75.xml"/><Relationship Id="rId93" Type="http://schemas.microsoft.com/office/2017/10/relationships/person" Target="persons/person.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externalLink" Target="externalLinks/externalLink60.xml"/><Relationship Id="rId75" Type="http://schemas.openxmlformats.org/officeDocument/2006/relationships/externalLink" Target="externalLinks/externalLink65.xml"/><Relationship Id="rId83" Type="http://schemas.openxmlformats.org/officeDocument/2006/relationships/externalLink" Target="externalLinks/externalLink73.xml"/><Relationship Id="rId88" Type="http://schemas.openxmlformats.org/officeDocument/2006/relationships/sharedStrings" Target="sharedStrings.xml"/><Relationship Id="rId9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73" Type="http://schemas.openxmlformats.org/officeDocument/2006/relationships/externalLink" Target="externalLinks/externalLink63.xml"/><Relationship Id="rId78" Type="http://schemas.openxmlformats.org/officeDocument/2006/relationships/externalLink" Target="externalLinks/externalLink68.xml"/><Relationship Id="rId81" Type="http://schemas.openxmlformats.org/officeDocument/2006/relationships/externalLink" Target="externalLinks/externalLink71.xml"/><Relationship Id="rId86"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6" Type="http://schemas.openxmlformats.org/officeDocument/2006/relationships/externalLink" Target="externalLinks/externalLink66.xml"/><Relationship Id="rId7" Type="http://schemas.openxmlformats.org/officeDocument/2006/relationships/worksheet" Target="worksheets/sheet7.xml"/><Relationship Id="rId71" Type="http://schemas.openxmlformats.org/officeDocument/2006/relationships/externalLink" Target="externalLinks/externalLink61.xml"/><Relationship Id="rId92" Type="http://schemas.openxmlformats.org/officeDocument/2006/relationships/customXml" Target="../customXml/item3.xml"/><Relationship Id="rId2" Type="http://schemas.openxmlformats.org/officeDocument/2006/relationships/worksheet" Target="worksheets/sheet2.xml"/><Relationship Id="rId29" Type="http://schemas.openxmlformats.org/officeDocument/2006/relationships/externalLink" Target="externalLinks/externalLink19.xml"/><Relationship Id="rId24" Type="http://schemas.openxmlformats.org/officeDocument/2006/relationships/externalLink" Target="externalLinks/externalLink14.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66" Type="http://schemas.openxmlformats.org/officeDocument/2006/relationships/externalLink" Target="externalLinks/externalLink56.xml"/><Relationship Id="rId87" Type="http://schemas.openxmlformats.org/officeDocument/2006/relationships/styles" Target="styles.xml"/><Relationship Id="rId61" Type="http://schemas.openxmlformats.org/officeDocument/2006/relationships/externalLink" Target="externalLinks/externalLink51.xml"/><Relationship Id="rId82" Type="http://schemas.openxmlformats.org/officeDocument/2006/relationships/externalLink" Target="externalLinks/externalLink72.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56" Type="http://schemas.openxmlformats.org/officeDocument/2006/relationships/externalLink" Target="externalLinks/externalLink46.xml"/><Relationship Id="rId77" Type="http://schemas.openxmlformats.org/officeDocument/2006/relationships/externalLink" Target="externalLinks/externalLink6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1031081</xdr:colOff>
      <xdr:row>0</xdr:row>
      <xdr:rowOff>0</xdr:rowOff>
    </xdr:from>
    <xdr:ext cx="969169" cy="654781"/>
    <xdr:pic>
      <xdr:nvPicPr>
        <xdr:cNvPr id="5" name="Imagen 2">
          <a:extLst>
            <a:ext uri="{FF2B5EF4-FFF2-40B4-BE49-F238E27FC236}">
              <a16:creationId xmlns:a16="http://schemas.microsoft.com/office/drawing/2014/main" id="{32A74FA9-3815-474D-A95E-9759BED72BD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969169" cy="654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295275</xdr:colOff>
      <xdr:row>1</xdr:row>
      <xdr:rowOff>333375</xdr:rowOff>
    </xdr:from>
    <xdr:to>
      <xdr:col>2</xdr:col>
      <xdr:colOff>228600</xdr:colOff>
      <xdr:row>2</xdr:row>
      <xdr:rowOff>474980</xdr:rowOff>
    </xdr:to>
    <xdr:pic>
      <xdr:nvPicPr>
        <xdr:cNvPr id="62972" name="Imagen 1">
          <a:extLst>
            <a:ext uri="{FF2B5EF4-FFF2-40B4-BE49-F238E27FC236}">
              <a16:creationId xmlns:a16="http://schemas.microsoft.com/office/drawing/2014/main" id="{00000000-0008-0000-0100-0000FCF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495300"/>
          <a:ext cx="19240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3379311</xdr:colOff>
      <xdr:row>53</xdr:row>
      <xdr:rowOff>0</xdr:rowOff>
    </xdr:from>
    <xdr:ext cx="1679580" cy="264560"/>
    <xdr:sp macro="" textlink="">
      <xdr:nvSpPr>
        <xdr:cNvPr id="2" name="1 CuadroTexto">
          <a:extLst>
            <a:ext uri="{FF2B5EF4-FFF2-40B4-BE49-F238E27FC236}">
              <a16:creationId xmlns:a16="http://schemas.microsoft.com/office/drawing/2014/main" id="{00000000-0008-0000-0200-000002000000}"/>
            </a:ext>
          </a:extLst>
        </xdr:cNvPr>
        <xdr:cNvSpPr txBox="1"/>
      </xdr:nvSpPr>
      <xdr:spPr>
        <a:xfrm>
          <a:off x="3376136" y="3000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2</xdr:col>
      <xdr:colOff>3379311</xdr:colOff>
      <xdr:row>53</xdr:row>
      <xdr:rowOff>0</xdr:rowOff>
    </xdr:from>
    <xdr:ext cx="1679580" cy="264560"/>
    <xdr:sp macro="" textlink="">
      <xdr:nvSpPr>
        <xdr:cNvPr id="3" name="2 CuadroTexto">
          <a:extLst>
            <a:ext uri="{FF2B5EF4-FFF2-40B4-BE49-F238E27FC236}">
              <a16:creationId xmlns:a16="http://schemas.microsoft.com/office/drawing/2014/main" id="{00000000-0008-0000-0200-000003000000}"/>
            </a:ext>
          </a:extLst>
        </xdr:cNvPr>
        <xdr:cNvSpPr txBox="1"/>
      </xdr:nvSpPr>
      <xdr:spPr>
        <a:xfrm>
          <a:off x="3376136" y="30003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xdr:from>
      <xdr:col>32</xdr:col>
      <xdr:colOff>1066992</xdr:colOff>
      <xdr:row>68</xdr:row>
      <xdr:rowOff>140239</xdr:rowOff>
    </xdr:from>
    <xdr:to>
      <xdr:col>35</xdr:col>
      <xdr:colOff>978147</xdr:colOff>
      <xdr:row>78</xdr:row>
      <xdr:rowOff>4902</xdr:rowOff>
    </xdr:to>
    <xdr:sp macro="" textlink="">
      <xdr:nvSpPr>
        <xdr:cNvPr id="7" name="CuadroTexto 6">
          <a:extLst>
            <a:ext uri="{FF2B5EF4-FFF2-40B4-BE49-F238E27FC236}">
              <a16:creationId xmlns:a16="http://schemas.microsoft.com/office/drawing/2014/main" id="{00000000-0008-0000-0200-000007000000}"/>
            </a:ext>
          </a:extLst>
        </xdr:cNvPr>
        <xdr:cNvSpPr txBox="1"/>
      </xdr:nvSpPr>
      <xdr:spPr>
        <a:xfrm>
          <a:off x="36882673" y="34333831"/>
          <a:ext cx="3469710" cy="15922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es-419" sz="1100"/>
            <a:t>BUSCAR</a:t>
          </a:r>
          <a:r>
            <a:rPr lang="es-419" sz="1100" baseline="0"/>
            <a:t> ESTE VALOR  EN LA COLUMNA "TOPE" EN TABLA Y SELECCIONAR LA FILA QUE CORRESPONDA ES DECIR PARA ESTE CASO EL COSTO DEL PROYECTO SIN PERMISO DE VERTIMIENTO Y SIN INTERVENTORÍA ES DE $ 160,804,556, POR LO TANTO LA TARIFA DE PERMISO DE VERTIMIENTO SERÍA 1,301,800.  DIGITAR MANUALMENTE EL VALOR DE LA TARIFA DE PERMISO DE VETIMIENTOS</a:t>
          </a:r>
          <a:endParaRPr lang="es-419"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55</xdr:row>
      <xdr:rowOff>45721</xdr:rowOff>
    </xdr:from>
    <xdr:to>
      <xdr:col>3</xdr:col>
      <xdr:colOff>1340240</xdr:colOff>
      <xdr:row>66</xdr:row>
      <xdr:rowOff>22861</xdr:rowOff>
    </xdr:to>
    <xdr:pic>
      <xdr:nvPicPr>
        <xdr:cNvPr id="2" name="Imagen 1">
          <a:extLst>
            <a:ext uri="{FF2B5EF4-FFF2-40B4-BE49-F238E27FC236}">
              <a16:creationId xmlns:a16="http://schemas.microsoft.com/office/drawing/2014/main" id="{E944DD70-6816-4C91-B54A-4839184BE53E}"/>
            </a:ext>
          </a:extLst>
        </xdr:cNvPr>
        <xdr:cNvPicPr>
          <a:picLocks noChangeAspect="1"/>
        </xdr:cNvPicPr>
      </xdr:nvPicPr>
      <xdr:blipFill>
        <a:blip xmlns:r="http://schemas.openxmlformats.org/officeDocument/2006/relationships" r:embed="rId1"/>
        <a:stretch>
          <a:fillRect/>
        </a:stretch>
      </xdr:blipFill>
      <xdr:spPr>
        <a:xfrm>
          <a:off x="0" y="14988541"/>
          <a:ext cx="6948560" cy="2240280"/>
        </a:xfrm>
        <a:prstGeom prst="rect">
          <a:avLst/>
        </a:prstGeom>
      </xdr:spPr>
    </xdr:pic>
    <xdr:clientData/>
  </xdr:twoCellAnchor>
  <xdr:twoCellAnchor editAs="oneCell">
    <xdr:from>
      <xdr:col>0</xdr:col>
      <xdr:colOff>370927</xdr:colOff>
      <xdr:row>69</xdr:row>
      <xdr:rowOff>5163</xdr:rowOff>
    </xdr:from>
    <xdr:to>
      <xdr:col>0</xdr:col>
      <xdr:colOff>2828065</xdr:colOff>
      <xdr:row>85</xdr:row>
      <xdr:rowOff>681926</xdr:rowOff>
    </xdr:to>
    <xdr:pic>
      <xdr:nvPicPr>
        <xdr:cNvPr id="3" name="Imagen 2">
          <a:extLst>
            <a:ext uri="{FF2B5EF4-FFF2-40B4-BE49-F238E27FC236}">
              <a16:creationId xmlns:a16="http://schemas.microsoft.com/office/drawing/2014/main" id="{022F1896-E1A7-410C-9FA3-5E231A62F28A}"/>
            </a:ext>
          </a:extLst>
        </xdr:cNvPr>
        <xdr:cNvPicPr>
          <a:picLocks noChangeAspect="1"/>
        </xdr:cNvPicPr>
      </xdr:nvPicPr>
      <xdr:blipFill>
        <a:blip xmlns:r="http://schemas.openxmlformats.org/officeDocument/2006/relationships" r:embed="rId2"/>
        <a:stretch>
          <a:fillRect/>
        </a:stretch>
      </xdr:blipFill>
      <xdr:spPr>
        <a:xfrm>
          <a:off x="370927" y="18072183"/>
          <a:ext cx="2495238" cy="396860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7620</xdr:colOff>
      <xdr:row>0</xdr:row>
      <xdr:rowOff>373380</xdr:rowOff>
    </xdr:from>
    <xdr:to>
      <xdr:col>10</xdr:col>
      <xdr:colOff>115361</xdr:colOff>
      <xdr:row>9</xdr:row>
      <xdr:rowOff>76200</xdr:rowOff>
    </xdr:to>
    <xdr:pic>
      <xdr:nvPicPr>
        <xdr:cNvPr id="5" name="Imagen 4">
          <a:extLst>
            <a:ext uri="{FF2B5EF4-FFF2-40B4-BE49-F238E27FC236}">
              <a16:creationId xmlns:a16="http://schemas.microsoft.com/office/drawing/2014/main" id="{3714F451-6E6D-441B-8E3F-7F53C7B5FACD}"/>
            </a:ext>
          </a:extLst>
        </xdr:cNvPr>
        <xdr:cNvPicPr>
          <a:picLocks noChangeAspect="1"/>
        </xdr:cNvPicPr>
      </xdr:nvPicPr>
      <xdr:blipFill>
        <a:blip xmlns:r="http://schemas.openxmlformats.org/officeDocument/2006/relationships" r:embed="rId1"/>
        <a:stretch>
          <a:fillRect/>
        </a:stretch>
      </xdr:blipFill>
      <xdr:spPr>
        <a:xfrm>
          <a:off x="5516880" y="373380"/>
          <a:ext cx="6752381" cy="4305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CORANTIOQUIA\Procesos%202007\OBRA\SAN%20PEDRO\presupuesto%20san%20pedro_13%20junio"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1%20EP%20SANEAMIENTO%20HIDRICO%20RURAL%20MODELO%20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IVA\SANTA%20ROSA\PRESUPUESTO%20SANTA_ROSA%20%20convenio_%2019%20agos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ORLIDIA\IVA\Pozos%20Maceo\IVA%20Ministrio\Ppto._Sln._Indiv_%2024%20Junio%20_%20Maceo%20(IV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STELLA\CORANTIOQUIA\EVALUACION%20PROYECTOS%20-%202009\CISNEROS\Ppto.%20Sln.%20Indiv.%20Abril%2014%20Tars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cias3\AASSA\Documents\PRESUPUESTOS%20STA%20ROSA\ORIGINALES%20SANTA%20ROSA\ARAGON\Presupuesto%20Acueducto%20ARAG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cias3\compartido\SAN%20JOS&#201;%20ANDES\ANDES\EJEMPLOS%20PRESUPUESTOS\Presupuesto%20Acueducto%20ARAGON%20origi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cias3\compartido\INFORME%20EJEMPLO\Dise&#241;o\ARAGON\TOMO%201.%20ACUEDUCTO\ANEXOS%20DISE&#209;O\ANEXO%206.%20CANTIDADES%20DE%20OBRA%20PRESUPUESTO%20Y%20APU\Presupuesto%20Acueducto%20ARAGO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c-cias3\compartido\TAPARTO\PALERMO\PRESUPUESTO_REDES_LORICA_FASE_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SAN%20PABLO\Presupuesto%20Acueducto%20SAN%20PABL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TITIRIBI\PTAR%20ORIENTAL-SEPT%2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rlex\San%20Jose\PROYECTOS\PMAA%20CA&#209;ASGORDAS\Ca&#241;asgordas\DISE&#209;O\PMAA\CD%20Zaragoza%20Bombeo\Presupuesto\PRESUPUESTO%20DEFINITIVO%20ZARAGOZ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c-cias3\compartido\Users\aassa\AppData\Local\Microsoft\Windows\Temporary%20Internet%20Files\Content.IE5\MWC8IHW3\Presupuesto%20Acueducto%20SAN%20PABLO%20TERMIN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cias3\compartido\TAPARTO\PALERMO\BASE%20PRESUPUESTOS%20CONS_080_13_ANT\BASE%20PRESUPUESTO%20ACUEDUCTO\Presupuesto%20Acueducto%20ARAGON%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PROYECTOS13\Compartida\SANTA%20ROSA%20DE%20OSOS\A.P.U_y_Presupuesto_acueducto_final-LORICA(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ARAGON\Presupuesto%20Acueducto%20ARAGO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RANTIOQUIA-%20CALIDAD%20AMBIENTAL-%201407-71\convenio%20PTAR%20-%20CARACOL&#205;\Anexo_8_%20PPTO%20y%20APU%20PTAR%20CARACOL&#205;%20N.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ias1\compartido\Users\aassa\AppData\Local\Microsoft\Windows\Temporary%20Internet%20Files\Content.IE5\MWC8IHW3\Presupuesto%20Acueducto%20SAN%20PABLO%20TERMINA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DOCUME~1\parteaga\CONFIG~1\Temp\ORLIDIA\CORANTIOQUIA\Procesos%202007\OBRA\SAN%20PEDRO\presupuesto%20san%20pedro_13%20junio"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VENECIA\Anexo_8_Cantidades%20de%20Obra,%20APU&#180;s%20%20y%20Presupuesto-%20MAYO%2020.xlsx"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marias\Downloads\APU-SEPT%20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wlujan\AppData\Local\Microsoft\Windows\Temporary%20Internet%20Files\Content.Outlook\BU0BAB07\APU-SEPT%201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RANTIOQUIA-%20CALIDAD%20AMBIENTAL-%201407-71\convenio%20PTAR%20-%20CARACOL&#205;\PRESUPUESTO%20CARACOL&#205;%2029-10-2014.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Proyectos%20Planes%20Tematicos\OPREFCJ1\CARBOCOL\MODCARB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Proyectos%20Planes%20Tematicos\OPREFCJ1\CAFE\MODCAF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is%20documentos\DIANA\DIANA\PROCESOS%202014\TITIRIBI\PPTO%20COLECTOR%20ORIENTAL-SEPT%2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MPARTIDO\ZONA%204\La%20Mina%20Venecia\ALCANTARILLADO\presupuesto%20global%20ministerio\BASE_PPTOS_GOBANT_%2021-04-2014%2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PROYECTOS12\Altos%20de%20la%20Virgen\Documents%20and%20Settings\molivar\Escritorio\Correccion%20APU&#180;s%20benj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pia%20de%20Formato%20Tipo%20B%20Formulacion%20subproyectos%20saneamiento%20201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c-cias3\Users\aassa\Desktop\PRESUPUESTO_ALDO_MOMIL_ULTIMO_CONSOLIDAD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windows\TEMP\ADMINISTRATIVA\BAAN\lista%20de%20precios%20definitiva%20sep16-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anear19\D\windows\TEMP\ADMINISTRATIVA\BAAN\lista%20de%20precios%20definitiva%20sep16-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mpartido\PTAR-SUR-FLORESTA3lps\PRESUPUESTO%20ALCANTARILLAD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c-cias21\compartido\Presupuestos\CONSTRUCCION_ALCAN%20MOMIL\PRESUPUESTO_ALDO_MOMIL_2.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cias21\compartido\PTAR%20FINAL\A%20nexo%2010y%2011.%20PPTO%20y%20APU%20PTAR%20%20SUR%20palerm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IVA\DON%20MATIAS\PRESUPUESTO%20DONMATIAS_JULIO%207__Filtr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MPARTIDO\Tapa_losa\PTO_%20ACUEDUCTO_%20TAPART&#21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cias1\compartido\SANDRA%20DISCO%20C\Obras%202010\San%20Juan%20de%20Uraba\Entrega%20final\PRESUPUESTO%20DEFINITIVO\PRESUPUESTOS%20ALCANTARILLADO_ACTUALIZADO_%202010.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Documents%20and%20Settings\carenas\Escritorio\PRESUPUESTOS%20%20febr11\Copia%20de%20BASE%20DE%20PRESUPUEST(copi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cias21\WAAE\PMALCANT-GUAMAL\ETAPA%20DE%20DIAGNOSTICO\INFORMACION%20RECOLECTADA\pmaa%20ituango%20en%20Alfonso%20Rincon%20(Pc-proyectos8)\DISE&#209;O\CANT.%20DE%20OBRA%20Y%20PPTO\ANEXO3_PRESUPUESTO%20ALCANTARILLAD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RESIDENTE%20CONST%20SADEP\formularios\A.P.U.%20BASE.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ANEAR16\DATOS\PROYECTOS\Nari&#241;o\11.%20A.P.U\A.P.U.%2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Sergio\documentos%202013\Documents\Downloads\APUS%20ARAGON%20PARA%20ENVIAR.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Desktop\ESTUDIOS%20PREVIOS\PPTO%20MODEL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Users\WINDOW~1\AppData\Local\Temp\Copia%20de%20PPTO%20MODELO-03-03-201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CONTRATOS%20JAIME\POZOS%202013\PROYECTOS%20SEGUNDO%20SEMESTRE\PROY%20EPM\BELMIRA\Estudios%20Previos%20Convenio%20BELMIRA-STAROS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cias3\AASSA\CONS-044-ALV%20ALTOS%20DE%20LA%20VIRGEN%20SAN%20CRISTOBAL%20MEDELLIN\ETAPAS\3.%20DISE&#209;O\CONS-044-ALV\ALCANTARILLADO\Presupuesto\PPTO_ALCANTARILLADO_san%20jose.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PlaneacionIntegral\Bpc\Banco%20de%20Proyectos%202013\Formato%20Unico%20subproyectos%20(en%20construcci&#243;n).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My_Docs\OBRAS\SANTA%20ROSA%20-%20REDES%20ACUEDUCTO\Formatos\PPTO%20OFICIAL%20ACUEDUCTO%20SANTA%20ROS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TITIRIB&#205;\PTAR\Anexo_9_Cantid%20Obra,%20APU&#180;s%20%20Ppto%20PTAR.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c-cias3\compartido\TAPARTO\PRESUPUESTO%20ACUEDUCTO%20PALERMO%202013.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3271%20G1%20Presupuestos%20de%20Pozos-Palmitas%20Centr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Users\lgallo.CORANTIOQUIA\AppData\Local\Microsoft\Windows\INetCache\Content.Outlook\9BD58X42\ORLIDIA\CORANTIOQUIA\Procesos%202008\Obra\SANTA%20ROSA\PROYECTO%20PTAR%20EL%20TURCO\PRESUPUESTO%20ALCANTARILLAD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Pc-cias21\PMAA_META\PMMA_ACACIAS\DIAGNOSTICO\PRIORITARIO\PRECIOS\CANT.%20DE%20OBRA%20Y%20PPTO_PRIORITARIO\PRESUPUESTOS%20ITUANGO\ANEXO%204%20PRESUPUESTO%20ACUEDUCT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orantioquia-my.sharepoint.com/personal/jgalvis_corantioquia_gov_co/Documents/2023/CONTRATACION/110-SUBDIRECCION%20DE%20GESTION%20%20AMBIENTAL/040-COV2211-111/POI%202023.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Users\carlo\Desktop\REVISADOS%20EP%20SANEAMIENTO\ANEXO_3_EP_SANEAMIENTO_H&#205;DRICO_RURAL2020_PLANTILL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4">
          <cell r="D54">
            <v>25754</v>
          </cell>
        </row>
        <row r="55">
          <cell r="D55">
            <v>17000</v>
          </cell>
        </row>
        <row r="56">
          <cell r="D56">
            <v>1300</v>
          </cell>
        </row>
        <row r="64">
          <cell r="D64">
            <v>1450</v>
          </cell>
        </row>
        <row r="65">
          <cell r="D65">
            <v>550</v>
          </cell>
        </row>
        <row r="69">
          <cell r="D69">
            <v>1634</v>
          </cell>
        </row>
        <row r="70">
          <cell r="D70">
            <v>22.28</v>
          </cell>
        </row>
        <row r="79">
          <cell r="D79">
            <v>150536</v>
          </cell>
        </row>
        <row r="104">
          <cell r="D104">
            <v>322269</v>
          </cell>
        </row>
        <row r="105">
          <cell r="D105">
            <v>491098</v>
          </cell>
        </row>
        <row r="120">
          <cell r="D120">
            <v>24368</v>
          </cell>
        </row>
        <row r="122">
          <cell r="D122">
            <v>27406</v>
          </cell>
        </row>
        <row r="124">
          <cell r="D124">
            <v>11719</v>
          </cell>
        </row>
        <row r="125">
          <cell r="D125">
            <v>16333</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COSTOS"/>
      <sheetName val="Presupuesto Támesis"/>
      <sheetName val="IVA"/>
      <sheetName val="A.P.U."/>
      <sheetName val="BASE SALARIOS"/>
      <sheetName val="FORMATO_Tamesi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Presupuesto Tarzo"/>
      <sheetName val="APU SOL IND"/>
      <sheetName val="BASE"/>
      <sheetName val="BASE CTOS"/>
      <sheetName val="BASE ORIGINAL"/>
      <sheetName val="interv. pozos tarso"/>
      <sheetName val="RESUMEN COSTOS (2)"/>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SEG99"/>
      <sheetName val="RESU99"/>
      <sheetName val="SEG2000"/>
      <sheetName val="RESU2000"/>
      <sheetName val="C1-3vig97-00"/>
      <sheetName val="C1-3vIg98-00"/>
      <sheetName val="chequeo99"/>
      <sheetName val="plano-mensaje"/>
      <sheetName val="C1-3men"/>
      <sheetName val="DIFERENCIAS SIMUL"/>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PRELIM"/>
      <sheetName val="TUBERIA"/>
      <sheetName val="EXCAVA"/>
      <sheetName val="APU COLECTOR-NORTE"/>
      <sheetName val="APU COLECTOR-SUR"/>
      <sheetName val="APU Redes Secundarias  NORTE"/>
      <sheetName val="APU Redes Secundarias  SUR"/>
      <sheetName val="APU DOMICILIARES"/>
      <sheetName val="MDEC ADICIÓN"/>
      <sheetName val="Cantidades IVA"/>
      <sheetName val="APU COL"/>
      <sheetName val="PRESTACIONES"/>
      <sheetName val="FORMULARIO AIU"/>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COLECTOR-NORTE"/>
      <sheetName val="COLECTOR-SUR"/>
      <sheetName val="REDES SECUND NORTE"/>
      <sheetName val="REDES SECUND SUR"/>
      <sheetName val="DOMICILIARES"/>
      <sheetName val="PRESUPUESTO PT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42"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43"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refreshError="1">
        <row r="13">
          <cell r="D13">
            <v>84700</v>
          </cell>
        </row>
        <row r="56">
          <cell r="D56">
            <v>1300</v>
          </cell>
        </row>
        <row r="62">
          <cell r="D62">
            <v>1300</v>
          </cell>
        </row>
        <row r="64">
          <cell r="D64">
            <v>1450</v>
          </cell>
        </row>
        <row r="69">
          <cell r="D69">
            <v>37100</v>
          </cell>
        </row>
        <row r="70">
          <cell r="D70">
            <v>1050</v>
          </cell>
        </row>
        <row r="79">
          <cell r="D79">
            <v>18241</v>
          </cell>
        </row>
        <row r="81">
          <cell r="D81">
            <v>2989.3199999999997</v>
          </cell>
        </row>
        <row r="83">
          <cell r="D83">
            <v>7820.7199999999993</v>
          </cell>
        </row>
        <row r="84">
          <cell r="D84">
            <v>11815.759999999998</v>
          </cell>
        </row>
        <row r="85">
          <cell r="D85">
            <v>16025.4</v>
          </cell>
        </row>
        <row r="86">
          <cell r="D86">
            <v>26442.199999999997</v>
          </cell>
        </row>
        <row r="87">
          <cell r="D87">
            <v>57395.64</v>
          </cell>
        </row>
        <row r="88">
          <cell r="D88">
            <v>97278.76</v>
          </cell>
        </row>
        <row r="89">
          <cell r="D89">
            <v>150535.51999999999</v>
          </cell>
        </row>
        <row r="90">
          <cell r="D90">
            <v>211733.63999999998</v>
          </cell>
        </row>
        <row r="91">
          <cell r="D91">
            <v>287019.95999999996</v>
          </cell>
        </row>
        <row r="92">
          <cell r="D92">
            <v>376719.27999999997</v>
          </cell>
        </row>
        <row r="94">
          <cell r="D94">
            <v>6638.6799999999994</v>
          </cell>
        </row>
        <row r="95">
          <cell r="D95">
            <v>13147.439999999999</v>
          </cell>
        </row>
        <row r="96">
          <cell r="D96">
            <v>21697.8</v>
          </cell>
        </row>
        <row r="97">
          <cell r="D97">
            <v>47007.839999999997</v>
          </cell>
        </row>
        <row r="98">
          <cell r="D98">
            <v>79972.72</v>
          </cell>
        </row>
        <row r="99">
          <cell r="D99">
            <v>122355.63999999998</v>
          </cell>
        </row>
        <row r="102">
          <cell r="D102">
            <v>11183.56</v>
          </cell>
        </row>
        <row r="103">
          <cell r="D103">
            <v>18112.239999999998</v>
          </cell>
        </row>
        <row r="104">
          <cell r="D104">
            <v>37724.36</v>
          </cell>
        </row>
        <row r="106">
          <cell r="D106">
            <v>100275.04</v>
          </cell>
        </row>
        <row r="110">
          <cell r="D110">
            <v>30726.079999999998</v>
          </cell>
        </row>
        <row r="111">
          <cell r="D111">
            <v>51897.24</v>
          </cell>
        </row>
        <row r="116">
          <cell r="D116">
            <v>63373.119999999995</v>
          </cell>
        </row>
        <row r="118">
          <cell r="D118">
            <v>356531.8</v>
          </cell>
        </row>
        <row r="119">
          <cell r="D119">
            <v>199549</v>
          </cell>
        </row>
        <row r="120">
          <cell r="D120">
            <v>24368</v>
          </cell>
        </row>
        <row r="122">
          <cell r="D122">
            <v>28617.199999999997</v>
          </cell>
        </row>
        <row r="123">
          <cell r="D123">
            <v>16714.439999999999</v>
          </cell>
        </row>
        <row r="124">
          <cell r="D124">
            <v>731389.27999999991</v>
          </cell>
        </row>
        <row r="125">
          <cell r="D125">
            <v>233920.96</v>
          </cell>
        </row>
        <row r="126">
          <cell r="D126">
            <v>127224.15999999999</v>
          </cell>
        </row>
        <row r="127">
          <cell r="D127">
            <v>19349.96</v>
          </cell>
        </row>
        <row r="128">
          <cell r="D128">
            <v>31895.359999999997</v>
          </cell>
        </row>
        <row r="129">
          <cell r="D129">
            <v>54693.999999999993</v>
          </cell>
        </row>
        <row r="131">
          <cell r="D131">
            <v>3369.7999999999997</v>
          </cell>
        </row>
        <row r="132">
          <cell r="D132">
            <v>13248.359999999999</v>
          </cell>
        </row>
        <row r="133">
          <cell r="D133">
            <v>24368.12</v>
          </cell>
        </row>
        <row r="134">
          <cell r="D134">
            <v>3205.08</v>
          </cell>
        </row>
        <row r="135">
          <cell r="D135">
            <v>18202.719999999998</v>
          </cell>
        </row>
        <row r="144">
          <cell r="D144">
            <v>3016</v>
          </cell>
        </row>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176">
          <cell r="D176">
            <v>11600</v>
          </cell>
        </row>
        <row r="177">
          <cell r="D177">
            <v>38484.159999999996</v>
          </cell>
        </row>
        <row r="178">
          <cell r="D178">
            <v>51733.679999999993</v>
          </cell>
        </row>
        <row r="179">
          <cell r="D179">
            <v>61224.799999999996</v>
          </cell>
        </row>
        <row r="180">
          <cell r="D180">
            <v>24052.6</v>
          </cell>
        </row>
        <row r="185">
          <cell r="D185">
            <v>5423</v>
          </cell>
        </row>
        <row r="186">
          <cell r="D186">
            <v>4092.4799999999996</v>
          </cell>
        </row>
        <row r="202">
          <cell r="D202">
            <v>8469.16</v>
          </cell>
        </row>
        <row r="205">
          <cell r="D205">
            <v>9969.0399999999991</v>
          </cell>
        </row>
        <row r="206">
          <cell r="D206">
            <v>91366.239999999991</v>
          </cell>
        </row>
        <row r="207">
          <cell r="D207">
            <v>91366.239999999991</v>
          </cell>
        </row>
        <row r="209">
          <cell r="D209">
            <v>21218.719999999998</v>
          </cell>
        </row>
        <row r="213">
          <cell r="D213">
            <v>50273.162393162398</v>
          </cell>
        </row>
        <row r="216">
          <cell r="D216">
            <v>121587.1794871795</v>
          </cell>
        </row>
        <row r="217">
          <cell r="D217">
            <v>161331.79487179487</v>
          </cell>
        </row>
        <row r="218">
          <cell r="D218">
            <v>200254.70085470087</v>
          </cell>
        </row>
        <row r="219">
          <cell r="D219">
            <v>1459</v>
          </cell>
        </row>
        <row r="220">
          <cell r="D220">
            <v>239084.12</v>
          </cell>
        </row>
        <row r="221">
          <cell r="D221">
            <v>320363</v>
          </cell>
        </row>
        <row r="222">
          <cell r="D222">
            <v>355579.44</v>
          </cell>
        </row>
        <row r="223">
          <cell r="D223">
            <v>443031.83999999997</v>
          </cell>
        </row>
        <row r="224">
          <cell r="D224">
            <v>732537.67999999993</v>
          </cell>
        </row>
        <row r="225">
          <cell r="D225">
            <v>792027.12</v>
          </cell>
        </row>
        <row r="227">
          <cell r="D227">
            <v>903363.91999999993</v>
          </cell>
        </row>
        <row r="228">
          <cell r="D228">
            <v>1070707.8399999999</v>
          </cell>
        </row>
        <row r="233">
          <cell r="D233">
            <v>236798.91999999998</v>
          </cell>
        </row>
        <row r="234">
          <cell r="D234">
            <v>291621.68</v>
          </cell>
        </row>
        <row r="235">
          <cell r="D235">
            <v>322268.88</v>
          </cell>
        </row>
        <row r="236">
          <cell r="D236">
            <v>345944.48</v>
          </cell>
        </row>
        <row r="237">
          <cell r="D237">
            <v>491097.59999999998</v>
          </cell>
        </row>
        <row r="238">
          <cell r="D238">
            <v>529555.07999999996</v>
          </cell>
        </row>
        <row r="240">
          <cell r="D240">
            <v>584717.72</v>
          </cell>
        </row>
        <row r="241">
          <cell r="D241">
            <v>635061.72</v>
          </cell>
        </row>
        <row r="246">
          <cell r="D246">
            <v>74466.2</v>
          </cell>
        </row>
        <row r="247">
          <cell r="D247">
            <v>150543.63999999998</v>
          </cell>
        </row>
        <row r="248">
          <cell r="D248">
            <v>228690.52</v>
          </cell>
        </row>
        <row r="249">
          <cell r="D249">
            <v>120078.56</v>
          </cell>
        </row>
        <row r="250">
          <cell r="D250">
            <v>146354.87999999998</v>
          </cell>
        </row>
        <row r="251">
          <cell r="D251">
            <v>269281.24</v>
          </cell>
        </row>
        <row r="253">
          <cell r="D253">
            <v>6400</v>
          </cell>
        </row>
        <row r="256">
          <cell r="D256">
            <v>74466.2</v>
          </cell>
        </row>
        <row r="258">
          <cell r="D258">
            <v>150543.63999999998</v>
          </cell>
        </row>
        <row r="260">
          <cell r="D260">
            <v>228690.52</v>
          </cell>
        </row>
        <row r="262">
          <cell r="D262">
            <v>138753.4</v>
          </cell>
        </row>
        <row r="263">
          <cell r="D263">
            <v>167570.12</v>
          </cell>
        </row>
        <row r="264">
          <cell r="D264">
            <v>258841.24</v>
          </cell>
        </row>
        <row r="266">
          <cell r="D266">
            <v>83038.599999999991</v>
          </cell>
        </row>
        <row r="267">
          <cell r="D267">
            <v>54065</v>
          </cell>
        </row>
        <row r="269">
          <cell r="D269">
            <v>423399.99999999994</v>
          </cell>
        </row>
        <row r="270">
          <cell r="D270">
            <v>12800</v>
          </cell>
        </row>
        <row r="271">
          <cell r="D271">
            <v>140360</v>
          </cell>
        </row>
        <row r="273">
          <cell r="D273">
            <v>280720</v>
          </cell>
        </row>
        <row r="274">
          <cell r="D274">
            <v>238959.99999999997</v>
          </cell>
        </row>
        <row r="275">
          <cell r="D275">
            <v>218079.99999999997</v>
          </cell>
        </row>
        <row r="276">
          <cell r="D276">
            <v>112519.99999999999</v>
          </cell>
        </row>
        <row r="277">
          <cell r="D277">
            <v>99760</v>
          </cell>
        </row>
        <row r="278">
          <cell r="D278">
            <v>106719.99999999999</v>
          </cell>
        </row>
        <row r="279">
          <cell r="D279">
            <v>71920</v>
          </cell>
        </row>
        <row r="280">
          <cell r="D280">
            <v>56839.999999999993</v>
          </cell>
        </row>
        <row r="281">
          <cell r="D281">
            <v>2105400</v>
          </cell>
        </row>
        <row r="282">
          <cell r="D282">
            <v>1245840</v>
          </cell>
        </row>
        <row r="283">
          <cell r="D283">
            <v>574200</v>
          </cell>
        </row>
        <row r="284">
          <cell r="D284">
            <v>938439.99999999988</v>
          </cell>
        </row>
        <row r="286">
          <cell r="D286">
            <v>491839.99999999994</v>
          </cell>
        </row>
        <row r="287">
          <cell r="D287">
            <v>429199.99999999994</v>
          </cell>
        </row>
        <row r="288">
          <cell r="D288">
            <v>196040</v>
          </cell>
        </row>
        <row r="289">
          <cell r="D289">
            <v>131080</v>
          </cell>
        </row>
        <row r="292">
          <cell r="D292">
            <v>255199.99999999997</v>
          </cell>
        </row>
        <row r="293">
          <cell r="D293">
            <v>229679.99999999997</v>
          </cell>
        </row>
        <row r="294">
          <cell r="D294">
            <v>184440</v>
          </cell>
        </row>
        <row r="295">
          <cell r="D295">
            <v>154280</v>
          </cell>
        </row>
        <row r="296">
          <cell r="D296">
            <v>126439.99999999999</v>
          </cell>
        </row>
        <row r="297">
          <cell r="D297">
            <v>77720</v>
          </cell>
        </row>
        <row r="298">
          <cell r="D298">
            <v>53359.999999999993</v>
          </cell>
        </row>
        <row r="299">
          <cell r="D299">
            <v>46400</v>
          </cell>
        </row>
        <row r="301">
          <cell r="D301">
            <v>219935.99999999997</v>
          </cell>
        </row>
        <row r="302">
          <cell r="D302">
            <v>210192</v>
          </cell>
        </row>
        <row r="303">
          <cell r="D303">
            <v>201840</v>
          </cell>
        </row>
        <row r="304">
          <cell r="D304">
            <v>225039.99999999997</v>
          </cell>
        </row>
        <row r="309">
          <cell r="D309">
            <v>57419.999999999993</v>
          </cell>
        </row>
        <row r="310">
          <cell r="D310">
            <v>84216</v>
          </cell>
        </row>
        <row r="315">
          <cell r="D315">
            <v>8500</v>
          </cell>
        </row>
        <row r="318">
          <cell r="D318">
            <v>70180</v>
          </cell>
        </row>
        <row r="321">
          <cell r="D321">
            <v>70180</v>
          </cell>
        </row>
        <row r="323">
          <cell r="D323">
            <v>224576</v>
          </cell>
        </row>
        <row r="324">
          <cell r="D324">
            <v>102080</v>
          </cell>
        </row>
        <row r="326">
          <cell r="D326">
            <v>139200</v>
          </cell>
        </row>
        <row r="327">
          <cell r="D327">
            <v>104400</v>
          </cell>
        </row>
        <row r="328">
          <cell r="D328">
            <v>162400</v>
          </cell>
        </row>
        <row r="329">
          <cell r="D329">
            <v>214599.99999999997</v>
          </cell>
        </row>
        <row r="330">
          <cell r="D330">
            <v>233159.99999999997</v>
          </cell>
        </row>
        <row r="331">
          <cell r="D331">
            <v>233159.99999999997</v>
          </cell>
        </row>
        <row r="332">
          <cell r="D332">
            <v>702.95999999999992</v>
          </cell>
        </row>
        <row r="334">
          <cell r="D334">
            <v>13385.24</v>
          </cell>
        </row>
        <row r="335">
          <cell r="D335">
            <v>24319.399999999998</v>
          </cell>
        </row>
        <row r="336">
          <cell r="D336">
            <v>30962.719999999998</v>
          </cell>
        </row>
        <row r="340">
          <cell r="D340">
            <v>1281.8</v>
          </cell>
        </row>
        <row r="341">
          <cell r="D341">
            <v>1635.6</v>
          </cell>
        </row>
        <row r="342">
          <cell r="D342">
            <v>1605.4399999999998</v>
          </cell>
        </row>
        <row r="344">
          <cell r="D344">
            <v>12125.48</v>
          </cell>
        </row>
        <row r="345">
          <cell r="D345">
            <v>13725.119999999999</v>
          </cell>
        </row>
        <row r="346">
          <cell r="D346">
            <v>17446.399999999998</v>
          </cell>
        </row>
        <row r="349">
          <cell r="D349">
            <v>66000</v>
          </cell>
        </row>
        <row r="351">
          <cell r="D351">
            <v>23000</v>
          </cell>
        </row>
        <row r="360">
          <cell r="D360">
            <v>258680</v>
          </cell>
        </row>
        <row r="361">
          <cell r="D361">
            <v>388600</v>
          </cell>
        </row>
        <row r="362">
          <cell r="D362">
            <v>556800</v>
          </cell>
        </row>
        <row r="363">
          <cell r="D363">
            <v>1548600</v>
          </cell>
        </row>
        <row r="364">
          <cell r="D364">
            <v>2088000</v>
          </cell>
        </row>
        <row r="377">
          <cell r="D377">
            <v>6400</v>
          </cell>
        </row>
        <row r="385">
          <cell r="D385">
            <v>7000</v>
          </cell>
        </row>
        <row r="386">
          <cell r="D386">
            <v>139200</v>
          </cell>
        </row>
        <row r="388">
          <cell r="D388">
            <v>1979593.75</v>
          </cell>
        </row>
        <row r="390">
          <cell r="D390">
            <v>106719.99999999999</v>
          </cell>
        </row>
        <row r="391">
          <cell r="D391">
            <v>163560</v>
          </cell>
        </row>
        <row r="394">
          <cell r="D394">
            <v>12800</v>
          </cell>
        </row>
        <row r="412">
          <cell r="D412">
            <v>614800</v>
          </cell>
        </row>
        <row r="414">
          <cell r="D414">
            <v>348000</v>
          </cell>
        </row>
        <row r="415">
          <cell r="D415">
            <v>44196</v>
          </cell>
        </row>
        <row r="417">
          <cell r="D417">
            <v>459359.99999999994</v>
          </cell>
        </row>
        <row r="419">
          <cell r="D419">
            <v>243599.99999999997</v>
          </cell>
        </row>
        <row r="421">
          <cell r="D421">
            <v>17136</v>
          </cell>
        </row>
        <row r="423">
          <cell r="D423">
            <v>267000</v>
          </cell>
        </row>
        <row r="439">
          <cell r="D439">
            <v>38280</v>
          </cell>
        </row>
        <row r="442">
          <cell r="D442">
            <v>80000</v>
          </cell>
        </row>
        <row r="443">
          <cell r="D443">
            <v>120000</v>
          </cell>
        </row>
        <row r="444">
          <cell r="D444">
            <v>50000</v>
          </cell>
        </row>
        <row r="445">
          <cell r="D445">
            <v>70000</v>
          </cell>
        </row>
        <row r="446">
          <cell r="D446">
            <v>40000</v>
          </cell>
        </row>
        <row r="447">
          <cell r="D447">
            <v>40000</v>
          </cell>
        </row>
        <row r="450">
          <cell r="D450">
            <v>13500</v>
          </cell>
        </row>
        <row r="459">
          <cell r="D459">
            <v>33640</v>
          </cell>
        </row>
        <row r="460">
          <cell r="D460">
            <v>5800</v>
          </cell>
        </row>
        <row r="461">
          <cell r="D461">
            <v>69599.999999999985</v>
          </cell>
        </row>
        <row r="485">
          <cell r="D485">
            <v>51805.599999999999</v>
          </cell>
        </row>
      </sheetData>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3">
          <cell r="G3" t="str">
            <v>D.T. Aburrá Norte</v>
          </cell>
          <cell r="I3" t="str">
            <v>Toda la Jurisdicción</v>
          </cell>
          <cell r="J3" t="str">
            <v>Línea 1. Democratización de la información para la generación del conocimiento, la participación y la gestión.</v>
          </cell>
          <cell r="L3" t="str">
            <v>Programa I. Gestión de información y conocimiento</v>
          </cell>
          <cell r="M3" t="str">
            <v>CD201200001</v>
          </cell>
          <cell r="N3" t="str">
            <v>Proyecto 1.  Gestión de la información</v>
          </cell>
          <cell r="O3" t="str">
            <v>CD20120000101</v>
          </cell>
          <cell r="P3" t="str">
            <v>1.1. Formulación del plan de sistema de gestión de la información.</v>
          </cell>
          <cell r="Q3" t="str">
            <v>Seguimiento Plan Formulado</v>
          </cell>
          <cell r="R3" t="str">
            <v>PLAN DE ORDENACION Y MANEJO DE LA CUENCA ALTAVISTA</v>
          </cell>
          <cell r="S3" t="str">
            <v>DISTRITO DE MANEJO INTEGRADO DE LOS RECURSOS NATURALES RENOVABLES DEL SISTEMA DE PÁRAMOS Y BOSQUES ALTOANDINOS DEL NOROCCIDENTE MEDIO ANTIOQUEÑO</v>
          </cell>
          <cell r="T3" t="str">
            <v>Concesión de aguas superficiales</v>
          </cell>
          <cell r="U3" t="str">
            <v>En trámite</v>
          </cell>
          <cell r="V3">
            <v>1</v>
          </cell>
          <cell r="W3">
            <v>1</v>
          </cell>
          <cell r="X3" t="str">
            <v>Enero</v>
          </cell>
          <cell r="Y3" t="str">
            <v>2020</v>
          </cell>
        </row>
        <row r="4">
          <cell r="G4" t="str">
            <v>D.T. Aburra Sur</v>
          </cell>
          <cell r="I4" t="str">
            <v>Varios Municipios</v>
          </cell>
          <cell r="J4" t="str">
            <v>Línea 2. Planificación ambiental para la adecuada ocupación del territorio.</v>
          </cell>
          <cell r="L4" t="str">
            <v>Programa II. Planificación Ambiental del Territorio</v>
          </cell>
          <cell r="M4" t="str">
            <v>CD201200002</v>
          </cell>
          <cell r="N4" t="str">
            <v>Proyecto 2.  Gestión del conocimiento</v>
          </cell>
          <cell r="O4" t="str">
            <v>CD20120000102</v>
          </cell>
          <cell r="P4" t="str">
            <v>1.2. Sostenibilidad de la plataforma del sistema de información</v>
          </cell>
          <cell r="Q4" t="str">
            <v>% plataforma operando</v>
          </cell>
          <cell r="R4" t="str">
            <v>PLAN DE ORDENACION Y MANEJO DE LA CUENCA DEL RIO ABURRA</v>
          </cell>
          <cell r="S4" t="str">
            <v>DISTRITO DE MANEJO INTEGRADO DE LOS RECURSOS NATURALES RENOVABLES DIVISORIA VALLE DE ABURRÁ – RIO CAUCA</v>
          </cell>
          <cell r="T4" t="str">
            <v>Concesión de aguas subterráneas</v>
          </cell>
          <cell r="U4" t="str">
            <v>Resuelto sin Resolución</v>
          </cell>
          <cell r="V4">
            <v>2</v>
          </cell>
          <cell r="W4">
            <v>2</v>
          </cell>
          <cell r="X4" t="str">
            <v>Febrero</v>
          </cell>
          <cell r="Y4" t="str">
            <v>2019</v>
          </cell>
        </row>
        <row r="5">
          <cell r="G5" t="str">
            <v>D.T. Cartama</v>
          </cell>
          <cell r="I5" t="str">
            <v>Amagá</v>
          </cell>
          <cell r="J5" t="str">
            <v>Línea 3. Gestión integral de las áreas protegidas estratégicas y de los recursos naturales para el desarrollo sostenible de las regiones.</v>
          </cell>
          <cell r="L5" t="str">
            <v>Programa III.  Fortalecimiento de la Regionalización</v>
          </cell>
          <cell r="M5" t="str">
            <v>CD201200003</v>
          </cell>
          <cell r="N5" t="str">
            <v>Proyecto 3. Planificación Ambiental Regional</v>
          </cell>
          <cell r="O5" t="str">
            <v>CD20120000203</v>
          </cell>
          <cell r="P5" t="str">
            <v>1.3. Gestión de nuevos componentes tecnológicos integrados al sistema de información priorizando agua y bosque.</v>
          </cell>
          <cell r="Q5" t="str">
            <v>% Módulos desarrollados del Sistema de Información</v>
          </cell>
          <cell r="R5" t="str">
            <v>PLAN DE ORDENACION Y MANEJO DE LA CUENCA DEL RIO AMACERI</v>
          </cell>
          <cell r="S5" t="str">
            <v>RESERVA FORESTAL PROTECTORA NARE</v>
          </cell>
          <cell r="T5" t="str">
            <v>Permiso de exploración de aguas subterráneas</v>
          </cell>
          <cell r="U5" t="str">
            <v>Resuelto con Resolución</v>
          </cell>
          <cell r="V5">
            <v>3</v>
          </cell>
          <cell r="W5">
            <v>3</v>
          </cell>
          <cell r="X5" t="str">
            <v>Marzo</v>
          </cell>
          <cell r="Y5" t="str">
            <v>2018</v>
          </cell>
        </row>
        <row r="6">
          <cell r="G6" t="str">
            <v>D.T. Citará</v>
          </cell>
          <cell r="I6" t="str">
            <v>Amalfi</v>
          </cell>
          <cell r="J6" t="str">
            <v>Línea 4. Corantioquia articuladora para la gestión ambiental en el territorio.</v>
          </cell>
          <cell r="L6" t="str">
            <v xml:space="preserve">Programa IV. Gestión integral en áreas estratégicas </v>
          </cell>
          <cell r="M6" t="str">
            <v>CD201200004</v>
          </cell>
          <cell r="N6" t="str">
            <v>Proyecto 4. Fortalecimiento de la planificación ambiental local</v>
          </cell>
          <cell r="O6" t="str">
            <v>CD20120000204</v>
          </cell>
          <cell r="P6" t="str">
            <v>1.4. Definición del proceso de gestión de la información  corporativa</v>
          </cell>
          <cell r="Q6" t="str">
            <v>% de revisión del proceso</v>
          </cell>
          <cell r="R6" t="str">
            <v>PLAN DE ORDENACION Y MANEJO DE LA CUENCA DEL RIO AMAGA</v>
          </cell>
          <cell r="S6" t="str">
            <v>DISTRITO DE MANEJO INTEGRADO DE LOS RECURSOS NATURALES RENOVABLES DEL CAÑÓN DEL RÍO ALICANTE</v>
          </cell>
          <cell r="T6" t="str">
            <v>Permisos de estudio con fines de investigación científica sobre diversidad biológica</v>
          </cell>
          <cell r="V6">
            <v>4</v>
          </cell>
          <cell r="W6">
            <v>4</v>
          </cell>
          <cell r="X6" t="str">
            <v>Abril</v>
          </cell>
          <cell r="Y6" t="str">
            <v>2017</v>
          </cell>
        </row>
        <row r="7">
          <cell r="G7" t="str">
            <v>D.T. Hevéxicos</v>
          </cell>
          <cell r="I7" t="str">
            <v>Andes</v>
          </cell>
          <cell r="J7" t="str">
            <v>Línea 5. Formación, participación y comunicación para el desarrollo de una cultura ambiental responsable y ética.</v>
          </cell>
          <cell r="L7" t="str">
            <v>Programa V. Sostenibilidad ambiental de los sectores productivos y asentamientos</v>
          </cell>
          <cell r="M7" t="str">
            <v>CD201200005</v>
          </cell>
          <cell r="N7" t="str">
            <v>Proyecto 5. Administración de los recursos naturales</v>
          </cell>
          <cell r="O7" t="str">
            <v>CD20120000305</v>
          </cell>
          <cell r="P7" t="str">
            <v>2.1. Definición del proceso de gestión del conocimiento corporativo</v>
          </cell>
          <cell r="Q7" t="str">
            <v>% de revisión del proceso</v>
          </cell>
          <cell r="R7" t="str">
            <v>PLAN DE ORDENACION Y MANEJO DE LAS ÁREAS DE REGULACIÓN HÍDRICA, CON INFLUENCIA SOBRE EL PROYECTO DE GENERACIÓN TERMOELÉCTRICA DE LA SIERRA (CUENCA RIO NARE Y PESCADO)</v>
          </cell>
          <cell r="S7" t="str">
            <v xml:space="preserve">DISTRITO DE MANEJO INTEGRADO DE LOS RECURSOS NATURALES RENOVABLES CERRO PLATEADO – ALTO SAN JOSÉ </v>
          </cell>
          <cell r="T7" t="str">
            <v>Permisos para el estudio de los recursos naturales para su futuro aprovechamiento.</v>
          </cell>
          <cell r="V7">
            <v>5</v>
          </cell>
          <cell r="W7">
            <v>5</v>
          </cell>
          <cell r="X7" t="str">
            <v>Mayo</v>
          </cell>
          <cell r="Y7" t="str">
            <v>2016</v>
          </cell>
        </row>
        <row r="8">
          <cell r="G8" t="str">
            <v>D.T. Panzenu</v>
          </cell>
          <cell r="I8" t="str">
            <v>Angelópolis</v>
          </cell>
          <cell r="L8" t="str">
            <v>Programa VI. Fortalecimiento institucional</v>
          </cell>
          <cell r="M8" t="str">
            <v>CD201200006</v>
          </cell>
          <cell r="N8" t="str">
            <v>Proyecto 6. Gestión Ambiental Integral articulada a lo local</v>
          </cell>
          <cell r="O8" t="str">
            <v>CD20120000306</v>
          </cell>
          <cell r="P8" t="str">
            <v>2.2. Implementación del proceso de gestión del conocimiento corporativo</v>
          </cell>
          <cell r="Q8" t="str">
            <v>% avance del proceso</v>
          </cell>
          <cell r="R8" t="str">
            <v>PLAN DE ORDENACION Y MANEJO DE LA CUENCA DEL RIO AURRA</v>
          </cell>
          <cell r="S8" t="str">
            <v>DISTRITO DE MANEJO INTEGRADO DE LOS RECURSOS NATURALES RENOVABLES CUCHILLA JARDÍN-TÁMESIS</v>
          </cell>
          <cell r="T8" t="str">
            <v>Permisos para el estudio de los bosques naturales y la flora silvestre para su futuro aprovechamiento.</v>
          </cell>
          <cell r="V8">
            <v>6</v>
          </cell>
          <cell r="W8">
            <v>6</v>
          </cell>
          <cell r="X8" t="str">
            <v>Junio</v>
          </cell>
          <cell r="Y8" t="str">
            <v>2015</v>
          </cell>
        </row>
        <row r="9">
          <cell r="G9" t="str">
            <v>D.T. Zenufaná</v>
          </cell>
          <cell r="I9" t="str">
            <v>Angostura</v>
          </cell>
          <cell r="L9" t="str">
            <v>Programa VII. Construcción de una cultura ambiental ética y responsable.</v>
          </cell>
          <cell r="M9" t="str">
            <v>CD201200007</v>
          </cell>
          <cell r="N9" t="str">
            <v>Proyecto 7. Gestión sostenible del recurso hídrico</v>
          </cell>
          <cell r="O9" t="str">
            <v>CD20120000407</v>
          </cell>
          <cell r="P9" t="str">
            <v>3.1. Fortalecimiento de la planificación ambiental regional</v>
          </cell>
          <cell r="Q9" t="str">
            <v xml:space="preserve">N° documento de amenazas (Fase 1) (incluye texto y mapa) </v>
          </cell>
          <cell r="R9" t="str">
            <v>PLAN DE ORDENACION Y MANEJO DE LA CUENCA DEL RIO BAGRE</v>
          </cell>
          <cell r="S9" t="str">
            <v>DISTRITO DE MANEJO INTEGRADO DE LOS RECURSOS NATURALES RENOVABLES DEL AREA DE RESERVA NUBES, TROCHA Y CAPOTA</v>
          </cell>
          <cell r="T9" t="str">
            <v>Licencia Ambiental</v>
          </cell>
          <cell r="V9">
            <v>7</v>
          </cell>
          <cell r="W9">
            <v>7</v>
          </cell>
          <cell r="X9" t="str">
            <v>Julio</v>
          </cell>
          <cell r="Y9" t="str">
            <v>2014</v>
          </cell>
        </row>
        <row r="10">
          <cell r="G10" t="str">
            <v>D.T. Tahamíes</v>
          </cell>
          <cell r="I10" t="str">
            <v>Anorí</v>
          </cell>
          <cell r="N10" t="str">
            <v>Proyecto 8. Consolidación del sistema regional de áreas protegidas y del espacio público con énfasis en lo natural</v>
          </cell>
          <cell r="O10" t="str">
            <v>CD20120000408</v>
          </cell>
          <cell r="P10" t="str">
            <v>3.2. Definición de criterios para la formulación y priorización de planes temáticos ambientales.</v>
          </cell>
          <cell r="Q10" t="str">
            <v>N° documento de definición de determinantes a partir del OAT y normatividad</v>
          </cell>
          <cell r="R10" t="str">
            <v>PLAN DE ORDENACION Y MANEJO DE LA CUENCA DE LA QUEBRADA LA BERMEJALA</v>
          </cell>
          <cell r="S10" t="str">
            <v>DISTRITO DE MANEJO INTEGRADO DE LOS RECURSOS NATURALES RENOVABLES DE LOS RÍOS BARROSO Y SAN JUAN</v>
          </cell>
          <cell r="T10" t="str">
            <v>Permiso de aprovechamiento de productos de la flora silvestre con fines comerciales</v>
          </cell>
          <cell r="V10">
            <v>8</v>
          </cell>
          <cell r="W10">
            <v>8</v>
          </cell>
          <cell r="X10" t="str">
            <v>Agosto</v>
          </cell>
          <cell r="Y10" t="str">
            <v>2013</v>
          </cell>
        </row>
        <row r="11">
          <cell r="G11" t="str">
            <v>Jurisdicción</v>
          </cell>
          <cell r="I11" t="str">
            <v>Anzá</v>
          </cell>
          <cell r="N11" t="str">
            <v>Proyecto 9. Conservación y manejo sostenible del bosque, la flora y la fauna.</v>
          </cell>
          <cell r="O11" t="str">
            <v>CD20120000409</v>
          </cell>
          <cell r="P11" t="str">
            <v xml:space="preserve">3.3. Implementación de mecanismos de seguimiento y evaluación a los instrumentos de planificación  regional (PGAR y PA) </v>
          </cell>
          <cell r="Q11" t="str">
            <v>Módulo con información de planes temáticos alimentada</v>
          </cell>
          <cell r="R11" t="str">
            <v>PLAN DE ORDENACION Y MANEJO DE LA CUENCA DEL RIO BUEY</v>
          </cell>
          <cell r="S11" t="str">
            <v>RESERVA FORESTAL PROTECTORA CERRO BRAVO</v>
          </cell>
          <cell r="T11" t="str">
            <v>Permisos y autorizaciones de aprovechamiento forestal persistente</v>
          </cell>
          <cell r="V11">
            <v>9</v>
          </cell>
          <cell r="W11">
            <v>9</v>
          </cell>
          <cell r="X11" t="str">
            <v>Septiembre</v>
          </cell>
          <cell r="Y11" t="str">
            <v>2012</v>
          </cell>
        </row>
        <row r="12">
          <cell r="I12" t="str">
            <v>Armenia</v>
          </cell>
          <cell r="N12" t="str">
            <v>Proyecto 10. Recuperación de áreas degradadas y prevención de desastres frente a fenómenos naturales</v>
          </cell>
          <cell r="O12" t="str">
            <v>CD20120000410</v>
          </cell>
          <cell r="P12" t="str">
            <v>3.4. Formulación bases PA 2012-2015</v>
          </cell>
          <cell r="Q12" t="str">
            <v xml:space="preserve"> Instrumento articulado al PGAR</v>
          </cell>
          <cell r="R12" t="str">
            <v>PLAN DE ORDENACION Y MANEJO DE LA CUENCA DEL RIO CACERÍ</v>
          </cell>
          <cell r="S12" t="str">
            <v>RESERVA FORESTAL FARALLONES DEL CITARÁ</v>
          </cell>
          <cell r="T12" t="str">
            <v>Permisos y autorizaciones de aprovechamiento forestal único</v>
          </cell>
          <cell r="V12">
            <v>10</v>
          </cell>
          <cell r="W12">
            <v>10</v>
          </cell>
          <cell r="X12" t="str">
            <v>Octubre</v>
          </cell>
        </row>
        <row r="13">
          <cell r="I13" t="str">
            <v>Barbosa</v>
          </cell>
          <cell r="N13" t="str">
            <v>Proyecto 11. Sostenibilidad ambiental de los sectores productivos</v>
          </cell>
          <cell r="O13" t="str">
            <v>CD20120000511</v>
          </cell>
          <cell r="P13" t="str">
            <v>4.1. Diseño e implementación de estrategias de articulación con las oficinas territoriales en el campo de la planeación ambiental para el fortalecimiento de la planificación ambiental local.</v>
          </cell>
          <cell r="Q13" t="str">
            <v xml:space="preserve"> Plan formulado</v>
          </cell>
          <cell r="R13" t="str">
            <v>PLAN DE ORDENACION Y MANEJO DE LA CUENCA DE LA QUEBRADA LA CLARA Y LA SUCIA</v>
          </cell>
          <cell r="T13" t="str">
            <v>Permisos y autorizaciones de aprovechamiento forestal doméstico</v>
          </cell>
          <cell r="V13">
            <v>11</v>
          </cell>
          <cell r="W13">
            <v>11</v>
          </cell>
          <cell r="X13" t="str">
            <v>Noviembre</v>
          </cell>
        </row>
        <row r="14">
          <cell r="G14" t="str">
            <v>1. Corredor de áreas protegidas de la Cordillera Occidental</v>
          </cell>
          <cell r="I14" t="str">
            <v>Bello</v>
          </cell>
          <cell r="N14" t="str">
            <v>Proyecto 12. Saneamiento ambiental de los asentamientos.</v>
          </cell>
          <cell r="O14" t="str">
            <v>CD20120000512</v>
          </cell>
          <cell r="P14" t="str">
            <v>4.2. Revisión y seguimiento de los planes de desarrollo (componente ambiental) y los planes de ordenamiento municipal, a través de las Direcciones Territoriales.</v>
          </cell>
          <cell r="Q14" t="str">
            <v>% avance en el seguimiento de la estrategia</v>
          </cell>
          <cell r="R14" t="str">
            <v>PLAN DE ORDENACION Y MANEJO DE LA CUENCA DEL RIO CUPINÁ</v>
          </cell>
          <cell r="T14" t="str">
            <v>Permiso de aprovechamiento de árboles aislados</v>
          </cell>
          <cell r="V14">
            <v>12</v>
          </cell>
          <cell r="W14">
            <v>12</v>
          </cell>
          <cell r="X14" t="str">
            <v>Diciembre</v>
          </cell>
        </row>
        <row r="15">
          <cell r="G15" t="str">
            <v>2. Cañón cafetero del San Juan</v>
          </cell>
          <cell r="I15" t="str">
            <v>Belmira</v>
          </cell>
          <cell r="N15" t="str">
            <v>Proyecto 13. Modernización Corporativa</v>
          </cell>
          <cell r="O15" t="str">
            <v>CD20120000613</v>
          </cell>
          <cell r="P15" t="str">
            <v>4.3. Administración del Banco de Proyectos Corporativo en las Direcciones Territoriales en coordinación con la Subdirección de Planeación y Estrategias Corporativas.</v>
          </cell>
          <cell r="Q15" t="str">
            <v>N° Direcciones Territoriales con proceso en seguimiento</v>
          </cell>
          <cell r="R15" t="str">
            <v>PLAN DE ORDENACION Y MANEJO DE LA CUENCA DE LOS RIO GRANDE Y CHICO</v>
          </cell>
          <cell r="T15" t="str">
            <v>Registro de plantaciones protectoras, protectoras-productoras y sistemas agroforestales.</v>
          </cell>
          <cell r="V15">
            <v>13</v>
          </cell>
        </row>
        <row r="16">
          <cell r="G16" t="str">
            <v>3. Cerros y Farallones del Cauca</v>
          </cell>
          <cell r="I16" t="str">
            <v>Betania</v>
          </cell>
          <cell r="N16" t="str">
            <v xml:space="preserve">Proyecto 14. Gestión para la sostenibilidad financiera. </v>
          </cell>
          <cell r="O16" t="str">
            <v>CD20120000614</v>
          </cell>
          <cell r="P16" t="str">
            <v>5.5. Regulación de los Recursos Naturales Renovables a través de permisos ambientales, procedimiento sancionatorio y control y seguimiento.</v>
          </cell>
          <cell r="Q16" t="str">
            <v>N° Direcciones Territoriales con proceso en seguimiento</v>
          </cell>
          <cell r="R16" t="str">
            <v>PLAN DE ORDENACION Y MANEJO DE LA CUENCA DEL RIO GUADALUPE</v>
          </cell>
          <cell r="T16" t="str">
            <v>Permiso de emisiones atmosféricas</v>
          </cell>
          <cell r="V16">
            <v>14</v>
          </cell>
        </row>
        <row r="17">
          <cell r="G17" t="str">
            <v>4. Bosque seco cañón del Cauca</v>
          </cell>
          <cell r="I17" t="str">
            <v>Betulia</v>
          </cell>
          <cell r="N17" t="str">
            <v>Proyecto 15. Educación ambiental</v>
          </cell>
          <cell r="O17" t="str">
            <v>CD20120000715</v>
          </cell>
          <cell r="P17" t="str">
            <v>5.6. Formulación y evaluación de criterios Corporativos para la regulación de los Recursos Naturales Renovables.</v>
          </cell>
          <cell r="Q17" t="str">
            <v>% Expedición y seguimiento de permisos ambientales</v>
          </cell>
          <cell r="R17" t="str">
            <v>PLAN DE ORDENACION Y MANEJO DE LA CUENCA DEL RIO LA CRUZ</v>
          </cell>
          <cell r="T17" t="str">
            <v>Autorización para ocupación de cauce</v>
          </cell>
          <cell r="V17">
            <v>15</v>
          </cell>
        </row>
        <row r="18">
          <cell r="G18" t="str">
            <v>5. Vertientes altas del Cañón del Río Cauca</v>
          </cell>
          <cell r="I18" t="str">
            <v>Briceño</v>
          </cell>
          <cell r="N18" t="str">
            <v>Proyecto 16. Desarrollo y fortalecimiento de las comunicaciones</v>
          </cell>
          <cell r="O18" t="str">
            <v>CD20120000716</v>
          </cell>
          <cell r="P18" t="str">
            <v>6.6. Asesoría, evaluación y seguimiento a los POT y otros instrumentos de planificación ambiental local.</v>
          </cell>
          <cell r="Q18" t="str">
            <v>% Trámite y Seguimiento a Procedimientos Sancionatorios</v>
          </cell>
          <cell r="R18" t="str">
            <v>PLAN DE ORDENACION Y MANEJO DE LA CUENCA DE LA QUEBRADA LA HONDA</v>
          </cell>
          <cell r="T18" t="str">
            <v>Permiso de vertimientos</v>
          </cell>
          <cell r="V18">
            <v>16</v>
          </cell>
        </row>
        <row r="19">
          <cell r="G19" t="str">
            <v>6. Cinturón de áreas protegidas para la sostenibilidad ambiental del Valle de Aburra</v>
          </cell>
          <cell r="I19" t="str">
            <v>Buriticá</v>
          </cell>
          <cell r="P19" t="str">
            <v>6,7. Acompañamiento e Informes a otras Autoridades o Entidades</v>
          </cell>
          <cell r="Q19" t="str">
            <v>No. de Controles y vigilancia ambiental al territorio</v>
          </cell>
          <cell r="R19" t="str">
            <v>PLAN DE ORDENACION Y MANEJO DE LA CUENCA DE LA QUEBRADA LA NOQUE</v>
          </cell>
          <cell r="V19">
            <v>17</v>
          </cell>
        </row>
        <row r="20">
          <cell r="G20" t="str">
            <v>7. Sistema de páramos y bosques altoandinos del noroccidente Medio Antioqueño</v>
          </cell>
          <cell r="I20" t="str">
            <v>Cáceres</v>
          </cell>
          <cell r="P20" t="str">
            <v>7.1. Administración integral y monitoreo de la oferta y demanda del recurso agua (superficial, subterráneo, atmosférico)</v>
          </cell>
          <cell r="Q20" t="str">
            <v>No. de Directrices Identificadas, formuladas y socializadas</v>
          </cell>
          <cell r="R20" t="str">
            <v>PLAN DE ORDENACION Y MANEJO DE LA CUENCA DEL RIO MULATOS</v>
          </cell>
          <cell r="V20">
            <v>18</v>
          </cell>
        </row>
        <row r="21">
          <cell r="G21" t="str">
            <v>8. Altiplano Norte Antioqueño</v>
          </cell>
          <cell r="I21" t="str">
            <v>Caicedo</v>
          </cell>
          <cell r="P21" t="str">
            <v>7.3. Administración y orientación para la aplicación de instrumentos económicos en tasas retributivas</v>
          </cell>
          <cell r="Q21" t="str">
            <v>No. de acciones de mejora en procesos</v>
          </cell>
          <cell r="R21" t="str">
            <v>PLAN DE ORDENACION Y MANEJO DE LA CUENCA DEL RIO PEDRAL</v>
          </cell>
          <cell r="V21">
            <v>19</v>
          </cell>
        </row>
        <row r="22">
          <cell r="G22" t="str">
            <v>9. Alto pluvial de Ventanas</v>
          </cell>
          <cell r="I22" t="str">
            <v>Caldas</v>
          </cell>
          <cell r="P22" t="str">
            <v>7.4. Administración y orientación para la aplicación de instrumentos económicos en tasas por uso</v>
          </cell>
          <cell r="Q22" t="str">
            <v>% de asesoría o acompañamiento en planificación ambiental municipal</v>
          </cell>
          <cell r="R22" t="str">
            <v>PLAN DE ORDENACION Y MANEJO DE LA CUENCA DEL RIO PIEDRAS</v>
          </cell>
          <cell r="V22">
            <v>20</v>
          </cell>
        </row>
        <row r="23">
          <cell r="G23" t="str">
            <v>10. Complejo estructural Pescadero – Ituango</v>
          </cell>
          <cell r="I23" t="str">
            <v>Campamento</v>
          </cell>
          <cell r="P23" t="str">
            <v>7.5 Ordenación de cuencas [3]</v>
          </cell>
          <cell r="Q23" t="str">
            <v>% municipios que incorporan el riesgo en los POT</v>
          </cell>
          <cell r="R23" t="str">
            <v>PLAN DE ORDENACION Y MANEJO DE LA CUENCA DEL RIO POBLANCO</v>
          </cell>
          <cell r="V23">
            <v>21</v>
          </cell>
        </row>
        <row r="24">
          <cell r="G24" t="str">
            <v>11. Piedemonte colinado de Taraza</v>
          </cell>
          <cell r="I24" t="str">
            <v>Caracolí</v>
          </cell>
          <cell r="P24" t="str">
            <v>7.6. Protección integral de cuencas abastecedoras</v>
          </cell>
          <cell r="Q24" t="str">
            <v>No. de acompañamientos e informes a otras autoridades</v>
          </cell>
          <cell r="R24" t="str">
            <v>PLAN DE ORDENACION Y MANEJO DE LAS AREA DE INFLUENCIA DEL PROYECTO HIDROELECTRICO PORCE II Y III</v>
          </cell>
          <cell r="V24">
            <v>22</v>
          </cell>
        </row>
        <row r="25">
          <cell r="G25" t="str">
            <v>12. Complejo hidrológico del Bajo Cauca</v>
          </cell>
          <cell r="I25" t="str">
            <v>Caramanta</v>
          </cell>
          <cell r="P25" t="str">
            <v>7.7. Planificación de unidades hidrológicas</v>
          </cell>
          <cell r="Q25" t="str">
            <v>No. de reportes clientes externos</v>
          </cell>
          <cell r="R25" t="str">
            <v>PLAN DE ORDENACION Y MANEJO DE LA CUENCA DEL RIO RIO ESPIRITU SANTO</v>
          </cell>
          <cell r="V25">
            <v>23</v>
          </cell>
        </row>
        <row r="26">
          <cell r="G26" t="str">
            <v>13. Sistema colinado del Bajo Cauca</v>
          </cell>
          <cell r="I26" t="str">
            <v>Carolina del Príncipe</v>
          </cell>
          <cell r="P26" t="str">
            <v>7.8. Valoración económica de unidades hidrológicas</v>
          </cell>
          <cell r="Q26" t="str">
            <v>No. de reportes clientes internos</v>
          </cell>
          <cell r="R26" t="str">
            <v>PLAN DE ORDENACION Y MANEJO DE LA CUENCA DEL RIO FRIO</v>
          </cell>
          <cell r="V26">
            <v>24</v>
          </cell>
        </row>
        <row r="27">
          <cell r="G27" t="str">
            <v xml:space="preserve">14. Bosques tropicales de la Cuenca media del río Nechí </v>
          </cell>
          <cell r="I27" t="str">
            <v>Caucasia</v>
          </cell>
          <cell r="P27" t="str">
            <v>8.1. Consolidación de las áreas protegidas locales y regionales e integración de procesos limítrofes.</v>
          </cell>
          <cell r="Q27" t="str">
            <v>Carga total (SST-DBO) con cobro de tasa (Ton/Año)</v>
          </cell>
          <cell r="R27" t="str">
            <v>PLAN DE ORDENACION Y MANEJO DE LA CUENCA DEL RIO MAN</v>
          </cell>
          <cell r="V27">
            <v>25</v>
          </cell>
        </row>
        <row r="28">
          <cell r="G28" t="str">
            <v>15.  Serranía de San Lucas</v>
          </cell>
          <cell r="I28" t="str">
            <v>Cisneros</v>
          </cell>
          <cell r="P28" t="str">
            <v>8.2. Consolidación de los sistemas de humedales</v>
          </cell>
          <cell r="Q28" t="str">
            <v>Volumen de agua con cobro de tasa por uso (M3 por año)</v>
          </cell>
          <cell r="R28" t="str">
            <v>PLAN DE ORDENACION Y MANEJO DE LA CUENCA DEL RIO NUS</v>
          </cell>
          <cell r="V28">
            <v>26</v>
          </cell>
        </row>
        <row r="29">
          <cell r="G29" t="str">
            <v xml:space="preserve">16. Sabanas y humedales del Magdalena Medio </v>
          </cell>
          <cell r="I29" t="str">
            <v>Ciudad Bolívar</v>
          </cell>
          <cell r="P29" t="str">
            <v xml:space="preserve">8.3. Consolidación del sistema de espacialidades públicas, con énfasis en naturales </v>
          </cell>
          <cell r="Q29" t="str">
            <v>N° cuencas ordenadas</v>
          </cell>
          <cell r="R29" t="str">
            <v>PLAN DE ORDENACION Y MANEJO DE LA CUENCA DE LOS RIOS SAN ALEJANDRO, TENCHE Y SAN PABLO</v>
          </cell>
          <cell r="V29">
            <v>27</v>
          </cell>
        </row>
        <row r="30">
          <cell r="G30" t="str">
            <v>17. Sistema cárstico de los ríos Nus y Alicante</v>
          </cell>
          <cell r="I30" t="str">
            <v>Concordia</v>
          </cell>
          <cell r="P30" t="str">
            <v>9.1. Formulación y ejecución de plan general de ordenación forestal</v>
          </cell>
          <cell r="Q30" t="str">
            <v>N° Has Reforestadas</v>
          </cell>
          <cell r="R30" t="str">
            <v>PLAN DE ORDENACION Y MANEJO DE LA CUENCA DEL RIO SAN BARTOLOME</v>
          </cell>
          <cell r="V30">
            <v>28</v>
          </cell>
        </row>
        <row r="31">
          <cell r="G31" t="str">
            <v>18. Altiplano disectado del nordeste</v>
          </cell>
          <cell r="I31" t="str">
            <v>Copacabana</v>
          </cell>
          <cell r="P31" t="str">
            <v>9.2. Establecimiento y manejo de plantaciones y producción de material vegetal</v>
          </cell>
          <cell r="Q31" t="str">
            <v>N° Has Mantenidas</v>
          </cell>
          <cell r="R31" t="str">
            <v>PLAN DE ORDENACION Y MANEJO DE LA CUENCA DE LA QUEBRADA SINIFANÁ</v>
          </cell>
          <cell r="V31">
            <v>29</v>
          </cell>
        </row>
        <row r="32">
          <cell r="G32" t="str">
            <v>19. Cañón de los Ríos Porce y Nechí</v>
          </cell>
          <cell r="I32" t="str">
            <v>Donmatías</v>
          </cell>
          <cell r="P32" t="str">
            <v>9.3. Fortalecimiento del conocimiento sobre la biodiversidad como base para su conservación y manejo</v>
          </cell>
          <cell r="Q32" t="str">
            <v>N° de municipios apoyados para la adquisición de predios</v>
          </cell>
          <cell r="R32" t="str">
            <v>PLAN DE ORDENACION Y MANEJO DE LA CUENCA DELOS RIO TAMAR E ITE</v>
          </cell>
          <cell r="V32">
            <v>30</v>
          </cell>
        </row>
        <row r="33">
          <cell r="G33" t="str">
            <v>Varias Unidades de Zonificación Ambiental</v>
          </cell>
          <cell r="I33" t="str">
            <v>Ebéjico</v>
          </cell>
          <cell r="P33" t="str">
            <v>9.4. Conservación y manejo in situ y ex sitú de especies amenazadas y/o de importancia ecológica y económica.</v>
          </cell>
          <cell r="Q33" t="str">
            <v>N° de predios intervenidos</v>
          </cell>
          <cell r="R33" t="str">
            <v>PLAN DE ORDENACION Y MANEJO DE LA CUENCA DEL RIO TARAZÁ</v>
          </cell>
          <cell r="V33">
            <v>31</v>
          </cell>
        </row>
        <row r="34">
          <cell r="I34" t="str">
            <v>El Bagre</v>
          </cell>
          <cell r="P34" t="str">
            <v xml:space="preserve">9.5. Seguimiento Control y Manejo de Especímenes y/o productos de la Biodiversidad procedentes del tráfico ilegal </v>
          </cell>
          <cell r="Q34" t="str">
            <v xml:space="preserve">No.  unidades hidrológicas con instrumentos de planificación formulados y/o actualizados </v>
          </cell>
          <cell r="R34" t="str">
            <v>PLAN DE ORDENACION Y MANEJO DE LA CUENCA DEL RIO TIGUI</v>
          </cell>
        </row>
        <row r="35">
          <cell r="I35" t="str">
            <v>Entrerríos</v>
          </cell>
          <cell r="P35" t="str">
            <v>10.1. Intervención en áreas degradadas</v>
          </cell>
          <cell r="Q35" t="str">
            <v>No de unidades hidrológicas valoradas</v>
          </cell>
          <cell r="R35" t="str">
            <v>PLAN DE ORDENACION Y MANEJO DE LA CUENCA DE LA QUEBRADA SANTA ROSA-DON MATIAS</v>
          </cell>
        </row>
        <row r="36">
          <cell r="I36" t="str">
            <v>Envigado</v>
          </cell>
          <cell r="P36" t="str">
            <v>10.2. Intervención en atención y prevención de desastres (incendios forestales)</v>
          </cell>
          <cell r="Q36" t="str">
            <v>N°. áreas protegidas</v>
          </cell>
          <cell r="R36" t="str">
            <v>PLAN DE ORDENACION Y MANEJO DE LA CUENCA DE LA QUEBRADA LA SOPETRANA</v>
          </cell>
        </row>
        <row r="37">
          <cell r="I37" t="str">
            <v>Fredonia</v>
          </cell>
          <cell r="P37" t="str">
            <v>10.3. Intervención en atención y prevención de desastres (movimientos en masa e inundaciones)</v>
          </cell>
          <cell r="Q37" t="str">
            <v>No.de complejo de humedales</v>
          </cell>
          <cell r="R37" t="str">
            <v>PLAN DE ORDENACION Y MANEJO DEL AREA DE INFLUENCIA DEL PROYECTO HIDROELECTRICO PESCADERO-ITUANGO</v>
          </cell>
        </row>
        <row r="38">
          <cell r="I38" t="str">
            <v>Girardota</v>
          </cell>
          <cell r="P38" t="str">
            <v>11.2. Formación, sensibilización y capacitación sectorial en producción más limpia</v>
          </cell>
          <cell r="Q38" t="str">
            <v>Espacios públicos naturales</v>
          </cell>
          <cell r="R38" t="str">
            <v>PLAN DE ORDENACION Y MANEJO DE LA CUENCA DE LA QUEBRADA EL ORO</v>
          </cell>
        </row>
        <row r="39">
          <cell r="I39" t="str">
            <v>Gómez Plata</v>
          </cell>
          <cell r="P39" t="str">
            <v>11.3. Estudios de alternativas tecnológicas</v>
          </cell>
          <cell r="Q39" t="str">
            <v>Has en ordenación</v>
          </cell>
        </row>
        <row r="40">
          <cell r="I40" t="str">
            <v>Guadalupe</v>
          </cell>
          <cell r="P40" t="str">
            <v>11.4. Promoción de especies promisorias de la agrobiodiversidad (biocomercio sostenible)</v>
          </cell>
          <cell r="Q40" t="str">
            <v>Producción de material vegetal (plántulas)</v>
          </cell>
        </row>
        <row r="41">
          <cell r="I41" t="str">
            <v>Heliconia</v>
          </cell>
          <cell r="P41" t="str">
            <v>12.1. Administración de la calidad del Aire</v>
          </cell>
          <cell r="Q41" t="str">
            <v>N° de estudios</v>
          </cell>
        </row>
        <row r="42">
          <cell r="I42" t="str">
            <v>Hispania</v>
          </cell>
          <cell r="P42" t="str">
            <v>12.2. Gestión Integral de Residuos sólidos</v>
          </cell>
          <cell r="Q42" t="str">
            <v>N° especies amenazadas</v>
          </cell>
        </row>
        <row r="43">
          <cell r="I43" t="str">
            <v>Itagüí</v>
          </cell>
          <cell r="P43" t="str">
            <v>12.3. Saneamiento ambiental hídrico</v>
          </cell>
          <cell r="Q43" t="str">
            <v>N° especies de importancia económica y/o ecológica</v>
          </cell>
        </row>
        <row r="44">
          <cell r="I44" t="str">
            <v>Ituango</v>
          </cell>
          <cell r="P44" t="str">
            <v>13.1. Desarrollo del talento humano y cualificación de consejeros corporativos.</v>
          </cell>
          <cell r="Q44" t="str">
            <v>Estrategias implementadas</v>
          </cell>
        </row>
        <row r="45">
          <cell r="I45" t="str">
            <v>Jardín</v>
          </cell>
          <cell r="P45" t="str">
            <v>13.2. Desarrollo e implementación del Sistema de Gestión de la Calidad</v>
          </cell>
          <cell r="Q45" t="str">
            <v>Ha</v>
          </cell>
        </row>
        <row r="46">
          <cell r="I46" t="str">
            <v>Jericó</v>
          </cell>
          <cell r="P46" t="str">
            <v>13.3. Intervención de las dimensiones del Clima y Cultura Organizacional</v>
          </cell>
          <cell r="Q46" t="str">
            <v>N° municipios</v>
          </cell>
        </row>
        <row r="47">
          <cell r="I47" t="str">
            <v>La Estrella</v>
          </cell>
          <cell r="P47" t="str">
            <v>13.4. Asesoría y acompañamiento jurídico corporativo</v>
          </cell>
          <cell r="Q47" t="str">
            <v>Ejecutar acciones prioritarias para la restauración de las condiciones ambientales en las  áreas afectadas por fenómenos naturales</v>
          </cell>
        </row>
        <row r="48">
          <cell r="I48" t="str">
            <v>La Pintada</v>
          </cell>
          <cell r="P48" t="str">
            <v>13.5. Fortalecimiento del Sistema de Control Interno Institucional</v>
          </cell>
          <cell r="Q48" t="str">
            <v>Talleres especializados y/o seminarios</v>
          </cell>
        </row>
        <row r="49">
          <cell r="I49" t="str">
            <v>Liborina</v>
          </cell>
          <cell r="P49" t="str">
            <v>13.6. Dotación y apoyo logístico</v>
          </cell>
          <cell r="Q49" t="str">
            <v>Investigación y/o transferencia tecnológica</v>
          </cell>
        </row>
        <row r="50">
          <cell r="I50" t="str">
            <v>Maceo</v>
          </cell>
          <cell r="P50" t="str">
            <v xml:space="preserve">14.2. Fortalecimiento de las rentas actuales corporativas y su aplicación </v>
          </cell>
          <cell r="Q50" t="str">
            <v>N°. Parcela, especie y/o servicio o producto ambiental apoyado</v>
          </cell>
        </row>
        <row r="51">
          <cell r="I51" t="str">
            <v>Medellín</v>
          </cell>
          <cell r="P51" t="str">
            <v>14,5. Diseño de la estrategia de cooperación</v>
          </cell>
          <cell r="Q51" t="str">
            <v>N° municipios monitoreados</v>
          </cell>
        </row>
        <row r="52">
          <cell r="I52" t="str">
            <v>Montebello</v>
          </cell>
          <cell r="P52" t="str">
            <v>14,6. Jornadas de capacitación hacia la Formación de cultura para la cooperación nacional e internacional</v>
          </cell>
          <cell r="Q52" t="str">
            <v>N° municipios con gestión integral de residuos sólidos</v>
          </cell>
        </row>
        <row r="53">
          <cell r="I53" t="str">
            <v>Nechí</v>
          </cell>
          <cell r="P53" t="str">
            <v>14,7. Gestión para la identificación de contactos para la cooperación nacional e internacional como aporte a la ejecución del Plan de Acción.</v>
          </cell>
          <cell r="Q53" t="str">
            <v>Municipios con sostenimiento</v>
          </cell>
        </row>
        <row r="54">
          <cell r="I54" t="str">
            <v>Olaya</v>
          </cell>
          <cell r="P54" t="str">
            <v>14,8. Acuerdos de cooperación técnica y/o financiera local, regional, nacional e internacional- que aporten al cumplimiento de las metas del PA (incluye convenios – contratos con municipios).</v>
          </cell>
          <cell r="Q54" t="str">
            <v>N° municipios con sistemas de saneamiento ambiental</v>
          </cell>
        </row>
        <row r="55">
          <cell r="I55" t="str">
            <v>Pueblorrico</v>
          </cell>
          <cell r="P55" t="str">
            <v>15.1. Diseño e implementación de una red interna de dinamizadores ambientales</v>
          </cell>
          <cell r="Q55" t="str">
            <v>% de cobertura de capacitación, bienestar y salud ocupacional.</v>
          </cell>
        </row>
        <row r="56">
          <cell r="I56" t="str">
            <v>Puerto Berrío</v>
          </cell>
          <cell r="P56" t="str">
            <v>15.2. Fortalecimiento de las mesas municipales de la Red PGATE</v>
          </cell>
          <cell r="Q56" t="str">
            <v>Cumplimiento Plan de Capacitación Institucional</v>
          </cell>
        </row>
        <row r="57">
          <cell r="I57" t="str">
            <v>Puerto Nare</v>
          </cell>
          <cell r="P57" t="str">
            <v>15.4. Desarrollo de Procesos Educativos Ambientales Escolares –PRAE-</v>
          </cell>
          <cell r="Q57" t="str">
            <v>Procesos implementados revisados y mejorados</v>
          </cell>
        </row>
        <row r="58">
          <cell r="I58" t="str">
            <v>Remedios</v>
          </cell>
          <cell r="P58" t="str">
            <v>15.5. Desarrollo de Procesos Ciudadanos de Educación Ambiental -PROCEDA</v>
          </cell>
          <cell r="Q58" t="str">
            <v>N° de dimensiones intervenidas</v>
          </cell>
        </row>
        <row r="59">
          <cell r="I59" t="str">
            <v>Sabanalarga</v>
          </cell>
          <cell r="P59" t="str">
            <v>15.6. Realización de proyectos de etnoeducación</v>
          </cell>
          <cell r="Q59" t="str">
            <v>Gestión en demandas</v>
          </cell>
        </row>
        <row r="60">
          <cell r="I60" t="str">
            <v>Sabaneta</v>
          </cell>
          <cell r="P60" t="str">
            <v>16.2. Realización de investigaciones de opinión pública</v>
          </cell>
          <cell r="Q60" t="str">
            <v>Evaluaciones al Sistema de Control Interno (CAMBIO DE LA NORMA- Evaluación cada 4 meses)</v>
          </cell>
        </row>
        <row r="61">
          <cell r="I61" t="str">
            <v>Salgar</v>
          </cell>
          <cell r="P61" t="str">
            <v>16.3. Elaboración de documentos temáticos para difundir en los públicos estratégicos</v>
          </cell>
          <cell r="Q61" t="str">
            <v>Plan logístico  diseñado y ejecutado</v>
          </cell>
        </row>
        <row r="62">
          <cell r="I62" t="str">
            <v>San Andrés de Cuerquia</v>
          </cell>
          <cell r="P62" t="str">
            <v>16.4. Construcción e implementación de estrategias comunicativas</v>
          </cell>
          <cell r="Q62" t="str">
            <v xml:space="preserve">No. De rentas </v>
          </cell>
        </row>
        <row r="63">
          <cell r="I63" t="str">
            <v>San Jerónimo</v>
          </cell>
          <cell r="Q63" t="str">
            <v>No. de estrategias diseñada y actualizada</v>
          </cell>
        </row>
        <row r="64">
          <cell r="I64" t="str">
            <v>San José de la Montaña</v>
          </cell>
          <cell r="Q64" t="str">
            <v>Jornada de capacitación en cooperación</v>
          </cell>
        </row>
        <row r="65">
          <cell r="I65" t="str">
            <v>San Pedro de los Milagros</v>
          </cell>
          <cell r="Q65" t="str">
            <v>No. de actas de contactos de cooperación</v>
          </cell>
        </row>
        <row r="66">
          <cell r="I66" t="str">
            <v>Santa Bárbara</v>
          </cell>
          <cell r="Q66" t="str">
            <v>No. de proyectos, subproyectos o iniciativas con apoyo de la cooperación</v>
          </cell>
        </row>
        <row r="67">
          <cell r="I67" t="str">
            <v>Santa Fe de Antioquia</v>
          </cell>
          <cell r="Q67" t="str">
            <v>% avance de red interna</v>
          </cell>
        </row>
        <row r="68">
          <cell r="I68" t="str">
            <v>Santa Rosa de Osos</v>
          </cell>
          <cell r="Q68" t="str">
            <v>% mesas articuladas</v>
          </cell>
        </row>
        <row r="69">
          <cell r="I69" t="str">
            <v>Segovia</v>
          </cell>
          <cell r="Q69" t="str">
            <v>N° PRAE Desarrollados</v>
          </cell>
        </row>
        <row r="70">
          <cell r="I70" t="str">
            <v>Sopetrán</v>
          </cell>
          <cell r="Q70" t="str">
            <v>N° PROCEDA Desarrollados</v>
          </cell>
        </row>
        <row r="71">
          <cell r="I71" t="str">
            <v>Támesis</v>
          </cell>
          <cell r="Q71" t="str">
            <v>% Comunidades indígenas apoyadas</v>
          </cell>
        </row>
        <row r="72">
          <cell r="I72" t="str">
            <v>Tarazá</v>
          </cell>
          <cell r="Q72" t="str">
            <v>% Comunidades afrodescendientes apoyadas</v>
          </cell>
        </row>
        <row r="73">
          <cell r="I73" t="str">
            <v>Tarso</v>
          </cell>
          <cell r="Q73" t="str">
            <v>Documento</v>
          </cell>
        </row>
        <row r="74">
          <cell r="I74" t="str">
            <v>Titiribí</v>
          </cell>
          <cell r="Q74" t="str">
            <v>Documento</v>
          </cell>
        </row>
        <row r="75">
          <cell r="I75" t="str">
            <v>Toledo</v>
          </cell>
          <cell r="Q75" t="str">
            <v>No de estrategias implementadas</v>
          </cell>
        </row>
        <row r="76">
          <cell r="I76" t="str">
            <v>Valdivia</v>
          </cell>
        </row>
        <row r="77">
          <cell r="I77" t="str">
            <v>Vaparaíso</v>
          </cell>
        </row>
        <row r="78">
          <cell r="I78" t="str">
            <v>Vegachí</v>
          </cell>
        </row>
        <row r="79">
          <cell r="I79" t="str">
            <v>Venecia</v>
          </cell>
        </row>
        <row r="80">
          <cell r="I80" t="str">
            <v>Yalí</v>
          </cell>
        </row>
        <row r="81">
          <cell r="I81" t="str">
            <v>Yarumal</v>
          </cell>
        </row>
        <row r="82">
          <cell r="I82" t="str">
            <v>Yolombó</v>
          </cell>
        </row>
        <row r="83">
          <cell r="I83" t="str">
            <v>Yondó</v>
          </cell>
        </row>
        <row r="84">
          <cell r="I84" t="str">
            <v>Zaragoza</v>
          </cell>
        </row>
        <row r="85">
          <cell r="I85" t="str">
            <v>Jurisdicción</v>
          </cell>
        </row>
        <row r="86">
          <cell r="I86" t="str">
            <v>Varios Municipios</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13">
          <cell r="D13">
            <v>616000</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56">
          <cell r="D56">
            <v>1300</v>
          </cell>
        </row>
        <row r="64">
          <cell r="D64">
            <v>1450</v>
          </cell>
        </row>
        <row r="75">
          <cell r="D75">
            <v>24038</v>
          </cell>
        </row>
        <row r="76">
          <cell r="D76">
            <v>52178</v>
          </cell>
        </row>
        <row r="77">
          <cell r="D77">
            <v>88435</v>
          </cell>
        </row>
        <row r="85">
          <cell r="D85">
            <v>72702</v>
          </cell>
        </row>
        <row r="102">
          <cell r="D102">
            <v>54840</v>
          </cell>
        </row>
        <row r="168">
          <cell r="D168">
            <v>561440</v>
          </cell>
        </row>
        <row r="172">
          <cell r="D172">
            <v>229679.99999999997</v>
          </cell>
        </row>
        <row r="208">
          <cell r="D208">
            <v>1352.56</v>
          </cell>
        </row>
        <row r="209">
          <cell r="D209">
            <v>1487</v>
          </cell>
        </row>
        <row r="210">
          <cell r="D210">
            <v>1459</v>
          </cell>
        </row>
        <row r="244">
          <cell r="D244">
            <v>6400</v>
          </cell>
        </row>
        <row r="252">
          <cell r="D252">
            <v>139200</v>
          </cell>
        </row>
        <row r="253">
          <cell r="D253">
            <v>810</v>
          </cell>
        </row>
        <row r="257">
          <cell r="D257">
            <v>163560</v>
          </cell>
        </row>
        <row r="260">
          <cell r="D260">
            <v>12800</v>
          </cell>
        </row>
        <row r="305">
          <cell r="D305">
            <v>8500</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23">
          <cell r="D23">
            <v>2465</v>
          </cell>
        </row>
        <row r="59">
          <cell r="D59">
            <v>45714.285714285717</v>
          </cell>
        </row>
        <row r="86">
          <cell r="D86">
            <v>26442.199999999997</v>
          </cell>
        </row>
        <row r="87">
          <cell r="D87">
            <v>57395.64</v>
          </cell>
        </row>
        <row r="106">
          <cell r="D106">
            <v>100275.04</v>
          </cell>
        </row>
        <row r="116">
          <cell r="D116">
            <v>63373.119999999995</v>
          </cell>
        </row>
        <row r="193">
          <cell r="D193">
            <v>34587.72</v>
          </cell>
        </row>
        <row r="198">
          <cell r="D198">
            <v>64298.799999999996</v>
          </cell>
        </row>
        <row r="203">
          <cell r="D203">
            <v>31079.879999999997</v>
          </cell>
        </row>
        <row r="329">
          <cell r="D329">
            <v>904799.99999999988</v>
          </cell>
        </row>
        <row r="368">
          <cell r="D368">
            <v>29000</v>
          </cell>
        </row>
        <row r="369">
          <cell r="D369">
            <v>140</v>
          </cell>
        </row>
        <row r="370">
          <cell r="D370">
            <v>19400</v>
          </cell>
        </row>
        <row r="371">
          <cell r="D371">
            <v>12280</v>
          </cell>
        </row>
        <row r="392">
          <cell r="D392">
            <v>13750.000000000002</v>
          </cell>
        </row>
        <row r="396">
          <cell r="D396">
            <v>15862.000000000002</v>
          </cell>
        </row>
        <row r="421">
          <cell r="D421">
            <v>48706.079999999994</v>
          </cell>
        </row>
        <row r="505">
          <cell r="D505">
            <v>6050.0000000000009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2)"/>
      <sheetName val="IVA"/>
      <sheetName val="RESUMEN SIN IVA"/>
      <sheetName val="BASE SALARIOS"/>
      <sheetName val="BASE"/>
      <sheetName val="BASE CTOS"/>
      <sheetName val="BASE ORIGINAL"/>
      <sheetName val="interv. pozos mace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ow r="3">
          <cell r="C3">
            <v>0.25</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row r="86">
          <cell r="D86">
            <v>6156.8933333333334</v>
          </cell>
        </row>
        <row r="89">
          <cell r="D89">
            <v>13474.946666666665</v>
          </cell>
        </row>
        <row r="90">
          <cell r="D90">
            <v>22233.333333333332</v>
          </cell>
        </row>
        <row r="122">
          <cell r="D122">
            <v>59792</v>
          </cell>
        </row>
        <row r="342">
          <cell r="D342">
            <v>73080</v>
          </cell>
        </row>
        <row r="397">
          <cell r="D397">
            <v>295800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row r="87">
          <cell r="D87">
            <v>13381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row r="12">
          <cell r="D12">
            <v>53912.133000000016</v>
          </cell>
        </row>
        <row r="64">
          <cell r="D64">
            <v>1300</v>
          </cell>
        </row>
        <row r="78">
          <cell r="D78">
            <v>1750</v>
          </cell>
        </row>
        <row r="89">
          <cell r="D89">
            <v>13475</v>
          </cell>
        </row>
        <row r="90">
          <cell r="D90">
            <v>22233</v>
          </cell>
        </row>
        <row r="99">
          <cell r="D99">
            <v>11238</v>
          </cell>
        </row>
        <row r="122">
          <cell r="D122">
            <v>59792</v>
          </cell>
        </row>
        <row r="141">
          <cell r="D141">
            <v>28016.32</v>
          </cell>
        </row>
        <row r="399">
          <cell r="D399">
            <v>445439.99999999994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row r="20">
          <cell r="D20">
            <v>20200</v>
          </cell>
        </row>
        <row r="36">
          <cell r="D36">
            <v>344291.90299999999</v>
          </cell>
        </row>
        <row r="72">
          <cell r="D72">
            <v>37500</v>
          </cell>
        </row>
        <row r="84">
          <cell r="D84">
            <v>1785</v>
          </cell>
        </row>
        <row r="85">
          <cell r="D85">
            <v>14071</v>
          </cell>
        </row>
        <row r="87">
          <cell r="D87">
            <v>14965</v>
          </cell>
        </row>
        <row r="88">
          <cell r="D88">
            <v>18241</v>
          </cell>
        </row>
        <row r="92">
          <cell r="D92">
            <v>6895.8017333333337</v>
          </cell>
        </row>
        <row r="95">
          <cell r="D95">
            <v>24901.421462400001</v>
          </cell>
        </row>
        <row r="96">
          <cell r="D96">
            <v>54372.279165866668</v>
          </cell>
        </row>
        <row r="122">
          <cell r="D122">
            <v>38478.847200000004</v>
          </cell>
        </row>
        <row r="132">
          <cell r="D132">
            <v>31340.601599999998</v>
          </cell>
        </row>
        <row r="133">
          <cell r="D133">
            <v>52935.184799999995</v>
          </cell>
        </row>
        <row r="147">
          <cell r="D147">
            <v>152333.90948160001</v>
          </cell>
        </row>
        <row r="207">
          <cell r="D207">
            <v>185600</v>
          </cell>
        </row>
        <row r="426">
          <cell r="D426">
            <v>467479.99999999994</v>
          </cell>
        </row>
      </sheetData>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AIU"/>
      <sheetName val="CALCULO PRESTACIONES"/>
      <sheetName val="PRESTA"/>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 val="APU Redes"/>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64">
          <cell r="D64">
            <v>1300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42">
          <cell r="D342">
            <v>73080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row r="493">
          <cell r="D493">
            <v>145000</v>
          </cell>
        </row>
      </sheetData>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75">
          <cell r="D75">
            <v>1245</v>
          </cell>
        </row>
        <row r="158">
          <cell r="D158">
            <v>12242.64</v>
          </cell>
        </row>
        <row r="187">
          <cell r="D187">
            <v>41891.079999999994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row r="84">
          <cell r="D84">
            <v>1785</v>
          </cell>
        </row>
      </sheetData>
      <sheetData sheetId="3"/>
      <sheetData sheetId="4"/>
      <sheetData sheetId="5"/>
      <sheetData sheetId="6"/>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61">
          <cell r="D61">
            <v>56400</v>
          </cell>
        </row>
        <row r="89">
          <cell r="D89">
            <v>13475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6">
          <cell r="D56">
            <v>1300</v>
          </cell>
        </row>
        <row r="64">
          <cell r="D64">
            <v>1450</v>
          </cell>
        </row>
        <row r="79">
          <cell r="D79">
            <v>150536</v>
          </cell>
        </row>
        <row r="120">
          <cell r="D120">
            <v>24368</v>
          </cell>
        </row>
        <row r="217">
          <cell r="D217">
            <v>1352.56</v>
          </cell>
        </row>
        <row r="218">
          <cell r="D218">
            <v>1487</v>
          </cell>
        </row>
        <row r="219">
          <cell r="D219">
            <v>1459</v>
          </cell>
        </row>
        <row r="253">
          <cell r="D253">
            <v>6400</v>
          </cell>
        </row>
        <row r="270">
          <cell r="D270">
            <v>12800</v>
          </cell>
        </row>
        <row r="315">
          <cell r="D315">
            <v>8500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16">
          <cell r="D16">
            <v>180000</v>
          </cell>
        </row>
        <row r="18">
          <cell r="D18">
            <v>87540.75</v>
          </cell>
        </row>
        <row r="28">
          <cell r="D28">
            <v>2300</v>
          </cell>
        </row>
        <row r="36">
          <cell r="D36">
            <v>417322.4915</v>
          </cell>
        </row>
        <row r="48">
          <cell r="D48">
            <v>167815.9715625</v>
          </cell>
        </row>
        <row r="56">
          <cell r="D56">
            <v>32500</v>
          </cell>
        </row>
        <row r="60">
          <cell r="D60">
            <v>36000</v>
          </cell>
        </row>
        <row r="64">
          <cell r="D64">
            <v>38900</v>
          </cell>
        </row>
        <row r="66">
          <cell r="D66">
            <v>48600</v>
          </cell>
        </row>
        <row r="69">
          <cell r="D69">
            <v>40000</v>
          </cell>
        </row>
        <row r="71">
          <cell r="D71">
            <v>348000</v>
          </cell>
        </row>
        <row r="72">
          <cell r="D72">
            <v>31000</v>
          </cell>
        </row>
        <row r="73">
          <cell r="D73">
            <v>272136</v>
          </cell>
        </row>
        <row r="77">
          <cell r="D77">
            <v>875</v>
          </cell>
        </row>
        <row r="87">
          <cell r="D87">
            <v>79733</v>
          </cell>
        </row>
        <row r="88">
          <cell r="D88">
            <v>33554</v>
          </cell>
        </row>
        <row r="92">
          <cell r="D92">
            <v>2544</v>
          </cell>
        </row>
        <row r="93">
          <cell r="D93">
            <v>3156</v>
          </cell>
        </row>
        <row r="95">
          <cell r="D95">
            <v>6895.8017333333337</v>
          </cell>
        </row>
        <row r="97">
          <cell r="D97">
            <v>15092.048100266669</v>
          </cell>
        </row>
        <row r="124">
          <cell r="D124">
            <v>17595</v>
          </cell>
        </row>
        <row r="125">
          <cell r="D125">
            <v>38478.847200000004</v>
          </cell>
        </row>
        <row r="135">
          <cell r="D135">
            <v>31340.601599999998</v>
          </cell>
        </row>
        <row r="169">
          <cell r="D169">
            <v>25256</v>
          </cell>
        </row>
        <row r="181">
          <cell r="D181">
            <v>256.75439999999998</v>
          </cell>
        </row>
        <row r="182">
          <cell r="D182">
            <v>3437.1959999999999</v>
          </cell>
        </row>
        <row r="1432">
          <cell r="D1432">
            <v>8907</v>
          </cell>
        </row>
        <row r="1434">
          <cell r="D1434">
            <v>12243</v>
          </cell>
        </row>
        <row r="1465">
          <cell r="D1465">
            <v>52768.353599999995</v>
          </cell>
        </row>
        <row r="1480">
          <cell r="D1480">
            <v>26763.983999999997</v>
          </cell>
        </row>
        <row r="1489">
          <cell r="D1489">
            <v>16659.455999999998</v>
          </cell>
        </row>
        <row r="1490">
          <cell r="D1490">
            <v>35279.474399999999</v>
          </cell>
        </row>
        <row r="1510">
          <cell r="D1510">
            <v>23536</v>
          </cell>
        </row>
        <row r="1511">
          <cell r="D1511">
            <v>34407</v>
          </cell>
        </row>
        <row r="1512">
          <cell r="D1512">
            <v>50018</v>
          </cell>
        </row>
        <row r="1513">
          <cell r="D1513">
            <v>73953</v>
          </cell>
        </row>
        <row r="1514">
          <cell r="D1514">
            <v>114547</v>
          </cell>
        </row>
        <row r="1515">
          <cell r="D1515">
            <v>150656</v>
          </cell>
        </row>
        <row r="1516">
          <cell r="D1516">
            <v>187004</v>
          </cell>
        </row>
        <row r="1549">
          <cell r="D1549">
            <v>315542</v>
          </cell>
        </row>
        <row r="1558">
          <cell r="D1558">
            <v>127780</v>
          </cell>
        </row>
        <row r="1561">
          <cell r="D1561">
            <v>225981</v>
          </cell>
        </row>
        <row r="1569">
          <cell r="D1569">
            <v>160080</v>
          </cell>
        </row>
        <row r="1573">
          <cell r="D1573">
            <v>222441.59999999998</v>
          </cell>
        </row>
        <row r="1574">
          <cell r="D1574">
            <v>114770.4</v>
          </cell>
        </row>
        <row r="1575">
          <cell r="D1575">
            <v>101755.2</v>
          </cell>
        </row>
        <row r="1576">
          <cell r="D1576">
            <v>121800</v>
          </cell>
        </row>
        <row r="1577">
          <cell r="D1577">
            <v>82360</v>
          </cell>
        </row>
        <row r="1578">
          <cell r="D1578">
            <v>64960</v>
          </cell>
        </row>
        <row r="1588">
          <cell r="D1588">
            <v>88160</v>
          </cell>
        </row>
        <row r="1598">
          <cell r="D1598">
            <v>77000</v>
          </cell>
        </row>
        <row r="1599">
          <cell r="D1599">
            <v>61479.999999999993</v>
          </cell>
        </row>
        <row r="1600">
          <cell r="D1600">
            <v>53359.999999999993</v>
          </cell>
        </row>
        <row r="1635">
          <cell r="D1635">
            <v>717.01919999999996</v>
          </cell>
        </row>
        <row r="1636">
          <cell r="D1636">
            <v>3006.96</v>
          </cell>
        </row>
        <row r="1650">
          <cell r="D1650">
            <v>25500</v>
          </cell>
        </row>
        <row r="1651">
          <cell r="D1651">
            <v>10000</v>
          </cell>
        </row>
        <row r="1654">
          <cell r="D1654">
            <v>70000</v>
          </cell>
        </row>
        <row r="1662">
          <cell r="D1662">
            <v>12311.4</v>
          </cell>
        </row>
        <row r="1663">
          <cell r="D1663">
            <v>263853.59999999998</v>
          </cell>
        </row>
        <row r="1664">
          <cell r="D1664">
            <v>396372</v>
          </cell>
        </row>
        <row r="1673">
          <cell r="D1673">
            <v>60486</v>
          </cell>
        </row>
        <row r="1678">
          <cell r="D1678">
            <v>35700</v>
          </cell>
        </row>
        <row r="1679">
          <cell r="D1679">
            <v>6660.6</v>
          </cell>
        </row>
        <row r="1681">
          <cell r="D1681">
            <v>185640</v>
          </cell>
        </row>
        <row r="1682">
          <cell r="D1682">
            <v>2958</v>
          </cell>
        </row>
        <row r="1683">
          <cell r="D1683">
            <v>2366.4</v>
          </cell>
        </row>
        <row r="1687">
          <cell r="D1687">
            <v>2805</v>
          </cell>
        </row>
        <row r="1692">
          <cell r="D1692">
            <v>2550</v>
          </cell>
        </row>
        <row r="1698">
          <cell r="D1698">
            <v>19584</v>
          </cell>
        </row>
        <row r="1700">
          <cell r="D1700">
            <v>4080</v>
          </cell>
        </row>
        <row r="1708">
          <cell r="D1708">
            <v>15990</v>
          </cell>
        </row>
        <row r="1709">
          <cell r="D1709">
            <v>28878</v>
          </cell>
        </row>
        <row r="1710">
          <cell r="D1710">
            <v>18497</v>
          </cell>
        </row>
        <row r="1711">
          <cell r="D1711">
            <v>43066</v>
          </cell>
        </row>
        <row r="1720">
          <cell r="D1720">
            <v>584640</v>
          </cell>
        </row>
        <row r="1721">
          <cell r="D1721">
            <v>438479.99999999994</v>
          </cell>
        </row>
        <row r="1725">
          <cell r="D1725">
            <v>372360</v>
          </cell>
        </row>
        <row r="1741">
          <cell r="D1741">
            <v>1444200</v>
          </cell>
        </row>
        <row r="1746">
          <cell r="D1746">
            <v>39600</v>
          </cell>
        </row>
        <row r="1747">
          <cell r="D1747">
            <v>65000</v>
          </cell>
        </row>
        <row r="1754">
          <cell r="D1754">
            <v>32234</v>
          </cell>
        </row>
        <row r="1755">
          <cell r="D1755">
            <v>28400</v>
          </cell>
        </row>
        <row r="1762">
          <cell r="D1762">
            <v>14000</v>
          </cell>
        </row>
        <row r="1763">
          <cell r="D1763">
            <v>3300</v>
          </cell>
        </row>
        <row r="1765">
          <cell r="D1765">
            <v>260</v>
          </cell>
        </row>
        <row r="1766">
          <cell r="D1766">
            <v>2500</v>
          </cell>
        </row>
        <row r="1767">
          <cell r="D1767">
            <v>232</v>
          </cell>
        </row>
        <row r="1775">
          <cell r="D1775">
            <v>150000</v>
          </cell>
        </row>
        <row r="1777">
          <cell r="D1777">
            <v>35000</v>
          </cell>
        </row>
        <row r="1779">
          <cell r="D1779">
            <v>35000</v>
          </cell>
        </row>
        <row r="1784">
          <cell r="D1784">
            <v>80000</v>
          </cell>
        </row>
        <row r="1785">
          <cell r="D1785">
            <v>12000</v>
          </cell>
        </row>
        <row r="1786">
          <cell r="D1786">
            <v>450000</v>
          </cell>
        </row>
        <row r="1793">
          <cell r="D1793">
            <v>18560</v>
          </cell>
        </row>
        <row r="1796">
          <cell r="D1796">
            <v>8800</v>
          </cell>
        </row>
        <row r="1802">
          <cell r="D1802">
            <v>2788</v>
          </cell>
        </row>
        <row r="1803">
          <cell r="D1803">
            <v>250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row r="14">
          <cell r="F14">
            <v>589500</v>
          </cell>
        </row>
      </sheetData>
      <sheetData sheetId="2">
        <row r="1731">
          <cell r="E1731">
            <v>300000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row r="14">
          <cell r="F14">
            <v>589500</v>
          </cell>
        </row>
      </sheetData>
      <sheetData sheetId="2">
        <row r="37">
          <cell r="E37">
            <v>259917.14199999999</v>
          </cell>
        </row>
        <row r="1731">
          <cell r="E1731">
            <v>300000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row r="38">
          <cell r="D38">
            <v>420077.16649999999</v>
          </cell>
        </row>
        <row r="63">
          <cell r="D63">
            <v>48600</v>
          </cell>
        </row>
        <row r="99">
          <cell r="D99">
            <v>32234</v>
          </cell>
        </row>
        <row r="100">
          <cell r="D100">
            <v>28400</v>
          </cell>
        </row>
        <row r="107">
          <cell r="D107">
            <v>14000</v>
          </cell>
        </row>
        <row r="108">
          <cell r="D108">
            <v>3300</v>
          </cell>
        </row>
        <row r="124">
          <cell r="D124">
            <v>35000</v>
          </cell>
        </row>
        <row r="129">
          <cell r="D129">
            <v>30000</v>
          </cell>
        </row>
        <row r="130">
          <cell r="D130">
            <v>12000</v>
          </cell>
        </row>
        <row r="131">
          <cell r="D131">
            <v>1300000</v>
          </cell>
        </row>
        <row r="135">
          <cell r="D135">
            <v>18560</v>
          </cell>
        </row>
        <row r="1251">
          <cell r="D1251">
            <v>27031.209333333332</v>
          </cell>
        </row>
        <row r="1252">
          <cell r="D1252">
            <v>36916.168666666665</v>
          </cell>
        </row>
        <row r="1253">
          <cell r="D1253">
            <v>53918.018000000004</v>
          </cell>
        </row>
        <row r="1254">
          <cell r="D1254">
            <v>79719.801333333337</v>
          </cell>
        </row>
        <row r="1256">
          <cell r="D1256">
            <v>173028.36466666669</v>
          </cell>
        </row>
        <row r="1257">
          <cell r="D1257">
            <v>214773.12999999998</v>
          </cell>
        </row>
        <row r="1610">
          <cell r="D1610">
            <v>2958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row r="10">
          <cell r="D10">
            <v>84700</v>
          </cell>
        </row>
        <row r="26">
          <cell r="D26">
            <v>2500</v>
          </cell>
        </row>
        <row r="593">
          <cell r="D593">
            <v>425719.99999999994</v>
          </cell>
        </row>
        <row r="869">
          <cell r="D869">
            <v>91532.351999999999</v>
          </cell>
        </row>
        <row r="876">
          <cell r="D876">
            <v>116231.99999999999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row r="136">
          <cell r="D136">
            <v>10000</v>
          </cell>
        </row>
        <row r="162">
          <cell r="D162">
            <v>42124.245042133341</v>
          </cell>
        </row>
        <row r="239">
          <cell r="D239">
            <v>58575.75070656</v>
          </cell>
        </row>
        <row r="644">
          <cell r="D644">
            <v>455879.99999999994</v>
          </cell>
        </row>
        <row r="645">
          <cell r="D645">
            <v>607840</v>
          </cell>
        </row>
        <row r="893">
          <cell r="D893">
            <v>17948.68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REDES"/>
      <sheetName val="APU REDES"/>
      <sheetName val="BASE"/>
      <sheetName val="BASE CTOS"/>
      <sheetName val="RESUMEN DE OBRAS"/>
    </sheetNames>
    <sheetDataSet>
      <sheetData sheetId="0" refreshError="1"/>
      <sheetData sheetId="1" refreshError="1"/>
      <sheetData sheetId="2" refreshError="1"/>
      <sheetData sheetId="3" refreshError="1"/>
      <sheetData sheetId="4" refreshError="1">
        <row r="8">
          <cell r="D8">
            <v>0.66280000000000006</v>
          </cell>
        </row>
      </sheetData>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Solicitud"/>
      <sheetName val="Identificación"/>
      <sheetName val="Preparación"/>
      <sheetName val="Costo acueducto"/>
      <sheetName val="Costo de alcantarillado"/>
      <sheetName val="flujo de caja"/>
      <sheetName val="PRODUCTO-ACTIVIDAD"/>
      <sheetName val="MEMORIACALCULO"/>
      <sheetName val="Hoja1"/>
    </sheetNames>
    <sheetDataSet>
      <sheetData sheetId="0">
        <row r="2">
          <cell r="A2" t="str">
            <v>Línea 1. Democratización de la información para la generación del conocimiento, la participación y la gestión.</v>
          </cell>
          <cell r="B2" t="str">
            <v>Programa I. Planificación Ambiental del Territorio</v>
          </cell>
          <cell r="C2" t="str">
            <v>Proyecto 1. Ordenamiento ambiental del territorio</v>
          </cell>
          <cell r="D2" t="str">
            <v xml:space="preserve">Actividad 1.1. Consolidar e integrar el ordenamiento ambiental para orientar la toma de decisiones en el territorio. </v>
          </cell>
          <cell r="E2" t="str">
            <v>Documento de zonificación ambiental</v>
          </cell>
          <cell r="F2">
            <v>1</v>
          </cell>
          <cell r="G2" t="str">
            <v>Enero</v>
          </cell>
          <cell r="H2">
            <v>2012</v>
          </cell>
          <cell r="J2" t="str">
            <v>Varios Municipios</v>
          </cell>
          <cell r="K2" t="str">
            <v>Jurisdicción</v>
          </cell>
        </row>
        <row r="3">
          <cell r="A3" t="str">
            <v>Línea 2. Planificación ambiental para la adecuada ocupación del territorio.</v>
          </cell>
          <cell r="B3" t="str">
            <v>Programa II. Integración de la información, el conocimiento y la comunicación</v>
          </cell>
          <cell r="C3" t="str">
            <v>Proyecto 2. Planeación ambiental participativa</v>
          </cell>
          <cell r="D3" t="str">
            <v>Actividad 1.2. Definir y armonizar los determinantes ambientales a partir del ordenamiento ambiental del territorio</v>
          </cell>
          <cell r="E3" t="str">
            <v>Documento</v>
          </cell>
          <cell r="F3">
            <v>2</v>
          </cell>
          <cell r="G3" t="str">
            <v>Febrero</v>
          </cell>
          <cell r="H3">
            <v>2013</v>
          </cell>
          <cell r="J3" t="str">
            <v>Jurisdicción</v>
          </cell>
          <cell r="K3" t="str">
            <v>D.T. Aburrá Norte</v>
          </cell>
        </row>
        <row r="4">
          <cell r="A4" t="str">
            <v>Línea 3. Gestión integral de las áreas protegidas estratégicas y de los recursos naturales para el desarrollo sostenible de las regiones.</v>
          </cell>
          <cell r="B4" t="str">
            <v>Programa III. Administración integral del patrimonio ambiental</v>
          </cell>
          <cell r="C4" t="str">
            <v xml:space="preserve">Proyecto 3. Consolidación del sistema de información ambiental corporativo </v>
          </cell>
          <cell r="D4" t="str">
            <v>Actividad 2.1. Ajustar la estructura de operación,  los procesos y los proyectos para la ejecución del plan de acción</v>
          </cell>
          <cell r="E4" t="str">
            <v>N° de documentos actualizados</v>
          </cell>
          <cell r="F4">
            <v>3</v>
          </cell>
          <cell r="G4" t="str">
            <v>Marzo</v>
          </cell>
          <cell r="H4">
            <v>2014</v>
          </cell>
          <cell r="J4" t="str">
            <v>Varios Municipios</v>
          </cell>
          <cell r="K4" t="str">
            <v>D.T. Aburra Sur</v>
          </cell>
        </row>
        <row r="5">
          <cell r="A5" t="str">
            <v>Línea 4. Corantioquia articuladora para la gestión ambiental en el territorio.</v>
          </cell>
          <cell r="B5" t="str">
            <v>Programa IV. Construcción de una cultura ambiental responsable y ética</v>
          </cell>
          <cell r="C5" t="str">
            <v>Proyecto 4.Integración del conocimiento</v>
          </cell>
          <cell r="D5" t="str">
            <v>Actividad 2.2. Realizar seguimiento a la ejecución y actualización de los instrumentos de planificación ambiental regional.</v>
          </cell>
          <cell r="E5" t="str">
            <v>N° de documentos</v>
          </cell>
          <cell r="F5">
            <v>4</v>
          </cell>
          <cell r="G5" t="str">
            <v>Abril</v>
          </cell>
          <cell r="H5">
            <v>2015</v>
          </cell>
          <cell r="J5" t="str">
            <v>Amagá</v>
          </cell>
          <cell r="K5" t="str">
            <v>D.T. Cartama</v>
          </cell>
        </row>
        <row r="6">
          <cell r="A6" t="str">
            <v>Línea 5. Formación, participación y comunicación para el desarrollo de una cultura ambiental responsable y ética.</v>
          </cell>
          <cell r="B6" t="str">
            <v>Programa V. Gestión Integral de la biodiversidad y sus servicios ecosistémicos</v>
          </cell>
          <cell r="C6" t="str">
            <v>Proyecto 5. Promoción de la comunicación para la participación</v>
          </cell>
          <cell r="D6" t="str">
            <v>Actividad 3.1 Integrar la información para la misión corporativa e integrarla al sistema de información ambiental para Colombia - SIAC</v>
          </cell>
          <cell r="E6" t="str">
            <v>% procesos con información identificada</v>
          </cell>
          <cell r="F6">
            <v>5</v>
          </cell>
          <cell r="G6" t="str">
            <v>Mayo</v>
          </cell>
          <cell r="H6">
            <v>2016</v>
          </cell>
          <cell r="J6" t="str">
            <v>Amalfi</v>
          </cell>
          <cell r="K6" t="str">
            <v>D.T. Citará</v>
          </cell>
        </row>
        <row r="7">
          <cell r="B7" t="str">
            <v>Programa VI. Gestión Integral del recurso hídrico</v>
          </cell>
          <cell r="C7" t="str">
            <v>Proyecto 6. Fortalecimiento de la capacidad operativa para la administración integral del patrimonio ambiental</v>
          </cell>
          <cell r="D7" t="str">
            <v>Actividad 3.2. Realizar adquisición y sostenimiento de nuevas tecnologías de la información y la comunicación para la integración.</v>
          </cell>
          <cell r="E7" t="str">
            <v>% componentes soportados</v>
          </cell>
          <cell r="F7">
            <v>6</v>
          </cell>
          <cell r="G7" t="str">
            <v>Junio</v>
          </cell>
          <cell r="H7">
            <v>2017</v>
          </cell>
          <cell r="J7" t="str">
            <v>Andes</v>
          </cell>
          <cell r="K7" t="str">
            <v>D.T. Hevéxicos</v>
          </cell>
        </row>
        <row r="8">
          <cell r="B8" t="str">
            <v>Programa VII. Gestión ambiental sectorial y urbana</v>
          </cell>
          <cell r="C8" t="str">
            <v>Proyecto 7. Promoción de la cultura de la legalidad ambiental</v>
          </cell>
          <cell r="D8" t="str">
            <v xml:space="preserve">Actividad 3.3. Fortalecer y dinamizar los centros de información ambiental </v>
          </cell>
          <cell r="E8" t="str">
            <v>Centros de información operando al 100%</v>
          </cell>
          <cell r="F8">
            <v>7</v>
          </cell>
          <cell r="G8" t="str">
            <v>Julio</v>
          </cell>
          <cell r="H8">
            <v>2018</v>
          </cell>
          <cell r="J8" t="str">
            <v>Angelópolis</v>
          </cell>
          <cell r="K8" t="str">
            <v>D.T. Panzenu</v>
          </cell>
        </row>
        <row r="9">
          <cell r="B9" t="str">
            <v>Programa VIII. Gestión del riesgo y Adaptación al cambio climático</v>
          </cell>
          <cell r="C9" t="str">
            <v xml:space="preserve">Proyecto 8. Fortalecimiento de las organizaciones ambientales </v>
          </cell>
          <cell r="D9" t="str">
            <v>Actividad 4.1. Integrar los componentes de la gestión del conocimiento a los procesos corporativos</v>
          </cell>
          <cell r="E9" t="str">
            <v>Número de procesos documentados con el capital identificado</v>
          </cell>
          <cell r="F9">
            <v>8</v>
          </cell>
          <cell r="G9" t="str">
            <v>Agosto</v>
          </cell>
          <cell r="H9">
            <v>2019</v>
          </cell>
          <cell r="J9" t="str">
            <v>Angostura</v>
          </cell>
          <cell r="K9" t="str">
            <v>D.T. Zenufaná</v>
          </cell>
        </row>
        <row r="10">
          <cell r="B10" t="str">
            <v>Programa IX. Desarrollo administrativo y fortalecimiento institucional</v>
          </cell>
          <cell r="C10" t="str">
            <v>Proyecto 9. Fortalecimiento de las comunidades étnicas y rurales</v>
          </cell>
          <cell r="D10" t="str">
            <v>Actividad 4.2. Diseñar  e implementar estrategias para dinamizar el conocimiento ambiental</v>
          </cell>
          <cell r="E10" t="str">
            <v>Número de estrategias implementadas</v>
          </cell>
          <cell r="F10">
            <v>9</v>
          </cell>
          <cell r="G10" t="str">
            <v>Septiembre</v>
          </cell>
          <cell r="H10">
            <v>2020</v>
          </cell>
          <cell r="J10" t="str">
            <v>Anorí</v>
          </cell>
          <cell r="K10" t="str">
            <v>D.T. Tahamíes</v>
          </cell>
        </row>
        <row r="11">
          <cell r="C11" t="str">
            <v>Proyecto 10. Educación ambiental para la gestión integral del patrimonio ambiental</v>
          </cell>
          <cell r="D11" t="str">
            <v>Actividad 5.1. Construir y ejecutar el plan de comunicación corporativo</v>
          </cell>
          <cell r="E11" t="str">
            <v>Plan formulado</v>
          </cell>
          <cell r="F11">
            <v>10</v>
          </cell>
          <cell r="G11" t="str">
            <v>Octubre</v>
          </cell>
          <cell r="J11" t="str">
            <v>Anzá</v>
          </cell>
        </row>
        <row r="12">
          <cell r="C12" t="str">
            <v>Proyecto 11. Manejo integral de áreas protegidas</v>
          </cell>
          <cell r="D12" t="str">
            <v>Actividad 5.2. Diseñar e implementar estrategias comunicativas para los procesos corporativos</v>
          </cell>
          <cell r="E12" t="str">
            <v>% de ejecución del plan</v>
          </cell>
          <cell r="F12">
            <v>11</v>
          </cell>
          <cell r="G12" t="str">
            <v>Noviembre</v>
          </cell>
          <cell r="J12" t="str">
            <v>Armenia</v>
          </cell>
        </row>
        <row r="13">
          <cell r="C13" t="str">
            <v>Proyecto 12. Áreas priorizadas con acciones de conservación y uso sostenible</v>
          </cell>
          <cell r="D13" t="str">
            <v xml:space="preserve">Actividad 6.1. Racionalizar los trámites desde la integración de los desarrollos tecnológicos y los planes temáticos. </v>
          </cell>
          <cell r="E13" t="str">
            <v>No. De Tramites racionalizados</v>
          </cell>
          <cell r="F13">
            <v>12</v>
          </cell>
          <cell r="G13" t="str">
            <v>Diciembre</v>
          </cell>
          <cell r="J13" t="str">
            <v>Barbosa</v>
          </cell>
        </row>
        <row r="14">
          <cell r="C14" t="str">
            <v>Proyecto 13. Ordenación y manejo de los bosques naturales</v>
          </cell>
          <cell r="D14" t="str">
            <v>Actividad 6.2. Constituir puntos de orientación al usuario</v>
          </cell>
          <cell r="E14" t="str">
            <v>No. de Puntos de orientación constituidos</v>
          </cell>
          <cell r="F14">
            <v>13</v>
          </cell>
          <cell r="J14" t="str">
            <v>Bello</v>
          </cell>
        </row>
        <row r="15">
          <cell r="C15" t="str">
            <v>Proyecto 14. Información y conocimiento del recurso hídrico (oferta, demanda y calidad</v>
          </cell>
          <cell r="D15" t="str">
            <v>Actividad 7.1. Formar actores estratégicos en normatividad ambiental aplicable a la administración integral del patrimonio ambiental.</v>
          </cell>
          <cell r="E15" t="str">
            <v>No. de Actores o Usuarios Estratégicos formados</v>
          </cell>
          <cell r="F15">
            <v>14</v>
          </cell>
          <cell r="J15" t="str">
            <v>Belmira</v>
          </cell>
        </row>
        <row r="16">
          <cell r="C16" t="str">
            <v>Proyecto 15. Planificación hidrológica participativa</v>
          </cell>
          <cell r="D16" t="str">
            <v>Actividad 7.2. Promover la cultura de la legalidad y corresponsabilidad ambiental</v>
          </cell>
          <cell r="E16" t="str">
            <v>No. de convenios para la legalidad ambiental</v>
          </cell>
          <cell r="F16">
            <v>15</v>
          </cell>
          <cell r="J16" t="str">
            <v>Betania</v>
          </cell>
        </row>
        <row r="17">
          <cell r="C17" t="str">
            <v>Proyecto 16. Monitoreo integral del recurso hídrico</v>
          </cell>
          <cell r="D17" t="str">
            <v>Actividad 8.1. Promover y fortalecer las organizaciones de la sociedad civil</v>
          </cell>
          <cell r="E17" t="str">
            <v>Organizaciones ambientales fortalecidas</v>
          </cell>
          <cell r="F17">
            <v>16</v>
          </cell>
          <cell r="J17" t="str">
            <v>Betulia</v>
          </cell>
        </row>
        <row r="18">
          <cell r="C18" t="str">
            <v>Proyecto 17. Mejoramiento del saneamiento ambiental</v>
          </cell>
          <cell r="D18" t="str">
            <v>Actividad 8.2. Fortalecer la red de participación para la gestión ambiental del territorio –red pégate-</v>
          </cell>
          <cell r="E18" t="str">
            <v xml:space="preserve">Mesas ambientales municipales y veredales fortalecidas </v>
          </cell>
          <cell r="F18">
            <v>17</v>
          </cell>
          <cell r="J18" t="str">
            <v>Briceño</v>
          </cell>
        </row>
        <row r="19">
          <cell r="C19" t="str">
            <v>Proyecto 18. Gestión integral de residuos sólidos aprovechables y no aprovechables</v>
          </cell>
          <cell r="D19" t="str">
            <v>Actividad 9.1. Acompañar los planes de vida desde el ordenamiento ambiental territorial</v>
          </cell>
          <cell r="E19" t="str">
            <v>Planes de vida construidos y/o fortalecidos</v>
          </cell>
          <cell r="F19">
            <v>18</v>
          </cell>
          <cell r="J19" t="str">
            <v>Buriticá</v>
          </cell>
        </row>
        <row r="20">
          <cell r="C20" t="str">
            <v>Proyecto 19. Practicas sostenibles en procesos productivos</v>
          </cell>
          <cell r="D20" t="str">
            <v>Actividad 9.2. Acompañar los planes de etnodesarrollo desde el ordenamiento ambiental territorial</v>
          </cell>
          <cell r="E20" t="str">
            <v>Planes de etnodesarrollo gestionados</v>
          </cell>
          <cell r="F20">
            <v>19</v>
          </cell>
          <cell r="J20" t="str">
            <v>Cáceres</v>
          </cell>
        </row>
        <row r="21">
          <cell r="C21" t="str">
            <v>Proyecto 20. Gestión de la calidad del aire</v>
          </cell>
          <cell r="D21" t="str">
            <v>Actividad 9.3. Contribuir al mejoramiento del hábitat de las comunidades rurales</v>
          </cell>
          <cell r="E21" t="str">
            <v>Hogares ecológicos establecidos</v>
          </cell>
          <cell r="F21">
            <v>20</v>
          </cell>
          <cell r="J21" t="str">
            <v>Caicedo</v>
          </cell>
        </row>
        <row r="22">
          <cell r="C22" t="str">
            <v>Proyecto 21. Prevención y mitigación del riesgo asociado a fenómenos naturales</v>
          </cell>
          <cell r="D22" t="str">
            <v>Actividad 10.1. Promover la producción y consumo sostenible desde la cultura ambiental</v>
          </cell>
          <cell r="E22" t="str">
            <v>No PROCEDAS  No PRAE</v>
          </cell>
          <cell r="F22">
            <v>21</v>
          </cell>
          <cell r="J22" t="str">
            <v>Caldas</v>
          </cell>
        </row>
        <row r="23">
          <cell r="C23" t="str">
            <v>Proyecto 22. Adaptación al cambio climático</v>
          </cell>
          <cell r="D23" t="str">
            <v>Actividad 10.2. Administrar integralmente el patrimonio ambiental desde la educación ambiental y la gobernanza</v>
          </cell>
          <cell r="E23" t="str">
            <v>No PROCEDAS  No PRAE</v>
          </cell>
          <cell r="F23">
            <v>22</v>
          </cell>
          <cell r="J23" t="str">
            <v>Campamento</v>
          </cell>
        </row>
        <row r="24">
          <cell r="C24" t="str">
            <v>Proyecto 23. Gestión del talento humano</v>
          </cell>
          <cell r="D24" t="str">
            <v>Actividad 11.1. Desarrollar acciones adoptadas en los planes de manejo para las áreas protegidas,  páramos y humedales</v>
          </cell>
          <cell r="E24" t="str">
            <v>ecosistemas estratégicos intervenidos</v>
          </cell>
          <cell r="F24">
            <v>23</v>
          </cell>
          <cell r="J24" t="str">
            <v>Caracolí</v>
          </cell>
        </row>
        <row r="25">
          <cell r="C25" t="str">
            <v>Proyecto 24. Gestión logística de bienes y servicios</v>
          </cell>
          <cell r="D25" t="str">
            <v>Actividad 11.2 Declarar nuevas áreas protegidas y acompañar otras iniciativas de conservación</v>
          </cell>
          <cell r="E25" t="str">
            <v>ecosistema declarado</v>
          </cell>
          <cell r="F25">
            <v>24</v>
          </cell>
          <cell r="J25" t="str">
            <v>Caramanta</v>
          </cell>
        </row>
        <row r="26">
          <cell r="C26" t="str">
            <v>Proyecto 25. Gestión Para La Participación,  y el Control Social</v>
          </cell>
          <cell r="D26" t="str">
            <v>Actividad 12.1. Identificar, delimitar y desarrollar acciones para la conservación y manejo de áreas priorizadas.</v>
          </cell>
          <cell r="E26" t="str">
            <v xml:space="preserve">Documento soporte al acompañamiento </v>
          </cell>
          <cell r="F26">
            <v>25</v>
          </cell>
          <cell r="J26" t="str">
            <v>Carolina del Príncipe</v>
          </cell>
        </row>
        <row r="27">
          <cell r="D27" t="str">
            <v>Actividad 12.2. Desarrollar acciones para la conservación de especies  de fauna y flora</v>
          </cell>
          <cell r="E27" t="str">
            <v>Áreas estratégicas consolidadas para la conservación y el uso sostenible</v>
          </cell>
          <cell r="F27">
            <v>26</v>
          </cell>
          <cell r="J27" t="str">
            <v>Caucasia</v>
          </cell>
        </row>
        <row r="28">
          <cell r="D28" t="str">
            <v xml:space="preserve">Actividad 13.1. Desarrollar acciones para la conservación y manejo sostenible de los bosques </v>
          </cell>
          <cell r="E28" t="str">
            <v>Especies priorizadas en programas de conservación</v>
          </cell>
          <cell r="F28">
            <v>27</v>
          </cell>
          <cell r="J28" t="str">
            <v>Cisneros</v>
          </cell>
        </row>
        <row r="29">
          <cell r="D29" t="str">
            <v>Actividad 13.2- Formular y ejecución de planes de ordenación de bosques</v>
          </cell>
          <cell r="E29" t="str">
            <v>Número de acciones para la conservación y manejo de bosques implementadas</v>
          </cell>
          <cell r="F29">
            <v>28</v>
          </cell>
          <cell r="J29" t="str">
            <v>Ciudad Bolívar</v>
          </cell>
        </row>
        <row r="30">
          <cell r="D30" t="str">
            <v>Actividad 14.1. Determinar la oferta, demanda  y la disponibilidad hídrica a nivel de cuencas</v>
          </cell>
          <cell r="E30" t="str">
            <v>Área de bosques bajo ordenación o manejo sostenible</v>
          </cell>
          <cell r="F30">
            <v>29</v>
          </cell>
          <cell r="J30" t="str">
            <v>Concordia</v>
          </cell>
        </row>
        <row r="31">
          <cell r="D31" t="str">
            <v>Actividad 14.2. Profundizar en el conocimiento de los recursos y reservas de aguas subterráneas</v>
          </cell>
          <cell r="E31" t="str">
            <v>Numero de cuencas hidrológicas estudiadas</v>
          </cell>
          <cell r="F31">
            <v>30</v>
          </cell>
          <cell r="J31" t="str">
            <v>Copacabana</v>
          </cell>
        </row>
        <row r="32">
          <cell r="D32" t="str">
            <v>Actividad 14.3. Valorar los bienes y servicios ambientales relacionados con el agua</v>
          </cell>
          <cell r="E32" t="str">
            <v>Numero de estudios en aguas subterráneas</v>
          </cell>
          <cell r="F32">
            <v>31</v>
          </cell>
          <cell r="J32" t="str">
            <v>Donmatías</v>
          </cell>
        </row>
        <row r="33">
          <cell r="D33" t="str">
            <v>Actividad 15.1. Formular, actualizar o ejecutar planes hidrológicos (POMCH, PORH, PMAS, POMI, planes de manejo),</v>
          </cell>
          <cell r="E33" t="str">
            <v>Numero de estudios en valoración de bienes y servicios ambientales</v>
          </cell>
          <cell r="J33" t="str">
            <v>Ebéjico</v>
          </cell>
        </row>
        <row r="34">
          <cell r="D34" t="str">
            <v>Actividad 15.2. Proteger, conservar y recuperar ecosistemas claves para la regulación hídrica</v>
          </cell>
          <cell r="E34" t="str">
            <v>Numero de planes hidrológicos formulado o actualizados o ejecutados</v>
          </cell>
          <cell r="J34" t="str">
            <v>El Bagre</v>
          </cell>
        </row>
        <row r="35">
          <cell r="D35" t="str">
            <v>Actividad 16.1 Monitoreo del recurso hídrico</v>
          </cell>
          <cell r="E35" t="str">
            <v>Numero de ecosistemas claves intervenidos</v>
          </cell>
          <cell r="J35" t="str">
            <v>Entrerríos</v>
          </cell>
        </row>
        <row r="36">
          <cell r="D36" t="str">
            <v>Actividad 16.2. Fortalecer la operación del laboratorio de calidad ambiental </v>
          </cell>
          <cell r="E36" t="str">
            <v>Municipios operando en la red</v>
          </cell>
          <cell r="J36" t="str">
            <v>Envigado</v>
          </cell>
        </row>
        <row r="37">
          <cell r="D37" t="str">
            <v>Actividad 17.1. Evaluación de los planes de saneamiento y manejo de vertimientos y apoyo a planes</v>
          </cell>
          <cell r="E37" t="str">
            <v>Laboratorio acreditado</v>
          </cell>
          <cell r="J37" t="str">
            <v>Fredonia</v>
          </cell>
        </row>
        <row r="38">
          <cell r="D38" t="str">
            <v>Actividad 17.2. Apoyar la implementación de los instrumentos económicos</v>
          </cell>
          <cell r="E38" t="str">
            <v>% de PSMV evaluados respecto a los presentados</v>
          </cell>
          <cell r="J38" t="str">
            <v>Girardota</v>
          </cell>
        </row>
        <row r="39">
          <cell r="D39" t="str">
            <v>Actividad 17.3. Desarrollar infraestructura para la descontaminación hídrica</v>
          </cell>
          <cell r="E39" t="str">
            <v>Numero de instrumentos económicos apoyados</v>
          </cell>
          <cell r="J39" t="str">
            <v>Gómez Plata</v>
          </cell>
        </row>
        <row r="40">
          <cell r="D40" t="str">
            <v>Actividad 18.1. Actualización, control y seguimiento al PGIRs</v>
          </cell>
          <cell r="E40" t="str">
            <v>Número de familias rurales con saneamiento hídrico</v>
          </cell>
          <cell r="J40" t="str">
            <v>Guadalupe</v>
          </cell>
        </row>
        <row r="41">
          <cell r="D41" t="str">
            <v>Actividad 18.2. Apoyar la optimización de rellenos sanitarios</v>
          </cell>
          <cell r="E41" t="str">
            <v xml:space="preserve">Número de municipios </v>
          </cell>
          <cell r="J41" t="str">
            <v>Heliconia</v>
          </cell>
        </row>
        <row r="42">
          <cell r="D42" t="str">
            <v>Actividad 18.3. Apoyar la gestión integral de residuos aprovechables y no aprovechables</v>
          </cell>
          <cell r="E42" t="str">
            <v>Numero de rellenos sanitarios optimizados</v>
          </cell>
          <cell r="J42" t="str">
            <v>Hispania</v>
          </cell>
        </row>
        <row r="43">
          <cell r="D43" t="str">
            <v>Actividad 19.1. Fomentar el biocomercio sustentable y economía verde</v>
          </cell>
          <cell r="E43" t="str">
            <v>Número de municipios apoyados</v>
          </cell>
          <cell r="J43" t="str">
            <v>Itagüí</v>
          </cell>
        </row>
        <row r="44">
          <cell r="D44" t="str">
            <v>Actividad 19.2. Fomentar la producción y consumo sostenible</v>
          </cell>
          <cell r="E44" t="str">
            <v>Unidades de biocomercio apoyadas</v>
          </cell>
          <cell r="J44" t="str">
            <v>Ituango</v>
          </cell>
        </row>
        <row r="45">
          <cell r="D45" t="str">
            <v>Actividad 20.1. Realizar estudios de calidad atmosférica por contaminación y ruido</v>
          </cell>
          <cell r="E45" t="str">
            <v>Sectores productivos impactados</v>
          </cell>
          <cell r="J45" t="str">
            <v>Jardín</v>
          </cell>
        </row>
        <row r="46">
          <cell r="D46" t="str">
            <v>Actividad 20.2. Realizar control y seguimiento a fuentes de contaminación</v>
          </cell>
          <cell r="E46" t="str">
            <v>Numero de estudios realizados</v>
          </cell>
          <cell r="J46" t="str">
            <v>Jericó</v>
          </cell>
        </row>
        <row r="47">
          <cell r="D47" t="str">
            <v>Actividad 21.1.Construir información y conocimiento de la situación de amenazas, riesgo y desastres en la jurisdicción para la priorización de las acciones de prevención y mitigación</v>
          </cell>
          <cell r="E47" t="str">
            <v>Numero de fuentes monitoreadas y operativos desarrollados</v>
          </cell>
          <cell r="J47" t="str">
            <v>La Estrella</v>
          </cell>
        </row>
        <row r="48">
          <cell r="D48" t="str">
            <v>Actividad 21.2. Realizar obras de mitigación en áreas críticas priorizadas</v>
          </cell>
          <cell r="E48" t="str">
            <v>% de la jurisdicción con la información cartográfica de amenazas actualizado</v>
          </cell>
          <cell r="J48" t="str">
            <v>La Pintada</v>
          </cell>
        </row>
        <row r="49">
          <cell r="D49" t="str">
            <v>Actividad 21.3. Restaurar ambientalmente áreas críticas degradadas en zonas priorizadas</v>
          </cell>
          <cell r="E49" t="str">
            <v>zonas priorizadas intervenidas</v>
          </cell>
          <cell r="J49" t="str">
            <v>Liborina</v>
          </cell>
        </row>
        <row r="50">
          <cell r="D50" t="str">
            <v>Actividad 22.1. Realizar estudios para la zonificación de áreas susceptibles al cambio climático</v>
          </cell>
          <cell r="E50" t="str">
            <v>ha</v>
          </cell>
          <cell r="J50" t="str">
            <v>Maceo</v>
          </cell>
        </row>
        <row r="51">
          <cell r="D51" t="str">
            <v xml:space="preserve">Actividad 22.2. Apoyar las administraciones locales en los procesos de adaptación a los efectos del cambio climático </v>
          </cell>
          <cell r="E51" t="str">
            <v>%jurisdicción zonificada por susceptibilidad al cambio climático</v>
          </cell>
          <cell r="J51" t="str">
            <v>Medellín</v>
          </cell>
        </row>
        <row r="52">
          <cell r="D52" t="str">
            <v>Actividad 23.1. Fortalecer la incorporación de los servidores públicos, vinculación, permanencia, retiro y evaluación</v>
          </cell>
          <cell r="E52" t="str">
            <v>Municipios con procesos desarrollados de adaptación al cambio climático</v>
          </cell>
          <cell r="J52" t="str">
            <v>Montebello</v>
          </cell>
        </row>
        <row r="53">
          <cell r="D53" t="str">
            <v>Actividad 23.2. Fortalecer el bienestar social y salud ocupacional del servidor y su grupo familiar</v>
          </cell>
          <cell r="E53" t="str">
            <v>Plan de retiro ejecutado</v>
          </cell>
          <cell r="J53" t="str">
            <v>Nechí</v>
          </cell>
        </row>
        <row r="54">
          <cell r="D54" t="str">
            <v>Actividad 23.3. Formar, capacitar y gestionar el conocimiento del talento humano en la red interna de dinamizadores</v>
          </cell>
          <cell r="E54" t="str">
            <v>Plan de cargas realizado</v>
          </cell>
          <cell r="J54" t="str">
            <v>Olaya</v>
          </cell>
        </row>
        <row r="55">
          <cell r="D55" t="str">
            <v>Actividad 23.4. Mejorar la cultura y clima organizacional</v>
          </cell>
          <cell r="E55" t="str">
            <v xml:space="preserve">Índice de acciones ejecutadas en salud ocupacional y bienestar social </v>
          </cell>
          <cell r="J55" t="str">
            <v>Pueblorrico</v>
          </cell>
        </row>
        <row r="56">
          <cell r="D56" t="str">
            <v>Actividad 24.1 Implementar plan de adquisiciones y compras</v>
          </cell>
          <cell r="E56" t="str">
            <v>Cobertura en ejecución de acciones en salud ocupacional, bienestar social</v>
          </cell>
          <cell r="J56" t="str">
            <v>Puerto Berrío</v>
          </cell>
        </row>
        <row r="57">
          <cell r="D57" t="str">
            <v>Actividad 24.2  Administrar, adecuar y construir infraestructura física y bienes muebles</v>
          </cell>
          <cell r="E57" t="str">
            <v xml:space="preserve">Satisfacción de los beneficiarios de los programas de bienestar social </v>
          </cell>
          <cell r="J57" t="str">
            <v>Puerto Nare</v>
          </cell>
        </row>
        <row r="58">
          <cell r="D58" t="str">
            <v>Actividad 24.3  Implementar el Plan Institucional de Gestión Ambiental PIGA</v>
          </cell>
          <cell r="E58" t="str">
            <v>Cobertura de las capacitaciones</v>
          </cell>
          <cell r="J58" t="str">
            <v>Remedios</v>
          </cell>
        </row>
        <row r="59">
          <cell r="D59" t="str">
            <v>Actividad 25.1. Realizar seguimiento y ajustes del MECI y el Sistema de Gestión de la Calidad.</v>
          </cell>
          <cell r="E59" t="str">
            <v>Índice de personas participantes en eventos de capacitación en temas misionales</v>
          </cell>
          <cell r="J59" t="str">
            <v>Sabanalarga</v>
          </cell>
        </row>
        <row r="60">
          <cell r="D60" t="str">
            <v>Actividad 25.2. Evaluar y hacer seguimiento a la gestión integral corporativa</v>
          </cell>
          <cell r="E60" t="str">
            <v>Efectividad de las capacitaciones realizadas</v>
          </cell>
          <cell r="J60" t="str">
            <v>Sabaneta</v>
          </cell>
        </row>
        <row r="61">
          <cell r="D61" t="str">
            <v>Actividad 25.3  Fortalecer las relaciones interinstitucionales para la Cooperación</v>
          </cell>
          <cell r="E61" t="str">
            <v>Grado de satisfacción de los servidores públicos</v>
          </cell>
          <cell r="J61" t="str">
            <v>Salgar</v>
          </cell>
        </row>
        <row r="62">
          <cell r="D62" t="str">
            <v>Actividad 25.4. Institucionalizar el servicio al ciudadano</v>
          </cell>
          <cell r="E62" t="str">
            <v>Bienes y servicios atendidos /bienes y servicios programados &gt;=90</v>
          </cell>
          <cell r="J62" t="str">
            <v>San Andrés de Cuerquia</v>
          </cell>
        </row>
        <row r="63">
          <cell r="D63" t="str">
            <v>Actividad 25.5. Promover la ética y transparencia en la actuación corporativa</v>
          </cell>
          <cell r="E63" t="str">
            <v>Plan de administración de bienes muebles e inmuebles elaborado y ejecutado</v>
          </cell>
          <cell r="J63" t="str">
            <v>San Jerónimo</v>
          </cell>
        </row>
        <row r="64">
          <cell r="E64" t="str">
            <v>Plan de gestión Ambiental formulado y ejecutado al 100%</v>
          </cell>
          <cell r="J64" t="str">
            <v>San José de la Montaña</v>
          </cell>
        </row>
        <row r="65">
          <cell r="E65" t="str">
            <v>Seguimiento y Evaluación a los sistemas de gestión integrados</v>
          </cell>
          <cell r="J65" t="str">
            <v>San Pedro de los Milagros</v>
          </cell>
        </row>
        <row r="66">
          <cell r="E66" t="str">
            <v>Fortalecimiento del sistema de control interno</v>
          </cell>
          <cell r="J66" t="str">
            <v>Santa Bárbara</v>
          </cell>
        </row>
        <row r="67">
          <cell r="E67" t="str">
            <v>Gestión de convenios de cooperación</v>
          </cell>
          <cell r="J67" t="str">
            <v>Santa Fe de Antioquia</v>
          </cell>
        </row>
        <row r="68">
          <cell r="E68" t="str">
            <v>Creación y operación del grupo de servicio al ciudadano</v>
          </cell>
          <cell r="J68" t="str">
            <v>Santa Rosa de Osos</v>
          </cell>
        </row>
        <row r="69">
          <cell r="E69" t="str">
            <v>Publicación de informes y campañas sobre la gestión  para la transparencia</v>
          </cell>
          <cell r="J69" t="str">
            <v>Segovia</v>
          </cell>
        </row>
        <row r="70">
          <cell r="J70" t="str">
            <v>Sopetrán</v>
          </cell>
        </row>
        <row r="71">
          <cell r="J71" t="str">
            <v>Támesis</v>
          </cell>
        </row>
        <row r="72">
          <cell r="J72" t="str">
            <v>Tarazá</v>
          </cell>
        </row>
        <row r="73">
          <cell r="J73" t="str">
            <v>Tarso</v>
          </cell>
        </row>
        <row r="74">
          <cell r="J74" t="str">
            <v>Titiribí</v>
          </cell>
        </row>
        <row r="75">
          <cell r="J75" t="str">
            <v>Toledo</v>
          </cell>
        </row>
        <row r="76">
          <cell r="J76" t="str">
            <v>Valdivia</v>
          </cell>
        </row>
        <row r="77">
          <cell r="J77" t="str">
            <v>Vaparaíso</v>
          </cell>
        </row>
        <row r="78">
          <cell r="J78" t="str">
            <v>Vegachí</v>
          </cell>
        </row>
        <row r="79">
          <cell r="J79" t="str">
            <v>Venecia</v>
          </cell>
        </row>
        <row r="80">
          <cell r="J80" t="str">
            <v>Yalí</v>
          </cell>
        </row>
        <row r="81">
          <cell r="J81" t="str">
            <v>Yarumal</v>
          </cell>
        </row>
        <row r="82">
          <cell r="J82" t="str">
            <v>Yolombó</v>
          </cell>
        </row>
        <row r="83">
          <cell r="J83" t="str">
            <v>Yondó</v>
          </cell>
        </row>
        <row r="84">
          <cell r="J84" t="str">
            <v>Zaragoza</v>
          </cell>
        </row>
      </sheetData>
      <sheetData sheetId="1"/>
      <sheetData sheetId="2"/>
      <sheetData sheetId="3"/>
      <sheetData sheetId="4"/>
      <sheetData sheetId="5"/>
      <sheetData sheetId="6"/>
      <sheetData sheetId="7"/>
      <sheetData sheetId="8"/>
      <sheetData sheetId="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row r="38">
          <cell r="C38">
            <v>0.15000000000000002</v>
          </cell>
        </row>
      </sheetData>
      <sheetData sheetId="1" refreshError="1"/>
      <sheetData sheetId="2" refreshError="1"/>
      <sheetData sheetId="3" refreshError="1">
        <row r="42">
          <cell r="D42">
            <v>491290.48387250002</v>
          </cell>
        </row>
        <row r="504">
          <cell r="D504">
            <v>31900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NORTE"/>
      <sheetName val="APU COLECTOR NORTE"/>
      <sheetName val="DOM.  COLECTOR NORTE."/>
      <sheetName val="APU Domic. COLECTOR  NORTE"/>
      <sheetName val="REDES SECUND.COLECTOR NORTE"/>
      <sheetName val="APU Redes Secund COLECTOR NORTE"/>
      <sheetName val="DOM.  REDES SEC. COL. NORTE"/>
      <sheetName val="APU Domic. Redes sec COLEC  NOR"/>
      <sheetName val="PRESUPUESTO PTAR NORTE"/>
      <sheetName val="APU PTAR NORTE"/>
      <sheetName val="COLECTOR SUR"/>
      <sheetName val="APU COLECTOR SUR"/>
      <sheetName val="DOM.   COLECTOR SUR"/>
      <sheetName val="APU Domic. COLECTOR  SUR"/>
      <sheetName val="REDES SECUND.COLECTOR SUR"/>
      <sheetName val="APU Redes Secund. COLECTOR SUR"/>
      <sheetName val="DOM.  REDES SEC. COL. SUR"/>
      <sheetName val="APU Domic. Redes sec COLEC  SUR"/>
      <sheetName val="COLECTOR LA FLORESTA"/>
      <sheetName val="APU COLECTOR LA FLORESTA"/>
      <sheetName val="DOM.   COLECTOR LA FLORESTA"/>
      <sheetName val="APU Domic. COLEC  FLORESTA"/>
      <sheetName val="REDES SECUNDARIAS  FLORESTA"/>
      <sheetName val="APU Redes Secund. COLECTOR FLOR"/>
      <sheetName val="DOM.  REDES SEC. COL. LA FLORES"/>
      <sheetName val="APU Dom REDES  SEC COLEC  FLOR"/>
      <sheetName val="PRESUPUESTO PTAR LA FLORESTA"/>
      <sheetName val="APU PTAR LA FLORESTA"/>
      <sheetName val="RES MATERERIALES ALCANTARIL"/>
      <sheetName val="SEPARADORAS ACTO"/>
    </sheetNames>
    <sheetDataSet>
      <sheetData sheetId="0">
        <row r="3">
          <cell r="C3">
            <v>0.22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row r="44">
          <cell r="C44">
            <v>0.30000000000000004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BASE_Concretos"/>
      <sheetName val="PTAR 2 PALERMO"/>
      <sheetName val="APU PTAR 2 PALERMO"/>
      <sheetName val="PTAR_SistEléctrico"/>
      <sheetName val="APU_SisEléctrico"/>
      <sheetName val="RESUMEN PTAR"/>
    </sheetNames>
    <sheetDataSet>
      <sheetData sheetId="0" refreshError="1"/>
      <sheetData sheetId="1"/>
      <sheetData sheetId="2"/>
      <sheetData sheetId="3"/>
      <sheetData sheetId="4" refreshError="1"/>
      <sheetData sheetId="5" refreshError="1"/>
      <sheetData sheetId="6"/>
      <sheetData sheetId="7"/>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row r="11">
          <cell r="D11">
            <v>71882.844000000026</v>
          </cell>
        </row>
        <row r="12">
          <cell r="D12">
            <v>53912.133000000016</v>
          </cell>
        </row>
        <row r="457">
          <cell r="D457">
            <v>3366</v>
          </cell>
        </row>
      </sheetData>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impacto "/>
      <sheetName val="BASE CTOS"/>
      <sheetName val="REDES DISTRITO 1"/>
      <sheetName val="APU REDES DISTR.1"/>
      <sheetName val="REDES DISTRITO 2"/>
      <sheetName val="APU REDES DISTR.2"/>
      <sheetName val="REDES DISTRITO 3"/>
      <sheetName val="APU REDES DISTR.3 "/>
      <sheetName val="REDES DISTRITO 4"/>
      <sheetName val="APU REDES DISTR.4"/>
      <sheetName val=" PTAR VIKINGOS"/>
      <sheetName val="APU PTAR_VIKINGOS"/>
      <sheetName val=" PTAR LAS DELICIAS"/>
      <sheetName val="APU PTAR_DELICIAS"/>
      <sheetName val=" PTAR DOS DE ABRIL"/>
      <sheetName val="APU PTAR_DOS DE ABRIL"/>
      <sheetName val=" PTAR SAN JUAN ORIENTAL"/>
      <sheetName val="APU PTAR_S_JORIENTAL"/>
      <sheetName val="APU PTAR"/>
      <sheetName val="RESUMEN OBRAS"/>
    </sheetNames>
    <sheetDataSet>
      <sheetData sheetId="0" refreshError="1">
        <row r="269">
          <cell r="D269">
            <v>253700</v>
          </cell>
        </row>
        <row r="403">
          <cell r="D403">
            <v>42653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8">
          <cell r="D8">
            <v>0.65280000000000005</v>
          </cell>
        </row>
        <row r="392">
          <cell r="D392">
            <v>71500</v>
          </cell>
        </row>
        <row r="394">
          <cell r="D394">
            <v>19800</v>
          </cell>
        </row>
        <row r="395">
          <cell r="D395">
            <v>14400</v>
          </cell>
        </row>
        <row r="396">
          <cell r="D396">
            <v>7250</v>
          </cell>
        </row>
        <row r="401">
          <cell r="D401">
            <v>5120</v>
          </cell>
        </row>
      </sheetData>
      <sheetData sheetId="3" refreshError="1"/>
      <sheetData sheetId="4"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 val="dici05"/>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 val="Alcant Calle 19 y Guayabito"/>
      <sheetName val="APU Calle 19"/>
      <sheetName val="Alcant Calle Bolivar"/>
      <sheetName val="APU CALLE BOLIVAR"/>
      <sheetName val="RESUMEN DE CANT GUARNE"/>
      <sheetName val="PRESUPUESTO"/>
      <sheetName val="APU GUARNE"/>
      <sheetName val="DISEÑO"/>
      <sheetName val="CIMENTACION"/>
    </sheetNames>
    <sheetDataSet>
      <sheetData sheetId="0" refreshError="1">
        <row r="8">
          <cell r="D8">
            <v>0.66280000000000006</v>
          </cell>
        </row>
        <row r="11">
          <cell r="D11">
            <v>56274.694666666677</v>
          </cell>
        </row>
        <row r="473">
          <cell r="D473">
            <v>750000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sheetData sheetId="23">
        <row r="2">
          <cell r="B2" t="str">
            <v xml:space="preserve">ANÁLISIS DE PRECIOS UNITARIOS </v>
          </cell>
        </row>
      </sheetData>
      <sheetData sheetId="24"/>
      <sheetData sheetId="25"/>
      <sheetData sheetId="26"/>
      <sheetData sheetId="27"/>
      <sheetData sheetId="28"/>
      <sheetData sheetId="2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pozos unisafas"/>
      <sheetName val="Plan ejecución"/>
      <sheetName val="ppto sistema septico"/>
      <sheetName val="Presupuesto Convenio"/>
      <sheetName val="Interventoria"/>
      <sheetName val="Memoria de Calculo VIATICOS y T"/>
      <sheetName val="Memoria de calculo"/>
      <sheetName val="IVA"/>
      <sheetName val="Formato 1"/>
      <sheetName val="A.P.U. 1"/>
      <sheetName val="FICHAS "/>
      <sheetName val="BASE SALARIOS"/>
      <sheetName val="Resumen Total"/>
      <sheetName val="FP"/>
      <sheetName val="MO CALIFICADA"/>
      <sheetName val="HONORARIOS CORPORATIVOS 2016"/>
      <sheetName val="Administr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pozos unisafas"/>
      <sheetName val="Plan ejecución"/>
      <sheetName val="Presupuesto Convenio"/>
      <sheetName val="A.U"/>
      <sheetName val="ppto sistema septico"/>
      <sheetName val="Interventoria"/>
      <sheetName val="MC Interventoria"/>
      <sheetName val="Memoria de calculo"/>
      <sheetName val="IVA"/>
      <sheetName val="Formato 1"/>
      <sheetName val="A.P.U. "/>
      <sheetName val="FICHAS "/>
      <sheetName val="BASE SALARIOS"/>
      <sheetName val="Resumen Total"/>
      <sheetName val="FP"/>
      <sheetName val="MO CALIFICADA"/>
      <sheetName val="HONORARIOS CORPORATIVOS 2016"/>
      <sheetName val="Administr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ejecución"/>
      <sheetName val="Presupuesto Contrato"/>
      <sheetName val="Presupuesto Convenio"/>
      <sheetName val="Memoria de calculo"/>
      <sheetName val="PPTO TOTAL"/>
      <sheetName val="RESUMEN COSTO DEL PROYECTO"/>
      <sheetName val="INTERVENTORIA MOC"/>
      <sheetName val="MC Act. 6 EXCL IVA"/>
      <sheetName val="APU S.R"/>
      <sheetName val="FICHAS S.R"/>
      <sheetName val="BASE SALARIOS"/>
      <sheetName val="FP"/>
      <sheetName val="Honorarios Corporativos"/>
      <sheetName val="Administracion"/>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sheetName val="COLECTOR-NORTE"/>
      <sheetName val="APU COLECTOR-NORTE"/>
      <sheetName val="COLECTOR-SUR"/>
      <sheetName val="APU COLECTOR-SUR"/>
      <sheetName val="REDES SECUND NORTE"/>
      <sheetName val="APU Redes Secundarias  NORTE"/>
      <sheetName val="REDES SECUND SUR"/>
      <sheetName val="APU Redes Secundarias  SUR"/>
      <sheetName val="DOMICILIARES"/>
      <sheetName val="APU DOMICILIARES"/>
      <sheetName val="PRESUPUESTO PTAR"/>
      <sheetName val="APU PTAR"/>
      <sheetName val="MATER Y MO"/>
      <sheetName val=""/>
    </sheetNames>
    <sheetDataSet>
      <sheetData sheetId="0" refreshError="1"/>
      <sheetData sheetId="1" refreshError="1"/>
      <sheetData sheetId="2">
        <row r="8">
          <cell r="D8">
            <v>0.65780000000000005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3">
          <cell r="G3" t="str">
            <v>D.T. Aburrá Norte</v>
          </cell>
          <cell r="I3" t="str">
            <v>Toda la Jurisdicción</v>
          </cell>
        </row>
        <row r="4">
          <cell r="G4" t="str">
            <v>D.T. Aburra Sur</v>
          </cell>
          <cell r="I4" t="str">
            <v>Varios Municipios</v>
          </cell>
        </row>
        <row r="5">
          <cell r="G5" t="str">
            <v>D.T. Cartama</v>
          </cell>
          <cell r="I5" t="str">
            <v>Amagá</v>
          </cell>
        </row>
        <row r="6">
          <cell r="G6" t="str">
            <v>D.T. Citará</v>
          </cell>
          <cell r="I6" t="str">
            <v>Amalfi</v>
          </cell>
        </row>
        <row r="7">
          <cell r="G7" t="str">
            <v>D.T. Hevéxicos</v>
          </cell>
          <cell r="I7" t="str">
            <v>Andes</v>
          </cell>
        </row>
        <row r="8">
          <cell r="G8" t="str">
            <v>D.T. Panzenu</v>
          </cell>
          <cell r="I8" t="str">
            <v>Angelópolis</v>
          </cell>
        </row>
        <row r="9">
          <cell r="G9" t="str">
            <v>D.T. Zenufaná</v>
          </cell>
          <cell r="I9" t="str">
            <v>Angostura</v>
          </cell>
        </row>
        <row r="10">
          <cell r="G10" t="str">
            <v>D.T. Tahamíes</v>
          </cell>
          <cell r="I10" t="str">
            <v>Anorí</v>
          </cell>
        </row>
        <row r="11">
          <cell r="G11" t="str">
            <v>Jurisdicción</v>
          </cell>
          <cell r="I11" t="str">
            <v>Anzá</v>
          </cell>
        </row>
        <row r="12">
          <cell r="I12" t="str">
            <v>Armenia</v>
          </cell>
        </row>
        <row r="13">
          <cell r="I13" t="str">
            <v>Barbosa</v>
          </cell>
        </row>
        <row r="14">
          <cell r="G14" t="str">
            <v>1. Corredor de áreas protegidas de la Cordillera Occidental</v>
          </cell>
          <cell r="I14" t="str">
            <v>Bello</v>
          </cell>
        </row>
        <row r="15">
          <cell r="G15" t="str">
            <v>2. Cañón cafetero del San Juan</v>
          </cell>
          <cell r="I15" t="str">
            <v>Belmira</v>
          </cell>
        </row>
        <row r="16">
          <cell r="G16" t="str">
            <v>3. Cerros y Farallones del Cauca</v>
          </cell>
          <cell r="I16" t="str">
            <v>Betania</v>
          </cell>
        </row>
        <row r="17">
          <cell r="G17" t="str">
            <v>4. Bosque seco cañón del Cauca</v>
          </cell>
          <cell r="I17" t="str">
            <v>Betulia</v>
          </cell>
        </row>
        <row r="18">
          <cell r="G18" t="str">
            <v>5. Vertientes altas del Cañón del Río Cauca</v>
          </cell>
          <cell r="I18" t="str">
            <v>Briceño</v>
          </cell>
        </row>
        <row r="19">
          <cell r="G19" t="str">
            <v>6. Cinturón de áreas protegidas para la sostenibilidad ambiental del Valle de Aburra</v>
          </cell>
          <cell r="I19" t="str">
            <v>Buriticá</v>
          </cell>
        </row>
        <row r="20">
          <cell r="G20" t="str">
            <v>7. Sistema de páramos y bosques altoandinos del noroccidente Medio Antioqueño</v>
          </cell>
          <cell r="I20" t="str">
            <v>Cáceres</v>
          </cell>
        </row>
        <row r="21">
          <cell r="G21" t="str">
            <v>8. Altiplano Norte Antioqueño</v>
          </cell>
          <cell r="I21" t="str">
            <v>Caicedo</v>
          </cell>
        </row>
        <row r="22">
          <cell r="G22" t="str">
            <v>9. Alto pluvial de Ventanas</v>
          </cell>
          <cell r="I22" t="str">
            <v>Caldas</v>
          </cell>
        </row>
        <row r="23">
          <cell r="G23" t="str">
            <v>10. Complejo estructural Pescadero – Ituango</v>
          </cell>
          <cell r="I23" t="str">
            <v>Campamento</v>
          </cell>
        </row>
        <row r="24">
          <cell r="G24" t="str">
            <v>11. Piedemonte colinado de Taraza</v>
          </cell>
          <cell r="I24" t="str">
            <v>Caracolí</v>
          </cell>
        </row>
        <row r="25">
          <cell r="G25" t="str">
            <v>12. Complejo hidrológico del Bajo Cauca</v>
          </cell>
          <cell r="I25" t="str">
            <v>Caramanta</v>
          </cell>
        </row>
        <row r="26">
          <cell r="G26" t="str">
            <v>13. Sistema colinado del Bajo Cauca</v>
          </cell>
          <cell r="I26" t="str">
            <v>Carolina del Príncipe</v>
          </cell>
        </row>
        <row r="27">
          <cell r="G27" t="str">
            <v xml:space="preserve">14. Bosques tropicales de la Cuenca media del río Nechí </v>
          </cell>
          <cell r="I27" t="str">
            <v>Caucasia</v>
          </cell>
        </row>
        <row r="28">
          <cell r="G28" t="str">
            <v>15.  Serranía de San Lucas</v>
          </cell>
          <cell r="I28" t="str">
            <v>Cisneros</v>
          </cell>
        </row>
        <row r="29">
          <cell r="G29" t="str">
            <v xml:space="preserve">16. Sabanas y humedales del Magdalena Medio </v>
          </cell>
          <cell r="I29" t="str">
            <v>Ciudad Bolívar</v>
          </cell>
        </row>
        <row r="30">
          <cell r="G30" t="str">
            <v>17. Sistema cárstico de los ríos Nus y Alicante</v>
          </cell>
          <cell r="I30" t="str">
            <v>Concordia</v>
          </cell>
        </row>
        <row r="31">
          <cell r="G31" t="str">
            <v>18. Altiplano disectado del nordeste</v>
          </cell>
          <cell r="I31" t="str">
            <v>Copacabana</v>
          </cell>
        </row>
        <row r="32">
          <cell r="G32" t="str">
            <v>19. Cañón de los Ríos Porce y Nechí</v>
          </cell>
          <cell r="I32" t="str">
            <v>Donmatías</v>
          </cell>
        </row>
        <row r="33">
          <cell r="G33" t="str">
            <v>Varias Unidades de Zonificación Ambiental</v>
          </cell>
          <cell r="I33" t="str">
            <v>Ebéjico</v>
          </cell>
        </row>
        <row r="34">
          <cell r="I34" t="str">
            <v>El Bagre</v>
          </cell>
        </row>
        <row r="35">
          <cell r="I35" t="str">
            <v>Entrerríos</v>
          </cell>
        </row>
        <row r="36">
          <cell r="I36" t="str">
            <v>Envigado</v>
          </cell>
        </row>
        <row r="37">
          <cell r="I37" t="str">
            <v>Fredonia</v>
          </cell>
        </row>
        <row r="38">
          <cell r="I38" t="str">
            <v>Girardota</v>
          </cell>
        </row>
        <row r="39">
          <cell r="I39" t="str">
            <v>Gómez Plata</v>
          </cell>
        </row>
        <row r="40">
          <cell r="I40" t="str">
            <v>Guadalupe</v>
          </cell>
        </row>
        <row r="41">
          <cell r="I41" t="str">
            <v>Heliconia</v>
          </cell>
        </row>
        <row r="42">
          <cell r="I42" t="str">
            <v>Hispania</v>
          </cell>
        </row>
        <row r="43">
          <cell r="I43" t="str">
            <v>Itagüí</v>
          </cell>
        </row>
        <row r="44">
          <cell r="I44" t="str">
            <v>Ituango</v>
          </cell>
        </row>
        <row r="45">
          <cell r="I45" t="str">
            <v>Jardín</v>
          </cell>
        </row>
        <row r="46">
          <cell r="I46" t="str">
            <v>Jericó</v>
          </cell>
        </row>
        <row r="47">
          <cell r="I47" t="str">
            <v>La Estrella</v>
          </cell>
        </row>
        <row r="48">
          <cell r="I48" t="str">
            <v>La Pintada</v>
          </cell>
        </row>
        <row r="49">
          <cell r="I49" t="str">
            <v>Liborina</v>
          </cell>
        </row>
        <row r="50">
          <cell r="I50" t="str">
            <v>Maceo</v>
          </cell>
        </row>
        <row r="51">
          <cell r="I51" t="str">
            <v>Medellín</v>
          </cell>
        </row>
        <row r="52">
          <cell r="I52" t="str">
            <v>Montebello</v>
          </cell>
        </row>
        <row r="53">
          <cell r="I53" t="str">
            <v>Nechí</v>
          </cell>
        </row>
        <row r="54">
          <cell r="I54" t="str">
            <v>Olaya</v>
          </cell>
        </row>
        <row r="55">
          <cell r="I55" t="str">
            <v>Pueblorrico</v>
          </cell>
        </row>
        <row r="56">
          <cell r="I56" t="str">
            <v>Puerto Berrío</v>
          </cell>
        </row>
        <row r="57">
          <cell r="I57" t="str">
            <v>Puerto Nare</v>
          </cell>
        </row>
        <row r="58">
          <cell r="I58" t="str">
            <v>Remedios</v>
          </cell>
        </row>
        <row r="59">
          <cell r="I59" t="str">
            <v>Sabanalarga</v>
          </cell>
        </row>
        <row r="60">
          <cell r="I60" t="str">
            <v>Sabaneta</v>
          </cell>
        </row>
        <row r="61">
          <cell r="I61" t="str">
            <v>Salgar</v>
          </cell>
        </row>
        <row r="62">
          <cell r="I62" t="str">
            <v>San Andrés de Cuerquia</v>
          </cell>
        </row>
        <row r="63">
          <cell r="I63" t="str">
            <v>San Jerónimo</v>
          </cell>
        </row>
        <row r="64">
          <cell r="I64" t="str">
            <v>San José de la Montaña</v>
          </cell>
        </row>
        <row r="65">
          <cell r="I65" t="str">
            <v>San Pedro de los Milagros</v>
          </cell>
        </row>
        <row r="66">
          <cell r="I66" t="str">
            <v>Santa Bárbara</v>
          </cell>
        </row>
        <row r="67">
          <cell r="I67" t="str">
            <v>Santa Fe de Antioquia</v>
          </cell>
        </row>
        <row r="68">
          <cell r="I68" t="str">
            <v>Santa Rosa de Osos</v>
          </cell>
        </row>
        <row r="69">
          <cell r="I69" t="str">
            <v>Segovia</v>
          </cell>
        </row>
        <row r="70">
          <cell r="I70" t="str">
            <v>Sopetrán</v>
          </cell>
        </row>
        <row r="71">
          <cell r="I71" t="str">
            <v>Támesis</v>
          </cell>
        </row>
        <row r="72">
          <cell r="I72" t="str">
            <v>Tarazá</v>
          </cell>
        </row>
        <row r="73">
          <cell r="I73" t="str">
            <v>Tarso</v>
          </cell>
        </row>
        <row r="74">
          <cell r="I74" t="str">
            <v>Titiribí</v>
          </cell>
        </row>
        <row r="75">
          <cell r="I75" t="str">
            <v>Toledo</v>
          </cell>
        </row>
        <row r="76">
          <cell r="I76" t="str">
            <v>Valdivia</v>
          </cell>
        </row>
        <row r="77">
          <cell r="I77" t="str">
            <v>Vaparaíso</v>
          </cell>
        </row>
        <row r="78">
          <cell r="I78" t="str">
            <v>Vegachí</v>
          </cell>
        </row>
        <row r="79">
          <cell r="I79" t="str">
            <v>Venecia</v>
          </cell>
        </row>
        <row r="80">
          <cell r="I80" t="str">
            <v>Yalí</v>
          </cell>
        </row>
        <row r="81">
          <cell r="I81" t="str">
            <v>Yarumal</v>
          </cell>
        </row>
        <row r="82">
          <cell r="I82" t="str">
            <v>Yolombó</v>
          </cell>
        </row>
        <row r="83">
          <cell r="I83" t="str">
            <v>Yondó</v>
          </cell>
        </row>
        <row r="84">
          <cell r="I84" t="str">
            <v>Zaragoza</v>
          </cell>
        </row>
        <row r="85">
          <cell r="I85" t="str">
            <v>Jurisdicción</v>
          </cell>
        </row>
        <row r="86">
          <cell r="I86" t="str">
            <v>Varios Municipios</v>
          </cell>
        </row>
      </sheetData>
      <sheetData sheetId="2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row r="75">
          <cell r="D75">
            <v>300150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row r="1742">
          <cell r="D1742">
            <v>53200</v>
          </cell>
        </row>
      </sheetData>
      <sheetData sheetId="4" refreshError="1"/>
      <sheetData sheetId="5" refreshError="1"/>
      <sheetData sheetId="6" refreshError="1"/>
      <sheetData sheetId="7" refreshError="1"/>
      <sheetData sheetId="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CTOS"/>
      <sheetName val="impacto "/>
      <sheetName val="BASE"/>
      <sheetName val="PRESTA"/>
      <sheetName val="BOCATOMA.ADUC.DESARENADOR"/>
      <sheetName val="APU BOC.DESARENADOR."/>
      <sheetName val="DESARENADOR PTAP"/>
      <sheetName val="APU DESARENADOR PTAP"/>
      <sheetName val="PTAP"/>
      <sheetName val="APU PTAP"/>
      <sheetName val="REDES DISTR."/>
      <sheetName val="APU REDES DISTR."/>
      <sheetName val="RESUMEN OBRAS"/>
      <sheetName val="CÁLCULOS"/>
      <sheetName val="PRESTACIONES"/>
      <sheetName val="BASE_ CONCRETOS"/>
      <sheetName val="1.Tanque Superficial"/>
      <sheetName val="APU Tanque Superficial"/>
      <sheetName val="2. BOMBEO"/>
      <sheetName val="APU BOMBEO"/>
      <sheetName val="3. Tanque Almto Elevado"/>
      <sheetName val="APU Tanque Almto Elevado"/>
      <sheetName val="4. PTAP"/>
      <sheetName val="5. Red de Distribucion"/>
      <sheetName val="APUS Red de Distribucion"/>
      <sheetName val="6.PTAP_SistEléctrico"/>
      <sheetName val="APU_SisEléctrico"/>
      <sheetName val="RESUMEN OBRAS "/>
      <sheetName val="BOMBEO PTAR"/>
      <sheetName val="COLECTOR-PTAR"/>
      <sheetName val="AIU"/>
      <sheetName val="PRELIM"/>
      <sheetName val="TUBERIA"/>
      <sheetName val="EXCAVA"/>
      <sheetName val="APU COLECTOR-NORTE"/>
      <sheetName val="APU COLECTOR-SUR"/>
      <sheetName val="APU Redes Secundarias  NORTE"/>
      <sheetName val="APU Redes Secundarias  SUR"/>
      <sheetName val="APU DOMICILIARES"/>
      <sheetName val="PRESUPUESTO PTAR"/>
      <sheetName val="APU PTAR"/>
      <sheetName val="SUB APU"/>
    </sheetNames>
    <sheetDataSet>
      <sheetData sheetId="0" refreshError="1"/>
      <sheetData sheetId="1" refreshError="1"/>
      <sheetData sheetId="2" refreshError="1"/>
      <sheetData sheetId="3" refreshError="1">
        <row r="66">
          <cell r="D66">
            <v>20400</v>
          </cell>
        </row>
        <row r="80">
          <cell r="D80">
            <v>1989</v>
          </cell>
        </row>
        <row r="120">
          <cell r="D120">
            <v>111448</v>
          </cell>
        </row>
        <row r="228">
          <cell r="D228">
            <v>23536</v>
          </cell>
        </row>
        <row r="354">
          <cell r="D354">
            <v>3006.96</v>
          </cell>
        </row>
        <row r="443">
          <cell r="D443">
            <v>352000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Sábana"/>
      <sheetName val="Base de Diseño"/>
      <sheetName val="LISTA CÓDIGOS"/>
      <sheetName val="BASE APU"/>
      <sheetName val="MANO DE OBRA"/>
      <sheetName val="EQUIPOS"/>
      <sheetName val="MATERIALES"/>
      <sheetName val="ESTRUCTURAS"/>
      <sheetName val="TRANSPORTE"/>
    </sheetNames>
    <sheetDataSet>
      <sheetData sheetId="0"/>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RESIDUAL"/>
      <sheetName val="APU_ASSA"/>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MICRO"/>
      <sheetName val="RESUMEN OBRAS"/>
      <sheetName val="BASE"/>
      <sheetName val="BASE CTOS"/>
      <sheetName val="PRIORIZ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8">
          <cell r="D8">
            <v>0.66280000000000017</v>
          </cell>
        </row>
      </sheetData>
      <sheetData sheetId="19" refreshError="1"/>
      <sheetData sheetId="2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Plan Ejecución 2022"/>
      <sheetName val="Plan Ejecución 2022 (2)"/>
      <sheetName val="PE PSP"/>
      <sheetName val="Presupuesto Contrato"/>
      <sheetName val="Ppto PSP"/>
      <sheetName val="Presupuesto Convenio 2023"/>
      <sheetName val="Memoria de cálculo O1"/>
      <sheetName val="Memoria de cálculo O2"/>
      <sheetName val="Memoria de cálculo 2022"/>
      <sheetName val="Memoria de cálculo 2023"/>
      <sheetName val="Estudio de mercado"/>
      <sheetName val="Gastos de adm"/>
      <sheetName val="Bienes relevantes"/>
      <sheetName val="Propuesta económica O1"/>
      <sheetName val="Propuesta económica O2"/>
      <sheetName val="Propuesta económica O3"/>
      <sheetName val="PAB CA"/>
      <sheetName val="Evaluación financiera"/>
      <sheetName val="SHU"/>
      <sheetName val="DEDICACIONES PERSONALES "/>
      <sheetName val="PAB CR"/>
      <sheetName val="Habilitados - SI"/>
      <sheetName val="A. Lances - SIP"/>
      <sheetName val="D. Lances - SIP"/>
      <sheetName val="DD. Lances - SIP"/>
      <sheetName val="Honorarios"/>
      <sheetName val="Gtos DyM"/>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efreshError="1">
        <row r="3">
          <cell r="G3" t="str">
            <v>VERSIÓN: 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ejecución"/>
      <sheetName val="Presupuesto Convenio "/>
      <sheetName val="ppto sistema septico"/>
      <sheetName val="FICHAS "/>
      <sheetName val="A.P.U. 2020"/>
      <sheetName val="BASE SALARIOS 2020"/>
      <sheetName val="FP 2018"/>
      <sheetName val="A.U"/>
      <sheetName val="Administracion"/>
    </sheetNames>
    <sheetDataSet>
      <sheetData sheetId="0" refreshError="1"/>
      <sheetData sheetId="1" refreshError="1"/>
      <sheetData sheetId="2" refreshError="1"/>
      <sheetData sheetId="3">
        <row r="106">
          <cell r="O106">
            <v>0</v>
          </cell>
          <cell r="P106">
            <v>0</v>
          </cell>
          <cell r="Q106">
            <v>0</v>
          </cell>
          <cell r="R106">
            <v>0</v>
          </cell>
          <cell r="S106">
            <v>0</v>
          </cell>
          <cell r="T106">
            <v>0</v>
          </cell>
          <cell r="U106">
            <v>0</v>
          </cell>
          <cell r="V106">
            <v>0</v>
          </cell>
        </row>
      </sheetData>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homecenter.com.co/homecenter-co/category/cat5820029/tejas-traslucidas/" TargetMode="External"/><Relationship Id="rId7" Type="http://schemas.openxmlformats.org/officeDocument/2006/relationships/comments" Target="../comments6.xml"/><Relationship Id="rId2" Type="http://schemas.openxmlformats.org/officeDocument/2006/relationships/hyperlink" Target="https://www.homecenter.com.co/homecenter-co/category/cat6040001/pinturas-especializadas-e-industriales/" TargetMode="External"/><Relationship Id="rId1" Type="http://schemas.openxmlformats.org/officeDocument/2006/relationships/hyperlink" Target="https://www.hidroequipos.com.co/valvulas.html" TargetMode="External"/><Relationship Id="rId6" Type="http://schemas.openxmlformats.org/officeDocument/2006/relationships/vmlDrawing" Target="../drawings/vmlDrawing6.vml"/><Relationship Id="rId5" Type="http://schemas.openxmlformats.org/officeDocument/2006/relationships/drawing" Target="../drawings/drawing4.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O51"/>
  <sheetViews>
    <sheetView showGridLines="0" zoomScale="80" zoomScaleNormal="80" zoomScaleSheetLayoutView="80" workbookViewId="0">
      <selection activeCell="E23" sqref="E23"/>
    </sheetView>
  </sheetViews>
  <sheetFormatPr baseColWidth="10" defaultColWidth="10.33203125" defaultRowHeight="18" customHeight="1"/>
  <cols>
    <col min="1" max="1" width="25.83203125" style="775" customWidth="1"/>
    <col min="2" max="2" width="29.1640625" style="775" customWidth="1"/>
    <col min="3" max="3" width="17.5" style="775" customWidth="1"/>
    <col min="4" max="4" width="16.83203125" style="812" customWidth="1"/>
    <col min="5" max="5" width="23.33203125" style="775" customWidth="1"/>
    <col min="6" max="6" width="19.5" style="775" customWidth="1"/>
    <col min="7" max="7" width="24.33203125" style="775" customWidth="1"/>
    <col min="8" max="12" width="19.5" style="775" customWidth="1"/>
    <col min="13" max="28" width="19.5" style="775" hidden="1" customWidth="1"/>
    <col min="29" max="29" width="19.5" style="775" customWidth="1"/>
    <col min="30" max="30" width="13.1640625" style="775" customWidth="1"/>
    <col min="31" max="266" width="10.33203125" style="775"/>
    <col min="267" max="267" width="14" style="775" customWidth="1"/>
    <col min="268" max="268" width="26.5" style="775" customWidth="1"/>
    <col min="269" max="269" width="13" style="775" customWidth="1"/>
    <col min="270" max="270" width="14.5" style="775" customWidth="1"/>
    <col min="271" max="271" width="14" style="775" customWidth="1"/>
    <col min="272" max="275" width="11.1640625" style="775" bestFit="1" customWidth="1"/>
    <col min="276" max="282" width="11.1640625" style="775" customWidth="1"/>
    <col min="283" max="283" width="11.1640625" style="775" bestFit="1" customWidth="1"/>
    <col min="284" max="284" width="15" style="775" customWidth="1"/>
    <col min="285" max="522" width="10.33203125" style="775"/>
    <col min="523" max="523" width="14" style="775" customWidth="1"/>
    <col min="524" max="524" width="26.5" style="775" customWidth="1"/>
    <col min="525" max="525" width="13" style="775" customWidth="1"/>
    <col min="526" max="526" width="14.5" style="775" customWidth="1"/>
    <col min="527" max="527" width="14" style="775" customWidth="1"/>
    <col min="528" max="531" width="11.1640625" style="775" bestFit="1" customWidth="1"/>
    <col min="532" max="538" width="11.1640625" style="775" customWidth="1"/>
    <col min="539" max="539" width="11.1640625" style="775" bestFit="1" customWidth="1"/>
    <col min="540" max="540" width="15" style="775" customWidth="1"/>
    <col min="541" max="778" width="10.33203125" style="775"/>
    <col min="779" max="779" width="14" style="775" customWidth="1"/>
    <col min="780" max="780" width="26.5" style="775" customWidth="1"/>
    <col min="781" max="781" width="13" style="775" customWidth="1"/>
    <col min="782" max="782" width="14.5" style="775" customWidth="1"/>
    <col min="783" max="783" width="14" style="775" customWidth="1"/>
    <col min="784" max="787" width="11.1640625" style="775" bestFit="1" customWidth="1"/>
    <col min="788" max="794" width="11.1640625" style="775" customWidth="1"/>
    <col min="795" max="795" width="11.1640625" style="775" bestFit="1" customWidth="1"/>
    <col min="796" max="796" width="15" style="775" customWidth="1"/>
    <col min="797" max="1034" width="10.33203125" style="775"/>
    <col min="1035" max="1035" width="14" style="775" customWidth="1"/>
    <col min="1036" max="1036" width="26.5" style="775" customWidth="1"/>
    <col min="1037" max="1037" width="13" style="775" customWidth="1"/>
    <col min="1038" max="1038" width="14.5" style="775" customWidth="1"/>
    <col min="1039" max="1039" width="14" style="775" customWidth="1"/>
    <col min="1040" max="1043" width="11.1640625" style="775" bestFit="1" customWidth="1"/>
    <col min="1044" max="1050" width="11.1640625" style="775" customWidth="1"/>
    <col min="1051" max="1051" width="11.1640625" style="775" bestFit="1" customWidth="1"/>
    <col min="1052" max="1052" width="15" style="775" customWidth="1"/>
    <col min="1053" max="1290" width="10.33203125" style="775"/>
    <col min="1291" max="1291" width="14" style="775" customWidth="1"/>
    <col min="1292" max="1292" width="26.5" style="775" customWidth="1"/>
    <col min="1293" max="1293" width="13" style="775" customWidth="1"/>
    <col min="1294" max="1294" width="14.5" style="775" customWidth="1"/>
    <col min="1295" max="1295" width="14" style="775" customWidth="1"/>
    <col min="1296" max="1299" width="11.1640625" style="775" bestFit="1" customWidth="1"/>
    <col min="1300" max="1306" width="11.1640625" style="775" customWidth="1"/>
    <col min="1307" max="1307" width="11.1640625" style="775" bestFit="1" customWidth="1"/>
    <col min="1308" max="1308" width="15" style="775" customWidth="1"/>
    <col min="1309" max="1546" width="10.33203125" style="775"/>
    <col min="1547" max="1547" width="14" style="775" customWidth="1"/>
    <col min="1548" max="1548" width="26.5" style="775" customWidth="1"/>
    <col min="1549" max="1549" width="13" style="775" customWidth="1"/>
    <col min="1550" max="1550" width="14.5" style="775" customWidth="1"/>
    <col min="1551" max="1551" width="14" style="775" customWidth="1"/>
    <col min="1552" max="1555" width="11.1640625" style="775" bestFit="1" customWidth="1"/>
    <col min="1556" max="1562" width="11.1640625" style="775" customWidth="1"/>
    <col min="1563" max="1563" width="11.1640625" style="775" bestFit="1" customWidth="1"/>
    <col min="1564" max="1564" width="15" style="775" customWidth="1"/>
    <col min="1565" max="1802" width="10.33203125" style="775"/>
    <col min="1803" max="1803" width="14" style="775" customWidth="1"/>
    <col min="1804" max="1804" width="26.5" style="775" customWidth="1"/>
    <col min="1805" max="1805" width="13" style="775" customWidth="1"/>
    <col min="1806" max="1806" width="14.5" style="775" customWidth="1"/>
    <col min="1807" max="1807" width="14" style="775" customWidth="1"/>
    <col min="1808" max="1811" width="11.1640625" style="775" bestFit="1" customWidth="1"/>
    <col min="1812" max="1818" width="11.1640625" style="775" customWidth="1"/>
    <col min="1819" max="1819" width="11.1640625" style="775" bestFit="1" customWidth="1"/>
    <col min="1820" max="1820" width="15" style="775" customWidth="1"/>
    <col min="1821" max="2058" width="10.33203125" style="775"/>
    <col min="2059" max="2059" width="14" style="775" customWidth="1"/>
    <col min="2060" max="2060" width="26.5" style="775" customWidth="1"/>
    <col min="2061" max="2061" width="13" style="775" customWidth="1"/>
    <col min="2062" max="2062" width="14.5" style="775" customWidth="1"/>
    <col min="2063" max="2063" width="14" style="775" customWidth="1"/>
    <col min="2064" max="2067" width="11.1640625" style="775" bestFit="1" customWidth="1"/>
    <col min="2068" max="2074" width="11.1640625" style="775" customWidth="1"/>
    <col min="2075" max="2075" width="11.1640625" style="775" bestFit="1" customWidth="1"/>
    <col min="2076" max="2076" width="15" style="775" customWidth="1"/>
    <col min="2077" max="2314" width="10.33203125" style="775"/>
    <col min="2315" max="2315" width="14" style="775" customWidth="1"/>
    <col min="2316" max="2316" width="26.5" style="775" customWidth="1"/>
    <col min="2317" max="2317" width="13" style="775" customWidth="1"/>
    <col min="2318" max="2318" width="14.5" style="775" customWidth="1"/>
    <col min="2319" max="2319" width="14" style="775" customWidth="1"/>
    <col min="2320" max="2323" width="11.1640625" style="775" bestFit="1" customWidth="1"/>
    <col min="2324" max="2330" width="11.1640625" style="775" customWidth="1"/>
    <col min="2331" max="2331" width="11.1640625" style="775" bestFit="1" customWidth="1"/>
    <col min="2332" max="2332" width="15" style="775" customWidth="1"/>
    <col min="2333" max="2570" width="10.33203125" style="775"/>
    <col min="2571" max="2571" width="14" style="775" customWidth="1"/>
    <col min="2572" max="2572" width="26.5" style="775" customWidth="1"/>
    <col min="2573" max="2573" width="13" style="775" customWidth="1"/>
    <col min="2574" max="2574" width="14.5" style="775" customWidth="1"/>
    <col min="2575" max="2575" width="14" style="775" customWidth="1"/>
    <col min="2576" max="2579" width="11.1640625" style="775" bestFit="1" customWidth="1"/>
    <col min="2580" max="2586" width="11.1640625" style="775" customWidth="1"/>
    <col min="2587" max="2587" width="11.1640625" style="775" bestFit="1" customWidth="1"/>
    <col min="2588" max="2588" width="15" style="775" customWidth="1"/>
    <col min="2589" max="2826" width="10.33203125" style="775"/>
    <col min="2827" max="2827" width="14" style="775" customWidth="1"/>
    <col min="2828" max="2828" width="26.5" style="775" customWidth="1"/>
    <col min="2829" max="2829" width="13" style="775" customWidth="1"/>
    <col min="2830" max="2830" width="14.5" style="775" customWidth="1"/>
    <col min="2831" max="2831" width="14" style="775" customWidth="1"/>
    <col min="2832" max="2835" width="11.1640625" style="775" bestFit="1" customWidth="1"/>
    <col min="2836" max="2842" width="11.1640625" style="775" customWidth="1"/>
    <col min="2843" max="2843" width="11.1640625" style="775" bestFit="1" customWidth="1"/>
    <col min="2844" max="2844" width="15" style="775" customWidth="1"/>
    <col min="2845" max="3082" width="10.33203125" style="775"/>
    <col min="3083" max="3083" width="14" style="775" customWidth="1"/>
    <col min="3084" max="3084" width="26.5" style="775" customWidth="1"/>
    <col min="3085" max="3085" width="13" style="775" customWidth="1"/>
    <col min="3086" max="3086" width="14.5" style="775" customWidth="1"/>
    <col min="3087" max="3087" width="14" style="775" customWidth="1"/>
    <col min="3088" max="3091" width="11.1640625" style="775" bestFit="1" customWidth="1"/>
    <col min="3092" max="3098" width="11.1640625" style="775" customWidth="1"/>
    <col min="3099" max="3099" width="11.1640625" style="775" bestFit="1" customWidth="1"/>
    <col min="3100" max="3100" width="15" style="775" customWidth="1"/>
    <col min="3101" max="3338" width="10.33203125" style="775"/>
    <col min="3339" max="3339" width="14" style="775" customWidth="1"/>
    <col min="3340" max="3340" width="26.5" style="775" customWidth="1"/>
    <col min="3341" max="3341" width="13" style="775" customWidth="1"/>
    <col min="3342" max="3342" width="14.5" style="775" customWidth="1"/>
    <col min="3343" max="3343" width="14" style="775" customWidth="1"/>
    <col min="3344" max="3347" width="11.1640625" style="775" bestFit="1" customWidth="1"/>
    <col min="3348" max="3354" width="11.1640625" style="775" customWidth="1"/>
    <col min="3355" max="3355" width="11.1640625" style="775" bestFit="1" customWidth="1"/>
    <col min="3356" max="3356" width="15" style="775" customWidth="1"/>
    <col min="3357" max="3594" width="10.33203125" style="775"/>
    <col min="3595" max="3595" width="14" style="775" customWidth="1"/>
    <col min="3596" max="3596" width="26.5" style="775" customWidth="1"/>
    <col min="3597" max="3597" width="13" style="775" customWidth="1"/>
    <col min="3598" max="3598" width="14.5" style="775" customWidth="1"/>
    <col min="3599" max="3599" width="14" style="775" customWidth="1"/>
    <col min="3600" max="3603" width="11.1640625" style="775" bestFit="1" customWidth="1"/>
    <col min="3604" max="3610" width="11.1640625" style="775" customWidth="1"/>
    <col min="3611" max="3611" width="11.1640625" style="775" bestFit="1" customWidth="1"/>
    <col min="3612" max="3612" width="15" style="775" customWidth="1"/>
    <col min="3613" max="3850" width="10.33203125" style="775"/>
    <col min="3851" max="3851" width="14" style="775" customWidth="1"/>
    <col min="3852" max="3852" width="26.5" style="775" customWidth="1"/>
    <col min="3853" max="3853" width="13" style="775" customWidth="1"/>
    <col min="3854" max="3854" width="14.5" style="775" customWidth="1"/>
    <col min="3855" max="3855" width="14" style="775" customWidth="1"/>
    <col min="3856" max="3859" width="11.1640625" style="775" bestFit="1" customWidth="1"/>
    <col min="3860" max="3866" width="11.1640625" style="775" customWidth="1"/>
    <col min="3867" max="3867" width="11.1640625" style="775" bestFit="1" customWidth="1"/>
    <col min="3868" max="3868" width="15" style="775" customWidth="1"/>
    <col min="3869" max="4106" width="10.33203125" style="775"/>
    <col min="4107" max="4107" width="14" style="775" customWidth="1"/>
    <col min="4108" max="4108" width="26.5" style="775" customWidth="1"/>
    <col min="4109" max="4109" width="13" style="775" customWidth="1"/>
    <col min="4110" max="4110" width="14.5" style="775" customWidth="1"/>
    <col min="4111" max="4111" width="14" style="775" customWidth="1"/>
    <col min="4112" max="4115" width="11.1640625" style="775" bestFit="1" customWidth="1"/>
    <col min="4116" max="4122" width="11.1640625" style="775" customWidth="1"/>
    <col min="4123" max="4123" width="11.1640625" style="775" bestFit="1" customWidth="1"/>
    <col min="4124" max="4124" width="15" style="775" customWidth="1"/>
    <col min="4125" max="4362" width="10.33203125" style="775"/>
    <col min="4363" max="4363" width="14" style="775" customWidth="1"/>
    <col min="4364" max="4364" width="26.5" style="775" customWidth="1"/>
    <col min="4365" max="4365" width="13" style="775" customWidth="1"/>
    <col min="4366" max="4366" width="14.5" style="775" customWidth="1"/>
    <col min="4367" max="4367" width="14" style="775" customWidth="1"/>
    <col min="4368" max="4371" width="11.1640625" style="775" bestFit="1" customWidth="1"/>
    <col min="4372" max="4378" width="11.1640625" style="775" customWidth="1"/>
    <col min="4379" max="4379" width="11.1640625" style="775" bestFit="1" customWidth="1"/>
    <col min="4380" max="4380" width="15" style="775" customWidth="1"/>
    <col min="4381" max="4618" width="10.33203125" style="775"/>
    <col min="4619" max="4619" width="14" style="775" customWidth="1"/>
    <col min="4620" max="4620" width="26.5" style="775" customWidth="1"/>
    <col min="4621" max="4621" width="13" style="775" customWidth="1"/>
    <col min="4622" max="4622" width="14.5" style="775" customWidth="1"/>
    <col min="4623" max="4623" width="14" style="775" customWidth="1"/>
    <col min="4624" max="4627" width="11.1640625" style="775" bestFit="1" customWidth="1"/>
    <col min="4628" max="4634" width="11.1640625" style="775" customWidth="1"/>
    <col min="4635" max="4635" width="11.1640625" style="775" bestFit="1" customWidth="1"/>
    <col min="4636" max="4636" width="15" style="775" customWidth="1"/>
    <col min="4637" max="4874" width="10.33203125" style="775"/>
    <col min="4875" max="4875" width="14" style="775" customWidth="1"/>
    <col min="4876" max="4876" width="26.5" style="775" customWidth="1"/>
    <col min="4877" max="4877" width="13" style="775" customWidth="1"/>
    <col min="4878" max="4878" width="14.5" style="775" customWidth="1"/>
    <col min="4879" max="4879" width="14" style="775" customWidth="1"/>
    <col min="4880" max="4883" width="11.1640625" style="775" bestFit="1" customWidth="1"/>
    <col min="4884" max="4890" width="11.1640625" style="775" customWidth="1"/>
    <col min="4891" max="4891" width="11.1640625" style="775" bestFit="1" customWidth="1"/>
    <col min="4892" max="4892" width="15" style="775" customWidth="1"/>
    <col min="4893" max="5130" width="10.33203125" style="775"/>
    <col min="5131" max="5131" width="14" style="775" customWidth="1"/>
    <col min="5132" max="5132" width="26.5" style="775" customWidth="1"/>
    <col min="5133" max="5133" width="13" style="775" customWidth="1"/>
    <col min="5134" max="5134" width="14.5" style="775" customWidth="1"/>
    <col min="5135" max="5135" width="14" style="775" customWidth="1"/>
    <col min="5136" max="5139" width="11.1640625" style="775" bestFit="1" customWidth="1"/>
    <col min="5140" max="5146" width="11.1640625" style="775" customWidth="1"/>
    <col min="5147" max="5147" width="11.1640625" style="775" bestFit="1" customWidth="1"/>
    <col min="5148" max="5148" width="15" style="775" customWidth="1"/>
    <col min="5149" max="5386" width="10.33203125" style="775"/>
    <col min="5387" max="5387" width="14" style="775" customWidth="1"/>
    <col min="5388" max="5388" width="26.5" style="775" customWidth="1"/>
    <col min="5389" max="5389" width="13" style="775" customWidth="1"/>
    <col min="5390" max="5390" width="14.5" style="775" customWidth="1"/>
    <col min="5391" max="5391" width="14" style="775" customWidth="1"/>
    <col min="5392" max="5395" width="11.1640625" style="775" bestFit="1" customWidth="1"/>
    <col min="5396" max="5402" width="11.1640625" style="775" customWidth="1"/>
    <col min="5403" max="5403" width="11.1640625" style="775" bestFit="1" customWidth="1"/>
    <col min="5404" max="5404" width="15" style="775" customWidth="1"/>
    <col min="5405" max="5642" width="10.33203125" style="775"/>
    <col min="5643" max="5643" width="14" style="775" customWidth="1"/>
    <col min="5644" max="5644" width="26.5" style="775" customWidth="1"/>
    <col min="5645" max="5645" width="13" style="775" customWidth="1"/>
    <col min="5646" max="5646" width="14.5" style="775" customWidth="1"/>
    <col min="5647" max="5647" width="14" style="775" customWidth="1"/>
    <col min="5648" max="5651" width="11.1640625" style="775" bestFit="1" customWidth="1"/>
    <col min="5652" max="5658" width="11.1640625" style="775" customWidth="1"/>
    <col min="5659" max="5659" width="11.1640625" style="775" bestFit="1" customWidth="1"/>
    <col min="5660" max="5660" width="15" style="775" customWidth="1"/>
    <col min="5661" max="5898" width="10.33203125" style="775"/>
    <col min="5899" max="5899" width="14" style="775" customWidth="1"/>
    <col min="5900" max="5900" width="26.5" style="775" customWidth="1"/>
    <col min="5901" max="5901" width="13" style="775" customWidth="1"/>
    <col min="5902" max="5902" width="14.5" style="775" customWidth="1"/>
    <col min="5903" max="5903" width="14" style="775" customWidth="1"/>
    <col min="5904" max="5907" width="11.1640625" style="775" bestFit="1" customWidth="1"/>
    <col min="5908" max="5914" width="11.1640625" style="775" customWidth="1"/>
    <col min="5915" max="5915" width="11.1640625" style="775" bestFit="1" customWidth="1"/>
    <col min="5916" max="5916" width="15" style="775" customWidth="1"/>
    <col min="5917" max="6154" width="10.33203125" style="775"/>
    <col min="6155" max="6155" width="14" style="775" customWidth="1"/>
    <col min="6156" max="6156" width="26.5" style="775" customWidth="1"/>
    <col min="6157" max="6157" width="13" style="775" customWidth="1"/>
    <col min="6158" max="6158" width="14.5" style="775" customWidth="1"/>
    <col min="6159" max="6159" width="14" style="775" customWidth="1"/>
    <col min="6160" max="6163" width="11.1640625" style="775" bestFit="1" customWidth="1"/>
    <col min="6164" max="6170" width="11.1640625" style="775" customWidth="1"/>
    <col min="6171" max="6171" width="11.1640625" style="775" bestFit="1" customWidth="1"/>
    <col min="6172" max="6172" width="15" style="775" customWidth="1"/>
    <col min="6173" max="6410" width="10.33203125" style="775"/>
    <col min="6411" max="6411" width="14" style="775" customWidth="1"/>
    <col min="6412" max="6412" width="26.5" style="775" customWidth="1"/>
    <col min="6413" max="6413" width="13" style="775" customWidth="1"/>
    <col min="6414" max="6414" width="14.5" style="775" customWidth="1"/>
    <col min="6415" max="6415" width="14" style="775" customWidth="1"/>
    <col min="6416" max="6419" width="11.1640625" style="775" bestFit="1" customWidth="1"/>
    <col min="6420" max="6426" width="11.1640625" style="775" customWidth="1"/>
    <col min="6427" max="6427" width="11.1640625" style="775" bestFit="1" customWidth="1"/>
    <col min="6428" max="6428" width="15" style="775" customWidth="1"/>
    <col min="6429" max="6666" width="10.33203125" style="775"/>
    <col min="6667" max="6667" width="14" style="775" customWidth="1"/>
    <col min="6668" max="6668" width="26.5" style="775" customWidth="1"/>
    <col min="6669" max="6669" width="13" style="775" customWidth="1"/>
    <col min="6670" max="6670" width="14.5" style="775" customWidth="1"/>
    <col min="6671" max="6671" width="14" style="775" customWidth="1"/>
    <col min="6672" max="6675" width="11.1640625" style="775" bestFit="1" customWidth="1"/>
    <col min="6676" max="6682" width="11.1640625" style="775" customWidth="1"/>
    <col min="6683" max="6683" width="11.1640625" style="775" bestFit="1" customWidth="1"/>
    <col min="6684" max="6684" width="15" style="775" customWidth="1"/>
    <col min="6685" max="6922" width="10.33203125" style="775"/>
    <col min="6923" max="6923" width="14" style="775" customWidth="1"/>
    <col min="6924" max="6924" width="26.5" style="775" customWidth="1"/>
    <col min="6925" max="6925" width="13" style="775" customWidth="1"/>
    <col min="6926" max="6926" width="14.5" style="775" customWidth="1"/>
    <col min="6927" max="6927" width="14" style="775" customWidth="1"/>
    <col min="6928" max="6931" width="11.1640625" style="775" bestFit="1" customWidth="1"/>
    <col min="6932" max="6938" width="11.1640625" style="775" customWidth="1"/>
    <col min="6939" max="6939" width="11.1640625" style="775" bestFit="1" customWidth="1"/>
    <col min="6940" max="6940" width="15" style="775" customWidth="1"/>
    <col min="6941" max="7178" width="10.33203125" style="775"/>
    <col min="7179" max="7179" width="14" style="775" customWidth="1"/>
    <col min="7180" max="7180" width="26.5" style="775" customWidth="1"/>
    <col min="7181" max="7181" width="13" style="775" customWidth="1"/>
    <col min="7182" max="7182" width="14.5" style="775" customWidth="1"/>
    <col min="7183" max="7183" width="14" style="775" customWidth="1"/>
    <col min="7184" max="7187" width="11.1640625" style="775" bestFit="1" customWidth="1"/>
    <col min="7188" max="7194" width="11.1640625" style="775" customWidth="1"/>
    <col min="7195" max="7195" width="11.1640625" style="775" bestFit="1" customWidth="1"/>
    <col min="7196" max="7196" width="15" style="775" customWidth="1"/>
    <col min="7197" max="7434" width="10.33203125" style="775"/>
    <col min="7435" max="7435" width="14" style="775" customWidth="1"/>
    <col min="7436" max="7436" width="26.5" style="775" customWidth="1"/>
    <col min="7437" max="7437" width="13" style="775" customWidth="1"/>
    <col min="7438" max="7438" width="14.5" style="775" customWidth="1"/>
    <col min="7439" max="7439" width="14" style="775" customWidth="1"/>
    <col min="7440" max="7443" width="11.1640625" style="775" bestFit="1" customWidth="1"/>
    <col min="7444" max="7450" width="11.1640625" style="775" customWidth="1"/>
    <col min="7451" max="7451" width="11.1640625" style="775" bestFit="1" customWidth="1"/>
    <col min="7452" max="7452" width="15" style="775" customWidth="1"/>
    <col min="7453" max="7690" width="10.33203125" style="775"/>
    <col min="7691" max="7691" width="14" style="775" customWidth="1"/>
    <col min="7692" max="7692" width="26.5" style="775" customWidth="1"/>
    <col min="7693" max="7693" width="13" style="775" customWidth="1"/>
    <col min="7694" max="7694" width="14.5" style="775" customWidth="1"/>
    <col min="7695" max="7695" width="14" style="775" customWidth="1"/>
    <col min="7696" max="7699" width="11.1640625" style="775" bestFit="1" customWidth="1"/>
    <col min="7700" max="7706" width="11.1640625" style="775" customWidth="1"/>
    <col min="7707" max="7707" width="11.1640625" style="775" bestFit="1" customWidth="1"/>
    <col min="7708" max="7708" width="15" style="775" customWidth="1"/>
    <col min="7709" max="7946" width="10.33203125" style="775"/>
    <col min="7947" max="7947" width="14" style="775" customWidth="1"/>
    <col min="7948" max="7948" width="26.5" style="775" customWidth="1"/>
    <col min="7949" max="7949" width="13" style="775" customWidth="1"/>
    <col min="7950" max="7950" width="14.5" style="775" customWidth="1"/>
    <col min="7951" max="7951" width="14" style="775" customWidth="1"/>
    <col min="7952" max="7955" width="11.1640625" style="775" bestFit="1" customWidth="1"/>
    <col min="7956" max="7962" width="11.1640625" style="775" customWidth="1"/>
    <col min="7963" max="7963" width="11.1640625" style="775" bestFit="1" customWidth="1"/>
    <col min="7964" max="7964" width="15" style="775" customWidth="1"/>
    <col min="7965" max="8202" width="10.33203125" style="775"/>
    <col min="8203" max="8203" width="14" style="775" customWidth="1"/>
    <col min="8204" max="8204" width="26.5" style="775" customWidth="1"/>
    <col min="8205" max="8205" width="13" style="775" customWidth="1"/>
    <col min="8206" max="8206" width="14.5" style="775" customWidth="1"/>
    <col min="8207" max="8207" width="14" style="775" customWidth="1"/>
    <col min="8208" max="8211" width="11.1640625" style="775" bestFit="1" customWidth="1"/>
    <col min="8212" max="8218" width="11.1640625" style="775" customWidth="1"/>
    <col min="8219" max="8219" width="11.1640625" style="775" bestFit="1" customWidth="1"/>
    <col min="8220" max="8220" width="15" style="775" customWidth="1"/>
    <col min="8221" max="8458" width="10.33203125" style="775"/>
    <col min="8459" max="8459" width="14" style="775" customWidth="1"/>
    <col min="8460" max="8460" width="26.5" style="775" customWidth="1"/>
    <col min="8461" max="8461" width="13" style="775" customWidth="1"/>
    <col min="8462" max="8462" width="14.5" style="775" customWidth="1"/>
    <col min="8463" max="8463" width="14" style="775" customWidth="1"/>
    <col min="8464" max="8467" width="11.1640625" style="775" bestFit="1" customWidth="1"/>
    <col min="8468" max="8474" width="11.1640625" style="775" customWidth="1"/>
    <col min="8475" max="8475" width="11.1640625" style="775" bestFit="1" customWidth="1"/>
    <col min="8476" max="8476" width="15" style="775" customWidth="1"/>
    <col min="8477" max="8714" width="10.33203125" style="775"/>
    <col min="8715" max="8715" width="14" style="775" customWidth="1"/>
    <col min="8716" max="8716" width="26.5" style="775" customWidth="1"/>
    <col min="8717" max="8717" width="13" style="775" customWidth="1"/>
    <col min="8718" max="8718" width="14.5" style="775" customWidth="1"/>
    <col min="8719" max="8719" width="14" style="775" customWidth="1"/>
    <col min="8720" max="8723" width="11.1640625" style="775" bestFit="1" customWidth="1"/>
    <col min="8724" max="8730" width="11.1640625" style="775" customWidth="1"/>
    <col min="8731" max="8731" width="11.1640625" style="775" bestFit="1" customWidth="1"/>
    <col min="8732" max="8732" width="15" style="775" customWidth="1"/>
    <col min="8733" max="8970" width="10.33203125" style="775"/>
    <col min="8971" max="8971" width="14" style="775" customWidth="1"/>
    <col min="8972" max="8972" width="26.5" style="775" customWidth="1"/>
    <col min="8973" max="8973" width="13" style="775" customWidth="1"/>
    <col min="8974" max="8974" width="14.5" style="775" customWidth="1"/>
    <col min="8975" max="8975" width="14" style="775" customWidth="1"/>
    <col min="8976" max="8979" width="11.1640625" style="775" bestFit="1" customWidth="1"/>
    <col min="8980" max="8986" width="11.1640625" style="775" customWidth="1"/>
    <col min="8987" max="8987" width="11.1640625" style="775" bestFit="1" customWidth="1"/>
    <col min="8988" max="8988" width="15" style="775" customWidth="1"/>
    <col min="8989" max="9226" width="10.33203125" style="775"/>
    <col min="9227" max="9227" width="14" style="775" customWidth="1"/>
    <col min="9228" max="9228" width="26.5" style="775" customWidth="1"/>
    <col min="9229" max="9229" width="13" style="775" customWidth="1"/>
    <col min="9230" max="9230" width="14.5" style="775" customWidth="1"/>
    <col min="9231" max="9231" width="14" style="775" customWidth="1"/>
    <col min="9232" max="9235" width="11.1640625" style="775" bestFit="1" customWidth="1"/>
    <col min="9236" max="9242" width="11.1640625" style="775" customWidth="1"/>
    <col min="9243" max="9243" width="11.1640625" style="775" bestFit="1" customWidth="1"/>
    <col min="9244" max="9244" width="15" style="775" customWidth="1"/>
    <col min="9245" max="9482" width="10.33203125" style="775"/>
    <col min="9483" max="9483" width="14" style="775" customWidth="1"/>
    <col min="9484" max="9484" width="26.5" style="775" customWidth="1"/>
    <col min="9485" max="9485" width="13" style="775" customWidth="1"/>
    <col min="9486" max="9486" width="14.5" style="775" customWidth="1"/>
    <col min="9487" max="9487" width="14" style="775" customWidth="1"/>
    <col min="9488" max="9491" width="11.1640625" style="775" bestFit="1" customWidth="1"/>
    <col min="9492" max="9498" width="11.1640625" style="775" customWidth="1"/>
    <col min="9499" max="9499" width="11.1640625" style="775" bestFit="1" customWidth="1"/>
    <col min="9500" max="9500" width="15" style="775" customWidth="1"/>
    <col min="9501" max="9738" width="10.33203125" style="775"/>
    <col min="9739" max="9739" width="14" style="775" customWidth="1"/>
    <col min="9740" max="9740" width="26.5" style="775" customWidth="1"/>
    <col min="9741" max="9741" width="13" style="775" customWidth="1"/>
    <col min="9742" max="9742" width="14.5" style="775" customWidth="1"/>
    <col min="9743" max="9743" width="14" style="775" customWidth="1"/>
    <col min="9744" max="9747" width="11.1640625" style="775" bestFit="1" customWidth="1"/>
    <col min="9748" max="9754" width="11.1640625" style="775" customWidth="1"/>
    <col min="9755" max="9755" width="11.1640625" style="775" bestFit="1" customWidth="1"/>
    <col min="9756" max="9756" width="15" style="775" customWidth="1"/>
    <col min="9757" max="9994" width="10.33203125" style="775"/>
    <col min="9995" max="9995" width="14" style="775" customWidth="1"/>
    <col min="9996" max="9996" width="26.5" style="775" customWidth="1"/>
    <col min="9997" max="9997" width="13" style="775" customWidth="1"/>
    <col min="9998" max="9998" width="14.5" style="775" customWidth="1"/>
    <col min="9999" max="9999" width="14" style="775" customWidth="1"/>
    <col min="10000" max="10003" width="11.1640625" style="775" bestFit="1" customWidth="1"/>
    <col min="10004" max="10010" width="11.1640625" style="775" customWidth="1"/>
    <col min="10011" max="10011" width="11.1640625" style="775" bestFit="1" customWidth="1"/>
    <col min="10012" max="10012" width="15" style="775" customWidth="1"/>
    <col min="10013" max="10250" width="10.33203125" style="775"/>
    <col min="10251" max="10251" width="14" style="775" customWidth="1"/>
    <col min="10252" max="10252" width="26.5" style="775" customWidth="1"/>
    <col min="10253" max="10253" width="13" style="775" customWidth="1"/>
    <col min="10254" max="10254" width="14.5" style="775" customWidth="1"/>
    <col min="10255" max="10255" width="14" style="775" customWidth="1"/>
    <col min="10256" max="10259" width="11.1640625" style="775" bestFit="1" customWidth="1"/>
    <col min="10260" max="10266" width="11.1640625" style="775" customWidth="1"/>
    <col min="10267" max="10267" width="11.1640625" style="775" bestFit="1" customWidth="1"/>
    <col min="10268" max="10268" width="15" style="775" customWidth="1"/>
    <col min="10269" max="10506" width="10.33203125" style="775"/>
    <col min="10507" max="10507" width="14" style="775" customWidth="1"/>
    <col min="10508" max="10508" width="26.5" style="775" customWidth="1"/>
    <col min="10509" max="10509" width="13" style="775" customWidth="1"/>
    <col min="10510" max="10510" width="14.5" style="775" customWidth="1"/>
    <col min="10511" max="10511" width="14" style="775" customWidth="1"/>
    <col min="10512" max="10515" width="11.1640625" style="775" bestFit="1" customWidth="1"/>
    <col min="10516" max="10522" width="11.1640625" style="775" customWidth="1"/>
    <col min="10523" max="10523" width="11.1640625" style="775" bestFit="1" customWidth="1"/>
    <col min="10524" max="10524" width="15" style="775" customWidth="1"/>
    <col min="10525" max="10762" width="10.33203125" style="775"/>
    <col min="10763" max="10763" width="14" style="775" customWidth="1"/>
    <col min="10764" max="10764" width="26.5" style="775" customWidth="1"/>
    <col min="10765" max="10765" width="13" style="775" customWidth="1"/>
    <col min="10766" max="10766" width="14.5" style="775" customWidth="1"/>
    <col min="10767" max="10767" width="14" style="775" customWidth="1"/>
    <col min="10768" max="10771" width="11.1640625" style="775" bestFit="1" customWidth="1"/>
    <col min="10772" max="10778" width="11.1640625" style="775" customWidth="1"/>
    <col min="10779" max="10779" width="11.1640625" style="775" bestFit="1" customWidth="1"/>
    <col min="10780" max="10780" width="15" style="775" customWidth="1"/>
    <col min="10781" max="11018" width="10.33203125" style="775"/>
    <col min="11019" max="11019" width="14" style="775" customWidth="1"/>
    <col min="11020" max="11020" width="26.5" style="775" customWidth="1"/>
    <col min="11021" max="11021" width="13" style="775" customWidth="1"/>
    <col min="11022" max="11022" width="14.5" style="775" customWidth="1"/>
    <col min="11023" max="11023" width="14" style="775" customWidth="1"/>
    <col min="11024" max="11027" width="11.1640625" style="775" bestFit="1" customWidth="1"/>
    <col min="11028" max="11034" width="11.1640625" style="775" customWidth="1"/>
    <col min="11035" max="11035" width="11.1640625" style="775" bestFit="1" customWidth="1"/>
    <col min="11036" max="11036" width="15" style="775" customWidth="1"/>
    <col min="11037" max="11274" width="10.33203125" style="775"/>
    <col min="11275" max="11275" width="14" style="775" customWidth="1"/>
    <col min="11276" max="11276" width="26.5" style="775" customWidth="1"/>
    <col min="11277" max="11277" width="13" style="775" customWidth="1"/>
    <col min="11278" max="11278" width="14.5" style="775" customWidth="1"/>
    <col min="11279" max="11279" width="14" style="775" customWidth="1"/>
    <col min="11280" max="11283" width="11.1640625" style="775" bestFit="1" customWidth="1"/>
    <col min="11284" max="11290" width="11.1640625" style="775" customWidth="1"/>
    <col min="11291" max="11291" width="11.1640625" style="775" bestFit="1" customWidth="1"/>
    <col min="11292" max="11292" width="15" style="775" customWidth="1"/>
    <col min="11293" max="11530" width="10.33203125" style="775"/>
    <col min="11531" max="11531" width="14" style="775" customWidth="1"/>
    <col min="11532" max="11532" width="26.5" style="775" customWidth="1"/>
    <col min="11533" max="11533" width="13" style="775" customWidth="1"/>
    <col min="11534" max="11534" width="14.5" style="775" customWidth="1"/>
    <col min="11535" max="11535" width="14" style="775" customWidth="1"/>
    <col min="11536" max="11539" width="11.1640625" style="775" bestFit="1" customWidth="1"/>
    <col min="11540" max="11546" width="11.1640625" style="775" customWidth="1"/>
    <col min="11547" max="11547" width="11.1640625" style="775" bestFit="1" customWidth="1"/>
    <col min="11548" max="11548" width="15" style="775" customWidth="1"/>
    <col min="11549" max="11786" width="10.33203125" style="775"/>
    <col min="11787" max="11787" width="14" style="775" customWidth="1"/>
    <col min="11788" max="11788" width="26.5" style="775" customWidth="1"/>
    <col min="11789" max="11789" width="13" style="775" customWidth="1"/>
    <col min="11790" max="11790" width="14.5" style="775" customWidth="1"/>
    <col min="11791" max="11791" width="14" style="775" customWidth="1"/>
    <col min="11792" max="11795" width="11.1640625" style="775" bestFit="1" customWidth="1"/>
    <col min="11796" max="11802" width="11.1640625" style="775" customWidth="1"/>
    <col min="11803" max="11803" width="11.1640625" style="775" bestFit="1" customWidth="1"/>
    <col min="11804" max="11804" width="15" style="775" customWidth="1"/>
    <col min="11805" max="12042" width="10.33203125" style="775"/>
    <col min="12043" max="12043" width="14" style="775" customWidth="1"/>
    <col min="12044" max="12044" width="26.5" style="775" customWidth="1"/>
    <col min="12045" max="12045" width="13" style="775" customWidth="1"/>
    <col min="12046" max="12046" width="14.5" style="775" customWidth="1"/>
    <col min="12047" max="12047" width="14" style="775" customWidth="1"/>
    <col min="12048" max="12051" width="11.1640625" style="775" bestFit="1" customWidth="1"/>
    <col min="12052" max="12058" width="11.1640625" style="775" customWidth="1"/>
    <col min="12059" max="12059" width="11.1640625" style="775" bestFit="1" customWidth="1"/>
    <col min="12060" max="12060" width="15" style="775" customWidth="1"/>
    <col min="12061" max="12298" width="10.33203125" style="775"/>
    <col min="12299" max="12299" width="14" style="775" customWidth="1"/>
    <col min="12300" max="12300" width="26.5" style="775" customWidth="1"/>
    <col min="12301" max="12301" width="13" style="775" customWidth="1"/>
    <col min="12302" max="12302" width="14.5" style="775" customWidth="1"/>
    <col min="12303" max="12303" width="14" style="775" customWidth="1"/>
    <col min="12304" max="12307" width="11.1640625" style="775" bestFit="1" customWidth="1"/>
    <col min="12308" max="12314" width="11.1640625" style="775" customWidth="1"/>
    <col min="12315" max="12315" width="11.1640625" style="775" bestFit="1" customWidth="1"/>
    <col min="12316" max="12316" width="15" style="775" customWidth="1"/>
    <col min="12317" max="12554" width="10.33203125" style="775"/>
    <col min="12555" max="12555" width="14" style="775" customWidth="1"/>
    <col min="12556" max="12556" width="26.5" style="775" customWidth="1"/>
    <col min="12557" max="12557" width="13" style="775" customWidth="1"/>
    <col min="12558" max="12558" width="14.5" style="775" customWidth="1"/>
    <col min="12559" max="12559" width="14" style="775" customWidth="1"/>
    <col min="12560" max="12563" width="11.1640625" style="775" bestFit="1" customWidth="1"/>
    <col min="12564" max="12570" width="11.1640625" style="775" customWidth="1"/>
    <col min="12571" max="12571" width="11.1640625" style="775" bestFit="1" customWidth="1"/>
    <col min="12572" max="12572" width="15" style="775" customWidth="1"/>
    <col min="12573" max="12810" width="10.33203125" style="775"/>
    <col min="12811" max="12811" width="14" style="775" customWidth="1"/>
    <col min="12812" max="12812" width="26.5" style="775" customWidth="1"/>
    <col min="12813" max="12813" width="13" style="775" customWidth="1"/>
    <col min="12814" max="12814" width="14.5" style="775" customWidth="1"/>
    <col min="12815" max="12815" width="14" style="775" customWidth="1"/>
    <col min="12816" max="12819" width="11.1640625" style="775" bestFit="1" customWidth="1"/>
    <col min="12820" max="12826" width="11.1640625" style="775" customWidth="1"/>
    <col min="12827" max="12827" width="11.1640625" style="775" bestFit="1" customWidth="1"/>
    <col min="12828" max="12828" width="15" style="775" customWidth="1"/>
    <col min="12829" max="13066" width="10.33203125" style="775"/>
    <col min="13067" max="13067" width="14" style="775" customWidth="1"/>
    <col min="13068" max="13068" width="26.5" style="775" customWidth="1"/>
    <col min="13069" max="13069" width="13" style="775" customWidth="1"/>
    <col min="13070" max="13070" width="14.5" style="775" customWidth="1"/>
    <col min="13071" max="13071" width="14" style="775" customWidth="1"/>
    <col min="13072" max="13075" width="11.1640625" style="775" bestFit="1" customWidth="1"/>
    <col min="13076" max="13082" width="11.1640625" style="775" customWidth="1"/>
    <col min="13083" max="13083" width="11.1640625" style="775" bestFit="1" customWidth="1"/>
    <col min="13084" max="13084" width="15" style="775" customWidth="1"/>
    <col min="13085" max="13322" width="10.33203125" style="775"/>
    <col min="13323" max="13323" width="14" style="775" customWidth="1"/>
    <col min="13324" max="13324" width="26.5" style="775" customWidth="1"/>
    <col min="13325" max="13325" width="13" style="775" customWidth="1"/>
    <col min="13326" max="13326" width="14.5" style="775" customWidth="1"/>
    <col min="13327" max="13327" width="14" style="775" customWidth="1"/>
    <col min="13328" max="13331" width="11.1640625" style="775" bestFit="1" customWidth="1"/>
    <col min="13332" max="13338" width="11.1640625" style="775" customWidth="1"/>
    <col min="13339" max="13339" width="11.1640625" style="775" bestFit="1" customWidth="1"/>
    <col min="13340" max="13340" width="15" style="775" customWidth="1"/>
    <col min="13341" max="13578" width="10.33203125" style="775"/>
    <col min="13579" max="13579" width="14" style="775" customWidth="1"/>
    <col min="13580" max="13580" width="26.5" style="775" customWidth="1"/>
    <col min="13581" max="13581" width="13" style="775" customWidth="1"/>
    <col min="13582" max="13582" width="14.5" style="775" customWidth="1"/>
    <col min="13583" max="13583" width="14" style="775" customWidth="1"/>
    <col min="13584" max="13587" width="11.1640625" style="775" bestFit="1" customWidth="1"/>
    <col min="13588" max="13594" width="11.1640625" style="775" customWidth="1"/>
    <col min="13595" max="13595" width="11.1640625" style="775" bestFit="1" customWidth="1"/>
    <col min="13596" max="13596" width="15" style="775" customWidth="1"/>
    <col min="13597" max="13834" width="10.33203125" style="775"/>
    <col min="13835" max="13835" width="14" style="775" customWidth="1"/>
    <col min="13836" max="13836" width="26.5" style="775" customWidth="1"/>
    <col min="13837" max="13837" width="13" style="775" customWidth="1"/>
    <col min="13838" max="13838" width="14.5" style="775" customWidth="1"/>
    <col min="13839" max="13839" width="14" style="775" customWidth="1"/>
    <col min="13840" max="13843" width="11.1640625" style="775" bestFit="1" customWidth="1"/>
    <col min="13844" max="13850" width="11.1640625" style="775" customWidth="1"/>
    <col min="13851" max="13851" width="11.1640625" style="775" bestFit="1" customWidth="1"/>
    <col min="13852" max="13852" width="15" style="775" customWidth="1"/>
    <col min="13853" max="14090" width="10.33203125" style="775"/>
    <col min="14091" max="14091" width="14" style="775" customWidth="1"/>
    <col min="14092" max="14092" width="26.5" style="775" customWidth="1"/>
    <col min="14093" max="14093" width="13" style="775" customWidth="1"/>
    <col min="14094" max="14094" width="14.5" style="775" customWidth="1"/>
    <col min="14095" max="14095" width="14" style="775" customWidth="1"/>
    <col min="14096" max="14099" width="11.1640625" style="775" bestFit="1" customWidth="1"/>
    <col min="14100" max="14106" width="11.1640625" style="775" customWidth="1"/>
    <col min="14107" max="14107" width="11.1640625" style="775" bestFit="1" customWidth="1"/>
    <col min="14108" max="14108" width="15" style="775" customWidth="1"/>
    <col min="14109" max="14346" width="10.33203125" style="775"/>
    <col min="14347" max="14347" width="14" style="775" customWidth="1"/>
    <col min="14348" max="14348" width="26.5" style="775" customWidth="1"/>
    <col min="14349" max="14349" width="13" style="775" customWidth="1"/>
    <col min="14350" max="14350" width="14.5" style="775" customWidth="1"/>
    <col min="14351" max="14351" width="14" style="775" customWidth="1"/>
    <col min="14352" max="14355" width="11.1640625" style="775" bestFit="1" customWidth="1"/>
    <col min="14356" max="14362" width="11.1640625" style="775" customWidth="1"/>
    <col min="14363" max="14363" width="11.1640625" style="775" bestFit="1" customWidth="1"/>
    <col min="14364" max="14364" width="15" style="775" customWidth="1"/>
    <col min="14365" max="14602" width="10.33203125" style="775"/>
    <col min="14603" max="14603" width="14" style="775" customWidth="1"/>
    <col min="14604" max="14604" width="26.5" style="775" customWidth="1"/>
    <col min="14605" max="14605" width="13" style="775" customWidth="1"/>
    <col min="14606" max="14606" width="14.5" style="775" customWidth="1"/>
    <col min="14607" max="14607" width="14" style="775" customWidth="1"/>
    <col min="14608" max="14611" width="11.1640625" style="775" bestFit="1" customWidth="1"/>
    <col min="14612" max="14618" width="11.1640625" style="775" customWidth="1"/>
    <col min="14619" max="14619" width="11.1640625" style="775" bestFit="1" customWidth="1"/>
    <col min="14620" max="14620" width="15" style="775" customWidth="1"/>
    <col min="14621" max="14858" width="10.33203125" style="775"/>
    <col min="14859" max="14859" width="14" style="775" customWidth="1"/>
    <col min="14860" max="14860" width="26.5" style="775" customWidth="1"/>
    <col min="14861" max="14861" width="13" style="775" customWidth="1"/>
    <col min="14862" max="14862" width="14.5" style="775" customWidth="1"/>
    <col min="14863" max="14863" width="14" style="775" customWidth="1"/>
    <col min="14864" max="14867" width="11.1640625" style="775" bestFit="1" customWidth="1"/>
    <col min="14868" max="14874" width="11.1640625" style="775" customWidth="1"/>
    <col min="14875" max="14875" width="11.1640625" style="775" bestFit="1" customWidth="1"/>
    <col min="14876" max="14876" width="15" style="775" customWidth="1"/>
    <col min="14877" max="15114" width="10.33203125" style="775"/>
    <col min="15115" max="15115" width="14" style="775" customWidth="1"/>
    <col min="15116" max="15116" width="26.5" style="775" customWidth="1"/>
    <col min="15117" max="15117" width="13" style="775" customWidth="1"/>
    <col min="15118" max="15118" width="14.5" style="775" customWidth="1"/>
    <col min="15119" max="15119" width="14" style="775" customWidth="1"/>
    <col min="15120" max="15123" width="11.1640625" style="775" bestFit="1" customWidth="1"/>
    <col min="15124" max="15130" width="11.1640625" style="775" customWidth="1"/>
    <col min="15131" max="15131" width="11.1640625" style="775" bestFit="1" customWidth="1"/>
    <col min="15132" max="15132" width="15" style="775" customWidth="1"/>
    <col min="15133" max="15370" width="10.33203125" style="775"/>
    <col min="15371" max="15371" width="14" style="775" customWidth="1"/>
    <col min="15372" max="15372" width="26.5" style="775" customWidth="1"/>
    <col min="15373" max="15373" width="13" style="775" customWidth="1"/>
    <col min="15374" max="15374" width="14.5" style="775" customWidth="1"/>
    <col min="15375" max="15375" width="14" style="775" customWidth="1"/>
    <col min="15376" max="15379" width="11.1640625" style="775" bestFit="1" customWidth="1"/>
    <col min="15380" max="15386" width="11.1640625" style="775" customWidth="1"/>
    <col min="15387" max="15387" width="11.1640625" style="775" bestFit="1" customWidth="1"/>
    <col min="15388" max="15388" width="15" style="775" customWidth="1"/>
    <col min="15389" max="15626" width="10.33203125" style="775"/>
    <col min="15627" max="15627" width="14" style="775" customWidth="1"/>
    <col min="15628" max="15628" width="26.5" style="775" customWidth="1"/>
    <col min="15629" max="15629" width="13" style="775" customWidth="1"/>
    <col min="15630" max="15630" width="14.5" style="775" customWidth="1"/>
    <col min="15631" max="15631" width="14" style="775" customWidth="1"/>
    <col min="15632" max="15635" width="11.1640625" style="775" bestFit="1" customWidth="1"/>
    <col min="15636" max="15642" width="11.1640625" style="775" customWidth="1"/>
    <col min="15643" max="15643" width="11.1640625" style="775" bestFit="1" customWidth="1"/>
    <col min="15644" max="15644" width="15" style="775" customWidth="1"/>
    <col min="15645" max="15882" width="10.33203125" style="775"/>
    <col min="15883" max="15883" width="14" style="775" customWidth="1"/>
    <col min="15884" max="15884" width="26.5" style="775" customWidth="1"/>
    <col min="15885" max="15885" width="13" style="775" customWidth="1"/>
    <col min="15886" max="15886" width="14.5" style="775" customWidth="1"/>
    <col min="15887" max="15887" width="14" style="775" customWidth="1"/>
    <col min="15888" max="15891" width="11.1640625" style="775" bestFit="1" customWidth="1"/>
    <col min="15892" max="15898" width="11.1640625" style="775" customWidth="1"/>
    <col min="15899" max="15899" width="11.1640625" style="775" bestFit="1" customWidth="1"/>
    <col min="15900" max="15900" width="15" style="775" customWidth="1"/>
    <col min="15901" max="16138" width="10.33203125" style="775"/>
    <col min="16139" max="16139" width="14" style="775" customWidth="1"/>
    <col min="16140" max="16140" width="26.5" style="775" customWidth="1"/>
    <col min="16141" max="16141" width="13" style="775" customWidth="1"/>
    <col min="16142" max="16142" width="14.5" style="775" customWidth="1"/>
    <col min="16143" max="16143" width="14" style="775" customWidth="1"/>
    <col min="16144" max="16147" width="11.1640625" style="775" bestFit="1" customWidth="1"/>
    <col min="16148" max="16154" width="11.1640625" style="775" customWidth="1"/>
    <col min="16155" max="16155" width="11.1640625" style="775" bestFit="1" customWidth="1"/>
    <col min="16156" max="16156" width="15" style="775" customWidth="1"/>
    <col min="16157" max="16384" width="10.33203125" style="775"/>
  </cols>
  <sheetData>
    <row r="1" spans="1:29" ht="18" customHeight="1">
      <c r="A1" s="978"/>
      <c r="B1" s="979"/>
      <c r="C1" s="984" t="s">
        <v>776</v>
      </c>
      <c r="D1" s="984"/>
      <c r="E1" s="984"/>
      <c r="F1" s="984"/>
      <c r="G1" s="984"/>
      <c r="H1" s="984"/>
      <c r="I1" s="984"/>
      <c r="J1" s="984"/>
      <c r="K1" s="984"/>
      <c r="L1" s="984"/>
      <c r="M1" s="984"/>
      <c r="N1" s="984"/>
      <c r="O1" s="984"/>
      <c r="P1" s="984"/>
      <c r="Q1" s="984"/>
      <c r="R1" s="984"/>
      <c r="S1" s="984"/>
      <c r="T1" s="984"/>
      <c r="U1" s="984"/>
      <c r="V1" s="984"/>
      <c r="W1" s="984"/>
      <c r="X1" s="984"/>
      <c r="Y1" s="984"/>
      <c r="Z1" s="984"/>
      <c r="AA1" s="984"/>
      <c r="AB1" s="984"/>
      <c r="AC1" s="774" t="s">
        <v>777</v>
      </c>
    </row>
    <row r="2" spans="1:29" ht="23.25" customHeight="1">
      <c r="A2" s="980"/>
      <c r="B2" s="981"/>
      <c r="C2" s="984" t="s">
        <v>778</v>
      </c>
      <c r="D2" s="984"/>
      <c r="E2" s="984"/>
      <c r="F2" s="984"/>
      <c r="G2" s="984"/>
      <c r="H2" s="984"/>
      <c r="I2" s="984"/>
      <c r="J2" s="984"/>
      <c r="K2" s="984"/>
      <c r="L2" s="984"/>
      <c r="M2" s="984"/>
      <c r="N2" s="984"/>
      <c r="O2" s="984"/>
      <c r="P2" s="984"/>
      <c r="Q2" s="984"/>
      <c r="R2" s="984"/>
      <c r="S2" s="984"/>
      <c r="T2" s="984"/>
      <c r="U2" s="984"/>
      <c r="V2" s="984"/>
      <c r="W2" s="984"/>
      <c r="X2" s="984"/>
      <c r="Y2" s="984"/>
      <c r="Z2" s="984"/>
      <c r="AA2" s="984"/>
      <c r="AB2" s="984"/>
      <c r="AC2" s="776"/>
    </row>
    <row r="3" spans="1:29" ht="23.25" customHeight="1">
      <c r="A3" s="982"/>
      <c r="B3" s="983"/>
      <c r="C3" s="984" t="s">
        <v>779</v>
      </c>
      <c r="D3" s="984"/>
      <c r="E3" s="984"/>
      <c r="F3" s="984"/>
      <c r="G3" s="984"/>
      <c r="H3" s="984" t="str">
        <f>[74]Instructivo!G3</f>
        <v>VERSIÓN: 03</v>
      </c>
      <c r="I3" s="984"/>
      <c r="J3" s="984"/>
      <c r="K3" s="984"/>
      <c r="L3" s="984"/>
      <c r="M3" s="984"/>
      <c r="N3" s="984"/>
      <c r="O3" s="984"/>
      <c r="P3" s="984"/>
      <c r="Q3" s="984"/>
      <c r="R3" s="984"/>
      <c r="S3" s="984"/>
      <c r="T3" s="984"/>
      <c r="U3" s="984"/>
      <c r="V3" s="984"/>
      <c r="W3" s="984"/>
      <c r="X3" s="984"/>
      <c r="Y3" s="984"/>
      <c r="Z3" s="984"/>
      <c r="AA3" s="984"/>
      <c r="AB3" s="984"/>
      <c r="AC3" s="776"/>
    </row>
    <row r="4" spans="1:29" s="776" customFormat="1" ht="22.9" customHeight="1">
      <c r="A4" s="972" t="s">
        <v>780</v>
      </c>
      <c r="B4" s="972"/>
      <c r="C4" s="971" t="s">
        <v>781</v>
      </c>
      <c r="D4" s="971"/>
      <c r="E4" s="971"/>
      <c r="F4" s="971"/>
      <c r="G4" s="971"/>
      <c r="H4" s="971"/>
      <c r="I4" s="971"/>
      <c r="J4" s="971"/>
      <c r="K4" s="971"/>
      <c r="L4" s="971"/>
      <c r="M4" s="971"/>
      <c r="N4" s="971"/>
      <c r="O4" s="971"/>
      <c r="P4" s="971"/>
      <c r="Q4" s="971"/>
      <c r="R4" s="971"/>
      <c r="S4" s="971"/>
      <c r="T4" s="971"/>
      <c r="U4" s="971"/>
      <c r="V4" s="971"/>
      <c r="W4" s="971"/>
      <c r="X4" s="971"/>
      <c r="Y4" s="971"/>
      <c r="Z4" s="971"/>
      <c r="AA4" s="971"/>
      <c r="AB4" s="971"/>
      <c r="AC4" s="777" t="str">
        <f>C4</f>
        <v>CONVENIO INTERADMINISTRATIVO</v>
      </c>
    </row>
    <row r="5" spans="1:29" s="776" customFormat="1" ht="31.9" customHeight="1">
      <c r="A5" s="972" t="s">
        <v>782</v>
      </c>
      <c r="B5" s="972"/>
      <c r="C5" s="973" t="s">
        <v>889</v>
      </c>
      <c r="D5" s="973"/>
      <c r="E5" s="973"/>
      <c r="F5" s="973"/>
      <c r="G5" s="973"/>
      <c r="H5" s="973"/>
      <c r="I5" s="973"/>
      <c r="J5" s="973"/>
      <c r="K5" s="973"/>
      <c r="L5" s="973"/>
      <c r="M5" s="973"/>
      <c r="N5" s="973"/>
      <c r="O5" s="973"/>
      <c r="P5" s="973"/>
      <c r="Q5" s="973"/>
      <c r="R5" s="973"/>
      <c r="S5" s="973"/>
      <c r="T5" s="973"/>
      <c r="U5" s="973"/>
      <c r="V5" s="973"/>
      <c r="W5" s="973"/>
      <c r="X5" s="973"/>
      <c r="Y5" s="973"/>
      <c r="Z5" s="973"/>
      <c r="AA5" s="973"/>
      <c r="AB5" s="973"/>
      <c r="AC5" s="777" t="str">
        <f>C5</f>
        <v>“Aunar esfuerzos con el municipio de Santa Fe de Antioquia para cofinanciar el saneamiento hídrico rural en su territorio"</v>
      </c>
    </row>
    <row r="6" spans="1:29" s="776" customFormat="1" ht="18" customHeight="1" thickBot="1">
      <c r="B6" s="778"/>
      <c r="C6" s="778"/>
      <c r="D6" s="779"/>
      <c r="E6" s="778"/>
      <c r="F6" s="780"/>
      <c r="G6" s="780"/>
      <c r="H6" s="780"/>
      <c r="I6" s="780"/>
      <c r="J6" s="781"/>
      <c r="K6" s="781"/>
      <c r="L6" s="781"/>
      <c r="M6" s="781"/>
      <c r="N6" s="781"/>
      <c r="O6" s="781"/>
      <c r="P6" s="781"/>
      <c r="Q6" s="781"/>
      <c r="R6" s="781"/>
      <c r="S6" s="781"/>
      <c r="T6" s="781"/>
      <c r="U6" s="781"/>
      <c r="V6" s="781"/>
      <c r="W6" s="781"/>
      <c r="X6" s="781"/>
      <c r="Y6" s="781"/>
      <c r="Z6" s="781"/>
      <c r="AA6" s="781"/>
      <c r="AB6" s="781"/>
      <c r="AC6" s="782"/>
    </row>
    <row r="7" spans="1:29" ht="18" customHeight="1" thickBot="1">
      <c r="A7" s="974" t="s">
        <v>13</v>
      </c>
      <c r="B7" s="974"/>
      <c r="C7" s="975" t="s">
        <v>888</v>
      </c>
      <c r="D7" s="976"/>
      <c r="E7" s="976"/>
      <c r="F7" s="977"/>
      <c r="H7" s="783"/>
      <c r="I7" s="783"/>
      <c r="J7" s="783"/>
      <c r="K7" s="783"/>
      <c r="L7" s="783"/>
      <c r="M7" s="783"/>
      <c r="N7" s="783"/>
      <c r="O7" s="783"/>
      <c r="P7" s="783"/>
      <c r="Q7" s="783"/>
      <c r="R7" s="783"/>
      <c r="S7" s="783"/>
      <c r="T7" s="783"/>
      <c r="U7" s="783"/>
      <c r="V7" s="783"/>
      <c r="W7" s="783"/>
      <c r="X7" s="783"/>
      <c r="Y7" s="783"/>
      <c r="Z7" s="783"/>
      <c r="AA7" s="783"/>
    </row>
    <row r="8" spans="1:29" ht="18" customHeight="1" thickBot="1">
      <c r="A8" s="974" t="s">
        <v>783</v>
      </c>
      <c r="B8" s="974"/>
      <c r="C8" s="975" t="s">
        <v>820</v>
      </c>
      <c r="D8" s="976"/>
      <c r="E8" s="976"/>
      <c r="F8" s="977"/>
      <c r="H8" s="784"/>
      <c r="I8" s="783"/>
      <c r="J8" s="783"/>
      <c r="K8" s="783"/>
      <c r="L8" s="783"/>
      <c r="M8" s="783"/>
      <c r="N8" s="783"/>
      <c r="O8" s="783"/>
      <c r="P8" s="783"/>
      <c r="Q8" s="783"/>
      <c r="R8" s="783"/>
      <c r="S8" s="783"/>
      <c r="T8" s="783"/>
      <c r="U8" s="783"/>
      <c r="V8" s="783"/>
      <c r="W8" s="783"/>
      <c r="X8" s="783"/>
      <c r="Y8" s="783"/>
      <c r="Z8" s="783"/>
      <c r="AA8" s="783"/>
    </row>
    <row r="9" spans="1:29" ht="18" customHeight="1" thickBot="1">
      <c r="A9" s="985" t="s">
        <v>36</v>
      </c>
      <c r="B9" s="985"/>
      <c r="C9" s="975" t="s">
        <v>834</v>
      </c>
      <c r="D9" s="976"/>
      <c r="E9" s="976"/>
      <c r="F9" s="977"/>
      <c r="H9" s="783"/>
      <c r="I9" s="783"/>
      <c r="J9" s="783"/>
      <c r="K9" s="783"/>
      <c r="L9" s="783"/>
      <c r="M9" s="783"/>
      <c r="N9" s="783"/>
      <c r="O9" s="783"/>
      <c r="P9" s="783"/>
      <c r="Q9" s="783"/>
      <c r="R9" s="783"/>
      <c r="S9" s="783"/>
      <c r="T9" s="783"/>
      <c r="U9" s="783"/>
      <c r="V9" s="783"/>
      <c r="W9" s="783"/>
      <c r="X9" s="783"/>
      <c r="Y9" s="783"/>
      <c r="Z9" s="783"/>
      <c r="AA9" s="783"/>
    </row>
    <row r="10" spans="1:29" ht="18" customHeight="1" thickBot="1">
      <c r="A10" s="985" t="s">
        <v>37</v>
      </c>
      <c r="B10" s="985"/>
      <c r="C10" s="986" t="s">
        <v>784</v>
      </c>
      <c r="D10" s="987"/>
      <c r="E10" s="987"/>
      <c r="F10" s="988"/>
      <c r="H10" s="783"/>
      <c r="I10" s="783"/>
    </row>
    <row r="11" spans="1:29" ht="18" customHeight="1" thickBot="1">
      <c r="A11" s="785"/>
      <c r="B11" s="786"/>
      <c r="C11" s="786"/>
      <c r="D11" s="787"/>
      <c r="E11" s="786"/>
      <c r="F11" s="786"/>
      <c r="G11" s="788"/>
      <c r="H11" s="788"/>
      <c r="I11" s="788"/>
    </row>
    <row r="12" spans="1:29" ht="18" customHeight="1">
      <c r="A12" s="989" t="s">
        <v>14</v>
      </c>
      <c r="B12" s="990"/>
      <c r="C12" s="990"/>
      <c r="D12" s="990"/>
      <c r="E12" s="990"/>
      <c r="F12" s="990"/>
      <c r="G12" s="990"/>
      <c r="H12" s="990"/>
      <c r="I12" s="990"/>
      <c r="J12" s="990"/>
      <c r="K12" s="990"/>
      <c r="L12" s="990"/>
      <c r="M12" s="990"/>
      <c r="N12" s="990"/>
      <c r="O12" s="990"/>
      <c r="P12" s="991"/>
      <c r="Q12" s="991"/>
      <c r="R12" s="991"/>
      <c r="S12" s="991"/>
      <c r="T12" s="991"/>
      <c r="U12" s="991"/>
      <c r="V12" s="991"/>
      <c r="W12" s="991"/>
      <c r="X12" s="991"/>
      <c r="Y12" s="991"/>
      <c r="Z12" s="991"/>
      <c r="AA12" s="991"/>
      <c r="AB12" s="992"/>
    </row>
    <row r="13" spans="1:29" ht="18" customHeight="1">
      <c r="A13" s="997"/>
      <c r="B13" s="993" t="s">
        <v>15</v>
      </c>
      <c r="C13" s="969" t="s">
        <v>785</v>
      </c>
      <c r="D13" s="996" t="s">
        <v>786</v>
      </c>
      <c r="E13" s="969" t="s">
        <v>16</v>
      </c>
      <c r="F13" s="969" t="s">
        <v>17</v>
      </c>
      <c r="G13" s="993" t="s">
        <v>787</v>
      </c>
      <c r="H13" s="993"/>
      <c r="I13" s="993"/>
      <c r="J13" s="993"/>
      <c r="K13" s="993"/>
      <c r="L13" s="993"/>
      <c r="M13" s="993"/>
      <c r="N13" s="993"/>
      <c r="O13" s="993"/>
      <c r="P13" s="994"/>
      <c r="Q13" s="994"/>
      <c r="R13" s="994"/>
      <c r="S13" s="994"/>
      <c r="T13" s="994"/>
      <c r="U13" s="994"/>
      <c r="V13" s="994"/>
      <c r="W13" s="994"/>
      <c r="X13" s="994"/>
      <c r="Y13" s="994"/>
      <c r="Z13" s="994"/>
      <c r="AA13" s="994"/>
      <c r="AB13" s="995"/>
    </row>
    <row r="14" spans="1:29" ht="27.75" customHeight="1">
      <c r="A14" s="997"/>
      <c r="B14" s="993"/>
      <c r="C14" s="969"/>
      <c r="D14" s="996"/>
      <c r="E14" s="969"/>
      <c r="F14" s="969"/>
      <c r="G14" s="789" t="s">
        <v>22</v>
      </c>
      <c r="H14" s="789" t="s">
        <v>23</v>
      </c>
      <c r="I14" s="789" t="s">
        <v>24</v>
      </c>
      <c r="J14" s="789" t="s">
        <v>302</v>
      </c>
      <c r="K14" s="789" t="s">
        <v>303</v>
      </c>
      <c r="L14" s="789" t="s">
        <v>788</v>
      </c>
      <c r="M14" s="789" t="s">
        <v>789</v>
      </c>
      <c r="N14" s="789" t="s">
        <v>790</v>
      </c>
      <c r="O14" s="789" t="s">
        <v>791</v>
      </c>
      <c r="P14" s="789" t="s">
        <v>792</v>
      </c>
      <c r="Q14" s="789" t="s">
        <v>793</v>
      </c>
      <c r="R14" s="789" t="s">
        <v>794</v>
      </c>
      <c r="S14" s="789" t="s">
        <v>795</v>
      </c>
      <c r="T14" s="789" t="s">
        <v>796</v>
      </c>
      <c r="U14" s="789" t="s">
        <v>797</v>
      </c>
      <c r="V14" s="789" t="s">
        <v>798</v>
      </c>
      <c r="W14" s="789" t="s">
        <v>799</v>
      </c>
      <c r="X14" s="789" t="s">
        <v>800</v>
      </c>
      <c r="Y14" s="789" t="s">
        <v>801</v>
      </c>
      <c r="Z14" s="789" t="s">
        <v>802</v>
      </c>
      <c r="AA14" s="789" t="s">
        <v>803</v>
      </c>
      <c r="AB14" s="789" t="s">
        <v>804</v>
      </c>
    </row>
    <row r="15" spans="1:29" s="799" customFormat="1" ht="72" customHeight="1">
      <c r="A15" s="790" t="s">
        <v>18</v>
      </c>
      <c r="B15" s="791" t="s">
        <v>373</v>
      </c>
      <c r="C15" s="792">
        <v>1</v>
      </c>
      <c r="D15" s="793">
        <f>SUM(D16:D16)</f>
        <v>1</v>
      </c>
      <c r="E15" s="794" t="s">
        <v>298</v>
      </c>
      <c r="F15" s="795">
        <v>1</v>
      </c>
      <c r="G15" s="795"/>
      <c r="H15" s="795"/>
      <c r="I15" s="795"/>
      <c r="J15" s="795"/>
      <c r="K15" s="795"/>
      <c r="L15" s="795"/>
      <c r="M15" s="795"/>
      <c r="N15" s="795"/>
      <c r="O15" s="795"/>
      <c r="P15" s="796"/>
      <c r="Q15" s="796"/>
      <c r="R15" s="796"/>
      <c r="S15" s="796"/>
      <c r="T15" s="796"/>
      <c r="U15" s="796"/>
      <c r="V15" s="796"/>
      <c r="W15" s="796"/>
      <c r="X15" s="796"/>
      <c r="Y15" s="796"/>
      <c r="Z15" s="796"/>
      <c r="AA15" s="796"/>
      <c r="AB15" s="797"/>
      <c r="AC15" s="798">
        <f t="shared" ref="AC15" si="0">F15-SUM(G15:AB15)</f>
        <v>1</v>
      </c>
    </row>
    <row r="16" spans="1:29" ht="141" customHeight="1">
      <c r="A16" s="800" t="s">
        <v>35</v>
      </c>
      <c r="B16" s="801" t="s">
        <v>890</v>
      </c>
      <c r="C16" s="802">
        <v>1</v>
      </c>
      <c r="D16" s="803">
        <v>1</v>
      </c>
      <c r="E16" s="804" t="s">
        <v>821</v>
      </c>
      <c r="F16" s="805">
        <v>44</v>
      </c>
      <c r="G16" s="917">
        <v>10</v>
      </c>
      <c r="H16" s="917">
        <v>10</v>
      </c>
      <c r="I16" s="917">
        <v>10</v>
      </c>
      <c r="J16" s="917">
        <v>5</v>
      </c>
      <c r="K16" s="917">
        <v>5</v>
      </c>
      <c r="L16" s="917">
        <v>4</v>
      </c>
      <c r="M16" s="805" t="e">
        <f>+#REF!</f>
        <v>#REF!</v>
      </c>
      <c r="N16" s="805" t="e">
        <f>+#REF!</f>
        <v>#REF!</v>
      </c>
      <c r="O16" s="805" t="e">
        <f>+#REF!</f>
        <v>#REF!</v>
      </c>
      <c r="P16" s="805" t="e">
        <f>+#REF!</f>
        <v>#REF!</v>
      </c>
      <c r="Q16" s="805" t="e">
        <f>+#REF!</f>
        <v>#REF!</v>
      </c>
      <c r="R16" s="805" t="e">
        <f>+#REF!</f>
        <v>#REF!</v>
      </c>
      <c r="S16" s="805" t="e">
        <f>+#REF!</f>
        <v>#REF!</v>
      </c>
      <c r="T16" s="805" t="e">
        <f>+#REF!</f>
        <v>#REF!</v>
      </c>
      <c r="U16" s="805" t="e">
        <f>+#REF!</f>
        <v>#REF!</v>
      </c>
      <c r="V16" s="805" t="e">
        <f>+#REF!</f>
        <v>#REF!</v>
      </c>
      <c r="W16" s="805" t="e">
        <f>+#REF!</f>
        <v>#REF!</v>
      </c>
      <c r="X16" s="805" t="e">
        <f>+#REF!</f>
        <v>#REF!</v>
      </c>
      <c r="Y16" s="805" t="e">
        <f>+#REF!</f>
        <v>#REF!</v>
      </c>
      <c r="Z16" s="805" t="e">
        <f>+#REF!</f>
        <v>#REF!</v>
      </c>
      <c r="AA16" s="805" t="e">
        <f>+#REF!</f>
        <v>#REF!</v>
      </c>
      <c r="AB16" s="805" t="e">
        <f>+#REF!</f>
        <v>#REF!</v>
      </c>
      <c r="AC16" s="798">
        <f>+F16-SUM(G16:L16)</f>
        <v>0</v>
      </c>
    </row>
    <row r="17" spans="1:31" ht="27.75" customHeight="1">
      <c r="A17" s="806" t="s">
        <v>19</v>
      </c>
      <c r="B17" s="861"/>
      <c r="C17" s="861"/>
      <c r="D17" s="861"/>
      <c r="E17" s="863"/>
      <c r="F17" s="862"/>
      <c r="G17" s="857">
        <f>IF(ISERROR((G$16/$F$16)*$C$16),0,(G$16/$F$16)*$C$16)</f>
        <v>0.22727272727272727</v>
      </c>
      <c r="H17" s="857">
        <f t="shared" ref="H17:L17" si="1">IF(ISERROR((H$16/$F$16)*$C$16),0,(H$16/$F$16)*$C$16)</f>
        <v>0.22727272727272727</v>
      </c>
      <c r="I17" s="857">
        <f t="shared" si="1"/>
        <v>0.22727272727272727</v>
      </c>
      <c r="J17" s="857">
        <f t="shared" si="1"/>
        <v>0.11363636363636363</v>
      </c>
      <c r="K17" s="857">
        <f t="shared" si="1"/>
        <v>0.11363636363636363</v>
      </c>
      <c r="L17" s="857">
        <f t="shared" si="1"/>
        <v>9.0909090909090912E-2</v>
      </c>
      <c r="M17" s="807">
        <f>IFERROR(((#REF!/#REF!)*#REF!),0)</f>
        <v>0</v>
      </c>
      <c r="N17" s="807">
        <f>IFERROR(((#REF!/#REF!)*#REF!),0)</f>
        <v>0</v>
      </c>
      <c r="O17" s="807">
        <f>IFERROR(((#REF!/#REF!)*#REF!),0)</f>
        <v>0</v>
      </c>
      <c r="P17" s="807">
        <f>IFERROR(((#REF!/#REF!)*#REF!),0)</f>
        <v>0</v>
      </c>
      <c r="Q17" s="807">
        <f>IFERROR(((#REF!/#REF!)*#REF!),0)</f>
        <v>0</v>
      </c>
      <c r="R17" s="807">
        <f>IFERROR(((#REF!/#REF!)*#REF!),0)</f>
        <v>0</v>
      </c>
      <c r="S17" s="807">
        <f>IFERROR(((#REF!/#REF!)*#REF!),0)</f>
        <v>0</v>
      </c>
      <c r="T17" s="807">
        <f>IFERROR(((#REF!/#REF!)*#REF!),0)</f>
        <v>0</v>
      </c>
      <c r="U17" s="807">
        <f>IFERROR(((#REF!/#REF!)*#REF!),0)</f>
        <v>0</v>
      </c>
      <c r="V17" s="807">
        <f>IFERROR(((#REF!/#REF!)*#REF!),0)</f>
        <v>0</v>
      </c>
      <c r="W17" s="807">
        <f>IFERROR(((#REF!/#REF!)*#REF!),0)</f>
        <v>0</v>
      </c>
      <c r="X17" s="807">
        <f>IFERROR(((#REF!/#REF!)*#REF!),0)</f>
        <v>0</v>
      </c>
      <c r="Y17" s="807">
        <f>IFERROR(((#REF!/#REF!)*#REF!),0)</f>
        <v>0</v>
      </c>
      <c r="Z17" s="807">
        <f>IFERROR(((#REF!/#REF!)*#REF!),0)</f>
        <v>0</v>
      </c>
      <c r="AA17" s="807">
        <f>IFERROR(((#REF!/#REF!)*#REF!),0)</f>
        <v>0</v>
      </c>
      <c r="AB17" s="807">
        <f>IFERROR(((#REF!/#REF!)*#REF!),0)</f>
        <v>0</v>
      </c>
    </row>
    <row r="18" spans="1:31" ht="18" customHeight="1" thickBot="1">
      <c r="A18" s="808" t="s">
        <v>20</v>
      </c>
      <c r="B18" s="864"/>
      <c r="C18" s="864"/>
      <c r="D18" s="864"/>
      <c r="E18" s="858"/>
      <c r="F18" s="859"/>
      <c r="G18" s="860">
        <f>+G17</f>
        <v>0.22727272727272727</v>
      </c>
      <c r="H18" s="809">
        <f>G18+H17</f>
        <v>0.45454545454545453</v>
      </c>
      <c r="I18" s="809">
        <f>H18+I17</f>
        <v>0.68181818181818177</v>
      </c>
      <c r="J18" s="809">
        <f>I18+J17</f>
        <v>0.79545454545454541</v>
      </c>
      <c r="K18" s="809">
        <f>J18+K17</f>
        <v>0.90909090909090906</v>
      </c>
      <c r="L18" s="809">
        <f>K18+L17</f>
        <v>1</v>
      </c>
      <c r="M18" s="809">
        <f t="shared" ref="M18:AB18" si="2">M17+L18</f>
        <v>1</v>
      </c>
      <c r="N18" s="809">
        <f t="shared" si="2"/>
        <v>1</v>
      </c>
      <c r="O18" s="809">
        <f t="shared" si="2"/>
        <v>1</v>
      </c>
      <c r="P18" s="809">
        <f t="shared" si="2"/>
        <v>1</v>
      </c>
      <c r="Q18" s="809">
        <f t="shared" si="2"/>
        <v>1</v>
      </c>
      <c r="R18" s="809">
        <f t="shared" si="2"/>
        <v>1</v>
      </c>
      <c r="S18" s="809">
        <f t="shared" si="2"/>
        <v>1</v>
      </c>
      <c r="T18" s="809">
        <f t="shared" si="2"/>
        <v>1</v>
      </c>
      <c r="U18" s="809">
        <f t="shared" si="2"/>
        <v>1</v>
      </c>
      <c r="V18" s="809">
        <f t="shared" si="2"/>
        <v>1</v>
      </c>
      <c r="W18" s="809">
        <f t="shared" si="2"/>
        <v>1</v>
      </c>
      <c r="X18" s="809">
        <f t="shared" si="2"/>
        <v>1</v>
      </c>
      <c r="Y18" s="809">
        <f t="shared" si="2"/>
        <v>1</v>
      </c>
      <c r="Z18" s="809">
        <f t="shared" si="2"/>
        <v>1</v>
      </c>
      <c r="AA18" s="809">
        <f t="shared" si="2"/>
        <v>1</v>
      </c>
      <c r="AB18" s="809">
        <f t="shared" si="2"/>
        <v>1</v>
      </c>
    </row>
    <row r="19" spans="1:31" ht="18" customHeight="1" thickBot="1">
      <c r="A19" s="786"/>
      <c r="B19" s="786"/>
      <c r="C19" s="786"/>
      <c r="D19" s="787"/>
      <c r="E19" s="786"/>
      <c r="F19" s="786"/>
      <c r="G19" s="810"/>
      <c r="H19" s="810"/>
      <c r="I19" s="810"/>
      <c r="J19" s="810"/>
      <c r="K19" s="810"/>
      <c r="L19" s="810"/>
      <c r="M19" s="810"/>
      <c r="N19" s="810"/>
      <c r="O19" s="810"/>
      <c r="P19" s="810"/>
      <c r="Q19" s="810"/>
      <c r="R19" s="810"/>
      <c r="S19" s="810"/>
      <c r="T19" s="810"/>
      <c r="U19" s="810"/>
      <c r="V19" s="810"/>
      <c r="W19" s="810"/>
      <c r="X19" s="810"/>
      <c r="Y19" s="810"/>
      <c r="Z19" s="810"/>
      <c r="AA19" s="810"/>
      <c r="AB19" s="810"/>
    </row>
    <row r="20" spans="1:31" ht="18" customHeight="1">
      <c r="E20" s="964" t="s">
        <v>805</v>
      </c>
      <c r="F20" s="965"/>
      <c r="G20" s="965"/>
      <c r="H20" s="965"/>
      <c r="I20" s="965"/>
      <c r="J20" s="965"/>
      <c r="K20" s="965"/>
      <c r="L20" s="965"/>
      <c r="M20" s="965"/>
      <c r="N20" s="965"/>
      <c r="O20" s="965"/>
      <c r="P20" s="966"/>
      <c r="Q20" s="966"/>
      <c r="R20" s="966"/>
      <c r="S20" s="966"/>
      <c r="T20" s="966"/>
      <c r="U20" s="966"/>
      <c r="V20" s="966"/>
      <c r="W20" s="966"/>
      <c r="X20" s="966"/>
      <c r="Y20" s="966"/>
      <c r="Z20" s="966"/>
      <c r="AA20" s="966"/>
      <c r="AB20" s="967"/>
    </row>
    <row r="21" spans="1:31" ht="18" customHeight="1">
      <c r="E21" s="968" t="s">
        <v>21</v>
      </c>
      <c r="F21" s="969" t="s">
        <v>806</v>
      </c>
      <c r="G21" s="969" t="s">
        <v>807</v>
      </c>
      <c r="H21" s="969"/>
      <c r="I21" s="969"/>
      <c r="J21" s="969"/>
      <c r="K21" s="969"/>
      <c r="L21" s="969"/>
      <c r="M21" s="969"/>
      <c r="N21" s="969"/>
      <c r="O21" s="969"/>
      <c r="P21" s="951"/>
      <c r="Q21" s="951"/>
      <c r="R21" s="951"/>
      <c r="S21" s="951"/>
      <c r="T21" s="951"/>
      <c r="U21" s="951"/>
      <c r="V21" s="951"/>
      <c r="W21" s="951"/>
      <c r="X21" s="951"/>
      <c r="Y21" s="951"/>
      <c r="Z21" s="951"/>
      <c r="AA21" s="951"/>
      <c r="AB21" s="970"/>
    </row>
    <row r="22" spans="1:31" ht="18" customHeight="1">
      <c r="E22" s="968"/>
      <c r="F22" s="969"/>
      <c r="G22" s="789" t="s">
        <v>22</v>
      </c>
      <c r="H22" s="789" t="s">
        <v>23</v>
      </c>
      <c r="I22" s="789" t="s">
        <v>24</v>
      </c>
      <c r="J22" s="789" t="s">
        <v>302</v>
      </c>
      <c r="K22" s="789" t="s">
        <v>303</v>
      </c>
      <c r="L22" s="789" t="s">
        <v>788</v>
      </c>
      <c r="M22" s="789" t="s">
        <v>789</v>
      </c>
      <c r="N22" s="789" t="s">
        <v>790</v>
      </c>
      <c r="O22" s="789" t="s">
        <v>791</v>
      </c>
      <c r="P22" s="789" t="s">
        <v>792</v>
      </c>
      <c r="Q22" s="789" t="s">
        <v>793</v>
      </c>
      <c r="R22" s="789" t="s">
        <v>794</v>
      </c>
      <c r="S22" s="789" t="s">
        <v>795</v>
      </c>
      <c r="T22" s="789" t="s">
        <v>796</v>
      </c>
      <c r="U22" s="789" t="s">
        <v>797</v>
      </c>
      <c r="V22" s="789" t="s">
        <v>798</v>
      </c>
      <c r="W22" s="789" t="s">
        <v>799</v>
      </c>
      <c r="X22" s="789" t="s">
        <v>800</v>
      </c>
      <c r="Y22" s="789" t="s">
        <v>801</v>
      </c>
      <c r="Z22" s="789" t="s">
        <v>802</v>
      </c>
      <c r="AA22" s="789" t="s">
        <v>803</v>
      </c>
      <c r="AB22" s="813" t="s">
        <v>804</v>
      </c>
    </row>
    <row r="23" spans="1:31" ht="21" customHeight="1">
      <c r="E23" s="814">
        <f>+'Presupuesto Convenio '!I106</f>
        <v>424564197.90661645</v>
      </c>
      <c r="F23" s="815">
        <f>+'Presupuesto Convenio '!D121</f>
        <v>339651357.90661645</v>
      </c>
      <c r="G23" s="815">
        <f>+F23</f>
        <v>339651357.90661645</v>
      </c>
      <c r="H23" s="894"/>
      <c r="I23" s="816"/>
      <c r="J23" s="816"/>
      <c r="K23" s="816"/>
      <c r="L23" s="815"/>
      <c r="M23" s="816">
        <f t="shared" ref="M23:AB23" si="3">$F$23*M24</f>
        <v>0</v>
      </c>
      <c r="N23" s="816">
        <f t="shared" si="3"/>
        <v>0</v>
      </c>
      <c r="O23" s="816">
        <f t="shared" si="3"/>
        <v>0</v>
      </c>
      <c r="P23" s="816">
        <f t="shared" si="3"/>
        <v>0</v>
      </c>
      <c r="Q23" s="816">
        <f t="shared" si="3"/>
        <v>0</v>
      </c>
      <c r="R23" s="816">
        <f t="shared" si="3"/>
        <v>0</v>
      </c>
      <c r="S23" s="816">
        <f t="shared" si="3"/>
        <v>0</v>
      </c>
      <c r="T23" s="816">
        <f t="shared" si="3"/>
        <v>0</v>
      </c>
      <c r="U23" s="816">
        <f t="shared" si="3"/>
        <v>0</v>
      </c>
      <c r="V23" s="816">
        <f t="shared" si="3"/>
        <v>0</v>
      </c>
      <c r="W23" s="816">
        <f t="shared" si="3"/>
        <v>0</v>
      </c>
      <c r="X23" s="816">
        <f t="shared" si="3"/>
        <v>0</v>
      </c>
      <c r="Y23" s="816">
        <f t="shared" si="3"/>
        <v>0</v>
      </c>
      <c r="Z23" s="816">
        <f t="shared" si="3"/>
        <v>0</v>
      </c>
      <c r="AA23" s="816">
        <f t="shared" si="3"/>
        <v>0</v>
      </c>
      <c r="AB23" s="817">
        <f t="shared" si="3"/>
        <v>0</v>
      </c>
      <c r="AC23" s="818"/>
      <c r="AD23" s="818"/>
      <c r="AE23" s="818"/>
    </row>
    <row r="24" spans="1:31" ht="21" customHeight="1">
      <c r="E24" s="954" t="s">
        <v>33</v>
      </c>
      <c r="F24" s="955"/>
      <c r="G24" s="819">
        <v>1</v>
      </c>
      <c r="H24" s="893">
        <v>0</v>
      </c>
      <c r="I24" s="893">
        <f t="shared" ref="I24:K24" si="4">IFERROR(I23/$F$23,0)</f>
        <v>0</v>
      </c>
      <c r="J24" s="893">
        <f t="shared" si="4"/>
        <v>0</v>
      </c>
      <c r="K24" s="893">
        <f t="shared" si="4"/>
        <v>0</v>
      </c>
      <c r="L24" s="819">
        <v>0</v>
      </c>
      <c r="M24" s="819">
        <f t="shared" ref="M24:AB24" si="5">M17</f>
        <v>0</v>
      </c>
      <c r="N24" s="819">
        <f t="shared" si="5"/>
        <v>0</v>
      </c>
      <c r="O24" s="819">
        <f t="shared" si="5"/>
        <v>0</v>
      </c>
      <c r="P24" s="819">
        <f t="shared" si="5"/>
        <v>0</v>
      </c>
      <c r="Q24" s="819">
        <f t="shared" si="5"/>
        <v>0</v>
      </c>
      <c r="R24" s="819">
        <f t="shared" si="5"/>
        <v>0</v>
      </c>
      <c r="S24" s="819">
        <f t="shared" si="5"/>
        <v>0</v>
      </c>
      <c r="T24" s="819">
        <f t="shared" si="5"/>
        <v>0</v>
      </c>
      <c r="U24" s="819">
        <f t="shared" si="5"/>
        <v>0</v>
      </c>
      <c r="V24" s="819">
        <f t="shared" si="5"/>
        <v>0</v>
      </c>
      <c r="W24" s="819">
        <f t="shared" si="5"/>
        <v>0</v>
      </c>
      <c r="X24" s="819">
        <f t="shared" si="5"/>
        <v>0</v>
      </c>
      <c r="Y24" s="819">
        <f t="shared" si="5"/>
        <v>0</v>
      </c>
      <c r="Z24" s="819">
        <f t="shared" si="5"/>
        <v>0</v>
      </c>
      <c r="AA24" s="819">
        <f t="shared" si="5"/>
        <v>0</v>
      </c>
      <c r="AB24" s="820">
        <f t="shared" si="5"/>
        <v>0</v>
      </c>
    </row>
    <row r="25" spans="1:31" ht="21" customHeight="1">
      <c r="E25" s="954" t="s">
        <v>34</v>
      </c>
      <c r="F25" s="955"/>
      <c r="G25" s="819">
        <f>+G24</f>
        <v>1</v>
      </c>
      <c r="H25" s="819">
        <f>+G25+H24</f>
        <v>1</v>
      </c>
      <c r="I25" s="819">
        <f t="shared" ref="I25:L25" si="6">+H25+I24</f>
        <v>1</v>
      </c>
      <c r="J25" s="819">
        <f t="shared" si="6"/>
        <v>1</v>
      </c>
      <c r="K25" s="819">
        <f t="shared" si="6"/>
        <v>1</v>
      </c>
      <c r="L25" s="819">
        <f t="shared" si="6"/>
        <v>1</v>
      </c>
      <c r="M25" s="819">
        <f t="shared" ref="M25:AB25" si="7">+L25+M24</f>
        <v>1</v>
      </c>
      <c r="N25" s="819">
        <f t="shared" si="7"/>
        <v>1</v>
      </c>
      <c r="O25" s="819">
        <f t="shared" si="7"/>
        <v>1</v>
      </c>
      <c r="P25" s="819">
        <f t="shared" si="7"/>
        <v>1</v>
      </c>
      <c r="Q25" s="819">
        <f t="shared" si="7"/>
        <v>1</v>
      </c>
      <c r="R25" s="819">
        <f t="shared" si="7"/>
        <v>1</v>
      </c>
      <c r="S25" s="819">
        <f t="shared" si="7"/>
        <v>1</v>
      </c>
      <c r="T25" s="819">
        <f t="shared" si="7"/>
        <v>1</v>
      </c>
      <c r="U25" s="819">
        <f t="shared" si="7"/>
        <v>1</v>
      </c>
      <c r="V25" s="819">
        <f t="shared" si="7"/>
        <v>1</v>
      </c>
      <c r="W25" s="819">
        <f t="shared" si="7"/>
        <v>1</v>
      </c>
      <c r="X25" s="819">
        <f t="shared" si="7"/>
        <v>1</v>
      </c>
      <c r="Y25" s="819">
        <f t="shared" si="7"/>
        <v>1</v>
      </c>
      <c r="Z25" s="819">
        <f t="shared" si="7"/>
        <v>1</v>
      </c>
      <c r="AA25" s="819">
        <f t="shared" si="7"/>
        <v>1</v>
      </c>
      <c r="AB25" s="820">
        <f t="shared" si="7"/>
        <v>1</v>
      </c>
    </row>
    <row r="26" spans="1:31" ht="21" customHeight="1">
      <c r="E26" s="956" t="s">
        <v>809</v>
      </c>
      <c r="F26" s="957"/>
      <c r="G26" s="821">
        <f t="shared" ref="G26" si="8">+G23</f>
        <v>339651357.90661645</v>
      </c>
      <c r="H26" s="821">
        <f>+H23</f>
        <v>0</v>
      </c>
      <c r="I26" s="821">
        <f t="shared" ref="I26:AB26" si="9">+I23</f>
        <v>0</v>
      </c>
      <c r="J26" s="821">
        <f t="shared" si="9"/>
        <v>0</v>
      </c>
      <c r="K26" s="821">
        <f t="shared" si="9"/>
        <v>0</v>
      </c>
      <c r="L26" s="821">
        <f t="shared" si="9"/>
        <v>0</v>
      </c>
      <c r="M26" s="821">
        <f t="shared" si="9"/>
        <v>0</v>
      </c>
      <c r="N26" s="821">
        <f t="shared" si="9"/>
        <v>0</v>
      </c>
      <c r="O26" s="821">
        <f t="shared" si="9"/>
        <v>0</v>
      </c>
      <c r="P26" s="821">
        <f t="shared" si="9"/>
        <v>0</v>
      </c>
      <c r="Q26" s="821">
        <f t="shared" si="9"/>
        <v>0</v>
      </c>
      <c r="R26" s="821">
        <f t="shared" si="9"/>
        <v>0</v>
      </c>
      <c r="S26" s="821">
        <f t="shared" si="9"/>
        <v>0</v>
      </c>
      <c r="T26" s="821">
        <f t="shared" si="9"/>
        <v>0</v>
      </c>
      <c r="U26" s="821">
        <f t="shared" si="9"/>
        <v>0</v>
      </c>
      <c r="V26" s="821">
        <f t="shared" si="9"/>
        <v>0</v>
      </c>
      <c r="W26" s="821">
        <f t="shared" si="9"/>
        <v>0</v>
      </c>
      <c r="X26" s="821">
        <f t="shared" si="9"/>
        <v>0</v>
      </c>
      <c r="Y26" s="821">
        <f t="shared" si="9"/>
        <v>0</v>
      </c>
      <c r="Z26" s="821">
        <f t="shared" si="9"/>
        <v>0</v>
      </c>
      <c r="AA26" s="821">
        <f t="shared" si="9"/>
        <v>0</v>
      </c>
      <c r="AB26" s="821">
        <f t="shared" si="9"/>
        <v>0</v>
      </c>
    </row>
    <row r="27" spans="1:31" ht="21" customHeight="1">
      <c r="E27" s="958" t="s">
        <v>810</v>
      </c>
      <c r="F27" s="959"/>
      <c r="G27" s="822">
        <f t="shared" ref="G27:AB27" si="10">IFERROR(G26/$F$23,0)</f>
        <v>1</v>
      </c>
      <c r="H27" s="822">
        <f t="shared" si="10"/>
        <v>0</v>
      </c>
      <c r="I27" s="822">
        <f t="shared" si="10"/>
        <v>0</v>
      </c>
      <c r="J27" s="822">
        <f t="shared" si="10"/>
        <v>0</v>
      </c>
      <c r="K27" s="822">
        <f t="shared" si="10"/>
        <v>0</v>
      </c>
      <c r="L27" s="822">
        <f t="shared" si="10"/>
        <v>0</v>
      </c>
      <c r="M27" s="822">
        <f t="shared" si="10"/>
        <v>0</v>
      </c>
      <c r="N27" s="822">
        <f t="shared" si="10"/>
        <v>0</v>
      </c>
      <c r="O27" s="822">
        <f t="shared" si="10"/>
        <v>0</v>
      </c>
      <c r="P27" s="822">
        <f t="shared" si="10"/>
        <v>0</v>
      </c>
      <c r="Q27" s="822">
        <f t="shared" si="10"/>
        <v>0</v>
      </c>
      <c r="R27" s="822">
        <f t="shared" si="10"/>
        <v>0</v>
      </c>
      <c r="S27" s="822">
        <f t="shared" si="10"/>
        <v>0</v>
      </c>
      <c r="T27" s="822">
        <f t="shared" si="10"/>
        <v>0</v>
      </c>
      <c r="U27" s="822">
        <f t="shared" si="10"/>
        <v>0</v>
      </c>
      <c r="V27" s="822">
        <f t="shared" si="10"/>
        <v>0</v>
      </c>
      <c r="W27" s="822">
        <f t="shared" si="10"/>
        <v>0</v>
      </c>
      <c r="X27" s="822">
        <f t="shared" si="10"/>
        <v>0</v>
      </c>
      <c r="Y27" s="822">
        <f t="shared" si="10"/>
        <v>0</v>
      </c>
      <c r="Z27" s="822">
        <f t="shared" si="10"/>
        <v>0</v>
      </c>
      <c r="AA27" s="822">
        <f t="shared" si="10"/>
        <v>0</v>
      </c>
      <c r="AB27" s="823">
        <f t="shared" si="10"/>
        <v>0</v>
      </c>
    </row>
    <row r="28" spans="1:31" ht="21" customHeight="1" thickBot="1">
      <c r="E28" s="960" t="s">
        <v>811</v>
      </c>
      <c r="F28" s="961"/>
      <c r="G28" s="824">
        <f>G27</f>
        <v>1</v>
      </c>
      <c r="H28" s="824">
        <f t="shared" ref="H28:AB28" si="11">G28+H27</f>
        <v>1</v>
      </c>
      <c r="I28" s="824">
        <f t="shared" si="11"/>
        <v>1</v>
      </c>
      <c r="J28" s="824">
        <f t="shared" si="11"/>
        <v>1</v>
      </c>
      <c r="K28" s="824">
        <f t="shared" si="11"/>
        <v>1</v>
      </c>
      <c r="L28" s="824">
        <f t="shared" si="11"/>
        <v>1</v>
      </c>
      <c r="M28" s="824">
        <f t="shared" si="11"/>
        <v>1</v>
      </c>
      <c r="N28" s="824">
        <f t="shared" si="11"/>
        <v>1</v>
      </c>
      <c r="O28" s="824">
        <f t="shared" si="11"/>
        <v>1</v>
      </c>
      <c r="P28" s="824">
        <f t="shared" si="11"/>
        <v>1</v>
      </c>
      <c r="Q28" s="824">
        <f t="shared" si="11"/>
        <v>1</v>
      </c>
      <c r="R28" s="824">
        <f t="shared" si="11"/>
        <v>1</v>
      </c>
      <c r="S28" s="824">
        <f t="shared" si="11"/>
        <v>1</v>
      </c>
      <c r="T28" s="824">
        <f t="shared" si="11"/>
        <v>1</v>
      </c>
      <c r="U28" s="824">
        <f t="shared" si="11"/>
        <v>1</v>
      </c>
      <c r="V28" s="824">
        <f t="shared" si="11"/>
        <v>1</v>
      </c>
      <c r="W28" s="824">
        <f t="shared" si="11"/>
        <v>1</v>
      </c>
      <c r="X28" s="824">
        <f t="shared" si="11"/>
        <v>1</v>
      </c>
      <c r="Y28" s="824">
        <f t="shared" si="11"/>
        <v>1</v>
      </c>
      <c r="Z28" s="824">
        <f t="shared" si="11"/>
        <v>1</v>
      </c>
      <c r="AA28" s="824">
        <f t="shared" si="11"/>
        <v>1</v>
      </c>
      <c r="AB28" s="824">
        <f t="shared" si="11"/>
        <v>1</v>
      </c>
    </row>
    <row r="29" spans="1:31" ht="21" customHeight="1" thickBot="1">
      <c r="E29" s="962" t="s">
        <v>435</v>
      </c>
      <c r="F29" s="963"/>
      <c r="G29" s="865">
        <f>+'Presupuesto Convenio '!I98</f>
        <v>42562750</v>
      </c>
      <c r="H29" s="826"/>
      <c r="I29" s="826"/>
      <c r="J29" s="826"/>
      <c r="K29" s="826"/>
      <c r="L29" s="826"/>
      <c r="M29" s="827"/>
      <c r="N29" s="827"/>
      <c r="O29" s="827"/>
      <c r="P29" s="827"/>
      <c r="Q29" s="827"/>
      <c r="R29" s="827"/>
      <c r="S29" s="827"/>
      <c r="T29" s="827"/>
      <c r="U29" s="827"/>
      <c r="V29" s="827"/>
      <c r="W29" s="827"/>
      <c r="X29" s="827"/>
      <c r="Y29" s="827"/>
      <c r="Z29" s="827"/>
      <c r="AA29" s="827"/>
      <c r="AB29" s="827"/>
    </row>
    <row r="30" spans="1:31" ht="21" customHeight="1" thickBot="1">
      <c r="C30" s="825"/>
      <c r="D30" s="825"/>
      <c r="E30" s="942" t="s">
        <v>253</v>
      </c>
      <c r="F30" s="943"/>
      <c r="G30" s="866">
        <f>+G23-G29</f>
        <v>297088607.90661645</v>
      </c>
      <c r="H30" s="866">
        <f t="shared" ref="H30:L30" si="12">+H23-H29</f>
        <v>0</v>
      </c>
      <c r="I30" s="866">
        <f t="shared" si="12"/>
        <v>0</v>
      </c>
      <c r="J30" s="866">
        <f t="shared" si="12"/>
        <v>0</v>
      </c>
      <c r="K30" s="866">
        <f t="shared" si="12"/>
        <v>0</v>
      </c>
      <c r="L30" s="866">
        <f t="shared" si="12"/>
        <v>0</v>
      </c>
      <c r="M30" s="827"/>
      <c r="N30" s="827"/>
      <c r="O30" s="827"/>
      <c r="P30" s="827"/>
      <c r="Q30" s="827"/>
      <c r="R30" s="827"/>
      <c r="S30" s="827"/>
      <c r="T30" s="827"/>
      <c r="U30" s="827"/>
      <c r="V30" s="827"/>
      <c r="W30" s="827"/>
      <c r="X30" s="827"/>
      <c r="Y30" s="827"/>
      <c r="Z30" s="827"/>
      <c r="AA30" s="827"/>
      <c r="AB30" s="827"/>
    </row>
    <row r="31" spans="1:31" ht="21" customHeight="1">
      <c r="C31" s="825"/>
      <c r="D31" s="825"/>
    </row>
    <row r="32" spans="1:31" ht="18" hidden="1" customHeight="1" thickBot="1">
      <c r="E32" s="828"/>
      <c r="F32" s="828"/>
      <c r="G32" s="811"/>
      <c r="H32" s="811"/>
      <c r="I32" s="811"/>
      <c r="J32" s="811"/>
      <c r="K32" s="811"/>
      <c r="L32" s="811"/>
      <c r="M32" s="811"/>
      <c r="N32" s="811"/>
      <c r="O32" s="811"/>
      <c r="P32" s="811"/>
      <c r="Q32" s="811"/>
      <c r="R32" s="811"/>
      <c r="S32" s="811"/>
      <c r="T32" s="811"/>
      <c r="U32" s="811"/>
      <c r="V32" s="811"/>
      <c r="W32" s="811"/>
      <c r="X32" s="811"/>
      <c r="Y32" s="811"/>
      <c r="Z32" s="811"/>
      <c r="AA32" s="811"/>
      <c r="AB32" s="811"/>
    </row>
    <row r="33" spans="3:30" ht="20.100000000000001" hidden="1" customHeight="1">
      <c r="C33" s="944" t="s">
        <v>812</v>
      </c>
      <c r="D33" s="945"/>
      <c r="E33" s="945"/>
      <c r="F33" s="945"/>
      <c r="G33" s="945"/>
      <c r="H33" s="945"/>
      <c r="I33" s="945"/>
      <c r="J33" s="945"/>
      <c r="K33" s="945"/>
      <c r="L33" s="945"/>
      <c r="M33" s="945"/>
      <c r="N33" s="945"/>
      <c r="O33" s="945"/>
      <c r="P33" s="945"/>
      <c r="Q33" s="945"/>
      <c r="R33" s="945"/>
      <c r="S33" s="945"/>
      <c r="T33" s="945"/>
      <c r="U33" s="945"/>
      <c r="V33" s="945"/>
      <c r="W33" s="945"/>
      <c r="X33" s="945"/>
      <c r="Y33" s="945"/>
      <c r="Z33" s="945"/>
      <c r="AA33" s="945"/>
      <c r="AB33" s="945"/>
      <c r="AC33" s="946"/>
    </row>
    <row r="34" spans="3:30" ht="20.100000000000001" hidden="1" customHeight="1">
      <c r="C34" s="947" t="s">
        <v>813</v>
      </c>
      <c r="D34" s="948" t="s">
        <v>814</v>
      </c>
      <c r="E34" s="950" t="s">
        <v>815</v>
      </c>
      <c r="F34" s="951" t="s">
        <v>807</v>
      </c>
      <c r="G34" s="952"/>
      <c r="H34" s="952"/>
      <c r="I34" s="952"/>
      <c r="J34" s="952"/>
      <c r="K34" s="952"/>
      <c r="L34" s="952"/>
      <c r="M34" s="952"/>
      <c r="N34" s="952"/>
      <c r="O34" s="952"/>
      <c r="P34" s="952"/>
      <c r="Q34" s="952"/>
      <c r="R34" s="952"/>
      <c r="S34" s="952"/>
      <c r="T34" s="952"/>
      <c r="U34" s="952"/>
      <c r="V34" s="952"/>
      <c r="W34" s="952"/>
      <c r="X34" s="952"/>
      <c r="Y34" s="952"/>
      <c r="Z34" s="952"/>
      <c r="AA34" s="952"/>
      <c r="AB34" s="952"/>
      <c r="AC34" s="953"/>
    </row>
    <row r="35" spans="3:30" ht="45.75" hidden="1" customHeight="1">
      <c r="C35" s="947"/>
      <c r="D35" s="949"/>
      <c r="E35" s="950"/>
      <c r="F35" s="829"/>
      <c r="G35" s="789" t="s">
        <v>22</v>
      </c>
      <c r="H35" s="789" t="s">
        <v>23</v>
      </c>
      <c r="I35" s="789" t="s">
        <v>24</v>
      </c>
      <c r="J35" s="789" t="s">
        <v>302</v>
      </c>
      <c r="K35" s="789" t="s">
        <v>303</v>
      </c>
      <c r="L35" s="789" t="s">
        <v>808</v>
      </c>
      <c r="M35" s="789" t="s">
        <v>789</v>
      </c>
      <c r="N35" s="789" t="s">
        <v>790</v>
      </c>
      <c r="O35" s="789" t="s">
        <v>791</v>
      </c>
      <c r="P35" s="789" t="s">
        <v>792</v>
      </c>
      <c r="Q35" s="789" t="s">
        <v>793</v>
      </c>
      <c r="R35" s="789" t="s">
        <v>794</v>
      </c>
      <c r="S35" s="789" t="s">
        <v>795</v>
      </c>
      <c r="T35" s="789" t="s">
        <v>796</v>
      </c>
      <c r="U35" s="789" t="s">
        <v>797</v>
      </c>
      <c r="V35" s="789" t="s">
        <v>798</v>
      </c>
      <c r="W35" s="789" t="s">
        <v>799</v>
      </c>
      <c r="X35" s="789" t="s">
        <v>800</v>
      </c>
      <c r="Y35" s="789" t="s">
        <v>801</v>
      </c>
      <c r="Z35" s="789" t="s">
        <v>802</v>
      </c>
      <c r="AA35" s="789" t="s">
        <v>803</v>
      </c>
      <c r="AB35" s="789" t="s">
        <v>804</v>
      </c>
      <c r="AC35" s="813" t="s">
        <v>816</v>
      </c>
    </row>
    <row r="36" spans="3:30" ht="26.25" hidden="1" customHeight="1">
      <c r="C36" s="936"/>
      <c r="D36" s="937"/>
      <c r="E36" s="937"/>
      <c r="F36" s="830" t="s">
        <v>809</v>
      </c>
      <c r="G36" s="831"/>
      <c r="H36" s="831"/>
      <c r="I36" s="831"/>
      <c r="J36" s="831"/>
      <c r="K36" s="831"/>
      <c r="L36" s="831"/>
      <c r="M36" s="831">
        <f t="shared" ref="M36:AB36" si="13">M26</f>
        <v>0</v>
      </c>
      <c r="N36" s="831">
        <f t="shared" si="13"/>
        <v>0</v>
      </c>
      <c r="O36" s="831">
        <f t="shared" si="13"/>
        <v>0</v>
      </c>
      <c r="P36" s="831">
        <f t="shared" si="13"/>
        <v>0</v>
      </c>
      <c r="Q36" s="831">
        <f t="shared" si="13"/>
        <v>0</v>
      </c>
      <c r="R36" s="831">
        <f t="shared" si="13"/>
        <v>0</v>
      </c>
      <c r="S36" s="831">
        <f t="shared" si="13"/>
        <v>0</v>
      </c>
      <c r="T36" s="831">
        <f t="shared" si="13"/>
        <v>0</v>
      </c>
      <c r="U36" s="831">
        <f t="shared" si="13"/>
        <v>0</v>
      </c>
      <c r="V36" s="831">
        <f t="shared" si="13"/>
        <v>0</v>
      </c>
      <c r="W36" s="831">
        <f t="shared" si="13"/>
        <v>0</v>
      </c>
      <c r="X36" s="831">
        <f t="shared" si="13"/>
        <v>0</v>
      </c>
      <c r="Y36" s="831">
        <f t="shared" si="13"/>
        <v>0</v>
      </c>
      <c r="Z36" s="831">
        <f t="shared" si="13"/>
        <v>0</v>
      </c>
      <c r="AA36" s="831">
        <f t="shared" si="13"/>
        <v>0</v>
      </c>
      <c r="AB36" s="831">
        <f t="shared" si="13"/>
        <v>0</v>
      </c>
      <c r="AC36" s="832">
        <f>SUM(G36:AB36)</f>
        <v>0</v>
      </c>
    </row>
    <row r="37" spans="3:30" ht="18" hidden="1" customHeight="1">
      <c r="C37" s="936"/>
      <c r="D37" s="937"/>
      <c r="E37" s="937"/>
      <c r="F37" s="833" t="s">
        <v>33</v>
      </c>
      <c r="G37" s="834">
        <f t="shared" ref="G37:AB37" si="14">IFERROR(G36/$E$36,0)</f>
        <v>0</v>
      </c>
      <c r="H37" s="834">
        <f t="shared" si="14"/>
        <v>0</v>
      </c>
      <c r="I37" s="834">
        <f t="shared" si="14"/>
        <v>0</v>
      </c>
      <c r="J37" s="834">
        <f t="shared" si="14"/>
        <v>0</v>
      </c>
      <c r="K37" s="834">
        <f t="shared" si="14"/>
        <v>0</v>
      </c>
      <c r="L37" s="834">
        <f t="shared" si="14"/>
        <v>0</v>
      </c>
      <c r="M37" s="834">
        <f t="shared" si="14"/>
        <v>0</v>
      </c>
      <c r="N37" s="834">
        <f t="shared" si="14"/>
        <v>0</v>
      </c>
      <c r="O37" s="834">
        <f t="shared" si="14"/>
        <v>0</v>
      </c>
      <c r="P37" s="834">
        <f t="shared" si="14"/>
        <v>0</v>
      </c>
      <c r="Q37" s="834">
        <f t="shared" si="14"/>
        <v>0</v>
      </c>
      <c r="R37" s="834">
        <f t="shared" si="14"/>
        <v>0</v>
      </c>
      <c r="S37" s="834">
        <f t="shared" si="14"/>
        <v>0</v>
      </c>
      <c r="T37" s="834">
        <f t="shared" si="14"/>
        <v>0</v>
      </c>
      <c r="U37" s="834">
        <f t="shared" si="14"/>
        <v>0</v>
      </c>
      <c r="V37" s="834">
        <f t="shared" si="14"/>
        <v>0</v>
      </c>
      <c r="W37" s="834">
        <f t="shared" si="14"/>
        <v>0</v>
      </c>
      <c r="X37" s="834">
        <f t="shared" si="14"/>
        <v>0</v>
      </c>
      <c r="Y37" s="834">
        <f t="shared" si="14"/>
        <v>0</v>
      </c>
      <c r="Z37" s="834">
        <f t="shared" si="14"/>
        <v>0</v>
      </c>
      <c r="AA37" s="834">
        <f t="shared" si="14"/>
        <v>0</v>
      </c>
      <c r="AB37" s="834">
        <f t="shared" si="14"/>
        <v>0</v>
      </c>
      <c r="AC37" s="835"/>
    </row>
    <row r="38" spans="3:30" ht="27.75" hidden="1" customHeight="1">
      <c r="C38" s="936"/>
      <c r="D38" s="937"/>
      <c r="E38" s="937"/>
      <c r="F38" s="836" t="s">
        <v>34</v>
      </c>
      <c r="G38" s="822">
        <f>+G37</f>
        <v>0</v>
      </c>
      <c r="H38" s="822">
        <f t="shared" ref="H38:AB38" si="15">+G38+H37</f>
        <v>0</v>
      </c>
      <c r="I38" s="822">
        <f t="shared" si="15"/>
        <v>0</v>
      </c>
      <c r="J38" s="822">
        <f t="shared" si="15"/>
        <v>0</v>
      </c>
      <c r="K38" s="822">
        <f t="shared" si="15"/>
        <v>0</v>
      </c>
      <c r="L38" s="822">
        <f t="shared" si="15"/>
        <v>0</v>
      </c>
      <c r="M38" s="822">
        <f t="shared" si="15"/>
        <v>0</v>
      </c>
      <c r="N38" s="822">
        <f t="shared" si="15"/>
        <v>0</v>
      </c>
      <c r="O38" s="822">
        <f t="shared" si="15"/>
        <v>0</v>
      </c>
      <c r="P38" s="822">
        <f t="shared" si="15"/>
        <v>0</v>
      </c>
      <c r="Q38" s="822">
        <f t="shared" si="15"/>
        <v>0</v>
      </c>
      <c r="R38" s="822">
        <f t="shared" si="15"/>
        <v>0</v>
      </c>
      <c r="S38" s="822">
        <f t="shared" si="15"/>
        <v>0</v>
      </c>
      <c r="T38" s="822">
        <f t="shared" si="15"/>
        <v>0</v>
      </c>
      <c r="U38" s="822">
        <f t="shared" si="15"/>
        <v>0</v>
      </c>
      <c r="V38" s="822">
        <f t="shared" si="15"/>
        <v>0</v>
      </c>
      <c r="W38" s="822">
        <f t="shared" si="15"/>
        <v>0</v>
      </c>
      <c r="X38" s="822">
        <f t="shared" si="15"/>
        <v>0</v>
      </c>
      <c r="Y38" s="822">
        <f t="shared" si="15"/>
        <v>0</v>
      </c>
      <c r="Z38" s="822">
        <f t="shared" si="15"/>
        <v>0</v>
      </c>
      <c r="AA38" s="822">
        <f t="shared" si="15"/>
        <v>0</v>
      </c>
      <c r="AB38" s="822">
        <f t="shared" si="15"/>
        <v>0</v>
      </c>
      <c r="AC38" s="835"/>
    </row>
    <row r="39" spans="3:30" ht="28.5" hidden="1" customHeight="1">
      <c r="C39" s="936"/>
      <c r="D39" s="937"/>
      <c r="E39" s="937"/>
      <c r="F39" s="830" t="s">
        <v>817</v>
      </c>
      <c r="G39" s="821"/>
      <c r="H39" s="821"/>
      <c r="I39" s="821"/>
      <c r="J39" s="821"/>
      <c r="K39" s="821"/>
      <c r="L39" s="821"/>
      <c r="M39" s="821"/>
      <c r="N39" s="821"/>
      <c r="O39" s="821"/>
      <c r="P39" s="821"/>
      <c r="Q39" s="821"/>
      <c r="R39" s="821"/>
      <c r="S39" s="821"/>
      <c r="T39" s="821"/>
      <c r="U39" s="821"/>
      <c r="V39" s="821"/>
      <c r="W39" s="821"/>
      <c r="X39" s="821"/>
      <c r="Y39" s="821"/>
      <c r="Z39" s="821"/>
      <c r="AA39" s="821"/>
      <c r="AB39" s="821"/>
      <c r="AC39" s="832">
        <f>SUM(G39:AB39)</f>
        <v>0</v>
      </c>
    </row>
    <row r="40" spans="3:30" ht="18" hidden="1" customHeight="1">
      <c r="C40" s="936"/>
      <c r="D40" s="937"/>
      <c r="E40" s="937"/>
      <c r="F40" s="833" t="s">
        <v>33</v>
      </c>
      <c r="G40" s="834">
        <f t="shared" ref="G40:AB40" si="16">IFERROR(G39/$E$36,0)</f>
        <v>0</v>
      </c>
      <c r="H40" s="834">
        <f t="shared" si="16"/>
        <v>0</v>
      </c>
      <c r="I40" s="834">
        <f t="shared" si="16"/>
        <v>0</v>
      </c>
      <c r="J40" s="834">
        <f t="shared" si="16"/>
        <v>0</v>
      </c>
      <c r="K40" s="834">
        <f t="shared" si="16"/>
        <v>0</v>
      </c>
      <c r="L40" s="834">
        <f t="shared" si="16"/>
        <v>0</v>
      </c>
      <c r="M40" s="834">
        <f t="shared" si="16"/>
        <v>0</v>
      </c>
      <c r="N40" s="834">
        <f t="shared" si="16"/>
        <v>0</v>
      </c>
      <c r="O40" s="834">
        <f t="shared" si="16"/>
        <v>0</v>
      </c>
      <c r="P40" s="834">
        <f t="shared" si="16"/>
        <v>0</v>
      </c>
      <c r="Q40" s="834">
        <f t="shared" si="16"/>
        <v>0</v>
      </c>
      <c r="R40" s="834">
        <f t="shared" si="16"/>
        <v>0</v>
      </c>
      <c r="S40" s="834">
        <f t="shared" si="16"/>
        <v>0</v>
      </c>
      <c r="T40" s="834">
        <f t="shared" si="16"/>
        <v>0</v>
      </c>
      <c r="U40" s="834">
        <f t="shared" si="16"/>
        <v>0</v>
      </c>
      <c r="V40" s="834">
        <f t="shared" si="16"/>
        <v>0</v>
      </c>
      <c r="W40" s="834">
        <f t="shared" si="16"/>
        <v>0</v>
      </c>
      <c r="X40" s="834">
        <f t="shared" si="16"/>
        <v>0</v>
      </c>
      <c r="Y40" s="834">
        <f t="shared" si="16"/>
        <v>0</v>
      </c>
      <c r="Z40" s="834">
        <f t="shared" si="16"/>
        <v>0</v>
      </c>
      <c r="AA40" s="834">
        <f t="shared" si="16"/>
        <v>0</v>
      </c>
      <c r="AB40" s="834">
        <f t="shared" si="16"/>
        <v>0</v>
      </c>
      <c r="AC40" s="835"/>
    </row>
    <row r="41" spans="3:30" ht="26.25" hidden="1" customHeight="1">
      <c r="C41" s="936"/>
      <c r="D41" s="937"/>
      <c r="E41" s="937"/>
      <c r="F41" s="836" t="s">
        <v>34</v>
      </c>
      <c r="G41" s="822">
        <f>+G40</f>
        <v>0</v>
      </c>
      <c r="H41" s="822">
        <f t="shared" ref="H41:AB41" si="17">+G41+H40</f>
        <v>0</v>
      </c>
      <c r="I41" s="822">
        <f t="shared" si="17"/>
        <v>0</v>
      </c>
      <c r="J41" s="822">
        <f t="shared" si="17"/>
        <v>0</v>
      </c>
      <c r="K41" s="822">
        <f t="shared" si="17"/>
        <v>0</v>
      </c>
      <c r="L41" s="822">
        <f t="shared" si="17"/>
        <v>0</v>
      </c>
      <c r="M41" s="822">
        <f t="shared" si="17"/>
        <v>0</v>
      </c>
      <c r="N41" s="822">
        <f t="shared" si="17"/>
        <v>0</v>
      </c>
      <c r="O41" s="822">
        <f t="shared" si="17"/>
        <v>0</v>
      </c>
      <c r="P41" s="822">
        <f t="shared" si="17"/>
        <v>0</v>
      </c>
      <c r="Q41" s="822">
        <f t="shared" si="17"/>
        <v>0</v>
      </c>
      <c r="R41" s="822">
        <f t="shared" si="17"/>
        <v>0</v>
      </c>
      <c r="S41" s="822">
        <f t="shared" si="17"/>
        <v>0</v>
      </c>
      <c r="T41" s="822">
        <f t="shared" si="17"/>
        <v>0</v>
      </c>
      <c r="U41" s="822">
        <f t="shared" si="17"/>
        <v>0</v>
      </c>
      <c r="V41" s="822">
        <f t="shared" si="17"/>
        <v>0</v>
      </c>
      <c r="W41" s="822">
        <f t="shared" si="17"/>
        <v>0</v>
      </c>
      <c r="X41" s="822">
        <f t="shared" si="17"/>
        <v>0</v>
      </c>
      <c r="Y41" s="822">
        <f t="shared" si="17"/>
        <v>0</v>
      </c>
      <c r="Z41" s="822">
        <f t="shared" si="17"/>
        <v>0</v>
      </c>
      <c r="AA41" s="822">
        <f t="shared" si="17"/>
        <v>0</v>
      </c>
      <c r="AB41" s="822">
        <f t="shared" si="17"/>
        <v>0</v>
      </c>
      <c r="AC41" s="835"/>
    </row>
    <row r="42" spans="3:30" ht="18" hidden="1" customHeight="1">
      <c r="C42" s="938" t="s">
        <v>818</v>
      </c>
      <c r="D42" s="939"/>
      <c r="E42" s="939"/>
      <c r="F42" s="940"/>
      <c r="G42" s="837">
        <f t="shared" ref="G42:AB42" si="18">G38+G41</f>
        <v>0</v>
      </c>
      <c r="H42" s="837">
        <f t="shared" si="18"/>
        <v>0</v>
      </c>
      <c r="I42" s="837">
        <f t="shared" si="18"/>
        <v>0</v>
      </c>
      <c r="J42" s="837">
        <f t="shared" si="18"/>
        <v>0</v>
      </c>
      <c r="K42" s="837">
        <f t="shared" si="18"/>
        <v>0</v>
      </c>
      <c r="L42" s="837">
        <f t="shared" si="18"/>
        <v>0</v>
      </c>
      <c r="M42" s="837">
        <f t="shared" si="18"/>
        <v>0</v>
      </c>
      <c r="N42" s="837">
        <f t="shared" si="18"/>
        <v>0</v>
      </c>
      <c r="O42" s="837">
        <f t="shared" si="18"/>
        <v>0</v>
      </c>
      <c r="P42" s="837">
        <f t="shared" si="18"/>
        <v>0</v>
      </c>
      <c r="Q42" s="837">
        <f t="shared" si="18"/>
        <v>0</v>
      </c>
      <c r="R42" s="837">
        <f t="shared" si="18"/>
        <v>0</v>
      </c>
      <c r="S42" s="837">
        <f t="shared" si="18"/>
        <v>0</v>
      </c>
      <c r="T42" s="837">
        <f t="shared" si="18"/>
        <v>0</v>
      </c>
      <c r="U42" s="837">
        <f t="shared" si="18"/>
        <v>0</v>
      </c>
      <c r="V42" s="837">
        <f t="shared" si="18"/>
        <v>0</v>
      </c>
      <c r="W42" s="837">
        <f t="shared" si="18"/>
        <v>0</v>
      </c>
      <c r="X42" s="837">
        <f t="shared" si="18"/>
        <v>0</v>
      </c>
      <c r="Y42" s="837">
        <f t="shared" si="18"/>
        <v>0</v>
      </c>
      <c r="Z42" s="837">
        <f t="shared" si="18"/>
        <v>0</v>
      </c>
      <c r="AA42" s="837">
        <f t="shared" si="18"/>
        <v>0</v>
      </c>
      <c r="AB42" s="837">
        <f t="shared" si="18"/>
        <v>0</v>
      </c>
      <c r="AC42" s="838">
        <f>IFERROR((AC36+AC39)/E36,0)</f>
        <v>0</v>
      </c>
    </row>
    <row r="43" spans="3:30" ht="18" hidden="1" customHeight="1" thickBot="1">
      <c r="C43" s="839"/>
      <c r="D43" s="839"/>
      <c r="E43" s="839"/>
      <c r="F43" s="839"/>
      <c r="G43" s="837"/>
      <c r="H43" s="837"/>
      <c r="I43" s="837"/>
      <c r="J43" s="837"/>
      <c r="K43" s="837"/>
      <c r="L43" s="837"/>
      <c r="M43" s="837"/>
      <c r="N43" s="837"/>
      <c r="O43" s="837"/>
      <c r="P43" s="837"/>
      <c r="Q43" s="837"/>
      <c r="R43" s="837"/>
      <c r="S43" s="837"/>
      <c r="T43" s="837"/>
      <c r="U43" s="837"/>
      <c r="V43" s="837"/>
      <c r="W43" s="837"/>
      <c r="X43" s="837"/>
      <c r="Y43" s="837"/>
      <c r="Z43" s="837"/>
      <c r="AA43" s="837"/>
      <c r="AB43" s="837"/>
      <c r="AC43" s="840"/>
    </row>
    <row r="44" spans="3:30" ht="18" hidden="1" customHeight="1" thickBot="1">
      <c r="C44" s="841"/>
      <c r="D44" s="842"/>
      <c r="E44" s="843"/>
      <c r="F44" s="843"/>
      <c r="G44" s="844"/>
      <c r="H44" s="844"/>
      <c r="I44" s="844"/>
      <c r="J44" s="844"/>
      <c r="K44" s="844"/>
      <c r="L44" s="844"/>
      <c r="M44" s="844"/>
      <c r="N44" s="844"/>
      <c r="O44" s="844"/>
      <c r="P44" s="844"/>
      <c r="Q44" s="844"/>
      <c r="R44" s="844"/>
      <c r="S44" s="844"/>
      <c r="T44" s="844"/>
      <c r="U44" s="844"/>
      <c r="V44" s="844"/>
      <c r="W44" s="844"/>
      <c r="X44" s="844"/>
      <c r="Y44" s="844"/>
      <c r="Z44" s="844"/>
      <c r="AA44" s="844"/>
      <c r="AB44" s="844"/>
      <c r="AC44" s="845">
        <f>AC36+AC39</f>
        <v>0</v>
      </c>
      <c r="AD44" s="846">
        <f>E36-AC44</f>
        <v>0</v>
      </c>
    </row>
    <row r="45" spans="3:30" ht="18" hidden="1" customHeight="1" thickBot="1">
      <c r="C45" s="841"/>
      <c r="D45" s="842"/>
      <c r="E45" s="867"/>
      <c r="F45" s="868"/>
      <c r="G45" s="869"/>
      <c r="H45" s="869"/>
      <c r="I45" s="869"/>
      <c r="J45" s="869"/>
      <c r="K45" s="869"/>
      <c r="L45" s="869"/>
      <c r="M45" s="844"/>
      <c r="N45" s="844"/>
      <c r="O45" s="844"/>
      <c r="P45" s="844"/>
      <c r="Q45" s="844"/>
      <c r="R45" s="844"/>
      <c r="S45" s="844"/>
      <c r="T45" s="844"/>
      <c r="U45" s="844"/>
      <c r="V45" s="844"/>
      <c r="W45" s="844"/>
      <c r="X45" s="844"/>
      <c r="Y45" s="844"/>
      <c r="Z45" s="844"/>
      <c r="AA45" s="844"/>
      <c r="AB45" s="844"/>
      <c r="AC45" s="841"/>
    </row>
    <row r="46" spans="3:30" ht="55.9" customHeight="1">
      <c r="E46" s="935" t="s">
        <v>385</v>
      </c>
      <c r="F46" s="935"/>
      <c r="G46" s="935"/>
      <c r="H46" s="935"/>
      <c r="I46" s="935"/>
      <c r="J46" s="935"/>
      <c r="K46" s="935"/>
      <c r="L46" s="935"/>
      <c r="M46" s="811"/>
      <c r="N46" s="811"/>
      <c r="O46" s="811"/>
      <c r="P46" s="811"/>
      <c r="Q46" s="811"/>
      <c r="R46" s="811"/>
      <c r="S46" s="811"/>
      <c r="T46" s="811"/>
      <c r="U46" s="811"/>
      <c r="V46" s="811"/>
      <c r="W46" s="811"/>
      <c r="X46" s="811"/>
      <c r="Y46" s="811"/>
      <c r="Z46" s="811"/>
      <c r="AA46" s="811"/>
      <c r="AB46" s="811"/>
    </row>
    <row r="47" spans="3:30" ht="18" customHeight="1">
      <c r="E47" s="828"/>
      <c r="F47" s="828"/>
      <c r="G47" s="811"/>
      <c r="H47" s="811"/>
      <c r="I47" s="811"/>
      <c r="J47" s="811"/>
      <c r="K47" s="811"/>
      <c r="L47" s="811"/>
      <c r="M47" s="811"/>
      <c r="N47" s="811"/>
      <c r="O47" s="811"/>
      <c r="P47" s="811"/>
      <c r="Q47" s="811"/>
      <c r="R47" s="811"/>
      <c r="S47" s="811"/>
      <c r="T47" s="811"/>
      <c r="U47" s="811"/>
      <c r="V47" s="811"/>
      <c r="W47" s="811"/>
      <c r="X47" s="811"/>
      <c r="Y47" s="811"/>
      <c r="Z47" s="811"/>
      <c r="AA47" s="811"/>
      <c r="AB47" s="811"/>
    </row>
    <row r="49" spans="2:41" ht="18" customHeight="1">
      <c r="G49" s="847"/>
      <c r="H49" s="847"/>
      <c r="I49" s="847"/>
    </row>
    <row r="50" spans="2:41" s="851" customFormat="1" ht="18" customHeight="1">
      <c r="B50" s="941"/>
      <c r="C50" s="941"/>
      <c r="D50" s="848"/>
      <c r="E50" s="849"/>
      <c r="F50" s="850"/>
      <c r="H50" s="852"/>
      <c r="I50" s="849"/>
      <c r="J50" s="849"/>
      <c r="K50" s="849"/>
      <c r="L50" s="849"/>
      <c r="M50" s="849"/>
      <c r="N50" s="849"/>
      <c r="O50" s="849"/>
      <c r="P50" s="849"/>
      <c r="Q50" s="849"/>
      <c r="R50" s="849"/>
      <c r="S50" s="849"/>
      <c r="T50" s="849"/>
      <c r="U50" s="849"/>
      <c r="V50" s="849"/>
      <c r="W50" s="849"/>
      <c r="X50" s="849"/>
      <c r="Y50" s="849"/>
      <c r="Z50" s="849"/>
      <c r="AA50" s="849"/>
      <c r="AC50" s="853"/>
      <c r="AD50" s="853"/>
      <c r="AE50" s="853"/>
      <c r="AF50" s="853"/>
      <c r="AG50" s="932"/>
      <c r="AH50" s="932"/>
      <c r="AI50" s="932"/>
      <c r="AJ50" s="932"/>
      <c r="AK50" s="932"/>
      <c r="AL50" s="932"/>
      <c r="AM50" s="853"/>
      <c r="AN50" s="853"/>
      <c r="AO50" s="854"/>
    </row>
    <row r="51" spans="2:41" s="851" customFormat="1" ht="18" customHeight="1">
      <c r="B51" s="933" t="s">
        <v>384</v>
      </c>
      <c r="C51" s="933"/>
      <c r="D51" s="855"/>
      <c r="F51" s="850"/>
      <c r="H51" s="856" t="s">
        <v>819</v>
      </c>
      <c r="I51" s="853"/>
      <c r="J51" s="853"/>
      <c r="K51" s="853"/>
      <c r="L51" s="853"/>
      <c r="M51" s="853"/>
      <c r="N51" s="853"/>
      <c r="O51" s="853"/>
      <c r="P51" s="853"/>
      <c r="Q51" s="853"/>
      <c r="R51" s="853"/>
      <c r="S51" s="853"/>
      <c r="T51" s="853"/>
      <c r="U51" s="853"/>
      <c r="V51" s="853"/>
      <c r="W51" s="853"/>
      <c r="X51" s="853"/>
      <c r="Y51" s="853"/>
      <c r="Z51" s="853"/>
      <c r="AA51" s="853"/>
      <c r="AC51" s="853"/>
      <c r="AD51" s="853"/>
      <c r="AE51" s="853"/>
      <c r="AF51" s="853"/>
      <c r="AG51" s="934"/>
      <c r="AH51" s="934"/>
      <c r="AI51" s="934"/>
      <c r="AJ51" s="934"/>
      <c r="AK51" s="934"/>
      <c r="AL51" s="934"/>
      <c r="AM51" s="849"/>
      <c r="AN51" s="849"/>
      <c r="AO51" s="849"/>
    </row>
  </sheetData>
  <mergeCells count="50">
    <mergeCell ref="A12:AB12"/>
    <mergeCell ref="F13:F14"/>
    <mergeCell ref="G13:AB13"/>
    <mergeCell ref="A10:B10"/>
    <mergeCell ref="B13:B14"/>
    <mergeCell ref="C13:C14"/>
    <mergeCell ref="D13:D14"/>
    <mergeCell ref="E13:E14"/>
    <mergeCell ref="A13:A14"/>
    <mergeCell ref="A8:B8"/>
    <mergeCell ref="C8:F8"/>
    <mergeCell ref="A9:B9"/>
    <mergeCell ref="C9:F9"/>
    <mergeCell ref="C10:F10"/>
    <mergeCell ref="A1:B3"/>
    <mergeCell ref="C1:AB1"/>
    <mergeCell ref="C2:AB2"/>
    <mergeCell ref="C3:G3"/>
    <mergeCell ref="H3:AB3"/>
    <mergeCell ref="C4:AB4"/>
    <mergeCell ref="A5:B5"/>
    <mergeCell ref="C5:AB5"/>
    <mergeCell ref="A7:B7"/>
    <mergeCell ref="C7:F7"/>
    <mergeCell ref="A4:B4"/>
    <mergeCell ref="E20:AB20"/>
    <mergeCell ref="E21:E22"/>
    <mergeCell ref="F21:F22"/>
    <mergeCell ref="G21:AB21"/>
    <mergeCell ref="E24:F24"/>
    <mergeCell ref="E25:F25"/>
    <mergeCell ref="E26:F26"/>
    <mergeCell ref="E27:F27"/>
    <mergeCell ref="E28:F28"/>
    <mergeCell ref="E29:F29"/>
    <mergeCell ref="E30:F30"/>
    <mergeCell ref="C33:AC33"/>
    <mergeCell ref="C34:C35"/>
    <mergeCell ref="D34:D35"/>
    <mergeCell ref="E34:E35"/>
    <mergeCell ref="F34:AC34"/>
    <mergeCell ref="AG50:AL50"/>
    <mergeCell ref="B51:C51"/>
    <mergeCell ref="AG51:AL51"/>
    <mergeCell ref="E46:L46"/>
    <mergeCell ref="C36:C41"/>
    <mergeCell ref="D36:D41"/>
    <mergeCell ref="E36:E41"/>
    <mergeCell ref="C42:F42"/>
    <mergeCell ref="B50:C50"/>
  </mergeCells>
  <dataValidations count="7">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7:D7 JI7 TE7 ADA7 AMW7 AWS7 BGO7 BQK7 CAG7 CKC7 CTY7 DDU7 DNQ7 DXM7 EHI7 ERE7 FBA7 FKW7 FUS7 GEO7 GOK7 GYG7 HIC7 HRY7 IBU7 ILQ7 IVM7 JFI7 JPE7 JZA7 KIW7 KSS7 LCO7 LMK7 LWG7 MGC7 MPY7 MZU7 NJQ7 NTM7 ODI7 ONE7 OXA7 PGW7 PQS7 QAO7 QKK7 QUG7 REC7 RNY7 RXU7 SHQ7 SRM7 TBI7 TLE7 TVA7 UEW7 UOS7 UYO7 VIK7 VSG7 WCC7 WLY7 WVU7 C65561:D65561 JI65561 TE65561 ADA65561 AMW65561 AWS65561 BGO65561 BQK65561 CAG65561 CKC65561 CTY65561 DDU65561 DNQ65561 DXM65561 EHI65561 ERE65561 FBA65561 FKW65561 FUS65561 GEO65561 GOK65561 GYG65561 HIC65561 HRY65561 IBU65561 ILQ65561 IVM65561 JFI65561 JPE65561 JZA65561 KIW65561 KSS65561 LCO65561 LMK65561 LWG65561 MGC65561 MPY65561 MZU65561 NJQ65561 NTM65561 ODI65561 ONE65561 OXA65561 PGW65561 PQS65561 QAO65561 QKK65561 QUG65561 REC65561 RNY65561 RXU65561 SHQ65561 SRM65561 TBI65561 TLE65561 TVA65561 UEW65561 UOS65561 UYO65561 VIK65561 VSG65561 WCC65561 WLY65561 WVU65561 C131097:D131097 JI131097 TE131097 ADA131097 AMW131097 AWS131097 BGO131097 BQK131097 CAG131097 CKC131097 CTY131097 DDU131097 DNQ131097 DXM131097 EHI131097 ERE131097 FBA131097 FKW131097 FUS131097 GEO131097 GOK131097 GYG131097 HIC131097 HRY131097 IBU131097 ILQ131097 IVM131097 JFI131097 JPE131097 JZA131097 KIW131097 KSS131097 LCO131097 LMK131097 LWG131097 MGC131097 MPY131097 MZU131097 NJQ131097 NTM131097 ODI131097 ONE131097 OXA131097 PGW131097 PQS131097 QAO131097 QKK131097 QUG131097 REC131097 RNY131097 RXU131097 SHQ131097 SRM131097 TBI131097 TLE131097 TVA131097 UEW131097 UOS131097 UYO131097 VIK131097 VSG131097 WCC131097 WLY131097 WVU131097 C196633:D196633 JI196633 TE196633 ADA196633 AMW196633 AWS196633 BGO196633 BQK196633 CAG196633 CKC196633 CTY196633 DDU196633 DNQ196633 DXM196633 EHI196633 ERE196633 FBA196633 FKW196633 FUS196633 GEO196633 GOK196633 GYG196633 HIC196633 HRY196633 IBU196633 ILQ196633 IVM196633 JFI196633 JPE196633 JZA196633 KIW196633 KSS196633 LCO196633 LMK196633 LWG196633 MGC196633 MPY196633 MZU196633 NJQ196633 NTM196633 ODI196633 ONE196633 OXA196633 PGW196633 PQS196633 QAO196633 QKK196633 QUG196633 REC196633 RNY196633 RXU196633 SHQ196633 SRM196633 TBI196633 TLE196633 TVA196633 UEW196633 UOS196633 UYO196633 VIK196633 VSG196633 WCC196633 WLY196633 WVU196633 C262169:D262169 JI262169 TE262169 ADA262169 AMW262169 AWS262169 BGO262169 BQK262169 CAG262169 CKC262169 CTY262169 DDU262169 DNQ262169 DXM262169 EHI262169 ERE262169 FBA262169 FKW262169 FUS262169 GEO262169 GOK262169 GYG262169 HIC262169 HRY262169 IBU262169 ILQ262169 IVM262169 JFI262169 JPE262169 JZA262169 KIW262169 KSS262169 LCO262169 LMK262169 LWG262169 MGC262169 MPY262169 MZU262169 NJQ262169 NTM262169 ODI262169 ONE262169 OXA262169 PGW262169 PQS262169 QAO262169 QKK262169 QUG262169 REC262169 RNY262169 RXU262169 SHQ262169 SRM262169 TBI262169 TLE262169 TVA262169 UEW262169 UOS262169 UYO262169 VIK262169 VSG262169 WCC262169 WLY262169 WVU262169 C327705:D327705 JI327705 TE327705 ADA327705 AMW327705 AWS327705 BGO327705 BQK327705 CAG327705 CKC327705 CTY327705 DDU327705 DNQ327705 DXM327705 EHI327705 ERE327705 FBA327705 FKW327705 FUS327705 GEO327705 GOK327705 GYG327705 HIC327705 HRY327705 IBU327705 ILQ327705 IVM327705 JFI327705 JPE327705 JZA327705 KIW327705 KSS327705 LCO327705 LMK327705 LWG327705 MGC327705 MPY327705 MZU327705 NJQ327705 NTM327705 ODI327705 ONE327705 OXA327705 PGW327705 PQS327705 QAO327705 QKK327705 QUG327705 REC327705 RNY327705 RXU327705 SHQ327705 SRM327705 TBI327705 TLE327705 TVA327705 UEW327705 UOS327705 UYO327705 VIK327705 VSG327705 WCC327705 WLY327705 WVU327705 C393241:D393241 JI393241 TE393241 ADA393241 AMW393241 AWS393241 BGO393241 BQK393241 CAG393241 CKC393241 CTY393241 DDU393241 DNQ393241 DXM393241 EHI393241 ERE393241 FBA393241 FKW393241 FUS393241 GEO393241 GOK393241 GYG393241 HIC393241 HRY393241 IBU393241 ILQ393241 IVM393241 JFI393241 JPE393241 JZA393241 KIW393241 KSS393241 LCO393241 LMK393241 LWG393241 MGC393241 MPY393241 MZU393241 NJQ393241 NTM393241 ODI393241 ONE393241 OXA393241 PGW393241 PQS393241 QAO393241 QKK393241 QUG393241 REC393241 RNY393241 RXU393241 SHQ393241 SRM393241 TBI393241 TLE393241 TVA393241 UEW393241 UOS393241 UYO393241 VIK393241 VSG393241 WCC393241 WLY393241 WVU393241 C458777:D458777 JI458777 TE458777 ADA458777 AMW458777 AWS458777 BGO458777 BQK458777 CAG458777 CKC458777 CTY458777 DDU458777 DNQ458777 DXM458777 EHI458777 ERE458777 FBA458777 FKW458777 FUS458777 GEO458777 GOK458777 GYG458777 HIC458777 HRY458777 IBU458777 ILQ458777 IVM458777 JFI458777 JPE458777 JZA458777 KIW458777 KSS458777 LCO458777 LMK458777 LWG458777 MGC458777 MPY458777 MZU458777 NJQ458777 NTM458777 ODI458777 ONE458777 OXA458777 PGW458777 PQS458777 QAO458777 QKK458777 QUG458777 REC458777 RNY458777 RXU458777 SHQ458777 SRM458777 TBI458777 TLE458777 TVA458777 UEW458777 UOS458777 UYO458777 VIK458777 VSG458777 WCC458777 WLY458777 WVU458777 C524313:D524313 JI524313 TE524313 ADA524313 AMW524313 AWS524313 BGO524313 BQK524313 CAG524313 CKC524313 CTY524313 DDU524313 DNQ524313 DXM524313 EHI524313 ERE524313 FBA524313 FKW524313 FUS524313 GEO524313 GOK524313 GYG524313 HIC524313 HRY524313 IBU524313 ILQ524313 IVM524313 JFI524313 JPE524313 JZA524313 KIW524313 KSS524313 LCO524313 LMK524313 LWG524313 MGC524313 MPY524313 MZU524313 NJQ524313 NTM524313 ODI524313 ONE524313 OXA524313 PGW524313 PQS524313 QAO524313 QKK524313 QUG524313 REC524313 RNY524313 RXU524313 SHQ524313 SRM524313 TBI524313 TLE524313 TVA524313 UEW524313 UOS524313 UYO524313 VIK524313 VSG524313 WCC524313 WLY524313 WVU524313 C589849:D589849 JI589849 TE589849 ADA589849 AMW589849 AWS589849 BGO589849 BQK589849 CAG589849 CKC589849 CTY589849 DDU589849 DNQ589849 DXM589849 EHI589849 ERE589849 FBA589849 FKW589849 FUS589849 GEO589849 GOK589849 GYG589849 HIC589849 HRY589849 IBU589849 ILQ589849 IVM589849 JFI589849 JPE589849 JZA589849 KIW589849 KSS589849 LCO589849 LMK589849 LWG589849 MGC589849 MPY589849 MZU589849 NJQ589849 NTM589849 ODI589849 ONE589849 OXA589849 PGW589849 PQS589849 QAO589849 QKK589849 QUG589849 REC589849 RNY589849 RXU589849 SHQ589849 SRM589849 TBI589849 TLE589849 TVA589849 UEW589849 UOS589849 UYO589849 VIK589849 VSG589849 WCC589849 WLY589849 WVU589849 C655385:D655385 JI655385 TE655385 ADA655385 AMW655385 AWS655385 BGO655385 BQK655385 CAG655385 CKC655385 CTY655385 DDU655385 DNQ655385 DXM655385 EHI655385 ERE655385 FBA655385 FKW655385 FUS655385 GEO655385 GOK655385 GYG655385 HIC655385 HRY655385 IBU655385 ILQ655385 IVM655385 JFI655385 JPE655385 JZA655385 KIW655385 KSS655385 LCO655385 LMK655385 LWG655385 MGC655385 MPY655385 MZU655385 NJQ655385 NTM655385 ODI655385 ONE655385 OXA655385 PGW655385 PQS655385 QAO655385 QKK655385 QUG655385 REC655385 RNY655385 RXU655385 SHQ655385 SRM655385 TBI655385 TLE655385 TVA655385 UEW655385 UOS655385 UYO655385 VIK655385 VSG655385 WCC655385 WLY655385 WVU655385 C720921:D720921 JI720921 TE720921 ADA720921 AMW720921 AWS720921 BGO720921 BQK720921 CAG720921 CKC720921 CTY720921 DDU720921 DNQ720921 DXM720921 EHI720921 ERE720921 FBA720921 FKW720921 FUS720921 GEO720921 GOK720921 GYG720921 HIC720921 HRY720921 IBU720921 ILQ720921 IVM720921 JFI720921 JPE720921 JZA720921 KIW720921 KSS720921 LCO720921 LMK720921 LWG720921 MGC720921 MPY720921 MZU720921 NJQ720921 NTM720921 ODI720921 ONE720921 OXA720921 PGW720921 PQS720921 QAO720921 QKK720921 QUG720921 REC720921 RNY720921 RXU720921 SHQ720921 SRM720921 TBI720921 TLE720921 TVA720921 UEW720921 UOS720921 UYO720921 VIK720921 VSG720921 WCC720921 WLY720921 WVU720921 C786457:D786457 JI786457 TE786457 ADA786457 AMW786457 AWS786457 BGO786457 BQK786457 CAG786457 CKC786457 CTY786457 DDU786457 DNQ786457 DXM786457 EHI786457 ERE786457 FBA786457 FKW786457 FUS786457 GEO786457 GOK786457 GYG786457 HIC786457 HRY786457 IBU786457 ILQ786457 IVM786457 JFI786457 JPE786457 JZA786457 KIW786457 KSS786457 LCO786457 LMK786457 LWG786457 MGC786457 MPY786457 MZU786457 NJQ786457 NTM786457 ODI786457 ONE786457 OXA786457 PGW786457 PQS786457 QAO786457 QKK786457 QUG786457 REC786457 RNY786457 RXU786457 SHQ786457 SRM786457 TBI786457 TLE786457 TVA786457 UEW786457 UOS786457 UYO786457 VIK786457 VSG786457 WCC786457 WLY786457 WVU786457 C851993:D851993 JI851993 TE851993 ADA851993 AMW851993 AWS851993 BGO851993 BQK851993 CAG851993 CKC851993 CTY851993 DDU851993 DNQ851993 DXM851993 EHI851993 ERE851993 FBA851993 FKW851993 FUS851993 GEO851993 GOK851993 GYG851993 HIC851993 HRY851993 IBU851993 ILQ851993 IVM851993 JFI851993 JPE851993 JZA851993 KIW851993 KSS851993 LCO851993 LMK851993 LWG851993 MGC851993 MPY851993 MZU851993 NJQ851993 NTM851993 ODI851993 ONE851993 OXA851993 PGW851993 PQS851993 QAO851993 QKK851993 QUG851993 REC851993 RNY851993 RXU851993 SHQ851993 SRM851993 TBI851993 TLE851993 TVA851993 UEW851993 UOS851993 UYO851993 VIK851993 VSG851993 WCC851993 WLY851993 WVU851993 C917529:D917529 JI917529 TE917529 ADA917529 AMW917529 AWS917529 BGO917529 BQK917529 CAG917529 CKC917529 CTY917529 DDU917529 DNQ917529 DXM917529 EHI917529 ERE917529 FBA917529 FKW917529 FUS917529 GEO917529 GOK917529 GYG917529 HIC917529 HRY917529 IBU917529 ILQ917529 IVM917529 JFI917529 JPE917529 JZA917529 KIW917529 KSS917529 LCO917529 LMK917529 LWG917529 MGC917529 MPY917529 MZU917529 NJQ917529 NTM917529 ODI917529 ONE917529 OXA917529 PGW917529 PQS917529 QAO917529 QKK917529 QUG917529 REC917529 RNY917529 RXU917529 SHQ917529 SRM917529 TBI917529 TLE917529 TVA917529 UEW917529 UOS917529 UYO917529 VIK917529 VSG917529 WCC917529 WLY917529 WVU917529 C983065:D983065 JI983065 TE983065 ADA983065 AMW983065 AWS983065 BGO983065 BQK983065 CAG983065 CKC983065 CTY983065 DDU983065 DNQ983065 DXM983065 EHI983065 ERE983065 FBA983065 FKW983065 FUS983065 GEO983065 GOK983065 GYG983065 HIC983065 HRY983065 IBU983065 ILQ983065 IVM983065 JFI983065 JPE983065 JZA983065 KIW983065 KSS983065 LCO983065 LMK983065 LWG983065 MGC983065 MPY983065 MZU983065 NJQ983065 NTM983065 ODI983065 ONE983065 OXA983065 PGW983065 PQS983065 QAO983065 QKK983065 QUG983065 REC983065 RNY983065 RXU983065 SHQ983065 SRM983065 TBI983065 TLE983065 TVA983065 UEW983065 UOS983065 UYO983065 VIK983065 VSG983065 WCC983065 WLY983065 WVU983065"/>
    <dataValidation allowBlank="1" showInputMessage="1" showErrorMessage="1" prompt="Diligencie con el nombre del supervisor y/o interventor delegado." sqref="C8:D8 JI8 TE8 ADA8 AMW8 AWS8 BGO8 BQK8 CAG8 CKC8 CTY8 DDU8 DNQ8 DXM8 EHI8 ERE8 FBA8 FKW8 FUS8 GEO8 GOK8 GYG8 HIC8 HRY8 IBU8 ILQ8 IVM8 JFI8 JPE8 JZA8 KIW8 KSS8 LCO8 LMK8 LWG8 MGC8 MPY8 MZU8 NJQ8 NTM8 ODI8 ONE8 OXA8 PGW8 PQS8 QAO8 QKK8 QUG8 REC8 RNY8 RXU8 SHQ8 SRM8 TBI8 TLE8 TVA8 UEW8 UOS8 UYO8 VIK8 VSG8 WCC8 WLY8 WVU8 C65563:D65564 JI65563:JI65564 TE65563:TE65564 ADA65563:ADA65564 AMW65563:AMW65564 AWS65563:AWS65564 BGO65563:BGO65564 BQK65563:BQK65564 CAG65563:CAG65564 CKC65563:CKC65564 CTY65563:CTY65564 DDU65563:DDU65564 DNQ65563:DNQ65564 DXM65563:DXM65564 EHI65563:EHI65564 ERE65563:ERE65564 FBA65563:FBA65564 FKW65563:FKW65564 FUS65563:FUS65564 GEO65563:GEO65564 GOK65563:GOK65564 GYG65563:GYG65564 HIC65563:HIC65564 HRY65563:HRY65564 IBU65563:IBU65564 ILQ65563:ILQ65564 IVM65563:IVM65564 JFI65563:JFI65564 JPE65563:JPE65564 JZA65563:JZA65564 KIW65563:KIW65564 KSS65563:KSS65564 LCO65563:LCO65564 LMK65563:LMK65564 LWG65563:LWG65564 MGC65563:MGC65564 MPY65563:MPY65564 MZU65563:MZU65564 NJQ65563:NJQ65564 NTM65563:NTM65564 ODI65563:ODI65564 ONE65563:ONE65564 OXA65563:OXA65564 PGW65563:PGW65564 PQS65563:PQS65564 QAO65563:QAO65564 QKK65563:QKK65564 QUG65563:QUG65564 REC65563:REC65564 RNY65563:RNY65564 RXU65563:RXU65564 SHQ65563:SHQ65564 SRM65563:SRM65564 TBI65563:TBI65564 TLE65563:TLE65564 TVA65563:TVA65564 UEW65563:UEW65564 UOS65563:UOS65564 UYO65563:UYO65564 VIK65563:VIK65564 VSG65563:VSG65564 WCC65563:WCC65564 WLY65563:WLY65564 WVU65563:WVU65564 C131099:D131100 JI131099:JI131100 TE131099:TE131100 ADA131099:ADA131100 AMW131099:AMW131100 AWS131099:AWS131100 BGO131099:BGO131100 BQK131099:BQK131100 CAG131099:CAG131100 CKC131099:CKC131100 CTY131099:CTY131100 DDU131099:DDU131100 DNQ131099:DNQ131100 DXM131099:DXM131100 EHI131099:EHI131100 ERE131099:ERE131100 FBA131099:FBA131100 FKW131099:FKW131100 FUS131099:FUS131100 GEO131099:GEO131100 GOK131099:GOK131100 GYG131099:GYG131100 HIC131099:HIC131100 HRY131099:HRY131100 IBU131099:IBU131100 ILQ131099:ILQ131100 IVM131099:IVM131100 JFI131099:JFI131100 JPE131099:JPE131100 JZA131099:JZA131100 KIW131099:KIW131100 KSS131099:KSS131100 LCO131099:LCO131100 LMK131099:LMK131100 LWG131099:LWG131100 MGC131099:MGC131100 MPY131099:MPY131100 MZU131099:MZU131100 NJQ131099:NJQ131100 NTM131099:NTM131100 ODI131099:ODI131100 ONE131099:ONE131100 OXA131099:OXA131100 PGW131099:PGW131100 PQS131099:PQS131100 QAO131099:QAO131100 QKK131099:QKK131100 QUG131099:QUG131100 REC131099:REC131100 RNY131099:RNY131100 RXU131099:RXU131100 SHQ131099:SHQ131100 SRM131099:SRM131100 TBI131099:TBI131100 TLE131099:TLE131100 TVA131099:TVA131100 UEW131099:UEW131100 UOS131099:UOS131100 UYO131099:UYO131100 VIK131099:VIK131100 VSG131099:VSG131100 WCC131099:WCC131100 WLY131099:WLY131100 WVU131099:WVU131100 C196635:D196636 JI196635:JI196636 TE196635:TE196636 ADA196635:ADA196636 AMW196635:AMW196636 AWS196635:AWS196636 BGO196635:BGO196636 BQK196635:BQK196636 CAG196635:CAG196636 CKC196635:CKC196636 CTY196635:CTY196636 DDU196635:DDU196636 DNQ196635:DNQ196636 DXM196635:DXM196636 EHI196635:EHI196636 ERE196635:ERE196636 FBA196635:FBA196636 FKW196635:FKW196636 FUS196635:FUS196636 GEO196635:GEO196636 GOK196635:GOK196636 GYG196635:GYG196636 HIC196635:HIC196636 HRY196635:HRY196636 IBU196635:IBU196636 ILQ196635:ILQ196636 IVM196635:IVM196636 JFI196635:JFI196636 JPE196635:JPE196636 JZA196635:JZA196636 KIW196635:KIW196636 KSS196635:KSS196636 LCO196635:LCO196636 LMK196635:LMK196636 LWG196635:LWG196636 MGC196635:MGC196636 MPY196635:MPY196636 MZU196635:MZU196636 NJQ196635:NJQ196636 NTM196635:NTM196636 ODI196635:ODI196636 ONE196635:ONE196636 OXA196635:OXA196636 PGW196635:PGW196636 PQS196635:PQS196636 QAO196635:QAO196636 QKK196635:QKK196636 QUG196635:QUG196636 REC196635:REC196636 RNY196635:RNY196636 RXU196635:RXU196636 SHQ196635:SHQ196636 SRM196635:SRM196636 TBI196635:TBI196636 TLE196635:TLE196636 TVA196635:TVA196636 UEW196635:UEW196636 UOS196635:UOS196636 UYO196635:UYO196636 VIK196635:VIK196636 VSG196635:VSG196636 WCC196635:WCC196636 WLY196635:WLY196636 WVU196635:WVU196636 C262171:D262172 JI262171:JI262172 TE262171:TE262172 ADA262171:ADA262172 AMW262171:AMW262172 AWS262171:AWS262172 BGO262171:BGO262172 BQK262171:BQK262172 CAG262171:CAG262172 CKC262171:CKC262172 CTY262171:CTY262172 DDU262171:DDU262172 DNQ262171:DNQ262172 DXM262171:DXM262172 EHI262171:EHI262172 ERE262171:ERE262172 FBA262171:FBA262172 FKW262171:FKW262172 FUS262171:FUS262172 GEO262171:GEO262172 GOK262171:GOK262172 GYG262171:GYG262172 HIC262171:HIC262172 HRY262171:HRY262172 IBU262171:IBU262172 ILQ262171:ILQ262172 IVM262171:IVM262172 JFI262171:JFI262172 JPE262171:JPE262172 JZA262171:JZA262172 KIW262171:KIW262172 KSS262171:KSS262172 LCO262171:LCO262172 LMK262171:LMK262172 LWG262171:LWG262172 MGC262171:MGC262172 MPY262171:MPY262172 MZU262171:MZU262172 NJQ262171:NJQ262172 NTM262171:NTM262172 ODI262171:ODI262172 ONE262171:ONE262172 OXA262171:OXA262172 PGW262171:PGW262172 PQS262171:PQS262172 QAO262171:QAO262172 QKK262171:QKK262172 QUG262171:QUG262172 REC262171:REC262172 RNY262171:RNY262172 RXU262171:RXU262172 SHQ262171:SHQ262172 SRM262171:SRM262172 TBI262171:TBI262172 TLE262171:TLE262172 TVA262171:TVA262172 UEW262171:UEW262172 UOS262171:UOS262172 UYO262171:UYO262172 VIK262171:VIK262172 VSG262171:VSG262172 WCC262171:WCC262172 WLY262171:WLY262172 WVU262171:WVU262172 C327707:D327708 JI327707:JI327708 TE327707:TE327708 ADA327707:ADA327708 AMW327707:AMW327708 AWS327707:AWS327708 BGO327707:BGO327708 BQK327707:BQK327708 CAG327707:CAG327708 CKC327707:CKC327708 CTY327707:CTY327708 DDU327707:DDU327708 DNQ327707:DNQ327708 DXM327707:DXM327708 EHI327707:EHI327708 ERE327707:ERE327708 FBA327707:FBA327708 FKW327707:FKW327708 FUS327707:FUS327708 GEO327707:GEO327708 GOK327707:GOK327708 GYG327707:GYG327708 HIC327707:HIC327708 HRY327707:HRY327708 IBU327707:IBU327708 ILQ327707:ILQ327708 IVM327707:IVM327708 JFI327707:JFI327708 JPE327707:JPE327708 JZA327707:JZA327708 KIW327707:KIW327708 KSS327707:KSS327708 LCO327707:LCO327708 LMK327707:LMK327708 LWG327707:LWG327708 MGC327707:MGC327708 MPY327707:MPY327708 MZU327707:MZU327708 NJQ327707:NJQ327708 NTM327707:NTM327708 ODI327707:ODI327708 ONE327707:ONE327708 OXA327707:OXA327708 PGW327707:PGW327708 PQS327707:PQS327708 QAO327707:QAO327708 QKK327707:QKK327708 QUG327707:QUG327708 REC327707:REC327708 RNY327707:RNY327708 RXU327707:RXU327708 SHQ327707:SHQ327708 SRM327707:SRM327708 TBI327707:TBI327708 TLE327707:TLE327708 TVA327707:TVA327708 UEW327707:UEW327708 UOS327707:UOS327708 UYO327707:UYO327708 VIK327707:VIK327708 VSG327707:VSG327708 WCC327707:WCC327708 WLY327707:WLY327708 WVU327707:WVU327708 C393243:D393244 JI393243:JI393244 TE393243:TE393244 ADA393243:ADA393244 AMW393243:AMW393244 AWS393243:AWS393244 BGO393243:BGO393244 BQK393243:BQK393244 CAG393243:CAG393244 CKC393243:CKC393244 CTY393243:CTY393244 DDU393243:DDU393244 DNQ393243:DNQ393244 DXM393243:DXM393244 EHI393243:EHI393244 ERE393243:ERE393244 FBA393243:FBA393244 FKW393243:FKW393244 FUS393243:FUS393244 GEO393243:GEO393244 GOK393243:GOK393244 GYG393243:GYG393244 HIC393243:HIC393244 HRY393243:HRY393244 IBU393243:IBU393244 ILQ393243:ILQ393244 IVM393243:IVM393244 JFI393243:JFI393244 JPE393243:JPE393244 JZA393243:JZA393244 KIW393243:KIW393244 KSS393243:KSS393244 LCO393243:LCO393244 LMK393243:LMK393244 LWG393243:LWG393244 MGC393243:MGC393244 MPY393243:MPY393244 MZU393243:MZU393244 NJQ393243:NJQ393244 NTM393243:NTM393244 ODI393243:ODI393244 ONE393243:ONE393244 OXA393243:OXA393244 PGW393243:PGW393244 PQS393243:PQS393244 QAO393243:QAO393244 QKK393243:QKK393244 QUG393243:QUG393244 REC393243:REC393244 RNY393243:RNY393244 RXU393243:RXU393244 SHQ393243:SHQ393244 SRM393243:SRM393244 TBI393243:TBI393244 TLE393243:TLE393244 TVA393243:TVA393244 UEW393243:UEW393244 UOS393243:UOS393244 UYO393243:UYO393244 VIK393243:VIK393244 VSG393243:VSG393244 WCC393243:WCC393244 WLY393243:WLY393244 WVU393243:WVU393244 C458779:D458780 JI458779:JI458780 TE458779:TE458780 ADA458779:ADA458780 AMW458779:AMW458780 AWS458779:AWS458780 BGO458779:BGO458780 BQK458779:BQK458780 CAG458779:CAG458780 CKC458779:CKC458780 CTY458779:CTY458780 DDU458779:DDU458780 DNQ458779:DNQ458780 DXM458779:DXM458780 EHI458779:EHI458780 ERE458779:ERE458780 FBA458779:FBA458780 FKW458779:FKW458780 FUS458779:FUS458780 GEO458779:GEO458780 GOK458779:GOK458780 GYG458779:GYG458780 HIC458779:HIC458780 HRY458779:HRY458780 IBU458779:IBU458780 ILQ458779:ILQ458780 IVM458779:IVM458780 JFI458779:JFI458780 JPE458779:JPE458780 JZA458779:JZA458780 KIW458779:KIW458780 KSS458779:KSS458780 LCO458779:LCO458780 LMK458779:LMK458780 LWG458779:LWG458780 MGC458779:MGC458780 MPY458779:MPY458780 MZU458779:MZU458780 NJQ458779:NJQ458780 NTM458779:NTM458780 ODI458779:ODI458780 ONE458779:ONE458780 OXA458779:OXA458780 PGW458779:PGW458780 PQS458779:PQS458780 QAO458779:QAO458780 QKK458779:QKK458780 QUG458779:QUG458780 REC458779:REC458780 RNY458779:RNY458780 RXU458779:RXU458780 SHQ458779:SHQ458780 SRM458779:SRM458780 TBI458779:TBI458780 TLE458779:TLE458780 TVA458779:TVA458780 UEW458779:UEW458780 UOS458779:UOS458780 UYO458779:UYO458780 VIK458779:VIK458780 VSG458779:VSG458780 WCC458779:WCC458780 WLY458779:WLY458780 WVU458779:WVU458780 C524315:D524316 JI524315:JI524316 TE524315:TE524316 ADA524315:ADA524316 AMW524315:AMW524316 AWS524315:AWS524316 BGO524315:BGO524316 BQK524315:BQK524316 CAG524315:CAG524316 CKC524315:CKC524316 CTY524315:CTY524316 DDU524315:DDU524316 DNQ524315:DNQ524316 DXM524315:DXM524316 EHI524315:EHI524316 ERE524315:ERE524316 FBA524315:FBA524316 FKW524315:FKW524316 FUS524315:FUS524316 GEO524315:GEO524316 GOK524315:GOK524316 GYG524315:GYG524316 HIC524315:HIC524316 HRY524315:HRY524316 IBU524315:IBU524316 ILQ524315:ILQ524316 IVM524315:IVM524316 JFI524315:JFI524316 JPE524315:JPE524316 JZA524315:JZA524316 KIW524315:KIW524316 KSS524315:KSS524316 LCO524315:LCO524316 LMK524315:LMK524316 LWG524315:LWG524316 MGC524315:MGC524316 MPY524315:MPY524316 MZU524315:MZU524316 NJQ524315:NJQ524316 NTM524315:NTM524316 ODI524315:ODI524316 ONE524315:ONE524316 OXA524315:OXA524316 PGW524315:PGW524316 PQS524315:PQS524316 QAO524315:QAO524316 QKK524315:QKK524316 QUG524315:QUG524316 REC524315:REC524316 RNY524315:RNY524316 RXU524315:RXU524316 SHQ524315:SHQ524316 SRM524315:SRM524316 TBI524315:TBI524316 TLE524315:TLE524316 TVA524315:TVA524316 UEW524315:UEW524316 UOS524315:UOS524316 UYO524315:UYO524316 VIK524315:VIK524316 VSG524315:VSG524316 WCC524315:WCC524316 WLY524315:WLY524316 WVU524315:WVU524316 C589851:D589852 JI589851:JI589852 TE589851:TE589852 ADA589851:ADA589852 AMW589851:AMW589852 AWS589851:AWS589852 BGO589851:BGO589852 BQK589851:BQK589852 CAG589851:CAG589852 CKC589851:CKC589852 CTY589851:CTY589852 DDU589851:DDU589852 DNQ589851:DNQ589852 DXM589851:DXM589852 EHI589851:EHI589852 ERE589851:ERE589852 FBA589851:FBA589852 FKW589851:FKW589852 FUS589851:FUS589852 GEO589851:GEO589852 GOK589851:GOK589852 GYG589851:GYG589852 HIC589851:HIC589852 HRY589851:HRY589852 IBU589851:IBU589852 ILQ589851:ILQ589852 IVM589851:IVM589852 JFI589851:JFI589852 JPE589851:JPE589852 JZA589851:JZA589852 KIW589851:KIW589852 KSS589851:KSS589852 LCO589851:LCO589852 LMK589851:LMK589852 LWG589851:LWG589852 MGC589851:MGC589852 MPY589851:MPY589852 MZU589851:MZU589852 NJQ589851:NJQ589852 NTM589851:NTM589852 ODI589851:ODI589852 ONE589851:ONE589852 OXA589851:OXA589852 PGW589851:PGW589852 PQS589851:PQS589852 QAO589851:QAO589852 QKK589851:QKK589852 QUG589851:QUG589852 REC589851:REC589852 RNY589851:RNY589852 RXU589851:RXU589852 SHQ589851:SHQ589852 SRM589851:SRM589852 TBI589851:TBI589852 TLE589851:TLE589852 TVA589851:TVA589852 UEW589851:UEW589852 UOS589851:UOS589852 UYO589851:UYO589852 VIK589851:VIK589852 VSG589851:VSG589852 WCC589851:WCC589852 WLY589851:WLY589852 WVU589851:WVU589852 C655387:D655388 JI655387:JI655388 TE655387:TE655388 ADA655387:ADA655388 AMW655387:AMW655388 AWS655387:AWS655388 BGO655387:BGO655388 BQK655387:BQK655388 CAG655387:CAG655388 CKC655387:CKC655388 CTY655387:CTY655388 DDU655387:DDU655388 DNQ655387:DNQ655388 DXM655387:DXM655388 EHI655387:EHI655388 ERE655387:ERE655388 FBA655387:FBA655388 FKW655387:FKW655388 FUS655387:FUS655388 GEO655387:GEO655388 GOK655387:GOK655388 GYG655387:GYG655388 HIC655387:HIC655388 HRY655387:HRY655388 IBU655387:IBU655388 ILQ655387:ILQ655388 IVM655387:IVM655388 JFI655387:JFI655388 JPE655387:JPE655388 JZA655387:JZA655388 KIW655387:KIW655388 KSS655387:KSS655388 LCO655387:LCO655388 LMK655387:LMK655388 LWG655387:LWG655388 MGC655387:MGC655388 MPY655387:MPY655388 MZU655387:MZU655388 NJQ655387:NJQ655388 NTM655387:NTM655388 ODI655387:ODI655388 ONE655387:ONE655388 OXA655387:OXA655388 PGW655387:PGW655388 PQS655387:PQS655388 QAO655387:QAO655388 QKK655387:QKK655388 QUG655387:QUG655388 REC655387:REC655388 RNY655387:RNY655388 RXU655387:RXU655388 SHQ655387:SHQ655388 SRM655387:SRM655388 TBI655387:TBI655388 TLE655387:TLE655388 TVA655387:TVA655388 UEW655387:UEW655388 UOS655387:UOS655388 UYO655387:UYO655388 VIK655387:VIK655388 VSG655387:VSG655388 WCC655387:WCC655388 WLY655387:WLY655388 WVU655387:WVU655388 C720923:D720924 JI720923:JI720924 TE720923:TE720924 ADA720923:ADA720924 AMW720923:AMW720924 AWS720923:AWS720924 BGO720923:BGO720924 BQK720923:BQK720924 CAG720923:CAG720924 CKC720923:CKC720924 CTY720923:CTY720924 DDU720923:DDU720924 DNQ720923:DNQ720924 DXM720923:DXM720924 EHI720923:EHI720924 ERE720923:ERE720924 FBA720923:FBA720924 FKW720923:FKW720924 FUS720923:FUS720924 GEO720923:GEO720924 GOK720923:GOK720924 GYG720923:GYG720924 HIC720923:HIC720924 HRY720923:HRY720924 IBU720923:IBU720924 ILQ720923:ILQ720924 IVM720923:IVM720924 JFI720923:JFI720924 JPE720923:JPE720924 JZA720923:JZA720924 KIW720923:KIW720924 KSS720923:KSS720924 LCO720923:LCO720924 LMK720923:LMK720924 LWG720923:LWG720924 MGC720923:MGC720924 MPY720923:MPY720924 MZU720923:MZU720924 NJQ720923:NJQ720924 NTM720923:NTM720924 ODI720923:ODI720924 ONE720923:ONE720924 OXA720923:OXA720924 PGW720923:PGW720924 PQS720923:PQS720924 QAO720923:QAO720924 QKK720923:QKK720924 QUG720923:QUG720924 REC720923:REC720924 RNY720923:RNY720924 RXU720923:RXU720924 SHQ720923:SHQ720924 SRM720923:SRM720924 TBI720923:TBI720924 TLE720923:TLE720924 TVA720923:TVA720924 UEW720923:UEW720924 UOS720923:UOS720924 UYO720923:UYO720924 VIK720923:VIK720924 VSG720923:VSG720924 WCC720923:WCC720924 WLY720923:WLY720924 WVU720923:WVU720924 C786459:D786460 JI786459:JI786460 TE786459:TE786460 ADA786459:ADA786460 AMW786459:AMW786460 AWS786459:AWS786460 BGO786459:BGO786460 BQK786459:BQK786460 CAG786459:CAG786460 CKC786459:CKC786460 CTY786459:CTY786460 DDU786459:DDU786460 DNQ786459:DNQ786460 DXM786459:DXM786460 EHI786459:EHI786460 ERE786459:ERE786460 FBA786459:FBA786460 FKW786459:FKW786460 FUS786459:FUS786460 GEO786459:GEO786460 GOK786459:GOK786460 GYG786459:GYG786460 HIC786459:HIC786460 HRY786459:HRY786460 IBU786459:IBU786460 ILQ786459:ILQ786460 IVM786459:IVM786460 JFI786459:JFI786460 JPE786459:JPE786460 JZA786459:JZA786460 KIW786459:KIW786460 KSS786459:KSS786460 LCO786459:LCO786460 LMK786459:LMK786460 LWG786459:LWG786460 MGC786459:MGC786460 MPY786459:MPY786460 MZU786459:MZU786460 NJQ786459:NJQ786460 NTM786459:NTM786460 ODI786459:ODI786460 ONE786459:ONE786460 OXA786459:OXA786460 PGW786459:PGW786460 PQS786459:PQS786460 QAO786459:QAO786460 QKK786459:QKK786460 QUG786459:QUG786460 REC786459:REC786460 RNY786459:RNY786460 RXU786459:RXU786460 SHQ786459:SHQ786460 SRM786459:SRM786460 TBI786459:TBI786460 TLE786459:TLE786460 TVA786459:TVA786460 UEW786459:UEW786460 UOS786459:UOS786460 UYO786459:UYO786460 VIK786459:VIK786460 VSG786459:VSG786460 WCC786459:WCC786460 WLY786459:WLY786460 WVU786459:WVU786460 C851995:D851996 JI851995:JI851996 TE851995:TE851996 ADA851995:ADA851996 AMW851995:AMW851996 AWS851995:AWS851996 BGO851995:BGO851996 BQK851995:BQK851996 CAG851995:CAG851996 CKC851995:CKC851996 CTY851995:CTY851996 DDU851995:DDU851996 DNQ851995:DNQ851996 DXM851995:DXM851996 EHI851995:EHI851996 ERE851995:ERE851996 FBA851995:FBA851996 FKW851995:FKW851996 FUS851995:FUS851996 GEO851995:GEO851996 GOK851995:GOK851996 GYG851995:GYG851996 HIC851995:HIC851996 HRY851995:HRY851996 IBU851995:IBU851996 ILQ851995:ILQ851996 IVM851995:IVM851996 JFI851995:JFI851996 JPE851995:JPE851996 JZA851995:JZA851996 KIW851995:KIW851996 KSS851995:KSS851996 LCO851995:LCO851996 LMK851995:LMK851996 LWG851995:LWG851996 MGC851995:MGC851996 MPY851995:MPY851996 MZU851995:MZU851996 NJQ851995:NJQ851996 NTM851995:NTM851996 ODI851995:ODI851996 ONE851995:ONE851996 OXA851995:OXA851996 PGW851995:PGW851996 PQS851995:PQS851996 QAO851995:QAO851996 QKK851995:QKK851996 QUG851995:QUG851996 REC851995:REC851996 RNY851995:RNY851996 RXU851995:RXU851996 SHQ851995:SHQ851996 SRM851995:SRM851996 TBI851995:TBI851996 TLE851995:TLE851996 TVA851995:TVA851996 UEW851995:UEW851996 UOS851995:UOS851996 UYO851995:UYO851996 VIK851995:VIK851996 VSG851995:VSG851996 WCC851995:WCC851996 WLY851995:WLY851996 WVU851995:WVU851996 C917531:D917532 JI917531:JI917532 TE917531:TE917532 ADA917531:ADA917532 AMW917531:AMW917532 AWS917531:AWS917532 BGO917531:BGO917532 BQK917531:BQK917532 CAG917531:CAG917532 CKC917531:CKC917532 CTY917531:CTY917532 DDU917531:DDU917532 DNQ917531:DNQ917532 DXM917531:DXM917532 EHI917531:EHI917532 ERE917531:ERE917532 FBA917531:FBA917532 FKW917531:FKW917532 FUS917531:FUS917532 GEO917531:GEO917532 GOK917531:GOK917532 GYG917531:GYG917532 HIC917531:HIC917532 HRY917531:HRY917532 IBU917531:IBU917532 ILQ917531:ILQ917532 IVM917531:IVM917532 JFI917531:JFI917532 JPE917531:JPE917532 JZA917531:JZA917532 KIW917531:KIW917532 KSS917531:KSS917532 LCO917531:LCO917532 LMK917531:LMK917532 LWG917531:LWG917532 MGC917531:MGC917532 MPY917531:MPY917532 MZU917531:MZU917532 NJQ917531:NJQ917532 NTM917531:NTM917532 ODI917531:ODI917532 ONE917531:ONE917532 OXA917531:OXA917532 PGW917531:PGW917532 PQS917531:PQS917532 QAO917531:QAO917532 QKK917531:QKK917532 QUG917531:QUG917532 REC917531:REC917532 RNY917531:RNY917532 RXU917531:RXU917532 SHQ917531:SHQ917532 SRM917531:SRM917532 TBI917531:TBI917532 TLE917531:TLE917532 TVA917531:TVA917532 UEW917531:UEW917532 UOS917531:UOS917532 UYO917531:UYO917532 VIK917531:VIK917532 VSG917531:VSG917532 WCC917531:WCC917532 WLY917531:WLY917532 WVU917531:WVU917532 C983067:D983068 JI983067:JI983068 TE983067:TE983068 ADA983067:ADA983068 AMW983067:AMW983068 AWS983067:AWS983068 BGO983067:BGO983068 BQK983067:BQK983068 CAG983067:CAG983068 CKC983067:CKC983068 CTY983067:CTY983068 DDU983067:DDU983068 DNQ983067:DNQ983068 DXM983067:DXM983068 EHI983067:EHI983068 ERE983067:ERE983068 FBA983067:FBA983068 FKW983067:FKW983068 FUS983067:FUS983068 GEO983067:GEO983068 GOK983067:GOK983068 GYG983067:GYG983068 HIC983067:HIC983068 HRY983067:HRY983068 IBU983067:IBU983068 ILQ983067:ILQ983068 IVM983067:IVM983068 JFI983067:JFI983068 JPE983067:JPE983068 JZA983067:JZA983068 KIW983067:KIW983068 KSS983067:KSS983068 LCO983067:LCO983068 LMK983067:LMK983068 LWG983067:LWG983068 MGC983067:MGC983068 MPY983067:MPY983068 MZU983067:MZU983068 NJQ983067:NJQ983068 NTM983067:NTM983068 ODI983067:ODI983068 ONE983067:ONE983068 OXA983067:OXA983068 PGW983067:PGW983068 PQS983067:PQS983068 QAO983067:QAO983068 QKK983067:QKK983068 QUG983067:QUG983068 REC983067:REC983068 RNY983067:RNY983068 RXU983067:RXU983068 SHQ983067:SHQ983068 SRM983067:SRM983068 TBI983067:TBI983068 TLE983067:TLE983068 TVA983067:TVA983068 UEW983067:UEW983068 UOS983067:UOS983068 UYO983067:UYO983068 VIK983067:VIK983068 VSG983067:VSG983068 WCC983067:WCC983068 WLY983067:WLY983068 WVU983067:WVU983068"/>
    <dataValidation allowBlank="1" showInputMessage="1" showErrorMessage="1" prompt="diligencie el numero de meses en letras (numero). ej: seis (6)." sqref="C9:D9 JI9 TE9 ADA9 AMW9 AWS9 BGO9 BQK9 CAG9 CKC9 CTY9 DDU9 DNQ9 DXM9 EHI9 ERE9 FBA9 FKW9 FUS9 GEO9 GOK9 GYG9 HIC9 HRY9 IBU9 ILQ9 IVM9 JFI9 JPE9 JZA9 KIW9 KSS9 LCO9 LMK9 LWG9 MGC9 MPY9 MZU9 NJQ9 NTM9 ODI9 ONE9 OXA9 PGW9 PQS9 QAO9 QKK9 QUG9 REC9 RNY9 RXU9 SHQ9 SRM9 TBI9 TLE9 TVA9 UEW9 UOS9 UYO9 VIK9 VSG9 WCC9 WLY9 WVU9 C65565:D65565 JI65565 TE65565 ADA65565 AMW65565 AWS65565 BGO65565 BQK65565 CAG65565 CKC65565 CTY65565 DDU65565 DNQ65565 DXM65565 EHI65565 ERE65565 FBA65565 FKW65565 FUS65565 GEO65565 GOK65565 GYG65565 HIC65565 HRY65565 IBU65565 ILQ65565 IVM65565 JFI65565 JPE65565 JZA65565 KIW65565 KSS65565 LCO65565 LMK65565 LWG65565 MGC65565 MPY65565 MZU65565 NJQ65565 NTM65565 ODI65565 ONE65565 OXA65565 PGW65565 PQS65565 QAO65565 QKK65565 QUG65565 REC65565 RNY65565 RXU65565 SHQ65565 SRM65565 TBI65565 TLE65565 TVA65565 UEW65565 UOS65565 UYO65565 VIK65565 VSG65565 WCC65565 WLY65565 WVU65565 C131101:D131101 JI131101 TE131101 ADA131101 AMW131101 AWS131101 BGO131101 BQK131101 CAG131101 CKC131101 CTY131101 DDU131101 DNQ131101 DXM131101 EHI131101 ERE131101 FBA131101 FKW131101 FUS131101 GEO131101 GOK131101 GYG131101 HIC131101 HRY131101 IBU131101 ILQ131101 IVM131101 JFI131101 JPE131101 JZA131101 KIW131101 KSS131101 LCO131101 LMK131101 LWG131101 MGC131101 MPY131101 MZU131101 NJQ131101 NTM131101 ODI131101 ONE131101 OXA131101 PGW131101 PQS131101 QAO131101 QKK131101 QUG131101 REC131101 RNY131101 RXU131101 SHQ131101 SRM131101 TBI131101 TLE131101 TVA131101 UEW131101 UOS131101 UYO131101 VIK131101 VSG131101 WCC131101 WLY131101 WVU131101 C196637:D196637 JI196637 TE196637 ADA196637 AMW196637 AWS196637 BGO196637 BQK196637 CAG196637 CKC196637 CTY196637 DDU196637 DNQ196637 DXM196637 EHI196637 ERE196637 FBA196637 FKW196637 FUS196637 GEO196637 GOK196637 GYG196637 HIC196637 HRY196637 IBU196637 ILQ196637 IVM196637 JFI196637 JPE196637 JZA196637 KIW196637 KSS196637 LCO196637 LMK196637 LWG196637 MGC196637 MPY196637 MZU196637 NJQ196637 NTM196637 ODI196637 ONE196637 OXA196637 PGW196637 PQS196637 QAO196637 QKK196637 QUG196637 REC196637 RNY196637 RXU196637 SHQ196637 SRM196637 TBI196637 TLE196637 TVA196637 UEW196637 UOS196637 UYO196637 VIK196637 VSG196637 WCC196637 WLY196637 WVU196637 C262173:D262173 JI262173 TE262173 ADA262173 AMW262173 AWS262173 BGO262173 BQK262173 CAG262173 CKC262173 CTY262173 DDU262173 DNQ262173 DXM262173 EHI262173 ERE262173 FBA262173 FKW262173 FUS262173 GEO262173 GOK262173 GYG262173 HIC262173 HRY262173 IBU262173 ILQ262173 IVM262173 JFI262173 JPE262173 JZA262173 KIW262173 KSS262173 LCO262173 LMK262173 LWG262173 MGC262173 MPY262173 MZU262173 NJQ262173 NTM262173 ODI262173 ONE262173 OXA262173 PGW262173 PQS262173 QAO262173 QKK262173 QUG262173 REC262173 RNY262173 RXU262173 SHQ262173 SRM262173 TBI262173 TLE262173 TVA262173 UEW262173 UOS262173 UYO262173 VIK262173 VSG262173 WCC262173 WLY262173 WVU262173 C327709:D327709 JI327709 TE327709 ADA327709 AMW327709 AWS327709 BGO327709 BQK327709 CAG327709 CKC327709 CTY327709 DDU327709 DNQ327709 DXM327709 EHI327709 ERE327709 FBA327709 FKW327709 FUS327709 GEO327709 GOK327709 GYG327709 HIC327709 HRY327709 IBU327709 ILQ327709 IVM327709 JFI327709 JPE327709 JZA327709 KIW327709 KSS327709 LCO327709 LMK327709 LWG327709 MGC327709 MPY327709 MZU327709 NJQ327709 NTM327709 ODI327709 ONE327709 OXA327709 PGW327709 PQS327709 QAO327709 QKK327709 QUG327709 REC327709 RNY327709 RXU327709 SHQ327709 SRM327709 TBI327709 TLE327709 TVA327709 UEW327709 UOS327709 UYO327709 VIK327709 VSG327709 WCC327709 WLY327709 WVU327709 C393245:D393245 JI393245 TE393245 ADA393245 AMW393245 AWS393245 BGO393245 BQK393245 CAG393245 CKC393245 CTY393245 DDU393245 DNQ393245 DXM393245 EHI393245 ERE393245 FBA393245 FKW393245 FUS393245 GEO393245 GOK393245 GYG393245 HIC393245 HRY393245 IBU393245 ILQ393245 IVM393245 JFI393245 JPE393245 JZA393245 KIW393245 KSS393245 LCO393245 LMK393245 LWG393245 MGC393245 MPY393245 MZU393245 NJQ393245 NTM393245 ODI393245 ONE393245 OXA393245 PGW393245 PQS393245 QAO393245 QKK393245 QUG393245 REC393245 RNY393245 RXU393245 SHQ393245 SRM393245 TBI393245 TLE393245 TVA393245 UEW393245 UOS393245 UYO393245 VIK393245 VSG393245 WCC393245 WLY393245 WVU393245 C458781:D458781 JI458781 TE458781 ADA458781 AMW458781 AWS458781 BGO458781 BQK458781 CAG458781 CKC458781 CTY458781 DDU458781 DNQ458781 DXM458781 EHI458781 ERE458781 FBA458781 FKW458781 FUS458781 GEO458781 GOK458781 GYG458781 HIC458781 HRY458781 IBU458781 ILQ458781 IVM458781 JFI458781 JPE458781 JZA458781 KIW458781 KSS458781 LCO458781 LMK458781 LWG458781 MGC458781 MPY458781 MZU458781 NJQ458781 NTM458781 ODI458781 ONE458781 OXA458781 PGW458781 PQS458781 QAO458781 QKK458781 QUG458781 REC458781 RNY458781 RXU458781 SHQ458781 SRM458781 TBI458781 TLE458781 TVA458781 UEW458781 UOS458781 UYO458781 VIK458781 VSG458781 WCC458781 WLY458781 WVU458781 C524317:D524317 JI524317 TE524317 ADA524317 AMW524317 AWS524317 BGO524317 BQK524317 CAG524317 CKC524317 CTY524317 DDU524317 DNQ524317 DXM524317 EHI524317 ERE524317 FBA524317 FKW524317 FUS524317 GEO524317 GOK524317 GYG524317 HIC524317 HRY524317 IBU524317 ILQ524317 IVM524317 JFI524317 JPE524317 JZA524317 KIW524317 KSS524317 LCO524317 LMK524317 LWG524317 MGC524317 MPY524317 MZU524317 NJQ524317 NTM524317 ODI524317 ONE524317 OXA524317 PGW524317 PQS524317 QAO524317 QKK524317 QUG524317 REC524317 RNY524317 RXU524317 SHQ524317 SRM524317 TBI524317 TLE524317 TVA524317 UEW524317 UOS524317 UYO524317 VIK524317 VSG524317 WCC524317 WLY524317 WVU524317 C589853:D589853 JI589853 TE589853 ADA589853 AMW589853 AWS589853 BGO589853 BQK589853 CAG589853 CKC589853 CTY589853 DDU589853 DNQ589853 DXM589853 EHI589853 ERE589853 FBA589853 FKW589853 FUS589853 GEO589853 GOK589853 GYG589853 HIC589853 HRY589853 IBU589853 ILQ589853 IVM589853 JFI589853 JPE589853 JZA589853 KIW589853 KSS589853 LCO589853 LMK589853 LWG589853 MGC589853 MPY589853 MZU589853 NJQ589853 NTM589853 ODI589853 ONE589853 OXA589853 PGW589853 PQS589853 QAO589853 QKK589853 QUG589853 REC589853 RNY589853 RXU589853 SHQ589853 SRM589853 TBI589853 TLE589853 TVA589853 UEW589853 UOS589853 UYO589853 VIK589853 VSG589853 WCC589853 WLY589853 WVU589853 C655389:D655389 JI655389 TE655389 ADA655389 AMW655389 AWS655389 BGO655389 BQK655389 CAG655389 CKC655389 CTY655389 DDU655389 DNQ655389 DXM655389 EHI655389 ERE655389 FBA655389 FKW655389 FUS655389 GEO655389 GOK655389 GYG655389 HIC655389 HRY655389 IBU655389 ILQ655389 IVM655389 JFI655389 JPE655389 JZA655389 KIW655389 KSS655389 LCO655389 LMK655389 LWG655389 MGC655389 MPY655389 MZU655389 NJQ655389 NTM655389 ODI655389 ONE655389 OXA655389 PGW655389 PQS655389 QAO655389 QKK655389 QUG655389 REC655389 RNY655389 RXU655389 SHQ655389 SRM655389 TBI655389 TLE655389 TVA655389 UEW655389 UOS655389 UYO655389 VIK655389 VSG655389 WCC655389 WLY655389 WVU655389 C720925:D720925 JI720925 TE720925 ADA720925 AMW720925 AWS720925 BGO720925 BQK720925 CAG720925 CKC720925 CTY720925 DDU720925 DNQ720925 DXM720925 EHI720925 ERE720925 FBA720925 FKW720925 FUS720925 GEO720925 GOK720925 GYG720925 HIC720925 HRY720925 IBU720925 ILQ720925 IVM720925 JFI720925 JPE720925 JZA720925 KIW720925 KSS720925 LCO720925 LMK720925 LWG720925 MGC720925 MPY720925 MZU720925 NJQ720925 NTM720925 ODI720925 ONE720925 OXA720925 PGW720925 PQS720925 QAO720925 QKK720925 QUG720925 REC720925 RNY720925 RXU720925 SHQ720925 SRM720925 TBI720925 TLE720925 TVA720925 UEW720925 UOS720925 UYO720925 VIK720925 VSG720925 WCC720925 WLY720925 WVU720925 C786461:D786461 JI786461 TE786461 ADA786461 AMW786461 AWS786461 BGO786461 BQK786461 CAG786461 CKC786461 CTY786461 DDU786461 DNQ786461 DXM786461 EHI786461 ERE786461 FBA786461 FKW786461 FUS786461 GEO786461 GOK786461 GYG786461 HIC786461 HRY786461 IBU786461 ILQ786461 IVM786461 JFI786461 JPE786461 JZA786461 KIW786461 KSS786461 LCO786461 LMK786461 LWG786461 MGC786461 MPY786461 MZU786461 NJQ786461 NTM786461 ODI786461 ONE786461 OXA786461 PGW786461 PQS786461 QAO786461 QKK786461 QUG786461 REC786461 RNY786461 RXU786461 SHQ786461 SRM786461 TBI786461 TLE786461 TVA786461 UEW786461 UOS786461 UYO786461 VIK786461 VSG786461 WCC786461 WLY786461 WVU786461 C851997:D851997 JI851997 TE851997 ADA851997 AMW851997 AWS851997 BGO851997 BQK851997 CAG851997 CKC851997 CTY851997 DDU851997 DNQ851997 DXM851997 EHI851997 ERE851997 FBA851997 FKW851997 FUS851997 GEO851997 GOK851997 GYG851997 HIC851997 HRY851997 IBU851997 ILQ851997 IVM851997 JFI851997 JPE851997 JZA851997 KIW851997 KSS851997 LCO851997 LMK851997 LWG851997 MGC851997 MPY851997 MZU851997 NJQ851997 NTM851997 ODI851997 ONE851997 OXA851997 PGW851997 PQS851997 QAO851997 QKK851997 QUG851997 REC851997 RNY851997 RXU851997 SHQ851997 SRM851997 TBI851997 TLE851997 TVA851997 UEW851997 UOS851997 UYO851997 VIK851997 VSG851997 WCC851997 WLY851997 WVU851997 C917533:D917533 JI917533 TE917533 ADA917533 AMW917533 AWS917533 BGO917533 BQK917533 CAG917533 CKC917533 CTY917533 DDU917533 DNQ917533 DXM917533 EHI917533 ERE917533 FBA917533 FKW917533 FUS917533 GEO917533 GOK917533 GYG917533 HIC917533 HRY917533 IBU917533 ILQ917533 IVM917533 JFI917533 JPE917533 JZA917533 KIW917533 KSS917533 LCO917533 LMK917533 LWG917533 MGC917533 MPY917533 MZU917533 NJQ917533 NTM917533 ODI917533 ONE917533 OXA917533 PGW917533 PQS917533 QAO917533 QKK917533 QUG917533 REC917533 RNY917533 RXU917533 SHQ917533 SRM917533 TBI917533 TLE917533 TVA917533 UEW917533 UOS917533 UYO917533 VIK917533 VSG917533 WCC917533 WLY917533 WVU917533 C983069:D983069 JI983069 TE983069 ADA983069 AMW983069 AWS983069 BGO983069 BQK983069 CAG983069 CKC983069 CTY983069 DDU983069 DNQ983069 DXM983069 EHI983069 ERE983069 FBA983069 FKW983069 FUS983069 GEO983069 GOK983069 GYG983069 HIC983069 HRY983069 IBU983069 ILQ983069 IVM983069 JFI983069 JPE983069 JZA983069 KIW983069 KSS983069 LCO983069 LMK983069 LWG983069 MGC983069 MPY983069 MZU983069 NJQ983069 NTM983069 ODI983069 ONE983069 OXA983069 PGW983069 PQS983069 QAO983069 QKK983069 QUG983069 REC983069 RNY983069 RXU983069 SHQ983069 SRM983069 TBI983069 TLE983069 TVA983069 UEW983069 UOS983069 UYO983069 VIK983069 VSG983069 WCC983069 WLY983069 WVU983069"/>
    <dataValidation allowBlank="1" showInputMessage="1" showErrorMessage="1" prompt="Ingrese el valor a pagar segun la forma de pago establecida en los estudios previos" sqref="JL23:JX23 TH23:TT23 ADD23:ADP23 AMZ23:ANL23 AWV23:AXH23 BGR23:BHD23 BQN23:BQZ23 CAJ23:CAV23 CKF23:CKR23 CUB23:CUN23 DDX23:DEJ23 DNT23:DOF23 DXP23:DYB23 EHL23:EHX23 ERH23:ERT23 FBD23:FBP23 FKZ23:FLL23 FUV23:FVH23 GER23:GFD23 GON23:GOZ23 GYJ23:GYV23 HIF23:HIR23 HSB23:HSN23 IBX23:ICJ23 ILT23:IMF23 IVP23:IWB23 JFL23:JFX23 JPH23:JPT23 JZD23:JZP23 KIZ23:KJL23 KSV23:KTH23 LCR23:LDD23 LMN23:LMZ23 LWJ23:LWV23 MGF23:MGR23 MQB23:MQN23 MZX23:NAJ23 NJT23:NKF23 NTP23:NUB23 ODL23:ODX23 ONH23:ONT23 OXD23:OXP23 PGZ23:PHL23 PQV23:PRH23 QAR23:QBD23 QKN23:QKZ23 QUJ23:QUV23 REF23:RER23 ROB23:RON23 RXX23:RYJ23 SHT23:SIF23 SRP23:SSB23 TBL23:TBX23 TLH23:TLT23 TVD23:TVP23 UEZ23:UFL23 UOV23:UPH23 UYR23:UZD23 VIN23:VIZ23 VSJ23:VSV23 WCF23:WCR23 WMB23:WMN23 WVX23:WWJ23 JL65580:JX65580 TH65580:TT65580 ADD65580:ADP65580 AMZ65580:ANL65580 AWV65580:AXH65580 BGR65580:BHD65580 BQN65580:BQZ65580 CAJ65580:CAV65580 CKF65580:CKR65580 CUB65580:CUN65580 DDX65580:DEJ65580 DNT65580:DOF65580 DXP65580:DYB65580 EHL65580:EHX65580 ERH65580:ERT65580 FBD65580:FBP65580 FKZ65580:FLL65580 FUV65580:FVH65580 GER65580:GFD65580 GON65580:GOZ65580 GYJ65580:GYV65580 HIF65580:HIR65580 HSB65580:HSN65580 IBX65580:ICJ65580 ILT65580:IMF65580 IVP65580:IWB65580 JFL65580:JFX65580 JPH65580:JPT65580 JZD65580:JZP65580 KIZ65580:KJL65580 KSV65580:KTH65580 LCR65580:LDD65580 LMN65580:LMZ65580 LWJ65580:LWV65580 MGF65580:MGR65580 MQB65580:MQN65580 MZX65580:NAJ65580 NJT65580:NKF65580 NTP65580:NUB65580 ODL65580:ODX65580 ONH65580:ONT65580 OXD65580:OXP65580 PGZ65580:PHL65580 PQV65580:PRH65580 QAR65580:QBD65580 QKN65580:QKZ65580 QUJ65580:QUV65580 REF65580:RER65580 ROB65580:RON65580 RXX65580:RYJ65580 SHT65580:SIF65580 SRP65580:SSB65580 TBL65580:TBX65580 TLH65580:TLT65580 TVD65580:TVP65580 UEZ65580:UFL65580 UOV65580:UPH65580 UYR65580:UZD65580 VIN65580:VIZ65580 VSJ65580:VSV65580 WCF65580:WCR65580 WMB65580:WMN65580 WVX65580:WWJ65580 JL131116:JX131116 TH131116:TT131116 ADD131116:ADP131116 AMZ131116:ANL131116 AWV131116:AXH131116 BGR131116:BHD131116 BQN131116:BQZ131116 CAJ131116:CAV131116 CKF131116:CKR131116 CUB131116:CUN131116 DDX131116:DEJ131116 DNT131116:DOF131116 DXP131116:DYB131116 EHL131116:EHX131116 ERH131116:ERT131116 FBD131116:FBP131116 FKZ131116:FLL131116 FUV131116:FVH131116 GER131116:GFD131116 GON131116:GOZ131116 GYJ131116:GYV131116 HIF131116:HIR131116 HSB131116:HSN131116 IBX131116:ICJ131116 ILT131116:IMF131116 IVP131116:IWB131116 JFL131116:JFX131116 JPH131116:JPT131116 JZD131116:JZP131116 KIZ131116:KJL131116 KSV131116:KTH131116 LCR131116:LDD131116 LMN131116:LMZ131116 LWJ131116:LWV131116 MGF131116:MGR131116 MQB131116:MQN131116 MZX131116:NAJ131116 NJT131116:NKF131116 NTP131116:NUB131116 ODL131116:ODX131116 ONH131116:ONT131116 OXD131116:OXP131116 PGZ131116:PHL131116 PQV131116:PRH131116 QAR131116:QBD131116 QKN131116:QKZ131116 QUJ131116:QUV131116 REF131116:RER131116 ROB131116:RON131116 RXX131116:RYJ131116 SHT131116:SIF131116 SRP131116:SSB131116 TBL131116:TBX131116 TLH131116:TLT131116 TVD131116:TVP131116 UEZ131116:UFL131116 UOV131116:UPH131116 UYR131116:UZD131116 VIN131116:VIZ131116 VSJ131116:VSV131116 WCF131116:WCR131116 WMB131116:WMN131116 WVX131116:WWJ131116 JL196652:JX196652 TH196652:TT196652 ADD196652:ADP196652 AMZ196652:ANL196652 AWV196652:AXH196652 BGR196652:BHD196652 BQN196652:BQZ196652 CAJ196652:CAV196652 CKF196652:CKR196652 CUB196652:CUN196652 DDX196652:DEJ196652 DNT196652:DOF196652 DXP196652:DYB196652 EHL196652:EHX196652 ERH196652:ERT196652 FBD196652:FBP196652 FKZ196652:FLL196652 FUV196652:FVH196652 GER196652:GFD196652 GON196652:GOZ196652 GYJ196652:GYV196652 HIF196652:HIR196652 HSB196652:HSN196652 IBX196652:ICJ196652 ILT196652:IMF196652 IVP196652:IWB196652 JFL196652:JFX196652 JPH196652:JPT196652 JZD196652:JZP196652 KIZ196652:KJL196652 KSV196652:KTH196652 LCR196652:LDD196652 LMN196652:LMZ196652 LWJ196652:LWV196652 MGF196652:MGR196652 MQB196652:MQN196652 MZX196652:NAJ196652 NJT196652:NKF196652 NTP196652:NUB196652 ODL196652:ODX196652 ONH196652:ONT196652 OXD196652:OXP196652 PGZ196652:PHL196652 PQV196652:PRH196652 QAR196652:QBD196652 QKN196652:QKZ196652 QUJ196652:QUV196652 REF196652:RER196652 ROB196652:RON196652 RXX196652:RYJ196652 SHT196652:SIF196652 SRP196652:SSB196652 TBL196652:TBX196652 TLH196652:TLT196652 TVD196652:TVP196652 UEZ196652:UFL196652 UOV196652:UPH196652 UYR196652:UZD196652 VIN196652:VIZ196652 VSJ196652:VSV196652 WCF196652:WCR196652 WMB196652:WMN196652 WVX196652:WWJ196652 JL262188:JX262188 TH262188:TT262188 ADD262188:ADP262188 AMZ262188:ANL262188 AWV262188:AXH262188 BGR262188:BHD262188 BQN262188:BQZ262188 CAJ262188:CAV262188 CKF262188:CKR262188 CUB262188:CUN262188 DDX262188:DEJ262188 DNT262188:DOF262188 DXP262188:DYB262188 EHL262188:EHX262188 ERH262188:ERT262188 FBD262188:FBP262188 FKZ262188:FLL262188 FUV262188:FVH262188 GER262188:GFD262188 GON262188:GOZ262188 GYJ262188:GYV262188 HIF262188:HIR262188 HSB262188:HSN262188 IBX262188:ICJ262188 ILT262188:IMF262188 IVP262188:IWB262188 JFL262188:JFX262188 JPH262188:JPT262188 JZD262188:JZP262188 KIZ262188:KJL262188 KSV262188:KTH262188 LCR262188:LDD262188 LMN262188:LMZ262188 LWJ262188:LWV262188 MGF262188:MGR262188 MQB262188:MQN262188 MZX262188:NAJ262188 NJT262188:NKF262188 NTP262188:NUB262188 ODL262188:ODX262188 ONH262188:ONT262188 OXD262188:OXP262188 PGZ262188:PHL262188 PQV262188:PRH262188 QAR262188:QBD262188 QKN262188:QKZ262188 QUJ262188:QUV262188 REF262188:RER262188 ROB262188:RON262188 RXX262188:RYJ262188 SHT262188:SIF262188 SRP262188:SSB262188 TBL262188:TBX262188 TLH262188:TLT262188 TVD262188:TVP262188 UEZ262188:UFL262188 UOV262188:UPH262188 UYR262188:UZD262188 VIN262188:VIZ262188 VSJ262188:VSV262188 WCF262188:WCR262188 WMB262188:WMN262188 WVX262188:WWJ262188 JL327724:JX327724 TH327724:TT327724 ADD327724:ADP327724 AMZ327724:ANL327724 AWV327724:AXH327724 BGR327724:BHD327724 BQN327724:BQZ327724 CAJ327724:CAV327724 CKF327724:CKR327724 CUB327724:CUN327724 DDX327724:DEJ327724 DNT327724:DOF327724 DXP327724:DYB327724 EHL327724:EHX327724 ERH327724:ERT327724 FBD327724:FBP327724 FKZ327724:FLL327724 FUV327724:FVH327724 GER327724:GFD327724 GON327724:GOZ327724 GYJ327724:GYV327724 HIF327724:HIR327724 HSB327724:HSN327724 IBX327724:ICJ327724 ILT327724:IMF327724 IVP327724:IWB327724 JFL327724:JFX327724 JPH327724:JPT327724 JZD327724:JZP327724 KIZ327724:KJL327724 KSV327724:KTH327724 LCR327724:LDD327724 LMN327724:LMZ327724 LWJ327724:LWV327724 MGF327724:MGR327724 MQB327724:MQN327724 MZX327724:NAJ327724 NJT327724:NKF327724 NTP327724:NUB327724 ODL327724:ODX327724 ONH327724:ONT327724 OXD327724:OXP327724 PGZ327724:PHL327724 PQV327724:PRH327724 QAR327724:QBD327724 QKN327724:QKZ327724 QUJ327724:QUV327724 REF327724:RER327724 ROB327724:RON327724 RXX327724:RYJ327724 SHT327724:SIF327724 SRP327724:SSB327724 TBL327724:TBX327724 TLH327724:TLT327724 TVD327724:TVP327724 UEZ327724:UFL327724 UOV327724:UPH327724 UYR327724:UZD327724 VIN327724:VIZ327724 VSJ327724:VSV327724 WCF327724:WCR327724 WMB327724:WMN327724 WVX327724:WWJ327724 JL393260:JX393260 TH393260:TT393260 ADD393260:ADP393260 AMZ393260:ANL393260 AWV393260:AXH393260 BGR393260:BHD393260 BQN393260:BQZ393260 CAJ393260:CAV393260 CKF393260:CKR393260 CUB393260:CUN393260 DDX393260:DEJ393260 DNT393260:DOF393260 DXP393260:DYB393260 EHL393260:EHX393260 ERH393260:ERT393260 FBD393260:FBP393260 FKZ393260:FLL393260 FUV393260:FVH393260 GER393260:GFD393260 GON393260:GOZ393260 GYJ393260:GYV393260 HIF393260:HIR393260 HSB393260:HSN393260 IBX393260:ICJ393260 ILT393260:IMF393260 IVP393260:IWB393260 JFL393260:JFX393260 JPH393260:JPT393260 JZD393260:JZP393260 KIZ393260:KJL393260 KSV393260:KTH393260 LCR393260:LDD393260 LMN393260:LMZ393260 LWJ393260:LWV393260 MGF393260:MGR393260 MQB393260:MQN393260 MZX393260:NAJ393260 NJT393260:NKF393260 NTP393260:NUB393260 ODL393260:ODX393260 ONH393260:ONT393260 OXD393260:OXP393260 PGZ393260:PHL393260 PQV393260:PRH393260 QAR393260:QBD393260 QKN393260:QKZ393260 QUJ393260:QUV393260 REF393260:RER393260 ROB393260:RON393260 RXX393260:RYJ393260 SHT393260:SIF393260 SRP393260:SSB393260 TBL393260:TBX393260 TLH393260:TLT393260 TVD393260:TVP393260 UEZ393260:UFL393260 UOV393260:UPH393260 UYR393260:UZD393260 VIN393260:VIZ393260 VSJ393260:VSV393260 WCF393260:WCR393260 WMB393260:WMN393260 WVX393260:WWJ393260 JL458796:JX458796 TH458796:TT458796 ADD458796:ADP458796 AMZ458796:ANL458796 AWV458796:AXH458796 BGR458796:BHD458796 BQN458796:BQZ458796 CAJ458796:CAV458796 CKF458796:CKR458796 CUB458796:CUN458796 DDX458796:DEJ458796 DNT458796:DOF458796 DXP458796:DYB458796 EHL458796:EHX458796 ERH458796:ERT458796 FBD458796:FBP458796 FKZ458796:FLL458796 FUV458796:FVH458796 GER458796:GFD458796 GON458796:GOZ458796 GYJ458796:GYV458796 HIF458796:HIR458796 HSB458796:HSN458796 IBX458796:ICJ458796 ILT458796:IMF458796 IVP458796:IWB458796 JFL458796:JFX458796 JPH458796:JPT458796 JZD458796:JZP458796 KIZ458796:KJL458796 KSV458796:KTH458796 LCR458796:LDD458796 LMN458796:LMZ458796 LWJ458796:LWV458796 MGF458796:MGR458796 MQB458796:MQN458796 MZX458796:NAJ458796 NJT458796:NKF458796 NTP458796:NUB458796 ODL458796:ODX458796 ONH458796:ONT458796 OXD458796:OXP458796 PGZ458796:PHL458796 PQV458796:PRH458796 QAR458796:QBD458796 QKN458796:QKZ458796 QUJ458796:QUV458796 REF458796:RER458796 ROB458796:RON458796 RXX458796:RYJ458796 SHT458796:SIF458796 SRP458796:SSB458796 TBL458796:TBX458796 TLH458796:TLT458796 TVD458796:TVP458796 UEZ458796:UFL458796 UOV458796:UPH458796 UYR458796:UZD458796 VIN458796:VIZ458796 VSJ458796:VSV458796 WCF458796:WCR458796 WMB458796:WMN458796 WVX458796:WWJ458796 JL524332:JX524332 TH524332:TT524332 ADD524332:ADP524332 AMZ524332:ANL524332 AWV524332:AXH524332 BGR524332:BHD524332 BQN524332:BQZ524332 CAJ524332:CAV524332 CKF524332:CKR524332 CUB524332:CUN524332 DDX524332:DEJ524332 DNT524332:DOF524332 DXP524332:DYB524332 EHL524332:EHX524332 ERH524332:ERT524332 FBD524332:FBP524332 FKZ524332:FLL524332 FUV524332:FVH524332 GER524332:GFD524332 GON524332:GOZ524332 GYJ524332:GYV524332 HIF524332:HIR524332 HSB524332:HSN524332 IBX524332:ICJ524332 ILT524332:IMF524332 IVP524332:IWB524332 JFL524332:JFX524332 JPH524332:JPT524332 JZD524332:JZP524332 KIZ524332:KJL524332 KSV524332:KTH524332 LCR524332:LDD524332 LMN524332:LMZ524332 LWJ524332:LWV524332 MGF524332:MGR524332 MQB524332:MQN524332 MZX524332:NAJ524332 NJT524332:NKF524332 NTP524332:NUB524332 ODL524332:ODX524332 ONH524332:ONT524332 OXD524332:OXP524332 PGZ524332:PHL524332 PQV524332:PRH524332 QAR524332:QBD524332 QKN524332:QKZ524332 QUJ524332:QUV524332 REF524332:RER524332 ROB524332:RON524332 RXX524332:RYJ524332 SHT524332:SIF524332 SRP524332:SSB524332 TBL524332:TBX524332 TLH524332:TLT524332 TVD524332:TVP524332 UEZ524332:UFL524332 UOV524332:UPH524332 UYR524332:UZD524332 VIN524332:VIZ524332 VSJ524332:VSV524332 WCF524332:WCR524332 WMB524332:WMN524332 WVX524332:WWJ524332 JL589868:JX589868 TH589868:TT589868 ADD589868:ADP589868 AMZ589868:ANL589868 AWV589868:AXH589868 BGR589868:BHD589868 BQN589868:BQZ589868 CAJ589868:CAV589868 CKF589868:CKR589868 CUB589868:CUN589868 DDX589868:DEJ589868 DNT589868:DOF589868 DXP589868:DYB589868 EHL589868:EHX589868 ERH589868:ERT589868 FBD589868:FBP589868 FKZ589868:FLL589868 FUV589868:FVH589868 GER589868:GFD589868 GON589868:GOZ589868 GYJ589868:GYV589868 HIF589868:HIR589868 HSB589868:HSN589868 IBX589868:ICJ589868 ILT589868:IMF589868 IVP589868:IWB589868 JFL589868:JFX589868 JPH589868:JPT589868 JZD589868:JZP589868 KIZ589868:KJL589868 KSV589868:KTH589868 LCR589868:LDD589868 LMN589868:LMZ589868 LWJ589868:LWV589868 MGF589868:MGR589868 MQB589868:MQN589868 MZX589868:NAJ589868 NJT589868:NKF589868 NTP589868:NUB589868 ODL589868:ODX589868 ONH589868:ONT589868 OXD589868:OXP589868 PGZ589868:PHL589868 PQV589868:PRH589868 QAR589868:QBD589868 QKN589868:QKZ589868 QUJ589868:QUV589868 REF589868:RER589868 ROB589868:RON589868 RXX589868:RYJ589868 SHT589868:SIF589868 SRP589868:SSB589868 TBL589868:TBX589868 TLH589868:TLT589868 TVD589868:TVP589868 UEZ589868:UFL589868 UOV589868:UPH589868 UYR589868:UZD589868 VIN589868:VIZ589868 VSJ589868:VSV589868 WCF589868:WCR589868 WMB589868:WMN589868 WVX589868:WWJ589868 JL655404:JX655404 TH655404:TT655404 ADD655404:ADP655404 AMZ655404:ANL655404 AWV655404:AXH655404 BGR655404:BHD655404 BQN655404:BQZ655404 CAJ655404:CAV655404 CKF655404:CKR655404 CUB655404:CUN655404 DDX655404:DEJ655404 DNT655404:DOF655404 DXP655404:DYB655404 EHL655404:EHX655404 ERH655404:ERT655404 FBD655404:FBP655404 FKZ655404:FLL655404 FUV655404:FVH655404 GER655404:GFD655404 GON655404:GOZ655404 GYJ655404:GYV655404 HIF655404:HIR655404 HSB655404:HSN655404 IBX655404:ICJ655404 ILT655404:IMF655404 IVP655404:IWB655404 JFL655404:JFX655404 JPH655404:JPT655404 JZD655404:JZP655404 KIZ655404:KJL655404 KSV655404:KTH655404 LCR655404:LDD655404 LMN655404:LMZ655404 LWJ655404:LWV655404 MGF655404:MGR655404 MQB655404:MQN655404 MZX655404:NAJ655404 NJT655404:NKF655404 NTP655404:NUB655404 ODL655404:ODX655404 ONH655404:ONT655404 OXD655404:OXP655404 PGZ655404:PHL655404 PQV655404:PRH655404 QAR655404:QBD655404 QKN655404:QKZ655404 QUJ655404:QUV655404 REF655404:RER655404 ROB655404:RON655404 RXX655404:RYJ655404 SHT655404:SIF655404 SRP655404:SSB655404 TBL655404:TBX655404 TLH655404:TLT655404 TVD655404:TVP655404 UEZ655404:UFL655404 UOV655404:UPH655404 UYR655404:UZD655404 VIN655404:VIZ655404 VSJ655404:VSV655404 WCF655404:WCR655404 WMB655404:WMN655404 WVX655404:WWJ655404 JL720940:JX720940 TH720940:TT720940 ADD720940:ADP720940 AMZ720940:ANL720940 AWV720940:AXH720940 BGR720940:BHD720940 BQN720940:BQZ720940 CAJ720940:CAV720940 CKF720940:CKR720940 CUB720940:CUN720940 DDX720940:DEJ720940 DNT720940:DOF720940 DXP720940:DYB720940 EHL720940:EHX720940 ERH720940:ERT720940 FBD720940:FBP720940 FKZ720940:FLL720940 FUV720940:FVH720940 GER720940:GFD720940 GON720940:GOZ720940 GYJ720940:GYV720940 HIF720940:HIR720940 HSB720940:HSN720940 IBX720940:ICJ720940 ILT720940:IMF720940 IVP720940:IWB720940 JFL720940:JFX720940 JPH720940:JPT720940 JZD720940:JZP720940 KIZ720940:KJL720940 KSV720940:KTH720940 LCR720940:LDD720940 LMN720940:LMZ720940 LWJ720940:LWV720940 MGF720940:MGR720940 MQB720940:MQN720940 MZX720940:NAJ720940 NJT720940:NKF720940 NTP720940:NUB720940 ODL720940:ODX720940 ONH720940:ONT720940 OXD720940:OXP720940 PGZ720940:PHL720940 PQV720940:PRH720940 QAR720940:QBD720940 QKN720940:QKZ720940 QUJ720940:QUV720940 REF720940:RER720940 ROB720940:RON720940 RXX720940:RYJ720940 SHT720940:SIF720940 SRP720940:SSB720940 TBL720940:TBX720940 TLH720940:TLT720940 TVD720940:TVP720940 UEZ720940:UFL720940 UOV720940:UPH720940 UYR720940:UZD720940 VIN720940:VIZ720940 VSJ720940:VSV720940 WCF720940:WCR720940 WMB720940:WMN720940 WVX720940:WWJ720940 JL786476:JX786476 TH786476:TT786476 ADD786476:ADP786476 AMZ786476:ANL786476 AWV786476:AXH786476 BGR786476:BHD786476 BQN786476:BQZ786476 CAJ786476:CAV786476 CKF786476:CKR786476 CUB786476:CUN786476 DDX786476:DEJ786476 DNT786476:DOF786476 DXP786476:DYB786476 EHL786476:EHX786476 ERH786476:ERT786476 FBD786476:FBP786476 FKZ786476:FLL786476 FUV786476:FVH786476 GER786476:GFD786476 GON786476:GOZ786476 GYJ786476:GYV786476 HIF786476:HIR786476 HSB786476:HSN786476 IBX786476:ICJ786476 ILT786476:IMF786476 IVP786476:IWB786476 JFL786476:JFX786476 JPH786476:JPT786476 JZD786476:JZP786476 KIZ786476:KJL786476 KSV786476:KTH786476 LCR786476:LDD786476 LMN786476:LMZ786476 LWJ786476:LWV786476 MGF786476:MGR786476 MQB786476:MQN786476 MZX786476:NAJ786476 NJT786476:NKF786476 NTP786476:NUB786476 ODL786476:ODX786476 ONH786476:ONT786476 OXD786476:OXP786476 PGZ786476:PHL786476 PQV786476:PRH786476 QAR786476:QBD786476 QKN786476:QKZ786476 QUJ786476:QUV786476 REF786476:RER786476 ROB786476:RON786476 RXX786476:RYJ786476 SHT786476:SIF786476 SRP786476:SSB786476 TBL786476:TBX786476 TLH786476:TLT786476 TVD786476:TVP786476 UEZ786476:UFL786476 UOV786476:UPH786476 UYR786476:UZD786476 VIN786476:VIZ786476 VSJ786476:VSV786476 WCF786476:WCR786476 WMB786476:WMN786476 WVX786476:WWJ786476 JL852012:JX852012 TH852012:TT852012 ADD852012:ADP852012 AMZ852012:ANL852012 AWV852012:AXH852012 BGR852012:BHD852012 BQN852012:BQZ852012 CAJ852012:CAV852012 CKF852012:CKR852012 CUB852012:CUN852012 DDX852012:DEJ852012 DNT852012:DOF852012 DXP852012:DYB852012 EHL852012:EHX852012 ERH852012:ERT852012 FBD852012:FBP852012 FKZ852012:FLL852012 FUV852012:FVH852012 GER852012:GFD852012 GON852012:GOZ852012 GYJ852012:GYV852012 HIF852012:HIR852012 HSB852012:HSN852012 IBX852012:ICJ852012 ILT852012:IMF852012 IVP852012:IWB852012 JFL852012:JFX852012 JPH852012:JPT852012 JZD852012:JZP852012 KIZ852012:KJL852012 KSV852012:KTH852012 LCR852012:LDD852012 LMN852012:LMZ852012 LWJ852012:LWV852012 MGF852012:MGR852012 MQB852012:MQN852012 MZX852012:NAJ852012 NJT852012:NKF852012 NTP852012:NUB852012 ODL852012:ODX852012 ONH852012:ONT852012 OXD852012:OXP852012 PGZ852012:PHL852012 PQV852012:PRH852012 QAR852012:QBD852012 QKN852012:QKZ852012 QUJ852012:QUV852012 REF852012:RER852012 ROB852012:RON852012 RXX852012:RYJ852012 SHT852012:SIF852012 SRP852012:SSB852012 TBL852012:TBX852012 TLH852012:TLT852012 TVD852012:TVP852012 UEZ852012:UFL852012 UOV852012:UPH852012 UYR852012:UZD852012 VIN852012:VIZ852012 VSJ852012:VSV852012 WCF852012:WCR852012 WMB852012:WMN852012 WVX852012:WWJ852012 JL917548:JX917548 TH917548:TT917548 ADD917548:ADP917548 AMZ917548:ANL917548 AWV917548:AXH917548 BGR917548:BHD917548 BQN917548:BQZ917548 CAJ917548:CAV917548 CKF917548:CKR917548 CUB917548:CUN917548 DDX917548:DEJ917548 DNT917548:DOF917548 DXP917548:DYB917548 EHL917548:EHX917548 ERH917548:ERT917548 FBD917548:FBP917548 FKZ917548:FLL917548 FUV917548:FVH917548 GER917548:GFD917548 GON917548:GOZ917548 GYJ917548:GYV917548 HIF917548:HIR917548 HSB917548:HSN917548 IBX917548:ICJ917548 ILT917548:IMF917548 IVP917548:IWB917548 JFL917548:JFX917548 JPH917548:JPT917548 JZD917548:JZP917548 KIZ917548:KJL917548 KSV917548:KTH917548 LCR917548:LDD917548 LMN917548:LMZ917548 LWJ917548:LWV917548 MGF917548:MGR917548 MQB917548:MQN917548 MZX917548:NAJ917548 NJT917548:NKF917548 NTP917548:NUB917548 ODL917548:ODX917548 ONH917548:ONT917548 OXD917548:OXP917548 PGZ917548:PHL917548 PQV917548:PRH917548 QAR917548:QBD917548 QKN917548:QKZ917548 QUJ917548:QUV917548 REF917548:RER917548 ROB917548:RON917548 RXX917548:RYJ917548 SHT917548:SIF917548 SRP917548:SSB917548 TBL917548:TBX917548 TLH917548:TLT917548 TVD917548:TVP917548 UEZ917548:UFL917548 UOV917548:UPH917548 UYR917548:UZD917548 VIN917548:VIZ917548 VSJ917548:VSV917548 WCF917548:WCR917548 WMB917548:WMN917548 WVX917548:WWJ917548 JL983084:JX983084 TH983084:TT983084 ADD983084:ADP983084 AMZ983084:ANL983084 AWV983084:AXH983084 BGR983084:BHD983084 BQN983084:BQZ983084 CAJ983084:CAV983084 CKF983084:CKR983084 CUB983084:CUN983084 DDX983084:DEJ983084 DNT983084:DOF983084 DXP983084:DYB983084 EHL983084:EHX983084 ERH983084:ERT983084 FBD983084:FBP983084 FKZ983084:FLL983084 FUV983084:FVH983084 GER983084:GFD983084 GON983084:GOZ983084 GYJ983084:GYV983084 HIF983084:HIR983084 HSB983084:HSN983084 IBX983084:ICJ983084 ILT983084:IMF983084 IVP983084:IWB983084 JFL983084:JFX983084 JPH983084:JPT983084 JZD983084:JZP983084 KIZ983084:KJL983084 KSV983084:KTH983084 LCR983084:LDD983084 LMN983084:LMZ983084 LWJ983084:LWV983084 MGF983084:MGR983084 MQB983084:MQN983084 MZX983084:NAJ983084 NJT983084:NKF983084 NTP983084:NUB983084 ODL983084:ODX983084 ONH983084:ONT983084 OXD983084:OXP983084 PGZ983084:PHL983084 PQV983084:PRH983084 QAR983084:QBD983084 QKN983084:QKZ983084 QUJ983084:QUV983084 REF983084:RER983084 ROB983084:RON983084 RXX983084:RYJ983084 SHT983084:SIF983084 SRP983084:SSB983084 TBL983084:TBX983084 TLH983084:TLT983084 TVD983084:TVP983084 UEZ983084:UFL983084 UOV983084:UPH983084 UYR983084:UZD983084 VIN983084:VIZ983084 VSJ983084:VSV983084 WCF983084:WCR983084 WMB983084:WMN983084 WVX983084:WWJ983084 G65580:AB65580 G983084:AB983084 G917548:AB917548 G852012:AB852012 G786476:AB786476 G720940:AB720940 G655404:AB655404 G589868:AB589868 G524332:AB524332 G458796:AB458796 G393260:AB393260 G327724:AB327724 G262188:AB262188 G196652:AB196652 G131116:AB131116 G23 I23:AB23"/>
    <dataValidation allowBlank="1" showInputMessage="1" showErrorMessage="1" prompt="Alcance: Definir las principales actividades que se requieren para alcanzar el producto definidos en los estudios previos" sqref="WVT983077 B65573 JH65573 TD65573 ACZ65573 AMV65573 AWR65573 BGN65573 BQJ65573 CAF65573 CKB65573 CTX65573 DDT65573 DNP65573 DXL65573 EHH65573 ERD65573 FAZ65573 FKV65573 FUR65573 GEN65573 GOJ65573 GYF65573 HIB65573 HRX65573 IBT65573 ILP65573 IVL65573 JFH65573 JPD65573 JYZ65573 KIV65573 KSR65573 LCN65573 LMJ65573 LWF65573 MGB65573 MPX65573 MZT65573 NJP65573 NTL65573 ODH65573 OND65573 OWZ65573 PGV65573 PQR65573 QAN65573 QKJ65573 QUF65573 REB65573 RNX65573 RXT65573 SHP65573 SRL65573 TBH65573 TLD65573 TUZ65573 UEV65573 UOR65573 UYN65573 VIJ65573 VSF65573 WCB65573 WLX65573 WVT65573 B131109 JH131109 TD131109 ACZ131109 AMV131109 AWR131109 BGN131109 BQJ131109 CAF131109 CKB131109 CTX131109 DDT131109 DNP131109 DXL131109 EHH131109 ERD131109 FAZ131109 FKV131109 FUR131109 GEN131109 GOJ131109 GYF131109 HIB131109 HRX131109 IBT131109 ILP131109 IVL131109 JFH131109 JPD131109 JYZ131109 KIV131109 KSR131109 LCN131109 LMJ131109 LWF131109 MGB131109 MPX131109 MZT131109 NJP131109 NTL131109 ODH131109 OND131109 OWZ131109 PGV131109 PQR131109 QAN131109 QKJ131109 QUF131109 REB131109 RNX131109 RXT131109 SHP131109 SRL131109 TBH131109 TLD131109 TUZ131109 UEV131109 UOR131109 UYN131109 VIJ131109 VSF131109 WCB131109 WLX131109 WVT131109 B196645 JH196645 TD196645 ACZ196645 AMV196645 AWR196645 BGN196645 BQJ196645 CAF196645 CKB196645 CTX196645 DDT196645 DNP196645 DXL196645 EHH196645 ERD196645 FAZ196645 FKV196645 FUR196645 GEN196645 GOJ196645 GYF196645 HIB196645 HRX196645 IBT196645 ILP196645 IVL196645 JFH196645 JPD196645 JYZ196645 KIV196645 KSR196645 LCN196645 LMJ196645 LWF196645 MGB196645 MPX196645 MZT196645 NJP196645 NTL196645 ODH196645 OND196645 OWZ196645 PGV196645 PQR196645 QAN196645 QKJ196645 QUF196645 REB196645 RNX196645 RXT196645 SHP196645 SRL196645 TBH196645 TLD196645 TUZ196645 UEV196645 UOR196645 UYN196645 VIJ196645 VSF196645 WCB196645 WLX196645 WVT196645 B262181 JH262181 TD262181 ACZ262181 AMV262181 AWR262181 BGN262181 BQJ262181 CAF262181 CKB262181 CTX262181 DDT262181 DNP262181 DXL262181 EHH262181 ERD262181 FAZ262181 FKV262181 FUR262181 GEN262181 GOJ262181 GYF262181 HIB262181 HRX262181 IBT262181 ILP262181 IVL262181 JFH262181 JPD262181 JYZ262181 KIV262181 KSR262181 LCN262181 LMJ262181 LWF262181 MGB262181 MPX262181 MZT262181 NJP262181 NTL262181 ODH262181 OND262181 OWZ262181 PGV262181 PQR262181 QAN262181 QKJ262181 QUF262181 REB262181 RNX262181 RXT262181 SHP262181 SRL262181 TBH262181 TLD262181 TUZ262181 UEV262181 UOR262181 UYN262181 VIJ262181 VSF262181 WCB262181 WLX262181 WVT262181 B327717 JH327717 TD327717 ACZ327717 AMV327717 AWR327717 BGN327717 BQJ327717 CAF327717 CKB327717 CTX327717 DDT327717 DNP327717 DXL327717 EHH327717 ERD327717 FAZ327717 FKV327717 FUR327717 GEN327717 GOJ327717 GYF327717 HIB327717 HRX327717 IBT327717 ILP327717 IVL327717 JFH327717 JPD327717 JYZ327717 KIV327717 KSR327717 LCN327717 LMJ327717 LWF327717 MGB327717 MPX327717 MZT327717 NJP327717 NTL327717 ODH327717 OND327717 OWZ327717 PGV327717 PQR327717 QAN327717 QKJ327717 QUF327717 REB327717 RNX327717 RXT327717 SHP327717 SRL327717 TBH327717 TLD327717 TUZ327717 UEV327717 UOR327717 UYN327717 VIJ327717 VSF327717 WCB327717 WLX327717 WVT327717 B393253 JH393253 TD393253 ACZ393253 AMV393253 AWR393253 BGN393253 BQJ393253 CAF393253 CKB393253 CTX393253 DDT393253 DNP393253 DXL393253 EHH393253 ERD393253 FAZ393253 FKV393253 FUR393253 GEN393253 GOJ393253 GYF393253 HIB393253 HRX393253 IBT393253 ILP393253 IVL393253 JFH393253 JPD393253 JYZ393253 KIV393253 KSR393253 LCN393253 LMJ393253 LWF393253 MGB393253 MPX393253 MZT393253 NJP393253 NTL393253 ODH393253 OND393253 OWZ393253 PGV393253 PQR393253 QAN393253 QKJ393253 QUF393253 REB393253 RNX393253 RXT393253 SHP393253 SRL393253 TBH393253 TLD393253 TUZ393253 UEV393253 UOR393253 UYN393253 VIJ393253 VSF393253 WCB393253 WLX393253 WVT393253 B458789 JH458789 TD458789 ACZ458789 AMV458789 AWR458789 BGN458789 BQJ458789 CAF458789 CKB458789 CTX458789 DDT458789 DNP458789 DXL458789 EHH458789 ERD458789 FAZ458789 FKV458789 FUR458789 GEN458789 GOJ458789 GYF458789 HIB458789 HRX458789 IBT458789 ILP458789 IVL458789 JFH458789 JPD458789 JYZ458789 KIV458789 KSR458789 LCN458789 LMJ458789 LWF458789 MGB458789 MPX458789 MZT458789 NJP458789 NTL458789 ODH458789 OND458789 OWZ458789 PGV458789 PQR458789 QAN458789 QKJ458789 QUF458789 REB458789 RNX458789 RXT458789 SHP458789 SRL458789 TBH458789 TLD458789 TUZ458789 UEV458789 UOR458789 UYN458789 VIJ458789 VSF458789 WCB458789 WLX458789 WVT458789 B524325 JH524325 TD524325 ACZ524325 AMV524325 AWR524325 BGN524325 BQJ524325 CAF524325 CKB524325 CTX524325 DDT524325 DNP524325 DXL524325 EHH524325 ERD524325 FAZ524325 FKV524325 FUR524325 GEN524325 GOJ524325 GYF524325 HIB524325 HRX524325 IBT524325 ILP524325 IVL524325 JFH524325 JPD524325 JYZ524325 KIV524325 KSR524325 LCN524325 LMJ524325 LWF524325 MGB524325 MPX524325 MZT524325 NJP524325 NTL524325 ODH524325 OND524325 OWZ524325 PGV524325 PQR524325 QAN524325 QKJ524325 QUF524325 REB524325 RNX524325 RXT524325 SHP524325 SRL524325 TBH524325 TLD524325 TUZ524325 UEV524325 UOR524325 UYN524325 VIJ524325 VSF524325 WCB524325 WLX524325 WVT524325 B589861 JH589861 TD589861 ACZ589861 AMV589861 AWR589861 BGN589861 BQJ589861 CAF589861 CKB589861 CTX589861 DDT589861 DNP589861 DXL589861 EHH589861 ERD589861 FAZ589861 FKV589861 FUR589861 GEN589861 GOJ589861 GYF589861 HIB589861 HRX589861 IBT589861 ILP589861 IVL589861 JFH589861 JPD589861 JYZ589861 KIV589861 KSR589861 LCN589861 LMJ589861 LWF589861 MGB589861 MPX589861 MZT589861 NJP589861 NTL589861 ODH589861 OND589861 OWZ589861 PGV589861 PQR589861 QAN589861 QKJ589861 QUF589861 REB589861 RNX589861 RXT589861 SHP589861 SRL589861 TBH589861 TLD589861 TUZ589861 UEV589861 UOR589861 UYN589861 VIJ589861 VSF589861 WCB589861 WLX589861 WVT589861 B655397 JH655397 TD655397 ACZ655397 AMV655397 AWR655397 BGN655397 BQJ655397 CAF655397 CKB655397 CTX655397 DDT655397 DNP655397 DXL655397 EHH655397 ERD655397 FAZ655397 FKV655397 FUR655397 GEN655397 GOJ655397 GYF655397 HIB655397 HRX655397 IBT655397 ILP655397 IVL655397 JFH655397 JPD655397 JYZ655397 KIV655397 KSR655397 LCN655397 LMJ655397 LWF655397 MGB655397 MPX655397 MZT655397 NJP655397 NTL655397 ODH655397 OND655397 OWZ655397 PGV655397 PQR655397 QAN655397 QKJ655397 QUF655397 REB655397 RNX655397 RXT655397 SHP655397 SRL655397 TBH655397 TLD655397 TUZ655397 UEV655397 UOR655397 UYN655397 VIJ655397 VSF655397 WCB655397 WLX655397 WVT655397 B720933 JH720933 TD720933 ACZ720933 AMV720933 AWR720933 BGN720933 BQJ720933 CAF720933 CKB720933 CTX720933 DDT720933 DNP720933 DXL720933 EHH720933 ERD720933 FAZ720933 FKV720933 FUR720933 GEN720933 GOJ720933 GYF720933 HIB720933 HRX720933 IBT720933 ILP720933 IVL720933 JFH720933 JPD720933 JYZ720933 KIV720933 KSR720933 LCN720933 LMJ720933 LWF720933 MGB720933 MPX720933 MZT720933 NJP720933 NTL720933 ODH720933 OND720933 OWZ720933 PGV720933 PQR720933 QAN720933 QKJ720933 QUF720933 REB720933 RNX720933 RXT720933 SHP720933 SRL720933 TBH720933 TLD720933 TUZ720933 UEV720933 UOR720933 UYN720933 VIJ720933 VSF720933 WCB720933 WLX720933 WVT720933 B786469 JH786469 TD786469 ACZ786469 AMV786469 AWR786469 BGN786469 BQJ786469 CAF786469 CKB786469 CTX786469 DDT786469 DNP786469 DXL786469 EHH786469 ERD786469 FAZ786469 FKV786469 FUR786469 GEN786469 GOJ786469 GYF786469 HIB786469 HRX786469 IBT786469 ILP786469 IVL786469 JFH786469 JPD786469 JYZ786469 KIV786469 KSR786469 LCN786469 LMJ786469 LWF786469 MGB786469 MPX786469 MZT786469 NJP786469 NTL786469 ODH786469 OND786469 OWZ786469 PGV786469 PQR786469 QAN786469 QKJ786469 QUF786469 REB786469 RNX786469 RXT786469 SHP786469 SRL786469 TBH786469 TLD786469 TUZ786469 UEV786469 UOR786469 UYN786469 VIJ786469 VSF786469 WCB786469 WLX786469 WVT786469 B852005 JH852005 TD852005 ACZ852005 AMV852005 AWR852005 BGN852005 BQJ852005 CAF852005 CKB852005 CTX852005 DDT852005 DNP852005 DXL852005 EHH852005 ERD852005 FAZ852005 FKV852005 FUR852005 GEN852005 GOJ852005 GYF852005 HIB852005 HRX852005 IBT852005 ILP852005 IVL852005 JFH852005 JPD852005 JYZ852005 KIV852005 KSR852005 LCN852005 LMJ852005 LWF852005 MGB852005 MPX852005 MZT852005 NJP852005 NTL852005 ODH852005 OND852005 OWZ852005 PGV852005 PQR852005 QAN852005 QKJ852005 QUF852005 REB852005 RNX852005 RXT852005 SHP852005 SRL852005 TBH852005 TLD852005 TUZ852005 UEV852005 UOR852005 UYN852005 VIJ852005 VSF852005 WCB852005 WLX852005 WVT852005 B917541 JH917541 TD917541 ACZ917541 AMV917541 AWR917541 BGN917541 BQJ917541 CAF917541 CKB917541 CTX917541 DDT917541 DNP917541 DXL917541 EHH917541 ERD917541 FAZ917541 FKV917541 FUR917541 GEN917541 GOJ917541 GYF917541 HIB917541 HRX917541 IBT917541 ILP917541 IVL917541 JFH917541 JPD917541 JYZ917541 KIV917541 KSR917541 LCN917541 LMJ917541 LWF917541 MGB917541 MPX917541 MZT917541 NJP917541 NTL917541 ODH917541 OND917541 OWZ917541 PGV917541 PQR917541 QAN917541 QKJ917541 QUF917541 REB917541 RNX917541 RXT917541 SHP917541 SRL917541 TBH917541 TLD917541 TUZ917541 UEV917541 UOR917541 UYN917541 VIJ917541 VSF917541 WCB917541 WLX917541 WVT917541 B983077 JH983077 TD983077 ACZ983077 AMV983077 AWR983077 BGN983077 BQJ983077 CAF983077 CKB983077 CTX983077 DDT983077 DNP983077 DXL983077 EHH983077 ERD983077 FAZ983077 FKV983077 FUR983077 GEN983077 GOJ983077 GYF983077 HIB983077 HRX983077 IBT983077 ILP983077 IVL983077 JFH983077 JPD983077 JYZ983077 KIV983077 KSR983077 LCN983077 LMJ983077 LWF983077 MGB983077 MPX983077 MZT983077 NJP983077 NTL983077 ODH983077 OND983077 OWZ983077 PGV983077 PQR983077 QAN983077 QKJ983077 QUF983077 REB983077 RNX983077 RXT983077 SHP983077 SRL983077 TBH983077 TLD983077 TUZ983077 UEV983077 UOR983077 UYN983077 VIJ983077 VSF983077 WCB983077 WLX983077 B16 TD16 ACZ16 AMV16 AWR16 BGN16 BQJ16 CAF16 CKB16 CTX16 DDT16 DNP16 DXL16 EHH16 ERD16 FAZ16 FKV16 FUR16 GEN16 GOJ16 GYF16 HIB16 HRX16 IBT16 ILP16 IVL16 JFH16 JPD16 JYZ16 KIV16 KSR16 LCN16 LMJ16 LWF16 MGB16 MPX16 MZT16 NJP16 NTL16 ODH16 OND16 OWZ16 PGV16 PQR16 QAN16 QKJ16 QUF16 REB16 RNX16 RXT16 SHP16 SRL16 TBH16 TLD16 TUZ16 UEV16 UOR16 UYN16 VIJ16 VSF16 WCB16 WLX16 WVT16 JH16"/>
    <dataValidation allowBlank="1" showInputMessage="1" showErrorMessage="1" prompt="Emplear una unidad de medida concreta y medible, no utilizar GLOBAL" sqref="WVV983076:WVV983077 E65572:E65573 JJ65572:JJ65573 TF65572:TF65573 ADB65572:ADB65573 AMX65572:AMX65573 AWT65572:AWT65573 BGP65572:BGP65573 BQL65572:BQL65573 CAH65572:CAH65573 CKD65572:CKD65573 CTZ65572:CTZ65573 DDV65572:DDV65573 DNR65572:DNR65573 DXN65572:DXN65573 EHJ65572:EHJ65573 ERF65572:ERF65573 FBB65572:FBB65573 FKX65572:FKX65573 FUT65572:FUT65573 GEP65572:GEP65573 GOL65572:GOL65573 GYH65572:GYH65573 HID65572:HID65573 HRZ65572:HRZ65573 IBV65572:IBV65573 ILR65572:ILR65573 IVN65572:IVN65573 JFJ65572:JFJ65573 JPF65572:JPF65573 JZB65572:JZB65573 KIX65572:KIX65573 KST65572:KST65573 LCP65572:LCP65573 LML65572:LML65573 LWH65572:LWH65573 MGD65572:MGD65573 MPZ65572:MPZ65573 MZV65572:MZV65573 NJR65572:NJR65573 NTN65572:NTN65573 ODJ65572:ODJ65573 ONF65572:ONF65573 OXB65572:OXB65573 PGX65572:PGX65573 PQT65572:PQT65573 QAP65572:QAP65573 QKL65572:QKL65573 QUH65572:QUH65573 RED65572:RED65573 RNZ65572:RNZ65573 RXV65572:RXV65573 SHR65572:SHR65573 SRN65572:SRN65573 TBJ65572:TBJ65573 TLF65572:TLF65573 TVB65572:TVB65573 UEX65572:UEX65573 UOT65572:UOT65573 UYP65572:UYP65573 VIL65572:VIL65573 VSH65572:VSH65573 WCD65572:WCD65573 WLZ65572:WLZ65573 WVV65572:WVV65573 E131108:E131109 JJ131108:JJ131109 TF131108:TF131109 ADB131108:ADB131109 AMX131108:AMX131109 AWT131108:AWT131109 BGP131108:BGP131109 BQL131108:BQL131109 CAH131108:CAH131109 CKD131108:CKD131109 CTZ131108:CTZ131109 DDV131108:DDV131109 DNR131108:DNR131109 DXN131108:DXN131109 EHJ131108:EHJ131109 ERF131108:ERF131109 FBB131108:FBB131109 FKX131108:FKX131109 FUT131108:FUT131109 GEP131108:GEP131109 GOL131108:GOL131109 GYH131108:GYH131109 HID131108:HID131109 HRZ131108:HRZ131109 IBV131108:IBV131109 ILR131108:ILR131109 IVN131108:IVN131109 JFJ131108:JFJ131109 JPF131108:JPF131109 JZB131108:JZB131109 KIX131108:KIX131109 KST131108:KST131109 LCP131108:LCP131109 LML131108:LML131109 LWH131108:LWH131109 MGD131108:MGD131109 MPZ131108:MPZ131109 MZV131108:MZV131109 NJR131108:NJR131109 NTN131108:NTN131109 ODJ131108:ODJ131109 ONF131108:ONF131109 OXB131108:OXB131109 PGX131108:PGX131109 PQT131108:PQT131109 QAP131108:QAP131109 QKL131108:QKL131109 QUH131108:QUH131109 RED131108:RED131109 RNZ131108:RNZ131109 RXV131108:RXV131109 SHR131108:SHR131109 SRN131108:SRN131109 TBJ131108:TBJ131109 TLF131108:TLF131109 TVB131108:TVB131109 UEX131108:UEX131109 UOT131108:UOT131109 UYP131108:UYP131109 VIL131108:VIL131109 VSH131108:VSH131109 WCD131108:WCD131109 WLZ131108:WLZ131109 WVV131108:WVV131109 E196644:E196645 JJ196644:JJ196645 TF196644:TF196645 ADB196644:ADB196645 AMX196644:AMX196645 AWT196644:AWT196645 BGP196644:BGP196645 BQL196644:BQL196645 CAH196644:CAH196645 CKD196644:CKD196645 CTZ196644:CTZ196645 DDV196644:DDV196645 DNR196644:DNR196645 DXN196644:DXN196645 EHJ196644:EHJ196645 ERF196644:ERF196645 FBB196644:FBB196645 FKX196644:FKX196645 FUT196644:FUT196645 GEP196644:GEP196645 GOL196644:GOL196645 GYH196644:GYH196645 HID196644:HID196645 HRZ196644:HRZ196645 IBV196644:IBV196645 ILR196644:ILR196645 IVN196644:IVN196645 JFJ196644:JFJ196645 JPF196644:JPF196645 JZB196644:JZB196645 KIX196644:KIX196645 KST196644:KST196645 LCP196644:LCP196645 LML196644:LML196645 LWH196644:LWH196645 MGD196644:MGD196645 MPZ196644:MPZ196645 MZV196644:MZV196645 NJR196644:NJR196645 NTN196644:NTN196645 ODJ196644:ODJ196645 ONF196644:ONF196645 OXB196644:OXB196645 PGX196644:PGX196645 PQT196644:PQT196645 QAP196644:QAP196645 QKL196644:QKL196645 QUH196644:QUH196645 RED196644:RED196645 RNZ196644:RNZ196645 RXV196644:RXV196645 SHR196644:SHR196645 SRN196644:SRN196645 TBJ196644:TBJ196645 TLF196644:TLF196645 TVB196644:TVB196645 UEX196644:UEX196645 UOT196644:UOT196645 UYP196644:UYP196645 VIL196644:VIL196645 VSH196644:VSH196645 WCD196644:WCD196645 WLZ196644:WLZ196645 WVV196644:WVV196645 E262180:E262181 JJ262180:JJ262181 TF262180:TF262181 ADB262180:ADB262181 AMX262180:AMX262181 AWT262180:AWT262181 BGP262180:BGP262181 BQL262180:BQL262181 CAH262180:CAH262181 CKD262180:CKD262181 CTZ262180:CTZ262181 DDV262180:DDV262181 DNR262180:DNR262181 DXN262180:DXN262181 EHJ262180:EHJ262181 ERF262180:ERF262181 FBB262180:FBB262181 FKX262180:FKX262181 FUT262180:FUT262181 GEP262180:GEP262181 GOL262180:GOL262181 GYH262180:GYH262181 HID262180:HID262181 HRZ262180:HRZ262181 IBV262180:IBV262181 ILR262180:ILR262181 IVN262180:IVN262181 JFJ262180:JFJ262181 JPF262180:JPF262181 JZB262180:JZB262181 KIX262180:KIX262181 KST262180:KST262181 LCP262180:LCP262181 LML262180:LML262181 LWH262180:LWH262181 MGD262180:MGD262181 MPZ262180:MPZ262181 MZV262180:MZV262181 NJR262180:NJR262181 NTN262180:NTN262181 ODJ262180:ODJ262181 ONF262180:ONF262181 OXB262180:OXB262181 PGX262180:PGX262181 PQT262180:PQT262181 QAP262180:QAP262181 QKL262180:QKL262181 QUH262180:QUH262181 RED262180:RED262181 RNZ262180:RNZ262181 RXV262180:RXV262181 SHR262180:SHR262181 SRN262180:SRN262181 TBJ262180:TBJ262181 TLF262180:TLF262181 TVB262180:TVB262181 UEX262180:UEX262181 UOT262180:UOT262181 UYP262180:UYP262181 VIL262180:VIL262181 VSH262180:VSH262181 WCD262180:WCD262181 WLZ262180:WLZ262181 WVV262180:WVV262181 E327716:E327717 JJ327716:JJ327717 TF327716:TF327717 ADB327716:ADB327717 AMX327716:AMX327717 AWT327716:AWT327717 BGP327716:BGP327717 BQL327716:BQL327717 CAH327716:CAH327717 CKD327716:CKD327717 CTZ327716:CTZ327717 DDV327716:DDV327717 DNR327716:DNR327717 DXN327716:DXN327717 EHJ327716:EHJ327717 ERF327716:ERF327717 FBB327716:FBB327717 FKX327716:FKX327717 FUT327716:FUT327717 GEP327716:GEP327717 GOL327716:GOL327717 GYH327716:GYH327717 HID327716:HID327717 HRZ327716:HRZ327717 IBV327716:IBV327717 ILR327716:ILR327717 IVN327716:IVN327717 JFJ327716:JFJ327717 JPF327716:JPF327717 JZB327716:JZB327717 KIX327716:KIX327717 KST327716:KST327717 LCP327716:LCP327717 LML327716:LML327717 LWH327716:LWH327717 MGD327716:MGD327717 MPZ327716:MPZ327717 MZV327716:MZV327717 NJR327716:NJR327717 NTN327716:NTN327717 ODJ327716:ODJ327717 ONF327716:ONF327717 OXB327716:OXB327717 PGX327716:PGX327717 PQT327716:PQT327717 QAP327716:QAP327717 QKL327716:QKL327717 QUH327716:QUH327717 RED327716:RED327717 RNZ327716:RNZ327717 RXV327716:RXV327717 SHR327716:SHR327717 SRN327716:SRN327717 TBJ327716:TBJ327717 TLF327716:TLF327717 TVB327716:TVB327717 UEX327716:UEX327717 UOT327716:UOT327717 UYP327716:UYP327717 VIL327716:VIL327717 VSH327716:VSH327717 WCD327716:WCD327717 WLZ327716:WLZ327717 WVV327716:WVV327717 E393252:E393253 JJ393252:JJ393253 TF393252:TF393253 ADB393252:ADB393253 AMX393252:AMX393253 AWT393252:AWT393253 BGP393252:BGP393253 BQL393252:BQL393253 CAH393252:CAH393253 CKD393252:CKD393253 CTZ393252:CTZ393253 DDV393252:DDV393253 DNR393252:DNR393253 DXN393252:DXN393253 EHJ393252:EHJ393253 ERF393252:ERF393253 FBB393252:FBB393253 FKX393252:FKX393253 FUT393252:FUT393253 GEP393252:GEP393253 GOL393252:GOL393253 GYH393252:GYH393253 HID393252:HID393253 HRZ393252:HRZ393253 IBV393252:IBV393253 ILR393252:ILR393253 IVN393252:IVN393253 JFJ393252:JFJ393253 JPF393252:JPF393253 JZB393252:JZB393253 KIX393252:KIX393253 KST393252:KST393253 LCP393252:LCP393253 LML393252:LML393253 LWH393252:LWH393253 MGD393252:MGD393253 MPZ393252:MPZ393253 MZV393252:MZV393253 NJR393252:NJR393253 NTN393252:NTN393253 ODJ393252:ODJ393253 ONF393252:ONF393253 OXB393252:OXB393253 PGX393252:PGX393253 PQT393252:PQT393253 QAP393252:QAP393253 QKL393252:QKL393253 QUH393252:QUH393253 RED393252:RED393253 RNZ393252:RNZ393253 RXV393252:RXV393253 SHR393252:SHR393253 SRN393252:SRN393253 TBJ393252:TBJ393253 TLF393252:TLF393253 TVB393252:TVB393253 UEX393252:UEX393253 UOT393252:UOT393253 UYP393252:UYP393253 VIL393252:VIL393253 VSH393252:VSH393253 WCD393252:WCD393253 WLZ393252:WLZ393253 WVV393252:WVV393253 E458788:E458789 JJ458788:JJ458789 TF458788:TF458789 ADB458788:ADB458789 AMX458788:AMX458789 AWT458788:AWT458789 BGP458788:BGP458789 BQL458788:BQL458789 CAH458788:CAH458789 CKD458788:CKD458789 CTZ458788:CTZ458789 DDV458788:DDV458789 DNR458788:DNR458789 DXN458788:DXN458789 EHJ458788:EHJ458789 ERF458788:ERF458789 FBB458788:FBB458789 FKX458788:FKX458789 FUT458788:FUT458789 GEP458788:GEP458789 GOL458788:GOL458789 GYH458788:GYH458789 HID458788:HID458789 HRZ458788:HRZ458789 IBV458788:IBV458789 ILR458788:ILR458789 IVN458788:IVN458789 JFJ458788:JFJ458789 JPF458788:JPF458789 JZB458788:JZB458789 KIX458788:KIX458789 KST458788:KST458789 LCP458788:LCP458789 LML458788:LML458789 LWH458788:LWH458789 MGD458788:MGD458789 MPZ458788:MPZ458789 MZV458788:MZV458789 NJR458788:NJR458789 NTN458788:NTN458789 ODJ458788:ODJ458789 ONF458788:ONF458789 OXB458788:OXB458789 PGX458788:PGX458789 PQT458788:PQT458789 QAP458788:QAP458789 QKL458788:QKL458789 QUH458788:QUH458789 RED458788:RED458789 RNZ458788:RNZ458789 RXV458788:RXV458789 SHR458788:SHR458789 SRN458788:SRN458789 TBJ458788:TBJ458789 TLF458788:TLF458789 TVB458788:TVB458789 UEX458788:UEX458789 UOT458788:UOT458789 UYP458788:UYP458789 VIL458788:VIL458789 VSH458788:VSH458789 WCD458788:WCD458789 WLZ458788:WLZ458789 WVV458788:WVV458789 E524324:E524325 JJ524324:JJ524325 TF524324:TF524325 ADB524324:ADB524325 AMX524324:AMX524325 AWT524324:AWT524325 BGP524324:BGP524325 BQL524324:BQL524325 CAH524324:CAH524325 CKD524324:CKD524325 CTZ524324:CTZ524325 DDV524324:DDV524325 DNR524324:DNR524325 DXN524324:DXN524325 EHJ524324:EHJ524325 ERF524324:ERF524325 FBB524324:FBB524325 FKX524324:FKX524325 FUT524324:FUT524325 GEP524324:GEP524325 GOL524324:GOL524325 GYH524324:GYH524325 HID524324:HID524325 HRZ524324:HRZ524325 IBV524324:IBV524325 ILR524324:ILR524325 IVN524324:IVN524325 JFJ524324:JFJ524325 JPF524324:JPF524325 JZB524324:JZB524325 KIX524324:KIX524325 KST524324:KST524325 LCP524324:LCP524325 LML524324:LML524325 LWH524324:LWH524325 MGD524324:MGD524325 MPZ524324:MPZ524325 MZV524324:MZV524325 NJR524324:NJR524325 NTN524324:NTN524325 ODJ524324:ODJ524325 ONF524324:ONF524325 OXB524324:OXB524325 PGX524324:PGX524325 PQT524324:PQT524325 QAP524324:QAP524325 QKL524324:QKL524325 QUH524324:QUH524325 RED524324:RED524325 RNZ524324:RNZ524325 RXV524324:RXV524325 SHR524324:SHR524325 SRN524324:SRN524325 TBJ524324:TBJ524325 TLF524324:TLF524325 TVB524324:TVB524325 UEX524324:UEX524325 UOT524324:UOT524325 UYP524324:UYP524325 VIL524324:VIL524325 VSH524324:VSH524325 WCD524324:WCD524325 WLZ524324:WLZ524325 WVV524324:WVV524325 E589860:E589861 JJ589860:JJ589861 TF589860:TF589861 ADB589860:ADB589861 AMX589860:AMX589861 AWT589860:AWT589861 BGP589860:BGP589861 BQL589860:BQL589861 CAH589860:CAH589861 CKD589860:CKD589861 CTZ589860:CTZ589861 DDV589860:DDV589861 DNR589860:DNR589861 DXN589860:DXN589861 EHJ589860:EHJ589861 ERF589860:ERF589861 FBB589860:FBB589861 FKX589860:FKX589861 FUT589860:FUT589861 GEP589860:GEP589861 GOL589860:GOL589861 GYH589860:GYH589861 HID589860:HID589861 HRZ589860:HRZ589861 IBV589860:IBV589861 ILR589860:ILR589861 IVN589860:IVN589861 JFJ589860:JFJ589861 JPF589860:JPF589861 JZB589860:JZB589861 KIX589860:KIX589861 KST589860:KST589861 LCP589860:LCP589861 LML589860:LML589861 LWH589860:LWH589861 MGD589860:MGD589861 MPZ589860:MPZ589861 MZV589860:MZV589861 NJR589860:NJR589861 NTN589860:NTN589861 ODJ589860:ODJ589861 ONF589860:ONF589861 OXB589860:OXB589861 PGX589860:PGX589861 PQT589860:PQT589861 QAP589860:QAP589861 QKL589860:QKL589861 QUH589860:QUH589861 RED589860:RED589861 RNZ589860:RNZ589861 RXV589860:RXV589861 SHR589860:SHR589861 SRN589860:SRN589861 TBJ589860:TBJ589861 TLF589860:TLF589861 TVB589860:TVB589861 UEX589860:UEX589861 UOT589860:UOT589861 UYP589860:UYP589861 VIL589860:VIL589861 VSH589860:VSH589861 WCD589860:WCD589861 WLZ589860:WLZ589861 WVV589860:WVV589861 E655396:E655397 JJ655396:JJ655397 TF655396:TF655397 ADB655396:ADB655397 AMX655396:AMX655397 AWT655396:AWT655397 BGP655396:BGP655397 BQL655396:BQL655397 CAH655396:CAH655397 CKD655396:CKD655397 CTZ655396:CTZ655397 DDV655396:DDV655397 DNR655396:DNR655397 DXN655396:DXN655397 EHJ655396:EHJ655397 ERF655396:ERF655397 FBB655396:FBB655397 FKX655396:FKX655397 FUT655396:FUT655397 GEP655396:GEP655397 GOL655396:GOL655397 GYH655396:GYH655397 HID655396:HID655397 HRZ655396:HRZ655397 IBV655396:IBV655397 ILR655396:ILR655397 IVN655396:IVN655397 JFJ655396:JFJ655397 JPF655396:JPF655397 JZB655396:JZB655397 KIX655396:KIX655397 KST655396:KST655397 LCP655396:LCP655397 LML655396:LML655397 LWH655396:LWH655397 MGD655396:MGD655397 MPZ655396:MPZ655397 MZV655396:MZV655397 NJR655396:NJR655397 NTN655396:NTN655397 ODJ655396:ODJ655397 ONF655396:ONF655397 OXB655396:OXB655397 PGX655396:PGX655397 PQT655396:PQT655397 QAP655396:QAP655397 QKL655396:QKL655397 QUH655396:QUH655397 RED655396:RED655397 RNZ655396:RNZ655397 RXV655396:RXV655397 SHR655396:SHR655397 SRN655396:SRN655397 TBJ655396:TBJ655397 TLF655396:TLF655397 TVB655396:TVB655397 UEX655396:UEX655397 UOT655396:UOT655397 UYP655396:UYP655397 VIL655396:VIL655397 VSH655396:VSH655397 WCD655396:WCD655397 WLZ655396:WLZ655397 WVV655396:WVV655397 E720932:E720933 JJ720932:JJ720933 TF720932:TF720933 ADB720932:ADB720933 AMX720932:AMX720933 AWT720932:AWT720933 BGP720932:BGP720933 BQL720932:BQL720933 CAH720932:CAH720933 CKD720932:CKD720933 CTZ720932:CTZ720933 DDV720932:DDV720933 DNR720932:DNR720933 DXN720932:DXN720933 EHJ720932:EHJ720933 ERF720932:ERF720933 FBB720932:FBB720933 FKX720932:FKX720933 FUT720932:FUT720933 GEP720932:GEP720933 GOL720932:GOL720933 GYH720932:GYH720933 HID720932:HID720933 HRZ720932:HRZ720933 IBV720932:IBV720933 ILR720932:ILR720933 IVN720932:IVN720933 JFJ720932:JFJ720933 JPF720932:JPF720933 JZB720932:JZB720933 KIX720932:KIX720933 KST720932:KST720933 LCP720932:LCP720933 LML720932:LML720933 LWH720932:LWH720933 MGD720932:MGD720933 MPZ720932:MPZ720933 MZV720932:MZV720933 NJR720932:NJR720933 NTN720932:NTN720933 ODJ720932:ODJ720933 ONF720932:ONF720933 OXB720932:OXB720933 PGX720932:PGX720933 PQT720932:PQT720933 QAP720932:QAP720933 QKL720932:QKL720933 QUH720932:QUH720933 RED720932:RED720933 RNZ720932:RNZ720933 RXV720932:RXV720933 SHR720932:SHR720933 SRN720932:SRN720933 TBJ720932:TBJ720933 TLF720932:TLF720933 TVB720932:TVB720933 UEX720932:UEX720933 UOT720932:UOT720933 UYP720932:UYP720933 VIL720932:VIL720933 VSH720932:VSH720933 WCD720932:WCD720933 WLZ720932:WLZ720933 WVV720932:WVV720933 E786468:E786469 JJ786468:JJ786469 TF786468:TF786469 ADB786468:ADB786469 AMX786468:AMX786469 AWT786468:AWT786469 BGP786468:BGP786469 BQL786468:BQL786469 CAH786468:CAH786469 CKD786468:CKD786469 CTZ786468:CTZ786469 DDV786468:DDV786469 DNR786468:DNR786469 DXN786468:DXN786469 EHJ786468:EHJ786469 ERF786468:ERF786469 FBB786468:FBB786469 FKX786468:FKX786469 FUT786468:FUT786469 GEP786468:GEP786469 GOL786468:GOL786469 GYH786468:GYH786469 HID786468:HID786469 HRZ786468:HRZ786469 IBV786468:IBV786469 ILR786468:ILR786469 IVN786468:IVN786469 JFJ786468:JFJ786469 JPF786468:JPF786469 JZB786468:JZB786469 KIX786468:KIX786469 KST786468:KST786469 LCP786468:LCP786469 LML786468:LML786469 LWH786468:LWH786469 MGD786468:MGD786469 MPZ786468:MPZ786469 MZV786468:MZV786469 NJR786468:NJR786469 NTN786468:NTN786469 ODJ786468:ODJ786469 ONF786468:ONF786469 OXB786468:OXB786469 PGX786468:PGX786469 PQT786468:PQT786469 QAP786468:QAP786469 QKL786468:QKL786469 QUH786468:QUH786469 RED786468:RED786469 RNZ786468:RNZ786469 RXV786468:RXV786469 SHR786468:SHR786469 SRN786468:SRN786469 TBJ786468:TBJ786469 TLF786468:TLF786469 TVB786468:TVB786469 UEX786468:UEX786469 UOT786468:UOT786469 UYP786468:UYP786469 VIL786468:VIL786469 VSH786468:VSH786469 WCD786468:WCD786469 WLZ786468:WLZ786469 WVV786468:WVV786469 E852004:E852005 JJ852004:JJ852005 TF852004:TF852005 ADB852004:ADB852005 AMX852004:AMX852005 AWT852004:AWT852005 BGP852004:BGP852005 BQL852004:BQL852005 CAH852004:CAH852005 CKD852004:CKD852005 CTZ852004:CTZ852005 DDV852004:DDV852005 DNR852004:DNR852005 DXN852004:DXN852005 EHJ852004:EHJ852005 ERF852004:ERF852005 FBB852004:FBB852005 FKX852004:FKX852005 FUT852004:FUT852005 GEP852004:GEP852005 GOL852004:GOL852005 GYH852004:GYH852005 HID852004:HID852005 HRZ852004:HRZ852005 IBV852004:IBV852005 ILR852004:ILR852005 IVN852004:IVN852005 JFJ852004:JFJ852005 JPF852004:JPF852005 JZB852004:JZB852005 KIX852004:KIX852005 KST852004:KST852005 LCP852004:LCP852005 LML852004:LML852005 LWH852004:LWH852005 MGD852004:MGD852005 MPZ852004:MPZ852005 MZV852004:MZV852005 NJR852004:NJR852005 NTN852004:NTN852005 ODJ852004:ODJ852005 ONF852004:ONF852005 OXB852004:OXB852005 PGX852004:PGX852005 PQT852004:PQT852005 QAP852004:QAP852005 QKL852004:QKL852005 QUH852004:QUH852005 RED852004:RED852005 RNZ852004:RNZ852005 RXV852004:RXV852005 SHR852004:SHR852005 SRN852004:SRN852005 TBJ852004:TBJ852005 TLF852004:TLF852005 TVB852004:TVB852005 UEX852004:UEX852005 UOT852004:UOT852005 UYP852004:UYP852005 VIL852004:VIL852005 VSH852004:VSH852005 WCD852004:WCD852005 WLZ852004:WLZ852005 WVV852004:WVV852005 E917540:E917541 JJ917540:JJ917541 TF917540:TF917541 ADB917540:ADB917541 AMX917540:AMX917541 AWT917540:AWT917541 BGP917540:BGP917541 BQL917540:BQL917541 CAH917540:CAH917541 CKD917540:CKD917541 CTZ917540:CTZ917541 DDV917540:DDV917541 DNR917540:DNR917541 DXN917540:DXN917541 EHJ917540:EHJ917541 ERF917540:ERF917541 FBB917540:FBB917541 FKX917540:FKX917541 FUT917540:FUT917541 GEP917540:GEP917541 GOL917540:GOL917541 GYH917540:GYH917541 HID917540:HID917541 HRZ917540:HRZ917541 IBV917540:IBV917541 ILR917540:ILR917541 IVN917540:IVN917541 JFJ917540:JFJ917541 JPF917540:JPF917541 JZB917540:JZB917541 KIX917540:KIX917541 KST917540:KST917541 LCP917540:LCP917541 LML917540:LML917541 LWH917540:LWH917541 MGD917540:MGD917541 MPZ917540:MPZ917541 MZV917540:MZV917541 NJR917540:NJR917541 NTN917540:NTN917541 ODJ917540:ODJ917541 ONF917540:ONF917541 OXB917540:OXB917541 PGX917540:PGX917541 PQT917540:PQT917541 QAP917540:QAP917541 QKL917540:QKL917541 QUH917540:QUH917541 RED917540:RED917541 RNZ917540:RNZ917541 RXV917540:RXV917541 SHR917540:SHR917541 SRN917540:SRN917541 TBJ917540:TBJ917541 TLF917540:TLF917541 TVB917540:TVB917541 UEX917540:UEX917541 UOT917540:UOT917541 UYP917540:UYP917541 VIL917540:VIL917541 VSH917540:VSH917541 WCD917540:WCD917541 WLZ917540:WLZ917541 WVV917540:WVV917541 E983076:E983077 JJ983076:JJ983077 TF983076:TF983077 ADB983076:ADB983077 AMX983076:AMX983077 AWT983076:AWT983077 BGP983076:BGP983077 BQL983076:BQL983077 CAH983076:CAH983077 CKD983076:CKD983077 CTZ983076:CTZ983077 DDV983076:DDV983077 DNR983076:DNR983077 DXN983076:DXN983077 EHJ983076:EHJ983077 ERF983076:ERF983077 FBB983076:FBB983077 FKX983076:FKX983077 FUT983076:FUT983077 GEP983076:GEP983077 GOL983076:GOL983077 GYH983076:GYH983077 HID983076:HID983077 HRZ983076:HRZ983077 IBV983076:IBV983077 ILR983076:ILR983077 IVN983076:IVN983077 JFJ983076:JFJ983077 JPF983076:JPF983077 JZB983076:JZB983077 KIX983076:KIX983077 KST983076:KST983077 LCP983076:LCP983077 LML983076:LML983077 LWH983076:LWH983077 MGD983076:MGD983077 MPZ983076:MPZ983077 MZV983076:MZV983077 NJR983076:NJR983077 NTN983076:NTN983077 ODJ983076:ODJ983077 ONF983076:ONF983077 OXB983076:OXB983077 PGX983076:PGX983077 PQT983076:PQT983077 QAP983076:QAP983077 QKL983076:QKL983077 QUH983076:QUH983077 RED983076:RED983077 RNZ983076:RNZ983077 RXV983076:RXV983077 SHR983076:SHR983077 SRN983076:SRN983077 TBJ983076:TBJ983077 TLF983076:TLF983077 TVB983076:TVB983077 UEX983076:UEX983077 UOT983076:UOT983077 UYP983076:UYP983077 VIL983076:VIL983077 VSH983076:VSH983077 WCD983076:WCD983077 WLZ983076:WLZ983077 E15:E16 WVV15:WVV16 WLZ15:WLZ16 WCD15:WCD16 VSH15:VSH16 VIL15:VIL16 UYP15:UYP16 UOT15:UOT16 UEX15:UEX16 TVB15:TVB16 TLF15:TLF16 TBJ15:TBJ16 SRN15:SRN16 SHR15:SHR16 RXV15:RXV16 RNZ15:RNZ16 RED15:RED16 QUH15:QUH16 QKL15:QKL16 QAP15:QAP16 PQT15:PQT16 PGX15:PGX16 OXB15:OXB16 ONF15:ONF16 ODJ15:ODJ16 NTN15:NTN16 NJR15:NJR16 MZV15:MZV16 MPZ15:MPZ16 MGD15:MGD16 LWH15:LWH16 LML15:LML16 LCP15:LCP16 KST15:KST16 KIX15:KIX16 JZB15:JZB16 JPF15:JPF16 JFJ15:JFJ16 IVN15:IVN16 ILR15:ILR16 IBV15:IBV16 HRZ15:HRZ16 HID15:HID16 GYH15:GYH16 GOL15:GOL16 GEP15:GEP16 FUT15:FUT16 FKX15:FKX16 FBB15:FBB16 ERF15:ERF16 EHJ15:EHJ16 DXN15:DXN16 DNR15:DNR16 DDV15:DDV16 CTZ15:CTZ16 CKD15:CKD16 CAH15:CAH16 BQL15:BQL16 BGP15:BGP16 AWT15:AWT16 AMX15:AMX16 ADB15:ADB16 TF15:TF16 JJ15:JJ16"/>
    <dataValidation allowBlank="1" showInputMessage="1" showErrorMessage="1" prompt="Diligencie si es mensual, bimestral, trimestral o semestral." sqref="G65568:I65568 JL65568:JN65568 TH65568:TJ65568 ADD65568:ADF65568 AMZ65568:ANB65568 AWV65568:AWX65568 BGR65568:BGT65568 BQN65568:BQP65568 CAJ65568:CAL65568 CKF65568:CKH65568 CUB65568:CUD65568 DDX65568:DDZ65568 DNT65568:DNV65568 DXP65568:DXR65568 EHL65568:EHN65568 ERH65568:ERJ65568 FBD65568:FBF65568 FKZ65568:FLB65568 FUV65568:FUX65568 GER65568:GET65568 GON65568:GOP65568 GYJ65568:GYL65568 HIF65568:HIH65568 HSB65568:HSD65568 IBX65568:IBZ65568 ILT65568:ILV65568 IVP65568:IVR65568 JFL65568:JFN65568 JPH65568:JPJ65568 JZD65568:JZF65568 KIZ65568:KJB65568 KSV65568:KSX65568 LCR65568:LCT65568 LMN65568:LMP65568 LWJ65568:LWL65568 MGF65568:MGH65568 MQB65568:MQD65568 MZX65568:MZZ65568 NJT65568:NJV65568 NTP65568:NTR65568 ODL65568:ODN65568 ONH65568:ONJ65568 OXD65568:OXF65568 PGZ65568:PHB65568 PQV65568:PQX65568 QAR65568:QAT65568 QKN65568:QKP65568 QUJ65568:QUL65568 REF65568:REH65568 ROB65568:ROD65568 RXX65568:RXZ65568 SHT65568:SHV65568 SRP65568:SRR65568 TBL65568:TBN65568 TLH65568:TLJ65568 TVD65568:TVF65568 UEZ65568:UFB65568 UOV65568:UOX65568 UYR65568:UYT65568 VIN65568:VIP65568 VSJ65568:VSL65568 WCF65568:WCH65568 WMB65568:WMD65568 WVX65568:WVZ65568 G131104:I131104 JL131104:JN131104 TH131104:TJ131104 ADD131104:ADF131104 AMZ131104:ANB131104 AWV131104:AWX131104 BGR131104:BGT131104 BQN131104:BQP131104 CAJ131104:CAL131104 CKF131104:CKH131104 CUB131104:CUD131104 DDX131104:DDZ131104 DNT131104:DNV131104 DXP131104:DXR131104 EHL131104:EHN131104 ERH131104:ERJ131104 FBD131104:FBF131104 FKZ131104:FLB131104 FUV131104:FUX131104 GER131104:GET131104 GON131104:GOP131104 GYJ131104:GYL131104 HIF131104:HIH131104 HSB131104:HSD131104 IBX131104:IBZ131104 ILT131104:ILV131104 IVP131104:IVR131104 JFL131104:JFN131104 JPH131104:JPJ131104 JZD131104:JZF131104 KIZ131104:KJB131104 KSV131104:KSX131104 LCR131104:LCT131104 LMN131104:LMP131104 LWJ131104:LWL131104 MGF131104:MGH131104 MQB131104:MQD131104 MZX131104:MZZ131104 NJT131104:NJV131104 NTP131104:NTR131104 ODL131104:ODN131104 ONH131104:ONJ131104 OXD131104:OXF131104 PGZ131104:PHB131104 PQV131104:PQX131104 QAR131104:QAT131104 QKN131104:QKP131104 QUJ131104:QUL131104 REF131104:REH131104 ROB131104:ROD131104 RXX131104:RXZ131104 SHT131104:SHV131104 SRP131104:SRR131104 TBL131104:TBN131104 TLH131104:TLJ131104 TVD131104:TVF131104 UEZ131104:UFB131104 UOV131104:UOX131104 UYR131104:UYT131104 VIN131104:VIP131104 VSJ131104:VSL131104 WCF131104:WCH131104 WMB131104:WMD131104 WVX131104:WVZ131104 G196640:I196640 JL196640:JN196640 TH196640:TJ196640 ADD196640:ADF196640 AMZ196640:ANB196640 AWV196640:AWX196640 BGR196640:BGT196640 BQN196640:BQP196640 CAJ196640:CAL196640 CKF196640:CKH196640 CUB196640:CUD196640 DDX196640:DDZ196640 DNT196640:DNV196640 DXP196640:DXR196640 EHL196640:EHN196640 ERH196640:ERJ196640 FBD196640:FBF196640 FKZ196640:FLB196640 FUV196640:FUX196640 GER196640:GET196640 GON196640:GOP196640 GYJ196640:GYL196640 HIF196640:HIH196640 HSB196640:HSD196640 IBX196640:IBZ196640 ILT196640:ILV196640 IVP196640:IVR196640 JFL196640:JFN196640 JPH196640:JPJ196640 JZD196640:JZF196640 KIZ196640:KJB196640 KSV196640:KSX196640 LCR196640:LCT196640 LMN196640:LMP196640 LWJ196640:LWL196640 MGF196640:MGH196640 MQB196640:MQD196640 MZX196640:MZZ196640 NJT196640:NJV196640 NTP196640:NTR196640 ODL196640:ODN196640 ONH196640:ONJ196640 OXD196640:OXF196640 PGZ196640:PHB196640 PQV196640:PQX196640 QAR196640:QAT196640 QKN196640:QKP196640 QUJ196640:QUL196640 REF196640:REH196640 ROB196640:ROD196640 RXX196640:RXZ196640 SHT196640:SHV196640 SRP196640:SRR196640 TBL196640:TBN196640 TLH196640:TLJ196640 TVD196640:TVF196640 UEZ196640:UFB196640 UOV196640:UOX196640 UYR196640:UYT196640 VIN196640:VIP196640 VSJ196640:VSL196640 WCF196640:WCH196640 WMB196640:WMD196640 WVX196640:WVZ196640 G262176:I262176 JL262176:JN262176 TH262176:TJ262176 ADD262176:ADF262176 AMZ262176:ANB262176 AWV262176:AWX262176 BGR262176:BGT262176 BQN262176:BQP262176 CAJ262176:CAL262176 CKF262176:CKH262176 CUB262176:CUD262176 DDX262176:DDZ262176 DNT262176:DNV262176 DXP262176:DXR262176 EHL262176:EHN262176 ERH262176:ERJ262176 FBD262176:FBF262176 FKZ262176:FLB262176 FUV262176:FUX262176 GER262176:GET262176 GON262176:GOP262176 GYJ262176:GYL262176 HIF262176:HIH262176 HSB262176:HSD262176 IBX262176:IBZ262176 ILT262176:ILV262176 IVP262176:IVR262176 JFL262176:JFN262176 JPH262176:JPJ262176 JZD262176:JZF262176 KIZ262176:KJB262176 KSV262176:KSX262176 LCR262176:LCT262176 LMN262176:LMP262176 LWJ262176:LWL262176 MGF262176:MGH262176 MQB262176:MQD262176 MZX262176:MZZ262176 NJT262176:NJV262176 NTP262176:NTR262176 ODL262176:ODN262176 ONH262176:ONJ262176 OXD262176:OXF262176 PGZ262176:PHB262176 PQV262176:PQX262176 QAR262176:QAT262176 QKN262176:QKP262176 QUJ262176:QUL262176 REF262176:REH262176 ROB262176:ROD262176 RXX262176:RXZ262176 SHT262176:SHV262176 SRP262176:SRR262176 TBL262176:TBN262176 TLH262176:TLJ262176 TVD262176:TVF262176 UEZ262176:UFB262176 UOV262176:UOX262176 UYR262176:UYT262176 VIN262176:VIP262176 VSJ262176:VSL262176 WCF262176:WCH262176 WMB262176:WMD262176 WVX262176:WVZ262176 G327712:I327712 JL327712:JN327712 TH327712:TJ327712 ADD327712:ADF327712 AMZ327712:ANB327712 AWV327712:AWX327712 BGR327712:BGT327712 BQN327712:BQP327712 CAJ327712:CAL327712 CKF327712:CKH327712 CUB327712:CUD327712 DDX327712:DDZ327712 DNT327712:DNV327712 DXP327712:DXR327712 EHL327712:EHN327712 ERH327712:ERJ327712 FBD327712:FBF327712 FKZ327712:FLB327712 FUV327712:FUX327712 GER327712:GET327712 GON327712:GOP327712 GYJ327712:GYL327712 HIF327712:HIH327712 HSB327712:HSD327712 IBX327712:IBZ327712 ILT327712:ILV327712 IVP327712:IVR327712 JFL327712:JFN327712 JPH327712:JPJ327712 JZD327712:JZF327712 KIZ327712:KJB327712 KSV327712:KSX327712 LCR327712:LCT327712 LMN327712:LMP327712 LWJ327712:LWL327712 MGF327712:MGH327712 MQB327712:MQD327712 MZX327712:MZZ327712 NJT327712:NJV327712 NTP327712:NTR327712 ODL327712:ODN327712 ONH327712:ONJ327712 OXD327712:OXF327712 PGZ327712:PHB327712 PQV327712:PQX327712 QAR327712:QAT327712 QKN327712:QKP327712 QUJ327712:QUL327712 REF327712:REH327712 ROB327712:ROD327712 RXX327712:RXZ327712 SHT327712:SHV327712 SRP327712:SRR327712 TBL327712:TBN327712 TLH327712:TLJ327712 TVD327712:TVF327712 UEZ327712:UFB327712 UOV327712:UOX327712 UYR327712:UYT327712 VIN327712:VIP327712 VSJ327712:VSL327712 WCF327712:WCH327712 WMB327712:WMD327712 WVX327712:WVZ327712 G393248:I393248 JL393248:JN393248 TH393248:TJ393248 ADD393248:ADF393248 AMZ393248:ANB393248 AWV393248:AWX393248 BGR393248:BGT393248 BQN393248:BQP393248 CAJ393248:CAL393248 CKF393248:CKH393248 CUB393248:CUD393248 DDX393248:DDZ393248 DNT393248:DNV393248 DXP393248:DXR393248 EHL393248:EHN393248 ERH393248:ERJ393248 FBD393248:FBF393248 FKZ393248:FLB393248 FUV393248:FUX393248 GER393248:GET393248 GON393248:GOP393248 GYJ393248:GYL393248 HIF393248:HIH393248 HSB393248:HSD393248 IBX393248:IBZ393248 ILT393248:ILV393248 IVP393248:IVR393248 JFL393248:JFN393248 JPH393248:JPJ393248 JZD393248:JZF393248 KIZ393248:KJB393248 KSV393248:KSX393248 LCR393248:LCT393248 LMN393248:LMP393248 LWJ393248:LWL393248 MGF393248:MGH393248 MQB393248:MQD393248 MZX393248:MZZ393248 NJT393248:NJV393248 NTP393248:NTR393248 ODL393248:ODN393248 ONH393248:ONJ393248 OXD393248:OXF393248 PGZ393248:PHB393248 PQV393248:PQX393248 QAR393248:QAT393248 QKN393248:QKP393248 QUJ393248:QUL393248 REF393248:REH393248 ROB393248:ROD393248 RXX393248:RXZ393248 SHT393248:SHV393248 SRP393248:SRR393248 TBL393248:TBN393248 TLH393248:TLJ393248 TVD393248:TVF393248 UEZ393248:UFB393248 UOV393248:UOX393248 UYR393248:UYT393248 VIN393248:VIP393248 VSJ393248:VSL393248 WCF393248:WCH393248 WMB393248:WMD393248 WVX393248:WVZ393248 G458784:I458784 JL458784:JN458784 TH458784:TJ458784 ADD458784:ADF458784 AMZ458784:ANB458784 AWV458784:AWX458784 BGR458784:BGT458784 BQN458784:BQP458784 CAJ458784:CAL458784 CKF458784:CKH458784 CUB458784:CUD458784 DDX458784:DDZ458784 DNT458784:DNV458784 DXP458784:DXR458784 EHL458784:EHN458784 ERH458784:ERJ458784 FBD458784:FBF458784 FKZ458784:FLB458784 FUV458784:FUX458784 GER458784:GET458784 GON458784:GOP458784 GYJ458784:GYL458784 HIF458784:HIH458784 HSB458784:HSD458784 IBX458784:IBZ458784 ILT458784:ILV458784 IVP458784:IVR458784 JFL458784:JFN458784 JPH458784:JPJ458784 JZD458784:JZF458784 KIZ458784:KJB458784 KSV458784:KSX458784 LCR458784:LCT458784 LMN458784:LMP458784 LWJ458784:LWL458784 MGF458784:MGH458784 MQB458784:MQD458784 MZX458784:MZZ458784 NJT458784:NJV458784 NTP458784:NTR458784 ODL458784:ODN458784 ONH458784:ONJ458784 OXD458784:OXF458784 PGZ458784:PHB458784 PQV458784:PQX458784 QAR458784:QAT458784 QKN458784:QKP458784 QUJ458784:QUL458784 REF458784:REH458784 ROB458784:ROD458784 RXX458784:RXZ458784 SHT458784:SHV458784 SRP458784:SRR458784 TBL458784:TBN458784 TLH458784:TLJ458784 TVD458784:TVF458784 UEZ458784:UFB458784 UOV458784:UOX458784 UYR458784:UYT458784 VIN458784:VIP458784 VSJ458784:VSL458784 WCF458784:WCH458784 WMB458784:WMD458784 WVX458784:WVZ458784 G524320:I524320 JL524320:JN524320 TH524320:TJ524320 ADD524320:ADF524320 AMZ524320:ANB524320 AWV524320:AWX524320 BGR524320:BGT524320 BQN524320:BQP524320 CAJ524320:CAL524320 CKF524320:CKH524320 CUB524320:CUD524320 DDX524320:DDZ524320 DNT524320:DNV524320 DXP524320:DXR524320 EHL524320:EHN524320 ERH524320:ERJ524320 FBD524320:FBF524320 FKZ524320:FLB524320 FUV524320:FUX524320 GER524320:GET524320 GON524320:GOP524320 GYJ524320:GYL524320 HIF524320:HIH524320 HSB524320:HSD524320 IBX524320:IBZ524320 ILT524320:ILV524320 IVP524320:IVR524320 JFL524320:JFN524320 JPH524320:JPJ524320 JZD524320:JZF524320 KIZ524320:KJB524320 KSV524320:KSX524320 LCR524320:LCT524320 LMN524320:LMP524320 LWJ524320:LWL524320 MGF524320:MGH524320 MQB524320:MQD524320 MZX524320:MZZ524320 NJT524320:NJV524320 NTP524320:NTR524320 ODL524320:ODN524320 ONH524320:ONJ524320 OXD524320:OXF524320 PGZ524320:PHB524320 PQV524320:PQX524320 QAR524320:QAT524320 QKN524320:QKP524320 QUJ524320:QUL524320 REF524320:REH524320 ROB524320:ROD524320 RXX524320:RXZ524320 SHT524320:SHV524320 SRP524320:SRR524320 TBL524320:TBN524320 TLH524320:TLJ524320 TVD524320:TVF524320 UEZ524320:UFB524320 UOV524320:UOX524320 UYR524320:UYT524320 VIN524320:VIP524320 VSJ524320:VSL524320 WCF524320:WCH524320 WMB524320:WMD524320 WVX524320:WVZ524320 G589856:I589856 JL589856:JN589856 TH589856:TJ589856 ADD589856:ADF589856 AMZ589856:ANB589856 AWV589856:AWX589856 BGR589856:BGT589856 BQN589856:BQP589856 CAJ589856:CAL589856 CKF589856:CKH589856 CUB589856:CUD589856 DDX589856:DDZ589856 DNT589856:DNV589856 DXP589856:DXR589856 EHL589856:EHN589856 ERH589856:ERJ589856 FBD589856:FBF589856 FKZ589856:FLB589856 FUV589856:FUX589856 GER589856:GET589856 GON589856:GOP589856 GYJ589856:GYL589856 HIF589856:HIH589856 HSB589856:HSD589856 IBX589856:IBZ589856 ILT589856:ILV589856 IVP589856:IVR589856 JFL589856:JFN589856 JPH589856:JPJ589856 JZD589856:JZF589856 KIZ589856:KJB589856 KSV589856:KSX589856 LCR589856:LCT589856 LMN589856:LMP589856 LWJ589856:LWL589856 MGF589856:MGH589856 MQB589856:MQD589856 MZX589856:MZZ589856 NJT589856:NJV589856 NTP589856:NTR589856 ODL589856:ODN589856 ONH589856:ONJ589856 OXD589856:OXF589856 PGZ589856:PHB589856 PQV589856:PQX589856 QAR589856:QAT589856 QKN589856:QKP589856 QUJ589856:QUL589856 REF589856:REH589856 ROB589856:ROD589856 RXX589856:RXZ589856 SHT589856:SHV589856 SRP589856:SRR589856 TBL589856:TBN589856 TLH589856:TLJ589856 TVD589856:TVF589856 UEZ589856:UFB589856 UOV589856:UOX589856 UYR589856:UYT589856 VIN589856:VIP589856 VSJ589856:VSL589856 WCF589856:WCH589856 WMB589856:WMD589856 WVX589856:WVZ589856 G655392:I655392 JL655392:JN655392 TH655392:TJ655392 ADD655392:ADF655392 AMZ655392:ANB655392 AWV655392:AWX655392 BGR655392:BGT655392 BQN655392:BQP655392 CAJ655392:CAL655392 CKF655392:CKH655392 CUB655392:CUD655392 DDX655392:DDZ655392 DNT655392:DNV655392 DXP655392:DXR655392 EHL655392:EHN655392 ERH655392:ERJ655392 FBD655392:FBF655392 FKZ655392:FLB655392 FUV655392:FUX655392 GER655392:GET655392 GON655392:GOP655392 GYJ655392:GYL655392 HIF655392:HIH655392 HSB655392:HSD655392 IBX655392:IBZ655392 ILT655392:ILV655392 IVP655392:IVR655392 JFL655392:JFN655392 JPH655392:JPJ655392 JZD655392:JZF655392 KIZ655392:KJB655392 KSV655392:KSX655392 LCR655392:LCT655392 LMN655392:LMP655392 LWJ655392:LWL655392 MGF655392:MGH655392 MQB655392:MQD655392 MZX655392:MZZ655392 NJT655392:NJV655392 NTP655392:NTR655392 ODL655392:ODN655392 ONH655392:ONJ655392 OXD655392:OXF655392 PGZ655392:PHB655392 PQV655392:PQX655392 QAR655392:QAT655392 QKN655392:QKP655392 QUJ655392:QUL655392 REF655392:REH655392 ROB655392:ROD655392 RXX655392:RXZ655392 SHT655392:SHV655392 SRP655392:SRR655392 TBL655392:TBN655392 TLH655392:TLJ655392 TVD655392:TVF655392 UEZ655392:UFB655392 UOV655392:UOX655392 UYR655392:UYT655392 VIN655392:VIP655392 VSJ655392:VSL655392 WCF655392:WCH655392 WMB655392:WMD655392 WVX655392:WVZ655392 G720928:I720928 JL720928:JN720928 TH720928:TJ720928 ADD720928:ADF720928 AMZ720928:ANB720928 AWV720928:AWX720928 BGR720928:BGT720928 BQN720928:BQP720928 CAJ720928:CAL720928 CKF720928:CKH720928 CUB720928:CUD720928 DDX720928:DDZ720928 DNT720928:DNV720928 DXP720928:DXR720928 EHL720928:EHN720928 ERH720928:ERJ720928 FBD720928:FBF720928 FKZ720928:FLB720928 FUV720928:FUX720928 GER720928:GET720928 GON720928:GOP720928 GYJ720928:GYL720928 HIF720928:HIH720928 HSB720928:HSD720928 IBX720928:IBZ720928 ILT720928:ILV720928 IVP720928:IVR720928 JFL720928:JFN720928 JPH720928:JPJ720928 JZD720928:JZF720928 KIZ720928:KJB720928 KSV720928:KSX720928 LCR720928:LCT720928 LMN720928:LMP720928 LWJ720928:LWL720928 MGF720928:MGH720928 MQB720928:MQD720928 MZX720928:MZZ720928 NJT720928:NJV720928 NTP720928:NTR720928 ODL720928:ODN720928 ONH720928:ONJ720928 OXD720928:OXF720928 PGZ720928:PHB720928 PQV720928:PQX720928 QAR720928:QAT720928 QKN720928:QKP720928 QUJ720928:QUL720928 REF720928:REH720928 ROB720928:ROD720928 RXX720928:RXZ720928 SHT720928:SHV720928 SRP720928:SRR720928 TBL720928:TBN720928 TLH720928:TLJ720928 TVD720928:TVF720928 UEZ720928:UFB720928 UOV720928:UOX720928 UYR720928:UYT720928 VIN720928:VIP720928 VSJ720928:VSL720928 WCF720928:WCH720928 WMB720928:WMD720928 WVX720928:WVZ720928 G786464:I786464 JL786464:JN786464 TH786464:TJ786464 ADD786464:ADF786464 AMZ786464:ANB786464 AWV786464:AWX786464 BGR786464:BGT786464 BQN786464:BQP786464 CAJ786464:CAL786464 CKF786464:CKH786464 CUB786464:CUD786464 DDX786464:DDZ786464 DNT786464:DNV786464 DXP786464:DXR786464 EHL786464:EHN786464 ERH786464:ERJ786464 FBD786464:FBF786464 FKZ786464:FLB786464 FUV786464:FUX786464 GER786464:GET786464 GON786464:GOP786464 GYJ786464:GYL786464 HIF786464:HIH786464 HSB786464:HSD786464 IBX786464:IBZ786464 ILT786464:ILV786464 IVP786464:IVR786464 JFL786464:JFN786464 JPH786464:JPJ786464 JZD786464:JZF786464 KIZ786464:KJB786464 KSV786464:KSX786464 LCR786464:LCT786464 LMN786464:LMP786464 LWJ786464:LWL786464 MGF786464:MGH786464 MQB786464:MQD786464 MZX786464:MZZ786464 NJT786464:NJV786464 NTP786464:NTR786464 ODL786464:ODN786464 ONH786464:ONJ786464 OXD786464:OXF786464 PGZ786464:PHB786464 PQV786464:PQX786464 QAR786464:QAT786464 QKN786464:QKP786464 QUJ786464:QUL786464 REF786464:REH786464 ROB786464:ROD786464 RXX786464:RXZ786464 SHT786464:SHV786464 SRP786464:SRR786464 TBL786464:TBN786464 TLH786464:TLJ786464 TVD786464:TVF786464 UEZ786464:UFB786464 UOV786464:UOX786464 UYR786464:UYT786464 VIN786464:VIP786464 VSJ786464:VSL786464 WCF786464:WCH786464 WMB786464:WMD786464 WVX786464:WVZ786464 G852000:I852000 JL852000:JN852000 TH852000:TJ852000 ADD852000:ADF852000 AMZ852000:ANB852000 AWV852000:AWX852000 BGR852000:BGT852000 BQN852000:BQP852000 CAJ852000:CAL852000 CKF852000:CKH852000 CUB852000:CUD852000 DDX852000:DDZ852000 DNT852000:DNV852000 DXP852000:DXR852000 EHL852000:EHN852000 ERH852000:ERJ852000 FBD852000:FBF852000 FKZ852000:FLB852000 FUV852000:FUX852000 GER852000:GET852000 GON852000:GOP852000 GYJ852000:GYL852000 HIF852000:HIH852000 HSB852000:HSD852000 IBX852000:IBZ852000 ILT852000:ILV852000 IVP852000:IVR852000 JFL852000:JFN852000 JPH852000:JPJ852000 JZD852000:JZF852000 KIZ852000:KJB852000 KSV852000:KSX852000 LCR852000:LCT852000 LMN852000:LMP852000 LWJ852000:LWL852000 MGF852000:MGH852000 MQB852000:MQD852000 MZX852000:MZZ852000 NJT852000:NJV852000 NTP852000:NTR852000 ODL852000:ODN852000 ONH852000:ONJ852000 OXD852000:OXF852000 PGZ852000:PHB852000 PQV852000:PQX852000 QAR852000:QAT852000 QKN852000:QKP852000 QUJ852000:QUL852000 REF852000:REH852000 ROB852000:ROD852000 RXX852000:RXZ852000 SHT852000:SHV852000 SRP852000:SRR852000 TBL852000:TBN852000 TLH852000:TLJ852000 TVD852000:TVF852000 UEZ852000:UFB852000 UOV852000:UOX852000 UYR852000:UYT852000 VIN852000:VIP852000 VSJ852000:VSL852000 WCF852000:WCH852000 WMB852000:WMD852000 WVX852000:WVZ852000 G917536:I917536 JL917536:JN917536 TH917536:TJ917536 ADD917536:ADF917536 AMZ917536:ANB917536 AWV917536:AWX917536 BGR917536:BGT917536 BQN917536:BQP917536 CAJ917536:CAL917536 CKF917536:CKH917536 CUB917536:CUD917536 DDX917536:DDZ917536 DNT917536:DNV917536 DXP917536:DXR917536 EHL917536:EHN917536 ERH917536:ERJ917536 FBD917536:FBF917536 FKZ917536:FLB917536 FUV917536:FUX917536 GER917536:GET917536 GON917536:GOP917536 GYJ917536:GYL917536 HIF917536:HIH917536 HSB917536:HSD917536 IBX917536:IBZ917536 ILT917536:ILV917536 IVP917536:IVR917536 JFL917536:JFN917536 JPH917536:JPJ917536 JZD917536:JZF917536 KIZ917536:KJB917536 KSV917536:KSX917536 LCR917536:LCT917536 LMN917536:LMP917536 LWJ917536:LWL917536 MGF917536:MGH917536 MQB917536:MQD917536 MZX917536:MZZ917536 NJT917536:NJV917536 NTP917536:NTR917536 ODL917536:ODN917536 ONH917536:ONJ917536 OXD917536:OXF917536 PGZ917536:PHB917536 PQV917536:PQX917536 QAR917536:QAT917536 QKN917536:QKP917536 QUJ917536:QUL917536 REF917536:REH917536 ROB917536:ROD917536 RXX917536:RXZ917536 SHT917536:SHV917536 SRP917536:SRR917536 TBL917536:TBN917536 TLH917536:TLJ917536 TVD917536:TVF917536 UEZ917536:UFB917536 UOV917536:UOX917536 UYR917536:UYT917536 VIN917536:VIP917536 VSJ917536:VSL917536 WCF917536:WCH917536 WMB917536:WMD917536 WVX917536:WVZ917536 G983072:I983072 JL983072:JN983072 TH983072:TJ983072 ADD983072:ADF983072 AMZ983072:ANB983072 AWV983072:AWX983072 BGR983072:BGT983072 BQN983072:BQP983072 CAJ983072:CAL983072 CKF983072:CKH983072 CUB983072:CUD983072 DDX983072:DDZ983072 DNT983072:DNV983072 DXP983072:DXR983072 EHL983072:EHN983072 ERH983072:ERJ983072 FBD983072:FBF983072 FKZ983072:FLB983072 FUV983072:FUX983072 GER983072:GET983072 GON983072:GOP983072 GYJ983072:GYL983072 HIF983072:HIH983072 HSB983072:HSD983072 IBX983072:IBZ983072 ILT983072:ILV983072 IVP983072:IVR983072 JFL983072:JFN983072 JPH983072:JPJ983072 JZD983072:JZF983072 KIZ983072:KJB983072 KSV983072:KSX983072 LCR983072:LCT983072 LMN983072:LMP983072 LWJ983072:LWL983072 MGF983072:MGH983072 MQB983072:MQD983072 MZX983072:MZZ983072 NJT983072:NJV983072 NTP983072:NTR983072 ODL983072:ODN983072 ONH983072:ONJ983072 OXD983072:OXF983072 PGZ983072:PHB983072 PQV983072:PQX983072 QAR983072:QAT983072 QKN983072:QKP983072 QUJ983072:QUL983072 REF983072:REH983072 ROB983072:ROD983072 RXX983072:RXZ983072 SHT983072:SHV983072 SRP983072:SRR983072 TBL983072:TBN983072 TLH983072:TLJ983072 TVD983072:TVF983072 UEZ983072:UFB983072 UOV983072:UOX983072 UYR983072:UYT983072 VIN983072:VIP983072 VSJ983072:VSL983072 WCF983072:WCH983072 WMB983072:WMD983072 WVX983072:WVZ983072 C10:F10 JI10:JK10 TE10:TG10 ADA10:ADC10 AMW10:AMY10 AWS10:AWU10 BGO10:BGQ10 BQK10:BQM10 CAG10:CAI10 CKC10:CKE10 CTY10:CUA10 DDU10:DDW10 DNQ10:DNS10 DXM10:DXO10 EHI10:EHK10 ERE10:ERG10 FBA10:FBC10 FKW10:FKY10 FUS10:FUU10 GEO10:GEQ10 GOK10:GOM10 GYG10:GYI10 HIC10:HIE10 HRY10:HSA10 IBU10:IBW10 ILQ10:ILS10 IVM10:IVO10 JFI10:JFK10 JPE10:JPG10 JZA10:JZC10 KIW10:KIY10 KSS10:KSU10 LCO10:LCQ10 LMK10:LMM10 LWG10:LWI10 MGC10:MGE10 MPY10:MQA10 MZU10:MZW10 NJQ10:NJS10 NTM10:NTO10 ODI10:ODK10 ONE10:ONG10 OXA10:OXC10 PGW10:PGY10 PQS10:PQU10 QAO10:QAQ10 QKK10:QKM10 QUG10:QUI10 REC10:REE10 RNY10:ROA10 RXU10:RXW10 SHQ10:SHS10 SRM10:SRO10 TBI10:TBK10 TLE10:TLG10 TVA10:TVC10 UEW10:UEY10 UOS10:UOU10 UYO10:UYQ10 VIK10:VIM10 VSG10:VSI10 WCC10:WCE10 WLY10:WMA10 WVU10:WVW10 C65567:F65567 JI65567:JK65567 TE65567:TG65567 ADA65567:ADC65567 AMW65567:AMY65567 AWS65567:AWU65567 BGO65567:BGQ65567 BQK65567:BQM65567 CAG65567:CAI65567 CKC65567:CKE65567 CTY65567:CUA65567 DDU65567:DDW65567 DNQ65567:DNS65567 DXM65567:DXO65567 EHI65567:EHK65567 ERE65567:ERG65567 FBA65567:FBC65567 FKW65567:FKY65567 FUS65567:FUU65567 GEO65567:GEQ65567 GOK65567:GOM65567 GYG65567:GYI65567 HIC65567:HIE65567 HRY65567:HSA65567 IBU65567:IBW65567 ILQ65567:ILS65567 IVM65567:IVO65567 JFI65567:JFK65567 JPE65567:JPG65567 JZA65567:JZC65567 KIW65567:KIY65567 KSS65567:KSU65567 LCO65567:LCQ65567 LMK65567:LMM65567 LWG65567:LWI65567 MGC65567:MGE65567 MPY65567:MQA65567 MZU65567:MZW65567 NJQ65567:NJS65567 NTM65567:NTO65567 ODI65567:ODK65567 ONE65567:ONG65567 OXA65567:OXC65567 PGW65567:PGY65567 PQS65567:PQU65567 QAO65567:QAQ65567 QKK65567:QKM65567 QUG65567:QUI65567 REC65567:REE65567 RNY65567:ROA65567 RXU65567:RXW65567 SHQ65567:SHS65567 SRM65567:SRO65567 TBI65567:TBK65567 TLE65567:TLG65567 TVA65567:TVC65567 UEW65567:UEY65567 UOS65567:UOU65567 UYO65567:UYQ65567 VIK65567:VIM65567 VSG65567:VSI65567 WCC65567:WCE65567 WLY65567:WMA65567 WVU65567:WVW65567 C131103:F131103 JI131103:JK131103 TE131103:TG131103 ADA131103:ADC131103 AMW131103:AMY131103 AWS131103:AWU131103 BGO131103:BGQ131103 BQK131103:BQM131103 CAG131103:CAI131103 CKC131103:CKE131103 CTY131103:CUA131103 DDU131103:DDW131103 DNQ131103:DNS131103 DXM131103:DXO131103 EHI131103:EHK131103 ERE131103:ERG131103 FBA131103:FBC131103 FKW131103:FKY131103 FUS131103:FUU131103 GEO131103:GEQ131103 GOK131103:GOM131103 GYG131103:GYI131103 HIC131103:HIE131103 HRY131103:HSA131103 IBU131103:IBW131103 ILQ131103:ILS131103 IVM131103:IVO131103 JFI131103:JFK131103 JPE131103:JPG131103 JZA131103:JZC131103 KIW131103:KIY131103 KSS131103:KSU131103 LCO131103:LCQ131103 LMK131103:LMM131103 LWG131103:LWI131103 MGC131103:MGE131103 MPY131103:MQA131103 MZU131103:MZW131103 NJQ131103:NJS131103 NTM131103:NTO131103 ODI131103:ODK131103 ONE131103:ONG131103 OXA131103:OXC131103 PGW131103:PGY131103 PQS131103:PQU131103 QAO131103:QAQ131103 QKK131103:QKM131103 QUG131103:QUI131103 REC131103:REE131103 RNY131103:ROA131103 RXU131103:RXW131103 SHQ131103:SHS131103 SRM131103:SRO131103 TBI131103:TBK131103 TLE131103:TLG131103 TVA131103:TVC131103 UEW131103:UEY131103 UOS131103:UOU131103 UYO131103:UYQ131103 VIK131103:VIM131103 VSG131103:VSI131103 WCC131103:WCE131103 WLY131103:WMA131103 WVU131103:WVW131103 C196639:F196639 JI196639:JK196639 TE196639:TG196639 ADA196639:ADC196639 AMW196639:AMY196639 AWS196639:AWU196639 BGO196639:BGQ196639 BQK196639:BQM196639 CAG196639:CAI196639 CKC196639:CKE196639 CTY196639:CUA196639 DDU196639:DDW196639 DNQ196639:DNS196639 DXM196639:DXO196639 EHI196639:EHK196639 ERE196639:ERG196639 FBA196639:FBC196639 FKW196639:FKY196639 FUS196639:FUU196639 GEO196639:GEQ196639 GOK196639:GOM196639 GYG196639:GYI196639 HIC196639:HIE196639 HRY196639:HSA196639 IBU196639:IBW196639 ILQ196639:ILS196639 IVM196639:IVO196639 JFI196639:JFK196639 JPE196639:JPG196639 JZA196639:JZC196639 KIW196639:KIY196639 KSS196639:KSU196639 LCO196639:LCQ196639 LMK196639:LMM196639 LWG196639:LWI196639 MGC196639:MGE196639 MPY196639:MQA196639 MZU196639:MZW196639 NJQ196639:NJS196639 NTM196639:NTO196639 ODI196639:ODK196639 ONE196639:ONG196639 OXA196639:OXC196639 PGW196639:PGY196639 PQS196639:PQU196639 QAO196639:QAQ196639 QKK196639:QKM196639 QUG196639:QUI196639 REC196639:REE196639 RNY196639:ROA196639 RXU196639:RXW196639 SHQ196639:SHS196639 SRM196639:SRO196639 TBI196639:TBK196639 TLE196639:TLG196639 TVA196639:TVC196639 UEW196639:UEY196639 UOS196639:UOU196639 UYO196639:UYQ196639 VIK196639:VIM196639 VSG196639:VSI196639 WCC196639:WCE196639 WLY196639:WMA196639 WVU196639:WVW196639 C262175:F262175 JI262175:JK262175 TE262175:TG262175 ADA262175:ADC262175 AMW262175:AMY262175 AWS262175:AWU262175 BGO262175:BGQ262175 BQK262175:BQM262175 CAG262175:CAI262175 CKC262175:CKE262175 CTY262175:CUA262175 DDU262175:DDW262175 DNQ262175:DNS262175 DXM262175:DXO262175 EHI262175:EHK262175 ERE262175:ERG262175 FBA262175:FBC262175 FKW262175:FKY262175 FUS262175:FUU262175 GEO262175:GEQ262175 GOK262175:GOM262175 GYG262175:GYI262175 HIC262175:HIE262175 HRY262175:HSA262175 IBU262175:IBW262175 ILQ262175:ILS262175 IVM262175:IVO262175 JFI262175:JFK262175 JPE262175:JPG262175 JZA262175:JZC262175 KIW262175:KIY262175 KSS262175:KSU262175 LCO262175:LCQ262175 LMK262175:LMM262175 LWG262175:LWI262175 MGC262175:MGE262175 MPY262175:MQA262175 MZU262175:MZW262175 NJQ262175:NJS262175 NTM262175:NTO262175 ODI262175:ODK262175 ONE262175:ONG262175 OXA262175:OXC262175 PGW262175:PGY262175 PQS262175:PQU262175 QAO262175:QAQ262175 QKK262175:QKM262175 QUG262175:QUI262175 REC262175:REE262175 RNY262175:ROA262175 RXU262175:RXW262175 SHQ262175:SHS262175 SRM262175:SRO262175 TBI262175:TBK262175 TLE262175:TLG262175 TVA262175:TVC262175 UEW262175:UEY262175 UOS262175:UOU262175 UYO262175:UYQ262175 VIK262175:VIM262175 VSG262175:VSI262175 WCC262175:WCE262175 WLY262175:WMA262175 WVU262175:WVW262175 C327711:F327711 JI327711:JK327711 TE327711:TG327711 ADA327711:ADC327711 AMW327711:AMY327711 AWS327711:AWU327711 BGO327711:BGQ327711 BQK327711:BQM327711 CAG327711:CAI327711 CKC327711:CKE327711 CTY327711:CUA327711 DDU327711:DDW327711 DNQ327711:DNS327711 DXM327711:DXO327711 EHI327711:EHK327711 ERE327711:ERG327711 FBA327711:FBC327711 FKW327711:FKY327711 FUS327711:FUU327711 GEO327711:GEQ327711 GOK327711:GOM327711 GYG327711:GYI327711 HIC327711:HIE327711 HRY327711:HSA327711 IBU327711:IBW327711 ILQ327711:ILS327711 IVM327711:IVO327711 JFI327711:JFK327711 JPE327711:JPG327711 JZA327711:JZC327711 KIW327711:KIY327711 KSS327711:KSU327711 LCO327711:LCQ327711 LMK327711:LMM327711 LWG327711:LWI327711 MGC327711:MGE327711 MPY327711:MQA327711 MZU327711:MZW327711 NJQ327711:NJS327711 NTM327711:NTO327711 ODI327711:ODK327711 ONE327711:ONG327711 OXA327711:OXC327711 PGW327711:PGY327711 PQS327711:PQU327711 QAO327711:QAQ327711 QKK327711:QKM327711 QUG327711:QUI327711 REC327711:REE327711 RNY327711:ROA327711 RXU327711:RXW327711 SHQ327711:SHS327711 SRM327711:SRO327711 TBI327711:TBK327711 TLE327711:TLG327711 TVA327711:TVC327711 UEW327711:UEY327711 UOS327711:UOU327711 UYO327711:UYQ327711 VIK327711:VIM327711 VSG327711:VSI327711 WCC327711:WCE327711 WLY327711:WMA327711 WVU327711:WVW327711 C393247:F393247 JI393247:JK393247 TE393247:TG393247 ADA393247:ADC393247 AMW393247:AMY393247 AWS393247:AWU393247 BGO393247:BGQ393247 BQK393247:BQM393247 CAG393247:CAI393247 CKC393247:CKE393247 CTY393247:CUA393247 DDU393247:DDW393247 DNQ393247:DNS393247 DXM393247:DXO393247 EHI393247:EHK393247 ERE393247:ERG393247 FBA393247:FBC393247 FKW393247:FKY393247 FUS393247:FUU393247 GEO393247:GEQ393247 GOK393247:GOM393247 GYG393247:GYI393247 HIC393247:HIE393247 HRY393247:HSA393247 IBU393247:IBW393247 ILQ393247:ILS393247 IVM393247:IVO393247 JFI393247:JFK393247 JPE393247:JPG393247 JZA393247:JZC393247 KIW393247:KIY393247 KSS393247:KSU393247 LCO393247:LCQ393247 LMK393247:LMM393247 LWG393247:LWI393247 MGC393247:MGE393247 MPY393247:MQA393247 MZU393247:MZW393247 NJQ393247:NJS393247 NTM393247:NTO393247 ODI393247:ODK393247 ONE393247:ONG393247 OXA393247:OXC393247 PGW393247:PGY393247 PQS393247:PQU393247 QAO393247:QAQ393247 QKK393247:QKM393247 QUG393247:QUI393247 REC393247:REE393247 RNY393247:ROA393247 RXU393247:RXW393247 SHQ393247:SHS393247 SRM393247:SRO393247 TBI393247:TBK393247 TLE393247:TLG393247 TVA393247:TVC393247 UEW393247:UEY393247 UOS393247:UOU393247 UYO393247:UYQ393247 VIK393247:VIM393247 VSG393247:VSI393247 WCC393247:WCE393247 WLY393247:WMA393247 WVU393247:WVW393247 C458783:F458783 JI458783:JK458783 TE458783:TG458783 ADA458783:ADC458783 AMW458783:AMY458783 AWS458783:AWU458783 BGO458783:BGQ458783 BQK458783:BQM458783 CAG458783:CAI458783 CKC458783:CKE458783 CTY458783:CUA458783 DDU458783:DDW458783 DNQ458783:DNS458783 DXM458783:DXO458783 EHI458783:EHK458783 ERE458783:ERG458783 FBA458783:FBC458783 FKW458783:FKY458783 FUS458783:FUU458783 GEO458783:GEQ458783 GOK458783:GOM458783 GYG458783:GYI458783 HIC458783:HIE458783 HRY458783:HSA458783 IBU458783:IBW458783 ILQ458783:ILS458783 IVM458783:IVO458783 JFI458783:JFK458783 JPE458783:JPG458783 JZA458783:JZC458783 KIW458783:KIY458783 KSS458783:KSU458783 LCO458783:LCQ458783 LMK458783:LMM458783 LWG458783:LWI458783 MGC458783:MGE458783 MPY458783:MQA458783 MZU458783:MZW458783 NJQ458783:NJS458783 NTM458783:NTO458783 ODI458783:ODK458783 ONE458783:ONG458783 OXA458783:OXC458783 PGW458783:PGY458783 PQS458783:PQU458783 QAO458783:QAQ458783 QKK458783:QKM458783 QUG458783:QUI458783 REC458783:REE458783 RNY458783:ROA458783 RXU458783:RXW458783 SHQ458783:SHS458783 SRM458783:SRO458783 TBI458783:TBK458783 TLE458783:TLG458783 TVA458783:TVC458783 UEW458783:UEY458783 UOS458783:UOU458783 UYO458783:UYQ458783 VIK458783:VIM458783 VSG458783:VSI458783 WCC458783:WCE458783 WLY458783:WMA458783 WVU458783:WVW458783 C524319:F524319 JI524319:JK524319 TE524319:TG524319 ADA524319:ADC524319 AMW524319:AMY524319 AWS524319:AWU524319 BGO524319:BGQ524319 BQK524319:BQM524319 CAG524319:CAI524319 CKC524319:CKE524319 CTY524319:CUA524319 DDU524319:DDW524319 DNQ524319:DNS524319 DXM524319:DXO524319 EHI524319:EHK524319 ERE524319:ERG524319 FBA524319:FBC524319 FKW524319:FKY524319 FUS524319:FUU524319 GEO524319:GEQ524319 GOK524319:GOM524319 GYG524319:GYI524319 HIC524319:HIE524319 HRY524319:HSA524319 IBU524319:IBW524319 ILQ524319:ILS524319 IVM524319:IVO524319 JFI524319:JFK524319 JPE524319:JPG524319 JZA524319:JZC524319 KIW524319:KIY524319 KSS524319:KSU524319 LCO524319:LCQ524319 LMK524319:LMM524319 LWG524319:LWI524319 MGC524319:MGE524319 MPY524319:MQA524319 MZU524319:MZW524319 NJQ524319:NJS524319 NTM524319:NTO524319 ODI524319:ODK524319 ONE524319:ONG524319 OXA524319:OXC524319 PGW524319:PGY524319 PQS524319:PQU524319 QAO524319:QAQ524319 QKK524319:QKM524319 QUG524319:QUI524319 REC524319:REE524319 RNY524319:ROA524319 RXU524319:RXW524319 SHQ524319:SHS524319 SRM524319:SRO524319 TBI524319:TBK524319 TLE524319:TLG524319 TVA524319:TVC524319 UEW524319:UEY524319 UOS524319:UOU524319 UYO524319:UYQ524319 VIK524319:VIM524319 VSG524319:VSI524319 WCC524319:WCE524319 WLY524319:WMA524319 WVU524319:WVW524319 C589855:F589855 JI589855:JK589855 TE589855:TG589855 ADA589855:ADC589855 AMW589855:AMY589855 AWS589855:AWU589855 BGO589855:BGQ589855 BQK589855:BQM589855 CAG589855:CAI589855 CKC589855:CKE589855 CTY589855:CUA589855 DDU589855:DDW589855 DNQ589855:DNS589855 DXM589855:DXO589855 EHI589855:EHK589855 ERE589855:ERG589855 FBA589855:FBC589855 FKW589855:FKY589855 FUS589855:FUU589855 GEO589855:GEQ589855 GOK589855:GOM589855 GYG589855:GYI589855 HIC589855:HIE589855 HRY589855:HSA589855 IBU589855:IBW589855 ILQ589855:ILS589855 IVM589855:IVO589855 JFI589855:JFK589855 JPE589855:JPG589855 JZA589855:JZC589855 KIW589855:KIY589855 KSS589855:KSU589855 LCO589855:LCQ589855 LMK589855:LMM589855 LWG589855:LWI589855 MGC589855:MGE589855 MPY589855:MQA589855 MZU589855:MZW589855 NJQ589855:NJS589855 NTM589855:NTO589855 ODI589855:ODK589855 ONE589855:ONG589855 OXA589855:OXC589855 PGW589855:PGY589855 PQS589855:PQU589855 QAO589855:QAQ589855 QKK589855:QKM589855 QUG589855:QUI589855 REC589855:REE589855 RNY589855:ROA589855 RXU589855:RXW589855 SHQ589855:SHS589855 SRM589855:SRO589855 TBI589855:TBK589855 TLE589855:TLG589855 TVA589855:TVC589855 UEW589855:UEY589855 UOS589855:UOU589855 UYO589855:UYQ589855 VIK589855:VIM589855 VSG589855:VSI589855 WCC589855:WCE589855 WLY589855:WMA589855 WVU589855:WVW589855 C655391:F655391 JI655391:JK655391 TE655391:TG655391 ADA655391:ADC655391 AMW655391:AMY655391 AWS655391:AWU655391 BGO655391:BGQ655391 BQK655391:BQM655391 CAG655391:CAI655391 CKC655391:CKE655391 CTY655391:CUA655391 DDU655391:DDW655391 DNQ655391:DNS655391 DXM655391:DXO655391 EHI655391:EHK655391 ERE655391:ERG655391 FBA655391:FBC655391 FKW655391:FKY655391 FUS655391:FUU655391 GEO655391:GEQ655391 GOK655391:GOM655391 GYG655391:GYI655391 HIC655391:HIE655391 HRY655391:HSA655391 IBU655391:IBW655391 ILQ655391:ILS655391 IVM655391:IVO655391 JFI655391:JFK655391 JPE655391:JPG655391 JZA655391:JZC655391 KIW655391:KIY655391 KSS655391:KSU655391 LCO655391:LCQ655391 LMK655391:LMM655391 LWG655391:LWI655391 MGC655391:MGE655391 MPY655391:MQA655391 MZU655391:MZW655391 NJQ655391:NJS655391 NTM655391:NTO655391 ODI655391:ODK655391 ONE655391:ONG655391 OXA655391:OXC655391 PGW655391:PGY655391 PQS655391:PQU655391 QAO655391:QAQ655391 QKK655391:QKM655391 QUG655391:QUI655391 REC655391:REE655391 RNY655391:ROA655391 RXU655391:RXW655391 SHQ655391:SHS655391 SRM655391:SRO655391 TBI655391:TBK655391 TLE655391:TLG655391 TVA655391:TVC655391 UEW655391:UEY655391 UOS655391:UOU655391 UYO655391:UYQ655391 VIK655391:VIM655391 VSG655391:VSI655391 WCC655391:WCE655391 WLY655391:WMA655391 WVU655391:WVW655391 C720927:F720927 JI720927:JK720927 TE720927:TG720927 ADA720927:ADC720927 AMW720927:AMY720927 AWS720927:AWU720927 BGO720927:BGQ720927 BQK720927:BQM720927 CAG720927:CAI720927 CKC720927:CKE720927 CTY720927:CUA720927 DDU720927:DDW720927 DNQ720927:DNS720927 DXM720927:DXO720927 EHI720927:EHK720927 ERE720927:ERG720927 FBA720927:FBC720927 FKW720927:FKY720927 FUS720927:FUU720927 GEO720927:GEQ720927 GOK720927:GOM720927 GYG720927:GYI720927 HIC720927:HIE720927 HRY720927:HSA720927 IBU720927:IBW720927 ILQ720927:ILS720927 IVM720927:IVO720927 JFI720927:JFK720927 JPE720927:JPG720927 JZA720927:JZC720927 KIW720927:KIY720927 KSS720927:KSU720927 LCO720927:LCQ720927 LMK720927:LMM720927 LWG720927:LWI720927 MGC720927:MGE720927 MPY720927:MQA720927 MZU720927:MZW720927 NJQ720927:NJS720927 NTM720927:NTO720927 ODI720927:ODK720927 ONE720927:ONG720927 OXA720927:OXC720927 PGW720927:PGY720927 PQS720927:PQU720927 QAO720927:QAQ720927 QKK720927:QKM720927 QUG720927:QUI720927 REC720927:REE720927 RNY720927:ROA720927 RXU720927:RXW720927 SHQ720927:SHS720927 SRM720927:SRO720927 TBI720927:TBK720927 TLE720927:TLG720927 TVA720927:TVC720927 UEW720927:UEY720927 UOS720927:UOU720927 UYO720927:UYQ720927 VIK720927:VIM720927 VSG720927:VSI720927 WCC720927:WCE720927 WLY720927:WMA720927 WVU720927:WVW720927 C786463:F786463 JI786463:JK786463 TE786463:TG786463 ADA786463:ADC786463 AMW786463:AMY786463 AWS786463:AWU786463 BGO786463:BGQ786463 BQK786463:BQM786463 CAG786463:CAI786463 CKC786463:CKE786463 CTY786463:CUA786463 DDU786463:DDW786463 DNQ786463:DNS786463 DXM786463:DXO786463 EHI786463:EHK786463 ERE786463:ERG786463 FBA786463:FBC786463 FKW786463:FKY786463 FUS786463:FUU786463 GEO786463:GEQ786463 GOK786463:GOM786463 GYG786463:GYI786463 HIC786463:HIE786463 HRY786463:HSA786463 IBU786463:IBW786463 ILQ786463:ILS786463 IVM786463:IVO786463 JFI786463:JFK786463 JPE786463:JPG786463 JZA786463:JZC786463 KIW786463:KIY786463 KSS786463:KSU786463 LCO786463:LCQ786463 LMK786463:LMM786463 LWG786463:LWI786463 MGC786463:MGE786463 MPY786463:MQA786463 MZU786463:MZW786463 NJQ786463:NJS786463 NTM786463:NTO786463 ODI786463:ODK786463 ONE786463:ONG786463 OXA786463:OXC786463 PGW786463:PGY786463 PQS786463:PQU786463 QAO786463:QAQ786463 QKK786463:QKM786463 QUG786463:QUI786463 REC786463:REE786463 RNY786463:ROA786463 RXU786463:RXW786463 SHQ786463:SHS786463 SRM786463:SRO786463 TBI786463:TBK786463 TLE786463:TLG786463 TVA786463:TVC786463 UEW786463:UEY786463 UOS786463:UOU786463 UYO786463:UYQ786463 VIK786463:VIM786463 VSG786463:VSI786463 WCC786463:WCE786463 WLY786463:WMA786463 WVU786463:WVW786463 C851999:F851999 JI851999:JK851999 TE851999:TG851999 ADA851999:ADC851999 AMW851999:AMY851999 AWS851999:AWU851999 BGO851999:BGQ851999 BQK851999:BQM851999 CAG851999:CAI851999 CKC851999:CKE851999 CTY851999:CUA851999 DDU851999:DDW851999 DNQ851999:DNS851999 DXM851999:DXO851999 EHI851999:EHK851999 ERE851999:ERG851999 FBA851999:FBC851999 FKW851999:FKY851999 FUS851999:FUU851999 GEO851999:GEQ851999 GOK851999:GOM851999 GYG851999:GYI851999 HIC851999:HIE851999 HRY851999:HSA851999 IBU851999:IBW851999 ILQ851999:ILS851999 IVM851999:IVO851999 JFI851999:JFK851999 JPE851999:JPG851999 JZA851999:JZC851999 KIW851999:KIY851999 KSS851999:KSU851999 LCO851999:LCQ851999 LMK851999:LMM851999 LWG851999:LWI851999 MGC851999:MGE851999 MPY851999:MQA851999 MZU851999:MZW851999 NJQ851999:NJS851999 NTM851999:NTO851999 ODI851999:ODK851999 ONE851999:ONG851999 OXA851999:OXC851999 PGW851999:PGY851999 PQS851999:PQU851999 QAO851999:QAQ851999 QKK851999:QKM851999 QUG851999:QUI851999 REC851999:REE851999 RNY851999:ROA851999 RXU851999:RXW851999 SHQ851999:SHS851999 SRM851999:SRO851999 TBI851999:TBK851999 TLE851999:TLG851999 TVA851999:TVC851999 UEW851999:UEY851999 UOS851999:UOU851999 UYO851999:UYQ851999 VIK851999:VIM851999 VSG851999:VSI851999 WCC851999:WCE851999 WLY851999:WMA851999 WVU851999:WVW851999 C917535:F917535 JI917535:JK917535 TE917535:TG917535 ADA917535:ADC917535 AMW917535:AMY917535 AWS917535:AWU917535 BGO917535:BGQ917535 BQK917535:BQM917535 CAG917535:CAI917535 CKC917535:CKE917535 CTY917535:CUA917535 DDU917535:DDW917535 DNQ917535:DNS917535 DXM917535:DXO917535 EHI917535:EHK917535 ERE917535:ERG917535 FBA917535:FBC917535 FKW917535:FKY917535 FUS917535:FUU917535 GEO917535:GEQ917535 GOK917535:GOM917535 GYG917535:GYI917535 HIC917535:HIE917535 HRY917535:HSA917535 IBU917535:IBW917535 ILQ917535:ILS917535 IVM917535:IVO917535 JFI917535:JFK917535 JPE917535:JPG917535 JZA917535:JZC917535 KIW917535:KIY917535 KSS917535:KSU917535 LCO917535:LCQ917535 LMK917535:LMM917535 LWG917535:LWI917535 MGC917535:MGE917535 MPY917535:MQA917535 MZU917535:MZW917535 NJQ917535:NJS917535 NTM917535:NTO917535 ODI917535:ODK917535 ONE917535:ONG917535 OXA917535:OXC917535 PGW917535:PGY917535 PQS917535:PQU917535 QAO917535:QAQ917535 QKK917535:QKM917535 QUG917535:QUI917535 REC917535:REE917535 RNY917535:ROA917535 RXU917535:RXW917535 SHQ917535:SHS917535 SRM917535:SRO917535 TBI917535:TBK917535 TLE917535:TLG917535 TVA917535:TVC917535 UEW917535:UEY917535 UOS917535:UOU917535 UYO917535:UYQ917535 VIK917535:VIM917535 VSG917535:VSI917535 WCC917535:WCE917535 WLY917535:WMA917535 WVU917535:WVW917535 C983071:F983071 JI983071:JK983071 TE983071:TG983071 ADA983071:ADC983071 AMW983071:AMY983071 AWS983071:AWU983071 BGO983071:BGQ983071 BQK983071:BQM983071 CAG983071:CAI983071 CKC983071:CKE983071 CTY983071:CUA983071 DDU983071:DDW983071 DNQ983071:DNS983071 DXM983071:DXO983071 EHI983071:EHK983071 ERE983071:ERG983071 FBA983071:FBC983071 FKW983071:FKY983071 FUS983071:FUU983071 GEO983071:GEQ983071 GOK983071:GOM983071 GYG983071:GYI983071 HIC983071:HIE983071 HRY983071:HSA983071 IBU983071:IBW983071 ILQ983071:ILS983071 IVM983071:IVO983071 JFI983071:JFK983071 JPE983071:JPG983071 JZA983071:JZC983071 KIW983071:KIY983071 KSS983071:KSU983071 LCO983071:LCQ983071 LMK983071:LMM983071 LWG983071:LWI983071 MGC983071:MGE983071 MPY983071:MQA983071 MZU983071:MZW983071 NJQ983071:NJS983071 NTM983071:NTO983071 ODI983071:ODK983071 ONE983071:ONG983071 OXA983071:OXC983071 PGW983071:PGY983071 PQS983071:PQU983071 QAO983071:QAQ983071 QKK983071:QKM983071 QUG983071:QUI983071 REC983071:REE983071 RNY983071:ROA983071 RXU983071:RXW983071 SHQ983071:SHS983071 SRM983071:SRO983071 TBI983071:TBK983071 TLE983071:TLG983071 TVA983071:TVC983071 UEW983071:UEY983071 UOS983071:UOU983071 UYO983071:UYQ983071 VIK983071:VIM983071 VSG983071:VSI983071 WCC983071:WCE983071 WLY983071:WMA983071 WVU983071:WVW983071 WVX11:WVZ11 WMB11:WMD11 WCF11:WCH11 VSJ11:VSL11 VIN11:VIP11 UYR11:UYT11 UOV11:UOX11 UEZ11:UFB11 TVD11:TVF11 TLH11:TLJ11 TBL11:TBN11 SRP11:SRR11 SHT11:SHV11 RXX11:RXZ11 ROB11:ROD11 REF11:REH11 QUJ11:QUL11 QKN11:QKP11 QAR11:QAT11 PQV11:PQX11 PGZ11:PHB11 OXD11:OXF11 ONH11:ONJ11 ODL11:ODN11 NTP11:NTR11 NJT11:NJV11 MZX11:MZZ11 MQB11:MQD11 MGF11:MGH11 LWJ11:LWL11 LMN11:LMP11 LCR11:LCT11 KSV11:KSX11 KIZ11:KJB11 JZD11:JZF11 JPH11:JPJ11 JFL11:JFN11 IVP11:IVR11 ILT11:ILV11 IBX11:IBZ11 HSB11:HSD11 HIF11:HIH11 GYJ11:GYL11 GON11:GOP11 GER11:GET11 FUV11:FUX11 FKZ11:FLB11 FBD11:FBF11 ERH11:ERJ11 EHL11:EHN11 DXP11:DXR11 DNT11:DNV11 DDX11:DDZ11 CUB11:CUD11 CKF11:CKH11 CAJ11:CAL11 BQN11:BQP11 BGR11:BGT11 AWV11:AWX11 AMZ11:ANB11 ADD11:ADF11 TH11:TJ11 JL11:JN11 G11:I11"/>
  </dataValidations>
  <hyperlinks>
    <hyperlink ref="AC1" location="ins" display="Instructivo"/>
  </hyperlinks>
  <printOptions horizontalCentered="1" verticalCentered="1"/>
  <pageMargins left="0.19685039370078741" right="0.19685039370078741" top="0.59055118110236227" bottom="0.19685039370078741" header="0.39370078740157483" footer="0"/>
  <pageSetup scale="56" fitToWidth="0"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Y164"/>
  <sheetViews>
    <sheetView showGridLines="0" tabSelected="1" topLeftCell="C109" zoomScaleNormal="100" zoomScaleSheetLayoutView="130" workbookViewId="0">
      <selection activeCell="AA122" sqref="AA122"/>
    </sheetView>
  </sheetViews>
  <sheetFormatPr baseColWidth="10" defaultColWidth="15.1640625" defaultRowHeight="12.75"/>
  <cols>
    <col min="1" max="1" width="2.83203125" style="1" customWidth="1"/>
    <col min="2" max="2" width="34.6640625" style="1" customWidth="1"/>
    <col min="3" max="3" width="19.83203125" style="1" customWidth="1"/>
    <col min="4" max="4" width="28.83203125" style="1" customWidth="1"/>
    <col min="5" max="5" width="15.1640625" style="1" customWidth="1"/>
    <col min="6" max="6" width="20.33203125" style="1" customWidth="1"/>
    <col min="7" max="7" width="22.33203125" style="1" customWidth="1"/>
    <col min="8" max="8" width="21" style="1" customWidth="1"/>
    <col min="9" max="9" width="22.33203125" style="1" customWidth="1"/>
    <col min="10" max="11" width="22.33203125" style="1" hidden="1" customWidth="1"/>
    <col min="12" max="12" width="18.1640625" style="1" hidden="1" customWidth="1"/>
    <col min="13" max="13" width="20.33203125" style="1" hidden="1" customWidth="1"/>
    <col min="14" max="14" width="16.6640625" style="1" hidden="1" customWidth="1"/>
    <col min="15" max="15" width="17" style="1" hidden="1" customWidth="1"/>
    <col min="16" max="20" width="15.1640625" style="1" hidden="1" customWidth="1"/>
    <col min="21" max="21" width="21.5" style="1" customWidth="1"/>
    <col min="22" max="22" width="21.83203125" style="1" customWidth="1"/>
    <col min="23" max="26" width="0" style="1" hidden="1" customWidth="1"/>
    <col min="27" max="16384" width="15.1640625" style="1"/>
  </cols>
  <sheetData>
    <row r="2" spans="2:11" ht="54" customHeight="1">
      <c r="B2" s="1018"/>
      <c r="C2" s="1019"/>
      <c r="D2" s="1008" t="s">
        <v>886</v>
      </c>
      <c r="E2" s="1009"/>
      <c r="F2" s="1009"/>
      <c r="G2" s="1009"/>
      <c r="H2" s="1010" t="s">
        <v>25</v>
      </c>
      <c r="I2" s="1010"/>
      <c r="J2" s="718"/>
      <c r="K2" s="718"/>
    </row>
    <row r="3" spans="2:11" ht="57" customHeight="1">
      <c r="B3" s="1020"/>
      <c r="C3" s="1021"/>
      <c r="D3" s="1008"/>
      <c r="E3" s="1009"/>
      <c r="F3" s="1009"/>
      <c r="G3" s="1009"/>
      <c r="H3" s="1010" t="s">
        <v>39</v>
      </c>
      <c r="I3" s="1010"/>
      <c r="J3" s="718"/>
      <c r="K3" s="718"/>
    </row>
    <row r="4" spans="2:11" ht="11.25" customHeight="1">
      <c r="E4" s="2"/>
      <c r="F4" s="2"/>
      <c r="G4" s="2"/>
      <c r="H4" s="3"/>
      <c r="I4" s="3"/>
      <c r="J4" s="3"/>
      <c r="K4" s="3"/>
    </row>
    <row r="5" spans="2:11" ht="16.5" hidden="1" customHeight="1" thickBot="1">
      <c r="B5" s="1011" t="s">
        <v>26</v>
      </c>
      <c r="C5" s="1012"/>
      <c r="D5" s="1012"/>
      <c r="E5" s="1012"/>
      <c r="F5" s="1012"/>
      <c r="G5" s="1012"/>
      <c r="H5" s="1012"/>
      <c r="I5" s="1013"/>
      <c r="J5" s="719"/>
      <c r="K5" s="719"/>
    </row>
    <row r="6" spans="2:11" ht="40.5" hidden="1" customHeight="1" thickBot="1">
      <c r="B6" s="4" t="s">
        <v>3</v>
      </c>
      <c r="C6" s="5" t="s">
        <v>6</v>
      </c>
      <c r="D6" s="5" t="s">
        <v>38</v>
      </c>
      <c r="E6" s="5" t="s">
        <v>8</v>
      </c>
      <c r="F6" s="5" t="s">
        <v>7</v>
      </c>
      <c r="G6" s="5" t="s">
        <v>4</v>
      </c>
      <c r="H6" s="5" t="s">
        <v>40</v>
      </c>
      <c r="I6" s="876" t="s">
        <v>5</v>
      </c>
      <c r="J6" s="720"/>
      <c r="K6" s="720"/>
    </row>
    <row r="7" spans="2:11" ht="12.75" hidden="1" customHeight="1">
      <c r="B7" s="1002" t="s">
        <v>11</v>
      </c>
      <c r="C7" s="1003"/>
      <c r="D7" s="1003"/>
      <c r="E7" s="1003"/>
      <c r="F7" s="1003"/>
      <c r="G7" s="1003"/>
      <c r="H7" s="1003"/>
      <c r="I7" s="1004"/>
      <c r="J7" s="719"/>
      <c r="K7" s="719"/>
    </row>
    <row r="8" spans="2:11" ht="16.5" hidden="1" customHeight="1">
      <c r="B8" s="6"/>
      <c r="C8" s="7"/>
      <c r="D8" s="8"/>
      <c r="E8" s="9"/>
      <c r="F8" s="10"/>
      <c r="G8" s="11"/>
      <c r="H8" s="12"/>
      <c r="I8" s="13"/>
      <c r="J8" s="721"/>
      <c r="K8" s="721"/>
    </row>
    <row r="9" spans="2:11" ht="16.5" hidden="1" customHeight="1">
      <c r="B9" s="14"/>
      <c r="C9" s="15"/>
      <c r="D9" s="16"/>
      <c r="E9" s="15"/>
      <c r="F9" s="10"/>
      <c r="G9" s="17"/>
      <c r="H9" s="12"/>
      <c r="I9" s="13"/>
      <c r="J9" s="721"/>
      <c r="K9" s="721"/>
    </row>
    <row r="10" spans="2:11" ht="12.75" hidden="1" customHeight="1">
      <c r="B10" s="6"/>
      <c r="C10" s="9"/>
      <c r="D10" s="8"/>
      <c r="E10" s="9"/>
      <c r="F10" s="10"/>
      <c r="G10" s="11"/>
      <c r="H10" s="9"/>
      <c r="I10" s="13">
        <f>+C10*D10*F10*G10*H10</f>
        <v>0</v>
      </c>
      <c r="J10" s="721"/>
      <c r="K10" s="721"/>
    </row>
    <row r="11" spans="2:11" ht="13.5" hidden="1" customHeight="1" thickBot="1">
      <c r="B11" s="1014" t="s">
        <v>10</v>
      </c>
      <c r="C11" s="1015"/>
      <c r="D11" s="1015"/>
      <c r="E11" s="1016"/>
      <c r="F11" s="1016"/>
      <c r="G11" s="1016"/>
      <c r="H11" s="1017"/>
      <c r="I11" s="18">
        <f>SUM(I8:I10)</f>
        <v>0</v>
      </c>
      <c r="J11" s="722"/>
      <c r="K11" s="722"/>
    </row>
    <row r="12" spans="2:11" ht="12.75" hidden="1" customHeight="1">
      <c r="B12" s="1002" t="s">
        <v>293</v>
      </c>
      <c r="C12" s="1003"/>
      <c r="D12" s="1003"/>
      <c r="E12" s="1003"/>
      <c r="F12" s="1003"/>
      <c r="G12" s="1003"/>
      <c r="H12" s="1003"/>
      <c r="I12" s="1004"/>
      <c r="J12" s="719"/>
      <c r="K12" s="719"/>
    </row>
    <row r="13" spans="2:11" ht="12.75" hidden="1" customHeight="1">
      <c r="B13" s="19"/>
      <c r="C13" s="20"/>
      <c r="D13" s="21"/>
      <c r="E13" s="15"/>
      <c r="F13" s="22"/>
      <c r="G13" s="23"/>
      <c r="H13" s="9"/>
      <c r="I13" s="13">
        <f>+C13*D13*F13*G13*H13</f>
        <v>0</v>
      </c>
      <c r="J13" s="721"/>
      <c r="K13" s="721"/>
    </row>
    <row r="14" spans="2:11" ht="12.75" hidden="1" customHeight="1" thickBot="1">
      <c r="B14" s="19"/>
      <c r="C14" s="24"/>
      <c r="D14" s="25"/>
      <c r="E14" s="15"/>
      <c r="F14" s="22"/>
      <c r="G14" s="23"/>
      <c r="H14" s="15"/>
      <c r="I14" s="13">
        <f>+C14*D14*F14*G14*H14</f>
        <v>0</v>
      </c>
      <c r="J14" s="721"/>
      <c r="K14" s="721"/>
    </row>
    <row r="15" spans="2:11" ht="14.25" hidden="1" customHeight="1">
      <c r="B15" s="26" t="s">
        <v>294</v>
      </c>
      <c r="C15" s="27"/>
      <c r="D15" s="27"/>
      <c r="E15" s="28"/>
      <c r="F15" s="29"/>
      <c r="G15" s="28"/>
      <c r="H15" s="30"/>
      <c r="I15" s="31">
        <f>SUM(I13:I14)</f>
        <v>0</v>
      </c>
      <c r="J15" s="723"/>
      <c r="K15" s="723"/>
    </row>
    <row r="16" spans="2:11" ht="13.5" hidden="1" customHeight="1" thickBot="1">
      <c r="B16" s="1014" t="s">
        <v>12</v>
      </c>
      <c r="C16" s="1015"/>
      <c r="D16" s="1015"/>
      <c r="E16" s="1016"/>
      <c r="F16" s="1016"/>
      <c r="G16" s="1016"/>
      <c r="H16" s="1017"/>
      <c r="I16" s="32"/>
      <c r="J16" s="724"/>
      <c r="K16" s="724"/>
    </row>
    <row r="17" spans="2:13" hidden="1">
      <c r="B17" s="33"/>
      <c r="C17" s="33"/>
      <c r="D17" s="33"/>
      <c r="E17" s="34"/>
      <c r="F17" s="34"/>
      <c r="G17" s="34"/>
      <c r="H17" s="34"/>
      <c r="I17" s="35"/>
      <c r="J17" s="35"/>
      <c r="K17" s="35"/>
    </row>
    <row r="18" spans="2:13" ht="18.75" customHeight="1">
      <c r="B18" s="1022" t="s">
        <v>27</v>
      </c>
      <c r="C18" s="1022"/>
      <c r="D18" s="1022"/>
      <c r="E18" s="1022"/>
      <c r="F18" s="1022"/>
      <c r="G18" s="1022"/>
      <c r="H18" s="1022"/>
      <c r="I18" s="1022"/>
      <c r="J18" s="719"/>
      <c r="K18" s="719"/>
    </row>
    <row r="19" spans="2:13" ht="40.5" customHeight="1">
      <c r="B19" s="1005" t="s">
        <v>3</v>
      </c>
      <c r="C19" s="1005"/>
      <c r="D19" s="1005"/>
      <c r="E19" s="1005" t="s">
        <v>8</v>
      </c>
      <c r="F19" s="1005"/>
      <c r="G19" s="36" t="s">
        <v>7</v>
      </c>
      <c r="H19" s="36" t="s">
        <v>4</v>
      </c>
      <c r="I19" s="36" t="s">
        <v>5</v>
      </c>
      <c r="J19" s="720"/>
      <c r="K19" s="720"/>
    </row>
    <row r="20" spans="2:13" ht="18.75" customHeight="1">
      <c r="B20" s="1006" t="s">
        <v>295</v>
      </c>
      <c r="C20" s="1006"/>
      <c r="D20" s="1006"/>
      <c r="E20" s="999"/>
      <c r="F20" s="999"/>
      <c r="G20" s="37"/>
      <c r="H20" s="38"/>
      <c r="I20" s="877"/>
      <c r="J20" s="725"/>
      <c r="K20" s="725"/>
    </row>
    <row r="21" spans="2:13" ht="24" customHeight="1">
      <c r="B21" s="998" t="s">
        <v>92</v>
      </c>
      <c r="C21" s="998"/>
      <c r="D21" s="998"/>
      <c r="E21" s="999" t="s">
        <v>63</v>
      </c>
      <c r="F21" s="999"/>
      <c r="G21" s="37">
        <f>+'ppto sistema septico'!V12+'ppto sistema septico'!V48</f>
        <v>486</v>
      </c>
      <c r="H21" s="712">
        <f>+'ppto sistema septico'!W12</f>
        <v>28013.16</v>
      </c>
      <c r="I21" s="713">
        <f>+G21*H21</f>
        <v>13614395.76</v>
      </c>
      <c r="J21" s="726"/>
      <c r="K21" s="726"/>
    </row>
    <row r="22" spans="2:13" ht="18.75" customHeight="1">
      <c r="B22" s="998" t="s">
        <v>93</v>
      </c>
      <c r="C22" s="998"/>
      <c r="D22" s="998"/>
      <c r="E22" s="999" t="s">
        <v>63</v>
      </c>
      <c r="F22" s="999"/>
      <c r="G22" s="911">
        <f>+'ppto sistema septico'!V13</f>
        <v>4.4000000000000004</v>
      </c>
      <c r="H22" s="712">
        <f>+'ppto sistema septico'!W13</f>
        <v>145647.7414</v>
      </c>
      <c r="I22" s="713">
        <f t="shared" ref="I22:I84" si="0">+G22*H22</f>
        <v>640850.06216000009</v>
      </c>
      <c r="J22" s="726"/>
      <c r="K22" s="726"/>
    </row>
    <row r="23" spans="2:13" ht="27" customHeight="1">
      <c r="B23" s="998" t="s">
        <v>94</v>
      </c>
      <c r="C23" s="998"/>
      <c r="D23" s="998"/>
      <c r="E23" s="999" t="s">
        <v>63</v>
      </c>
      <c r="F23" s="999"/>
      <c r="G23" s="37">
        <f>+'ppto sistema septico'!V14</f>
        <v>340.5</v>
      </c>
      <c r="H23" s="712">
        <f>+'ppto sistema septico'!W14</f>
        <v>23344.300000000003</v>
      </c>
      <c r="I23" s="713">
        <f t="shared" si="0"/>
        <v>7948734.1500000013</v>
      </c>
      <c r="J23" s="726"/>
      <c r="K23" s="726"/>
    </row>
    <row r="24" spans="2:13" ht="18" customHeight="1">
      <c r="B24" s="998" t="s">
        <v>95</v>
      </c>
      <c r="C24" s="998"/>
      <c r="D24" s="998"/>
      <c r="E24" s="999" t="s">
        <v>63</v>
      </c>
      <c r="F24" s="999"/>
      <c r="G24" s="912">
        <f>+'ppto sistema septico'!V15+'ppto sistema septico'!V49</f>
        <v>145.5</v>
      </c>
      <c r="H24" s="712">
        <f>+'ppto sistema septico'!W15</f>
        <v>2801.3160000000003</v>
      </c>
      <c r="I24" s="713">
        <f t="shared" si="0"/>
        <v>407591.47800000006</v>
      </c>
      <c r="J24" s="726"/>
      <c r="K24" s="726"/>
      <c r="M24" s="1" t="s">
        <v>371</v>
      </c>
    </row>
    <row r="25" spans="2:13" ht="18" customHeight="1">
      <c r="B25" s="998" t="s">
        <v>605</v>
      </c>
      <c r="C25" s="998"/>
      <c r="D25" s="998"/>
      <c r="E25" s="999" t="s">
        <v>68</v>
      </c>
      <c r="F25" s="999"/>
      <c r="G25" s="37">
        <f>+'ppto sistema septico'!V16</f>
        <v>289</v>
      </c>
      <c r="H25" s="712">
        <f>+'ppto sistema septico'!AG16</f>
        <v>4086.663</v>
      </c>
      <c r="I25" s="713">
        <f t="shared" si="0"/>
        <v>1181045.6070000001</v>
      </c>
      <c r="J25" s="726"/>
      <c r="K25" s="726"/>
    </row>
    <row r="26" spans="2:13" ht="17.25" customHeight="1">
      <c r="B26" s="998" t="s">
        <v>604</v>
      </c>
      <c r="C26" s="998"/>
      <c r="D26" s="998"/>
      <c r="E26" s="999" t="s">
        <v>68</v>
      </c>
      <c r="F26" s="999"/>
      <c r="G26" s="37">
        <f>+'ppto sistema septico'!V17</f>
        <v>741</v>
      </c>
      <c r="H26" s="712">
        <f>+'ppto sistema septico'!AG17</f>
        <v>5108.3287499999997</v>
      </c>
      <c r="I26" s="713">
        <f t="shared" si="0"/>
        <v>3785271.6037499998</v>
      </c>
      <c r="J26" s="726"/>
      <c r="K26" s="726"/>
    </row>
    <row r="27" spans="2:13" ht="17.25" customHeight="1">
      <c r="B27" s="1052" t="s">
        <v>824</v>
      </c>
      <c r="C27" s="1053"/>
      <c r="D27" s="1054"/>
      <c r="E27" s="1000" t="s">
        <v>68</v>
      </c>
      <c r="F27" s="1001"/>
      <c r="G27" s="37">
        <f>+'ppto sistema septico'!V18</f>
        <v>766</v>
      </c>
      <c r="H27" s="712">
        <f>+'ppto sistema septico'!AG18</f>
        <v>4086.663</v>
      </c>
      <c r="I27" s="713">
        <f t="shared" si="0"/>
        <v>3130383.858</v>
      </c>
      <c r="J27" s="726"/>
      <c r="K27" s="726"/>
    </row>
    <row r="28" spans="2:13" ht="14.25" customHeight="1">
      <c r="B28" s="998" t="s">
        <v>389</v>
      </c>
      <c r="C28" s="998"/>
      <c r="D28" s="998"/>
      <c r="E28" s="999" t="s">
        <v>70</v>
      </c>
      <c r="F28" s="999"/>
      <c r="G28" s="37">
        <f>+'ppto sistema septico'!V19</f>
        <v>44</v>
      </c>
      <c r="H28" s="712">
        <f>+'ppto sistema septico'!AG19</f>
        <v>6715.0124999999998</v>
      </c>
      <c r="I28" s="713">
        <f t="shared" si="0"/>
        <v>295460.55</v>
      </c>
      <c r="J28" s="726"/>
      <c r="K28" s="726"/>
    </row>
    <row r="29" spans="2:13" ht="40.5" customHeight="1">
      <c r="B29" s="998" t="s">
        <v>210</v>
      </c>
      <c r="C29" s="998"/>
      <c r="D29" s="998"/>
      <c r="E29" s="999" t="s">
        <v>70</v>
      </c>
      <c r="F29" s="999"/>
      <c r="G29" s="37">
        <f>+'ppto sistema septico'!V20</f>
        <v>0</v>
      </c>
      <c r="H29" s="712">
        <f>+'ppto sistema septico'!AG20</f>
        <v>8953.35</v>
      </c>
      <c r="I29" s="713">
        <f t="shared" si="0"/>
        <v>0</v>
      </c>
      <c r="J29" s="726"/>
      <c r="K29" s="726"/>
    </row>
    <row r="30" spans="2:13" ht="66" customHeight="1">
      <c r="B30" s="998" t="s">
        <v>674</v>
      </c>
      <c r="C30" s="998"/>
      <c r="D30" s="998"/>
      <c r="E30" s="999" t="s">
        <v>70</v>
      </c>
      <c r="F30" s="999"/>
      <c r="G30" s="37">
        <f>+'ppto sistema septico'!V21</f>
        <v>42</v>
      </c>
      <c r="H30" s="712">
        <f>+'ppto sistema septico'!AG21</f>
        <v>457276.75</v>
      </c>
      <c r="I30" s="713">
        <f t="shared" si="0"/>
        <v>19205623.5</v>
      </c>
      <c r="J30" s="726"/>
      <c r="K30" s="726"/>
      <c r="L30" s="701" t="s">
        <v>661</v>
      </c>
    </row>
    <row r="31" spans="2:13" ht="27" customHeight="1">
      <c r="B31" s="1007" t="s">
        <v>550</v>
      </c>
      <c r="C31" s="1007"/>
      <c r="D31" s="1007"/>
      <c r="E31" s="1000" t="s">
        <v>70</v>
      </c>
      <c r="F31" s="1001"/>
      <c r="G31" s="37">
        <f>+'ppto sistema septico'!V22</f>
        <v>46</v>
      </c>
      <c r="H31" s="712">
        <f>+'ppto sistema septico'!AG22</f>
        <v>67150.125</v>
      </c>
      <c r="I31" s="713">
        <f t="shared" si="0"/>
        <v>3088905.75</v>
      </c>
      <c r="J31" s="726"/>
      <c r="K31" s="726"/>
    </row>
    <row r="32" spans="2:13" ht="64.5" customHeight="1">
      <c r="B32" s="998" t="s">
        <v>675</v>
      </c>
      <c r="C32" s="998"/>
      <c r="D32" s="998"/>
      <c r="E32" s="999" t="s">
        <v>70</v>
      </c>
      <c r="F32" s="999"/>
      <c r="G32" s="37">
        <f>+'ppto sistema septico'!V23</f>
        <v>2</v>
      </c>
      <c r="H32" s="712">
        <f>+'ppto sistema septico'!AG23</f>
        <v>457276.75</v>
      </c>
      <c r="I32" s="713">
        <f t="shared" si="0"/>
        <v>914553.5</v>
      </c>
      <c r="J32" s="726"/>
      <c r="K32" s="726"/>
    </row>
    <row r="33" spans="2:11" ht="50.1" customHeight="1">
      <c r="B33" s="998" t="s">
        <v>551</v>
      </c>
      <c r="C33" s="998"/>
      <c r="D33" s="998"/>
      <c r="E33" s="1000" t="s">
        <v>70</v>
      </c>
      <c r="F33" s="1001"/>
      <c r="G33" s="37">
        <f>+'ppto sistema septico'!V24</f>
        <v>0</v>
      </c>
      <c r="H33" s="712">
        <f>+'ppto sistema septico'!AG24</f>
        <v>70032.899999999994</v>
      </c>
      <c r="I33" s="713">
        <f t="shared" si="0"/>
        <v>0</v>
      </c>
      <c r="J33" s="726"/>
      <c r="K33" s="726"/>
    </row>
    <row r="34" spans="2:11" ht="69.75" customHeight="1">
      <c r="B34" s="998" t="s">
        <v>676</v>
      </c>
      <c r="C34" s="998"/>
      <c r="D34" s="998"/>
      <c r="E34" s="999" t="s">
        <v>70</v>
      </c>
      <c r="F34" s="999"/>
      <c r="G34" s="37">
        <f>+'ppto sistema septico'!V25</f>
        <v>0</v>
      </c>
      <c r="H34" s="712">
        <f>+'ppto sistema septico'!AG25</f>
        <v>457276.75</v>
      </c>
      <c r="I34" s="713">
        <f t="shared" si="0"/>
        <v>0</v>
      </c>
      <c r="J34" s="726"/>
      <c r="K34" s="726"/>
    </row>
    <row r="35" spans="2:11" ht="50.1" customHeight="1">
      <c r="B35" s="998" t="s">
        <v>552</v>
      </c>
      <c r="C35" s="998"/>
      <c r="D35" s="998"/>
      <c r="E35" s="1000" t="s">
        <v>70</v>
      </c>
      <c r="F35" s="1001"/>
      <c r="G35" s="37">
        <f>+'ppto sistema septico'!V26</f>
        <v>0</v>
      </c>
      <c r="H35" s="712">
        <f>+'ppto sistema septico'!AG26</f>
        <v>70032.899999999994</v>
      </c>
      <c r="I35" s="713">
        <f t="shared" si="0"/>
        <v>0</v>
      </c>
      <c r="J35" s="726"/>
      <c r="K35" s="726"/>
    </row>
    <row r="36" spans="2:11" ht="76.5" customHeight="1">
      <c r="B36" s="998" t="s">
        <v>677</v>
      </c>
      <c r="C36" s="998"/>
      <c r="D36" s="998"/>
      <c r="E36" s="999" t="s">
        <v>70</v>
      </c>
      <c r="F36" s="999"/>
      <c r="G36" s="37">
        <f>+'ppto sistema septico'!V27</f>
        <v>0</v>
      </c>
      <c r="H36" s="712">
        <f>+'ppto sistema septico'!AG27</f>
        <v>548732.1</v>
      </c>
      <c r="I36" s="713">
        <f t="shared" si="0"/>
        <v>0</v>
      </c>
      <c r="J36" s="726"/>
      <c r="K36" s="726"/>
    </row>
    <row r="37" spans="2:11" ht="52.5" customHeight="1">
      <c r="B37" s="998" t="s">
        <v>553</v>
      </c>
      <c r="C37" s="998"/>
      <c r="D37" s="998"/>
      <c r="E37" s="1000" t="s">
        <v>70</v>
      </c>
      <c r="F37" s="1001"/>
      <c r="G37" s="37">
        <f>+'ppto sistema septico'!V28</f>
        <v>0</v>
      </c>
      <c r="H37" s="712">
        <f>+'ppto sistema septico'!AG29</f>
        <v>685915.125</v>
      </c>
      <c r="I37" s="713">
        <f t="shared" si="0"/>
        <v>0</v>
      </c>
      <c r="J37" s="726"/>
      <c r="K37" s="726"/>
    </row>
    <row r="38" spans="2:11" ht="65.25" customHeight="1">
      <c r="B38" s="998" t="s">
        <v>678</v>
      </c>
      <c r="C38" s="998"/>
      <c r="D38" s="998"/>
      <c r="E38" s="999" t="s">
        <v>70</v>
      </c>
      <c r="F38" s="999"/>
      <c r="G38" s="37">
        <f>+'ppto sistema septico'!V29</f>
        <v>0</v>
      </c>
      <c r="H38" s="712">
        <f>+'ppto sistema septico'!AG29</f>
        <v>685915.125</v>
      </c>
      <c r="I38" s="713">
        <f t="shared" si="0"/>
        <v>0</v>
      </c>
      <c r="J38" s="726"/>
      <c r="K38" s="726"/>
    </row>
    <row r="39" spans="2:11" ht="65.25" customHeight="1">
      <c r="B39" s="998" t="s">
        <v>554</v>
      </c>
      <c r="C39" s="998"/>
      <c r="D39" s="998"/>
      <c r="E39" s="1000" t="s">
        <v>70</v>
      </c>
      <c r="F39" s="1001"/>
      <c r="G39" s="37">
        <f>+'ppto sistema septico'!V30</f>
        <v>0</v>
      </c>
      <c r="H39" s="712">
        <f>+'ppto sistema septico'!AG30</f>
        <v>67150.125</v>
      </c>
      <c r="I39" s="713">
        <f t="shared" si="0"/>
        <v>0</v>
      </c>
      <c r="J39" s="726"/>
      <c r="K39" s="726"/>
    </row>
    <row r="40" spans="2:11" ht="62.25" customHeight="1">
      <c r="B40" s="998" t="s">
        <v>679</v>
      </c>
      <c r="C40" s="998"/>
      <c r="D40" s="998"/>
      <c r="E40" s="999" t="s">
        <v>70</v>
      </c>
      <c r="F40" s="999"/>
      <c r="G40" s="37">
        <f>+'ppto sistema septico'!V31</f>
        <v>0</v>
      </c>
      <c r="H40" s="712">
        <f>+'ppto sistema septico'!AG31</f>
        <v>685915.125</v>
      </c>
      <c r="I40" s="713">
        <f t="shared" si="0"/>
        <v>0</v>
      </c>
      <c r="J40" s="726"/>
      <c r="K40" s="726"/>
    </row>
    <row r="41" spans="2:11" ht="62.25" customHeight="1">
      <c r="B41" s="998" t="s">
        <v>555</v>
      </c>
      <c r="C41" s="998"/>
      <c r="D41" s="998"/>
      <c r="E41" s="1000" t="s">
        <v>70</v>
      </c>
      <c r="F41" s="1001"/>
      <c r="G41" s="37">
        <f>+'ppto sistema septico'!V32</f>
        <v>0</v>
      </c>
      <c r="H41" s="712">
        <f>+'ppto sistema septico'!AG32</f>
        <v>67150.125</v>
      </c>
      <c r="I41" s="713">
        <f t="shared" si="0"/>
        <v>0</v>
      </c>
      <c r="J41" s="726"/>
      <c r="K41" s="726"/>
    </row>
    <row r="42" spans="2:11" ht="80.25" customHeight="1">
      <c r="B42" s="998" t="s">
        <v>680</v>
      </c>
      <c r="C42" s="998"/>
      <c r="D42" s="998"/>
      <c r="E42" s="999" t="s">
        <v>70</v>
      </c>
      <c r="F42" s="999"/>
      <c r="G42" s="37">
        <f>+'ppto sistema septico'!V33</f>
        <v>0</v>
      </c>
      <c r="H42" s="712">
        <f>+'ppto sistema septico'!AG33</f>
        <v>914553.5</v>
      </c>
      <c r="I42" s="713">
        <f t="shared" si="0"/>
        <v>0</v>
      </c>
      <c r="J42" s="726"/>
      <c r="K42" s="726"/>
    </row>
    <row r="43" spans="2:11" ht="57" customHeight="1">
      <c r="B43" s="998" t="s">
        <v>556</v>
      </c>
      <c r="C43" s="998"/>
      <c r="D43" s="998"/>
      <c r="E43" s="1000" t="s">
        <v>70</v>
      </c>
      <c r="F43" s="1001"/>
      <c r="G43" s="37">
        <f>+'ppto sistema septico'!V34</f>
        <v>0</v>
      </c>
      <c r="H43" s="712">
        <f>+'ppto sistema septico'!AG34</f>
        <v>67150.125</v>
      </c>
      <c r="I43" s="713">
        <f t="shared" si="0"/>
        <v>0</v>
      </c>
      <c r="J43" s="726"/>
      <c r="K43" s="726"/>
    </row>
    <row r="44" spans="2:11" ht="64.5" customHeight="1">
      <c r="B44" s="998" t="s">
        <v>681</v>
      </c>
      <c r="C44" s="998"/>
      <c r="D44" s="998"/>
      <c r="E44" s="999" t="s">
        <v>70</v>
      </c>
      <c r="F44" s="999"/>
      <c r="G44" s="37">
        <f>+'ppto sistema septico'!V35</f>
        <v>0</v>
      </c>
      <c r="H44" s="712">
        <f>+'ppto sistema septico'!AG35</f>
        <v>914553.5</v>
      </c>
      <c r="I44" s="713">
        <f t="shared" si="0"/>
        <v>0</v>
      </c>
      <c r="J44" s="726"/>
      <c r="K44" s="726"/>
    </row>
    <row r="45" spans="2:11" ht="55.15" customHeight="1">
      <c r="B45" s="998" t="s">
        <v>557</v>
      </c>
      <c r="C45" s="998"/>
      <c r="D45" s="998"/>
      <c r="E45" s="1000" t="s">
        <v>70</v>
      </c>
      <c r="F45" s="1001"/>
      <c r="G45" s="37">
        <f>+'ppto sistema septico'!V36</f>
        <v>0</v>
      </c>
      <c r="H45" s="712">
        <f>+'ppto sistema septico'!AG36</f>
        <v>67150.125</v>
      </c>
      <c r="I45" s="713">
        <f t="shared" si="0"/>
        <v>0</v>
      </c>
      <c r="J45" s="726"/>
      <c r="K45" s="726"/>
    </row>
    <row r="46" spans="2:11" ht="43.5" customHeight="1">
      <c r="B46" s="998" t="s">
        <v>320</v>
      </c>
      <c r="C46" s="998"/>
      <c r="D46" s="998"/>
      <c r="E46" s="999" t="s">
        <v>70</v>
      </c>
      <c r="F46" s="999"/>
      <c r="G46" s="37">
        <f>+'ppto sistema septico'!V37</f>
        <v>0</v>
      </c>
      <c r="H46" s="712">
        <f>+'ppto sistema septico'!AG37</f>
        <v>204333.15</v>
      </c>
      <c r="I46" s="713">
        <f t="shared" si="0"/>
        <v>0</v>
      </c>
      <c r="J46" s="726"/>
      <c r="K46" s="726"/>
    </row>
    <row r="47" spans="2:11" ht="32.25" customHeight="1">
      <c r="B47" s="998" t="s">
        <v>321</v>
      </c>
      <c r="C47" s="998"/>
      <c r="D47" s="998"/>
      <c r="E47" s="999" t="s">
        <v>70</v>
      </c>
      <c r="F47" s="999"/>
      <c r="G47" s="37">
        <f>+'ppto sistema septico'!V38</f>
        <v>0</v>
      </c>
      <c r="H47" s="712">
        <f>+'ppto sistema septico'!AG38</f>
        <v>548732.1</v>
      </c>
      <c r="I47" s="713">
        <f t="shared" si="0"/>
        <v>0</v>
      </c>
      <c r="J47" s="726"/>
      <c r="K47" s="726"/>
    </row>
    <row r="48" spans="2:11" ht="31.5" customHeight="1">
      <c r="B48" s="998" t="s">
        <v>251</v>
      </c>
      <c r="C48" s="998"/>
      <c r="D48" s="998"/>
      <c r="E48" s="999" t="s">
        <v>70</v>
      </c>
      <c r="F48" s="999"/>
      <c r="G48" s="37">
        <f>+'ppto sistema septico'!V39</f>
        <v>44</v>
      </c>
      <c r="H48" s="712">
        <f>+'ppto sistema septico'!AG39</f>
        <v>33575.0625</v>
      </c>
      <c r="I48" s="713">
        <f t="shared" si="0"/>
        <v>1477302.75</v>
      </c>
      <c r="J48" s="726"/>
      <c r="K48" s="726"/>
    </row>
    <row r="49" spans="2:14" ht="30" customHeight="1">
      <c r="B49" s="998" t="s">
        <v>211</v>
      </c>
      <c r="C49" s="998"/>
      <c r="D49" s="998"/>
      <c r="E49" s="999" t="s">
        <v>70</v>
      </c>
      <c r="F49" s="999"/>
      <c r="G49" s="37">
        <f>+'ppto sistema septico'!V40</f>
        <v>0</v>
      </c>
      <c r="H49" s="712">
        <f>+'ppto sistema septico'!AG40</f>
        <v>33575.0625</v>
      </c>
      <c r="I49" s="713">
        <f t="shared" si="0"/>
        <v>0</v>
      </c>
      <c r="J49" s="726"/>
      <c r="K49" s="726"/>
      <c r="M49" s="39"/>
    </row>
    <row r="50" spans="2:14" ht="25.5" customHeight="1">
      <c r="B50" s="998" t="s">
        <v>212</v>
      </c>
      <c r="C50" s="998"/>
      <c r="D50" s="998"/>
      <c r="E50" s="999" t="s">
        <v>70</v>
      </c>
      <c r="F50" s="999"/>
      <c r="G50" s="37">
        <f>+'ppto sistema septico'!V41</f>
        <v>44</v>
      </c>
      <c r="H50" s="712">
        <f>+'ppto sistema septico'!AG41</f>
        <v>11191.6875</v>
      </c>
      <c r="I50" s="713">
        <f t="shared" si="0"/>
        <v>492434.25</v>
      </c>
      <c r="J50" s="726"/>
      <c r="K50" s="726"/>
    </row>
    <row r="51" spans="2:14" ht="25.5" customHeight="1">
      <c r="B51" s="998" t="s">
        <v>213</v>
      </c>
      <c r="C51" s="998"/>
      <c r="D51" s="998"/>
      <c r="E51" s="999" t="s">
        <v>68</v>
      </c>
      <c r="F51" s="999"/>
      <c r="G51" s="37">
        <f>+'ppto sistema septico'!V42</f>
        <v>95</v>
      </c>
      <c r="H51" s="712">
        <f>+'ppto sistema septico'!AG42</f>
        <v>3501.645</v>
      </c>
      <c r="I51" s="713">
        <f t="shared" si="0"/>
        <v>332656.27500000002</v>
      </c>
      <c r="J51" s="726"/>
      <c r="K51" s="726"/>
    </row>
    <row r="52" spans="2:14" ht="31.5" customHeight="1">
      <c r="B52" s="998" t="s">
        <v>296</v>
      </c>
      <c r="C52" s="998"/>
      <c r="D52" s="998"/>
      <c r="E52" s="999" t="s">
        <v>68</v>
      </c>
      <c r="F52" s="999"/>
      <c r="G52" s="37">
        <f>+'ppto sistema septico'!V43</f>
        <v>0</v>
      </c>
      <c r="H52" s="712">
        <f>+'ppto sistema septico'!AG43</f>
        <v>7003.29</v>
      </c>
      <c r="I52" s="713">
        <f t="shared" si="0"/>
        <v>0</v>
      </c>
      <c r="J52" s="726"/>
      <c r="K52" s="726"/>
    </row>
    <row r="53" spans="2:14" ht="17.25" customHeight="1">
      <c r="B53" s="998" t="s">
        <v>214</v>
      </c>
      <c r="C53" s="998"/>
      <c r="D53" s="998"/>
      <c r="E53" s="999" t="s">
        <v>70</v>
      </c>
      <c r="F53" s="999"/>
      <c r="G53" s="37">
        <f>+'ppto sistema septico'!V44</f>
        <v>2</v>
      </c>
      <c r="H53" s="712">
        <f>+'ppto sistema septico'!AG44</f>
        <v>4476.6705233250004</v>
      </c>
      <c r="I53" s="713">
        <f t="shared" si="0"/>
        <v>8953.3410466500009</v>
      </c>
      <c r="J53" s="726"/>
      <c r="K53" s="726"/>
    </row>
    <row r="54" spans="2:14" ht="30" customHeight="1">
      <c r="B54" s="998" t="s">
        <v>215</v>
      </c>
      <c r="C54" s="998"/>
      <c r="D54" s="998"/>
      <c r="E54" s="999" t="s">
        <v>70</v>
      </c>
      <c r="F54" s="999"/>
      <c r="G54" s="37">
        <f>+'ppto sistema septico'!V45</f>
        <v>0</v>
      </c>
      <c r="H54" s="712">
        <f>+'ppto sistema septico'!AG45</f>
        <v>5372.01</v>
      </c>
      <c r="I54" s="713">
        <f t="shared" si="0"/>
        <v>0</v>
      </c>
      <c r="J54" s="726"/>
      <c r="K54" s="726"/>
    </row>
    <row r="55" spans="2:14" ht="35.25" customHeight="1">
      <c r="B55" s="998" t="s">
        <v>383</v>
      </c>
      <c r="C55" s="998"/>
      <c r="D55" s="998"/>
      <c r="E55" s="999" t="s">
        <v>70</v>
      </c>
      <c r="F55" s="999"/>
      <c r="G55" s="37">
        <f>+'ppto sistema septico'!V46</f>
        <v>0</v>
      </c>
      <c r="H55" s="712">
        <f>+'ppto sistema septico'!AG46</f>
        <v>5372.01</v>
      </c>
      <c r="I55" s="713">
        <f t="shared" si="0"/>
        <v>0</v>
      </c>
      <c r="J55" s="726"/>
      <c r="K55" s="726"/>
    </row>
    <row r="56" spans="2:14" ht="19.5" customHeight="1">
      <c r="B56" s="998" t="s">
        <v>216</v>
      </c>
      <c r="C56" s="998"/>
      <c r="D56" s="998"/>
      <c r="E56" s="999" t="s">
        <v>77</v>
      </c>
      <c r="F56" s="999"/>
      <c r="G56" s="37">
        <f>+'ppto sistema septico'!V50</f>
        <v>88.7</v>
      </c>
      <c r="H56" s="712">
        <f>+'ppto sistema septico'!AG50</f>
        <v>6811.1049999999996</v>
      </c>
      <c r="I56" s="713">
        <f t="shared" si="0"/>
        <v>604145.0135</v>
      </c>
      <c r="J56" s="726"/>
      <c r="K56" s="726"/>
    </row>
    <row r="57" spans="2:14" ht="28.5" customHeight="1">
      <c r="B57" s="998" t="s">
        <v>217</v>
      </c>
      <c r="C57" s="998"/>
      <c r="D57" s="998"/>
      <c r="E57" s="999" t="s">
        <v>70</v>
      </c>
      <c r="F57" s="999"/>
      <c r="G57" s="37">
        <f>+'ppto sistema septico'!V51</f>
        <v>1134</v>
      </c>
      <c r="H57" s="712">
        <f>+'ppto sistema septico'!AG51</f>
        <v>2593.8111111111107</v>
      </c>
      <c r="I57" s="713">
        <f t="shared" si="0"/>
        <v>2941381.7999999993</v>
      </c>
      <c r="J57" s="726"/>
      <c r="K57" s="726"/>
    </row>
    <row r="58" spans="2:14" ht="15.75" customHeight="1">
      <c r="B58" s="998" t="s">
        <v>380</v>
      </c>
      <c r="C58" s="998"/>
      <c r="D58" s="998"/>
      <c r="E58" s="999" t="s">
        <v>68</v>
      </c>
      <c r="F58" s="999"/>
      <c r="G58" s="37">
        <f>+'ppto sistema septico'!V52</f>
        <v>126.2</v>
      </c>
      <c r="H58" s="712">
        <f>+'ppto sistema septico'!AG52</f>
        <v>7567.8944444444442</v>
      </c>
      <c r="I58" s="713">
        <f t="shared" si="0"/>
        <v>955068.27888888889</v>
      </c>
      <c r="J58" s="726"/>
      <c r="K58" s="726"/>
    </row>
    <row r="59" spans="2:14" ht="15.75" customHeight="1">
      <c r="B59" s="998" t="s">
        <v>327</v>
      </c>
      <c r="C59" s="998"/>
      <c r="D59" s="998"/>
      <c r="E59" s="999" t="s">
        <v>325</v>
      </c>
      <c r="F59" s="999"/>
      <c r="G59" s="37">
        <f>+'ppto sistema septico'!V53</f>
        <v>1</v>
      </c>
      <c r="H59" s="712">
        <f>+'ppto sistema septico'!AG53</f>
        <v>2593.8111111111107</v>
      </c>
      <c r="I59" s="713">
        <f t="shared" si="0"/>
        <v>2593.8111111111107</v>
      </c>
      <c r="J59" s="726"/>
      <c r="K59" s="726"/>
      <c r="N59" s="1" t="s">
        <v>311</v>
      </c>
    </row>
    <row r="60" spans="2:14" ht="17.25" customHeight="1">
      <c r="B60" s="710" t="s">
        <v>297</v>
      </c>
      <c r="C60" s="711"/>
      <c r="D60" s="711"/>
      <c r="E60" s="711"/>
      <c r="F60" s="711"/>
      <c r="G60" s="711"/>
      <c r="H60" s="714"/>
      <c r="I60" s="713">
        <f t="shared" si="0"/>
        <v>0</v>
      </c>
      <c r="J60" s="726"/>
      <c r="K60" s="726"/>
    </row>
    <row r="61" spans="2:14">
      <c r="B61" s="998" t="s">
        <v>219</v>
      </c>
      <c r="C61" s="998"/>
      <c r="D61" s="998"/>
      <c r="E61" s="999" t="s">
        <v>68</v>
      </c>
      <c r="F61" s="999"/>
      <c r="G61" s="37">
        <f>+'ppto sistema septico'!V16</f>
        <v>289</v>
      </c>
      <c r="H61" s="715">
        <f>'ppto sistema septico'!AA16+'ppto sistema septico'!AC16+'ppto sistema septico'!AE16</f>
        <v>36349.522825163636</v>
      </c>
      <c r="I61" s="713">
        <f t="shared" si="0"/>
        <v>10505012.096472291</v>
      </c>
      <c r="J61" s="726"/>
      <c r="K61" s="726"/>
    </row>
    <row r="62" spans="2:14" ht="21.75" customHeight="1">
      <c r="B62" s="998" t="s">
        <v>823</v>
      </c>
      <c r="C62" s="998"/>
      <c r="D62" s="998"/>
      <c r="E62" s="1000" t="s">
        <v>68</v>
      </c>
      <c r="F62" s="1001"/>
      <c r="G62" s="37">
        <f>+'ppto sistema septico'!V17</f>
        <v>741</v>
      </c>
      <c r="H62" s="715">
        <f>'ppto sistema septico'!AA17+'ppto sistema septico'!AC17+'ppto sistema septico'!AE17</f>
        <v>30597.011025163636</v>
      </c>
      <c r="I62" s="713">
        <f t="shared" si="0"/>
        <v>22672385.169646256</v>
      </c>
      <c r="J62" s="726"/>
      <c r="K62" s="726"/>
    </row>
    <row r="63" spans="2:14" ht="21.75" customHeight="1">
      <c r="B63" s="1052" t="s">
        <v>827</v>
      </c>
      <c r="C63" s="1053"/>
      <c r="D63" s="1054"/>
      <c r="E63" s="1000" t="s">
        <v>68</v>
      </c>
      <c r="F63" s="1001"/>
      <c r="G63" s="37">
        <f>+'ppto sistema septico'!V18</f>
        <v>766</v>
      </c>
      <c r="H63" s="715">
        <f>'ppto sistema septico'!AA18+'ppto sistema septico'!AC18+'ppto sistema septico'!AE18</f>
        <v>22759.286025163638</v>
      </c>
      <c r="I63" s="713">
        <f t="shared" si="0"/>
        <v>17433613.095275346</v>
      </c>
      <c r="J63" s="726"/>
      <c r="K63" s="726"/>
    </row>
    <row r="64" spans="2:14" ht="22.5" customHeight="1">
      <c r="B64" s="998" t="s">
        <v>220</v>
      </c>
      <c r="C64" s="998"/>
      <c r="D64" s="998"/>
      <c r="E64" s="999" t="s">
        <v>70</v>
      </c>
      <c r="F64" s="999"/>
      <c r="G64" s="37">
        <f>+'ppto sistema septico'!V19</f>
        <v>44</v>
      </c>
      <c r="H64" s="715">
        <f>'ppto sistema septico'!AA19+'ppto sistema septico'!AC19+'ppto sistema septico'!AE19</f>
        <v>42225.497814545452</v>
      </c>
      <c r="I64" s="713">
        <f t="shared" si="0"/>
        <v>1857921.9038399998</v>
      </c>
      <c r="J64" s="726"/>
      <c r="K64" s="726"/>
    </row>
    <row r="65" spans="2:11" ht="22.5" customHeight="1">
      <c r="B65" s="998" t="s">
        <v>231</v>
      </c>
      <c r="C65" s="998"/>
      <c r="D65" s="998"/>
      <c r="E65" s="999" t="s">
        <v>70</v>
      </c>
      <c r="F65" s="999"/>
      <c r="G65" s="37">
        <f>+'ppto sistema septico'!V20</f>
        <v>0</v>
      </c>
      <c r="H65" s="715">
        <f>'ppto sistema septico'!AA20+'ppto sistema septico'!AC20+'ppto sistema septico'!AE20</f>
        <v>78731.163752727269</v>
      </c>
      <c r="I65" s="713">
        <f t="shared" si="0"/>
        <v>0</v>
      </c>
      <c r="J65" s="726"/>
      <c r="K65" s="726"/>
    </row>
    <row r="66" spans="2:11" ht="64.5" customHeight="1">
      <c r="B66" s="998" t="s">
        <v>682</v>
      </c>
      <c r="C66" s="998"/>
      <c r="D66" s="998"/>
      <c r="E66" s="999" t="s">
        <v>70</v>
      </c>
      <c r="F66" s="999"/>
      <c r="G66" s="37">
        <f>+'ppto sistema septico'!V21</f>
        <v>42</v>
      </c>
      <c r="H66" s="715">
        <f>'ppto sistema septico'!AA21+'ppto sistema septico'!AC21+'ppto sistema septico'!AE21</f>
        <v>3553072.5047610048</v>
      </c>
      <c r="I66" s="713">
        <f t="shared" si="0"/>
        <v>149229045.1999622</v>
      </c>
      <c r="J66" s="726"/>
      <c r="K66" s="726"/>
    </row>
    <row r="67" spans="2:11" ht="64.5" customHeight="1">
      <c r="B67" s="998" t="s">
        <v>558</v>
      </c>
      <c r="C67" s="998"/>
      <c r="D67" s="998"/>
      <c r="E67" s="1000" t="s">
        <v>70</v>
      </c>
      <c r="F67" s="1001"/>
      <c r="G67" s="37">
        <f>+'ppto sistema septico'!V22</f>
        <v>46</v>
      </c>
      <c r="H67" s="715">
        <f>'ppto sistema septico'!AA22+'ppto sistema septico'!AC22+'ppto sistema septico'!AE22</f>
        <v>713474.1448533982</v>
      </c>
      <c r="I67" s="713">
        <f t="shared" si="0"/>
        <v>32819810.663256317</v>
      </c>
      <c r="J67" s="726"/>
      <c r="K67" s="726"/>
    </row>
    <row r="68" spans="2:11" ht="63.75" customHeight="1">
      <c r="B68" s="998" t="s">
        <v>683</v>
      </c>
      <c r="C68" s="998"/>
      <c r="D68" s="998"/>
      <c r="E68" s="999" t="s">
        <v>70</v>
      </c>
      <c r="F68" s="999"/>
      <c r="G68" s="37">
        <f>+'ppto sistema septico'!V23</f>
        <v>2</v>
      </c>
      <c r="H68" s="715">
        <f>'ppto sistema septico'!AA23+'ppto sistema septico'!AC23+'ppto sistema septico'!AE23</f>
        <v>4459246.3313101577</v>
      </c>
      <c r="I68" s="713">
        <f t="shared" si="0"/>
        <v>8918492.6626203153</v>
      </c>
      <c r="J68" s="726"/>
      <c r="K68" s="726"/>
    </row>
    <row r="69" spans="2:11" ht="63.75" customHeight="1">
      <c r="B69" s="998" t="s">
        <v>559</v>
      </c>
      <c r="C69" s="998"/>
      <c r="D69" s="998"/>
      <c r="E69" s="1000" t="s">
        <v>70</v>
      </c>
      <c r="F69" s="1001"/>
      <c r="G69" s="37">
        <f>+'ppto sistema septico'!V24</f>
        <v>0</v>
      </c>
      <c r="H69" s="715">
        <f>'ppto sistema septico'!AA24+'ppto sistema septico'!AC24+'ppto sistema septico'!AE24</f>
        <v>773265.72352581914</v>
      </c>
      <c r="I69" s="713">
        <f t="shared" si="0"/>
        <v>0</v>
      </c>
      <c r="J69" s="726"/>
      <c r="K69" s="726"/>
    </row>
    <row r="70" spans="2:11" ht="75" customHeight="1">
      <c r="B70" s="998" t="s">
        <v>684</v>
      </c>
      <c r="C70" s="998"/>
      <c r="D70" s="998"/>
      <c r="E70" s="999" t="s">
        <v>70</v>
      </c>
      <c r="F70" s="999"/>
      <c r="G70" s="37">
        <f>+'ppto sistema septico'!V25</f>
        <v>0</v>
      </c>
      <c r="H70" s="715">
        <f>'ppto sistema septico'!AA25+'ppto sistema septico'!AC25+'ppto sistema septico'!AE25</f>
        <v>5876913.3671653224</v>
      </c>
      <c r="I70" s="713">
        <f t="shared" si="0"/>
        <v>0</v>
      </c>
      <c r="J70" s="726"/>
      <c r="K70" s="726"/>
    </row>
    <row r="71" spans="2:11" ht="75" customHeight="1">
      <c r="B71" s="998" t="s">
        <v>560</v>
      </c>
      <c r="C71" s="998"/>
      <c r="D71" s="998"/>
      <c r="E71" s="1000" t="s">
        <v>70</v>
      </c>
      <c r="F71" s="1001"/>
      <c r="G71" s="37">
        <f>+'ppto sistema septico'!V26</f>
        <v>0</v>
      </c>
      <c r="H71" s="715">
        <f>'ppto sistema septico'!AA26+'ppto sistema septico'!AC26+'ppto sistema septico'!AE26</f>
        <v>927165.36314463231</v>
      </c>
      <c r="I71" s="713">
        <f t="shared" si="0"/>
        <v>0</v>
      </c>
      <c r="J71" s="726"/>
      <c r="K71" s="726"/>
    </row>
    <row r="72" spans="2:11" ht="76.5" customHeight="1">
      <c r="B72" s="998" t="s">
        <v>685</v>
      </c>
      <c r="C72" s="998"/>
      <c r="D72" s="998"/>
      <c r="E72" s="999" t="s">
        <v>70</v>
      </c>
      <c r="F72" s="999"/>
      <c r="G72" s="37">
        <f>+'ppto sistema septico'!V27</f>
        <v>0</v>
      </c>
      <c r="H72" s="715">
        <f>'ppto sistema septico'!AA27+'ppto sistema septico'!AC27+'ppto sistema septico'!AE27</f>
        <v>8224352.3248474048</v>
      </c>
      <c r="I72" s="713">
        <f t="shared" si="0"/>
        <v>0</v>
      </c>
      <c r="J72" s="726"/>
      <c r="K72" s="726"/>
    </row>
    <row r="73" spans="2:11" ht="76.5" customHeight="1">
      <c r="B73" s="998" t="s">
        <v>561</v>
      </c>
      <c r="C73" s="998"/>
      <c r="D73" s="998"/>
      <c r="E73" s="1000" t="s">
        <v>70</v>
      </c>
      <c r="F73" s="1001"/>
      <c r="G73" s="37">
        <f>+'ppto sistema septico'!V28</f>
        <v>0</v>
      </c>
      <c r="H73" s="715">
        <f>'ppto sistema septico'!AA28+'ppto sistema septico'!AC28+'ppto sistema septico'!AE28</f>
        <v>1025770.9676860243</v>
      </c>
      <c r="I73" s="713">
        <f t="shared" si="0"/>
        <v>0</v>
      </c>
      <c r="J73" s="726"/>
      <c r="K73" s="726"/>
    </row>
    <row r="74" spans="2:11" ht="69.75" customHeight="1">
      <c r="B74" s="998" t="s">
        <v>686</v>
      </c>
      <c r="C74" s="998"/>
      <c r="D74" s="998"/>
      <c r="E74" s="999" t="s">
        <v>70</v>
      </c>
      <c r="F74" s="999"/>
      <c r="G74" s="37">
        <f>+'ppto sistema septico'!V29</f>
        <v>0</v>
      </c>
      <c r="H74" s="715">
        <f>'ppto sistema septico'!AA29+'ppto sistema septico'!AC29+'ppto sistema septico'!AE29</f>
        <v>11017910.24597152</v>
      </c>
      <c r="I74" s="713">
        <f t="shared" si="0"/>
        <v>0</v>
      </c>
      <c r="J74" s="726"/>
      <c r="K74" s="726"/>
    </row>
    <row r="75" spans="2:11" ht="60" customHeight="1">
      <c r="B75" s="998" t="s">
        <v>562</v>
      </c>
      <c r="C75" s="998"/>
      <c r="D75" s="998"/>
      <c r="E75" s="1000" t="s">
        <v>70</v>
      </c>
      <c r="F75" s="1001"/>
      <c r="G75" s="37">
        <f>+'ppto sistema septico'!V30</f>
        <v>0</v>
      </c>
      <c r="H75" s="715">
        <f>'ppto sistema septico'!AA30+'ppto sistema septico'!AC30+'ppto sistema septico'!AE30</f>
        <v>1667962.747061681</v>
      </c>
      <c r="I75" s="713">
        <f t="shared" si="0"/>
        <v>0</v>
      </c>
      <c r="J75" s="726"/>
      <c r="K75" s="726"/>
    </row>
    <row r="76" spans="2:11" ht="78.75" customHeight="1">
      <c r="B76" s="998" t="s">
        <v>687</v>
      </c>
      <c r="C76" s="998"/>
      <c r="D76" s="998"/>
      <c r="E76" s="999" t="s">
        <v>70</v>
      </c>
      <c r="F76" s="999"/>
      <c r="G76" s="37">
        <f>+'ppto sistema septico'!V31</f>
        <v>0</v>
      </c>
      <c r="H76" s="715">
        <f>'ppto sistema septico'!AA31+'ppto sistema septico'!AC31+'ppto sistema septico'!AE31</f>
        <v>15059757.954349907</v>
      </c>
      <c r="I76" s="713">
        <f t="shared" si="0"/>
        <v>0</v>
      </c>
      <c r="J76" s="726"/>
      <c r="K76" s="726"/>
    </row>
    <row r="77" spans="2:11" ht="67.150000000000006" customHeight="1">
      <c r="B77" s="998" t="s">
        <v>563</v>
      </c>
      <c r="C77" s="998"/>
      <c r="D77" s="998"/>
      <c r="E77" s="1000" t="s">
        <v>70</v>
      </c>
      <c r="F77" s="1001"/>
      <c r="G77" s="37">
        <f>+'ppto sistema septico'!V32</f>
        <v>0</v>
      </c>
      <c r="H77" s="715">
        <f>'ppto sistema septico'!AA32+'ppto sistema septico'!AC32+'ppto sistema septico'!AE32</f>
        <v>1961553.8444723519</v>
      </c>
      <c r="I77" s="713">
        <f t="shared" si="0"/>
        <v>0</v>
      </c>
      <c r="J77" s="726"/>
      <c r="K77" s="726"/>
    </row>
    <row r="78" spans="2:11" ht="78" customHeight="1">
      <c r="B78" s="998" t="s">
        <v>688</v>
      </c>
      <c r="C78" s="998"/>
      <c r="D78" s="998"/>
      <c r="E78" s="999" t="s">
        <v>70</v>
      </c>
      <c r="F78" s="999"/>
      <c r="G78" s="37">
        <f>+'ppto sistema septico'!V33</f>
        <v>0</v>
      </c>
      <c r="H78" s="715">
        <f>'ppto sistema septico'!AA33+'ppto sistema septico'!AC33+'ppto sistema septico'!AE33</f>
        <v>19920752.243289504</v>
      </c>
      <c r="I78" s="713">
        <f t="shared" si="0"/>
        <v>0</v>
      </c>
      <c r="J78" s="726"/>
      <c r="K78" s="726"/>
    </row>
    <row r="79" spans="2:11" ht="78" customHeight="1">
      <c r="B79" s="998" t="s">
        <v>564</v>
      </c>
      <c r="C79" s="998"/>
      <c r="D79" s="998"/>
      <c r="E79" s="1000" t="s">
        <v>70</v>
      </c>
      <c r="F79" s="1001"/>
      <c r="G79" s="37">
        <f>+'ppto sistema septico'!V34</f>
        <v>0</v>
      </c>
      <c r="H79" s="715">
        <f>'ppto sistema septico'!AA34+'ppto sistema septico'!AC34+'ppto sistema septico'!AE34</f>
        <v>2933209.5866904324</v>
      </c>
      <c r="I79" s="713">
        <f t="shared" si="0"/>
        <v>0</v>
      </c>
      <c r="J79" s="726"/>
      <c r="K79" s="726"/>
    </row>
    <row r="80" spans="2:11" ht="67.5" customHeight="1">
      <c r="B80" s="1052" t="s">
        <v>689</v>
      </c>
      <c r="C80" s="1053"/>
      <c r="D80" s="1054"/>
      <c r="E80" s="1000" t="s">
        <v>70</v>
      </c>
      <c r="F80" s="1001"/>
      <c r="G80" s="37">
        <f>+'ppto sistema septico'!V35</f>
        <v>0</v>
      </c>
      <c r="H80" s="715">
        <f>'ppto sistema septico'!AA35+'ppto sistema septico'!AC35+'ppto sistema septico'!AE35</f>
        <v>25072612.662085772</v>
      </c>
      <c r="I80" s="713">
        <f t="shared" si="0"/>
        <v>0</v>
      </c>
      <c r="J80" s="726"/>
      <c r="K80" s="726"/>
    </row>
    <row r="81" spans="2:11" ht="67.5" customHeight="1">
      <c r="B81" s="1052" t="s">
        <v>565</v>
      </c>
      <c r="C81" s="1053"/>
      <c r="D81" s="1054"/>
      <c r="E81" s="1000" t="s">
        <v>70</v>
      </c>
      <c r="F81" s="1001"/>
      <c r="G81" s="37">
        <f>+'ppto sistema septico'!V36</f>
        <v>0</v>
      </c>
      <c r="H81" s="715">
        <f>'ppto sistema septico'!AA36+'ppto sistema septico'!AC36+'ppto sistema septico'!AE36</f>
        <v>3763036.634346995</v>
      </c>
      <c r="I81" s="713">
        <f t="shared" si="0"/>
        <v>0</v>
      </c>
      <c r="J81" s="726"/>
      <c r="K81" s="726"/>
    </row>
    <row r="82" spans="2:11" ht="49.5" customHeight="1">
      <c r="B82" s="1052" t="s">
        <v>319</v>
      </c>
      <c r="C82" s="1053"/>
      <c r="D82" s="1054"/>
      <c r="E82" s="1000" t="s">
        <v>70</v>
      </c>
      <c r="F82" s="1001"/>
      <c r="G82" s="37">
        <f>+'ppto sistema septico'!V37</f>
        <v>0</v>
      </c>
      <c r="H82" s="712">
        <f>'ppto sistema septico'!AA37+'ppto sistema septico'!AC37+'ppto sistema septico'!AE37</f>
        <v>6248423.8419756358</v>
      </c>
      <c r="I82" s="713">
        <f t="shared" si="0"/>
        <v>0</v>
      </c>
      <c r="J82" s="726"/>
      <c r="K82" s="726"/>
    </row>
    <row r="83" spans="2:11" ht="28.5" customHeight="1">
      <c r="B83" s="998" t="s">
        <v>318</v>
      </c>
      <c r="C83" s="998"/>
      <c r="D83" s="998"/>
      <c r="E83" s="999" t="s">
        <v>70</v>
      </c>
      <c r="F83" s="999"/>
      <c r="G83" s="37">
        <f>+'ppto sistema septico'!V38</f>
        <v>0</v>
      </c>
      <c r="H83" s="712">
        <f>'ppto sistema septico'!AA38+'ppto sistema septico'!AC38+'ppto sistema septico'!AE38</f>
        <v>6838767.8862315705</v>
      </c>
      <c r="I83" s="713">
        <f t="shared" si="0"/>
        <v>0</v>
      </c>
      <c r="J83" s="726"/>
      <c r="K83" s="726"/>
    </row>
    <row r="84" spans="2:11" ht="28.5" customHeight="1">
      <c r="B84" s="998" t="s">
        <v>252</v>
      </c>
      <c r="C84" s="998"/>
      <c r="D84" s="998"/>
      <c r="E84" s="999" t="s">
        <v>70</v>
      </c>
      <c r="F84" s="999"/>
      <c r="G84" s="37">
        <f>+'ppto sistema septico'!V39</f>
        <v>44</v>
      </c>
      <c r="H84" s="712">
        <f>'ppto sistema septico'!AA39+'ppto sistema septico'!AC39+'ppto sistema septico'!AE39</f>
        <v>168824.92430545454</v>
      </c>
      <c r="I84" s="713">
        <f t="shared" si="0"/>
        <v>7428296.6694399994</v>
      </c>
      <c r="J84" s="726"/>
      <c r="K84" s="726"/>
    </row>
    <row r="85" spans="2:11" ht="27" customHeight="1">
      <c r="B85" s="998" t="s">
        <v>221</v>
      </c>
      <c r="C85" s="998"/>
      <c r="D85" s="998"/>
      <c r="E85" s="999" t="s">
        <v>70</v>
      </c>
      <c r="F85" s="999"/>
      <c r="G85" s="37">
        <f>+'ppto sistema septico'!V40</f>
        <v>0</v>
      </c>
      <c r="H85" s="712">
        <f>'ppto sistema septico'!AA40+'ppto sistema septico'!AC40+'ppto sistema septico'!AE40</f>
        <v>272119.72110545455</v>
      </c>
      <c r="I85" s="713">
        <f t="shared" ref="I85:I95" si="1">+G85*H85</f>
        <v>0</v>
      </c>
      <c r="J85" s="726"/>
      <c r="K85" s="726"/>
    </row>
    <row r="86" spans="2:11" ht="28.5" customHeight="1">
      <c r="B86" s="998" t="s">
        <v>222</v>
      </c>
      <c r="C86" s="998"/>
      <c r="D86" s="998"/>
      <c r="E86" s="999" t="s">
        <v>70</v>
      </c>
      <c r="F86" s="999"/>
      <c r="G86" s="37">
        <f>+'ppto sistema septico'!V41</f>
        <v>44</v>
      </c>
      <c r="H86" s="712">
        <f>'ppto sistema septico'!AA41+'ppto sistema septico'!AC41+'ppto sistema septico'!AE41</f>
        <v>156527.01827636364</v>
      </c>
      <c r="I86" s="713">
        <f t="shared" si="1"/>
        <v>6887188.8041599998</v>
      </c>
      <c r="J86" s="726"/>
      <c r="K86" s="726"/>
    </row>
    <row r="87" spans="2:11" ht="25.5" customHeight="1">
      <c r="B87" s="998" t="s">
        <v>223</v>
      </c>
      <c r="C87" s="998"/>
      <c r="D87" s="998"/>
      <c r="E87" s="999" t="s">
        <v>68</v>
      </c>
      <c r="F87" s="999"/>
      <c r="G87" s="37">
        <f>+'ppto sistema septico'!V42</f>
        <v>95</v>
      </c>
      <c r="H87" s="712">
        <f>'ppto sistema septico'!AA42+'ppto sistema septico'!AC42+'ppto sistema septico'!AE42</f>
        <v>6666.502421834045</v>
      </c>
      <c r="I87" s="713">
        <f t="shared" si="1"/>
        <v>633317.73007423431</v>
      </c>
      <c r="J87" s="726"/>
      <c r="K87" s="726"/>
    </row>
    <row r="88" spans="2:11" ht="24.75" customHeight="1">
      <c r="B88" s="998" t="s">
        <v>224</v>
      </c>
      <c r="C88" s="998"/>
      <c r="D88" s="998"/>
      <c r="E88" s="999" t="s">
        <v>68</v>
      </c>
      <c r="F88" s="999"/>
      <c r="G88" s="37">
        <f>+'ppto sistema septico'!V43</f>
        <v>0</v>
      </c>
      <c r="H88" s="712">
        <f>'ppto sistema septico'!AA43+'ppto sistema septico'!AC43+'ppto sistema septico'!AE43</f>
        <v>13529.912697193911</v>
      </c>
      <c r="I88" s="713">
        <f t="shared" si="1"/>
        <v>0</v>
      </c>
      <c r="J88" s="726"/>
      <c r="K88" s="726"/>
    </row>
    <row r="89" spans="2:11" ht="24" customHeight="1">
      <c r="B89" s="998" t="s">
        <v>225</v>
      </c>
      <c r="C89" s="998"/>
      <c r="D89" s="998"/>
      <c r="E89" s="999" t="s">
        <v>70</v>
      </c>
      <c r="F89" s="999"/>
      <c r="G89" s="37">
        <f>+'ppto sistema septico'!V44</f>
        <v>2</v>
      </c>
      <c r="H89" s="712">
        <f>'ppto sistema septico'!AA44+'ppto sistema septico'!AC44+'ppto sistema septico'!AE44</f>
        <v>35773.701070906878</v>
      </c>
      <c r="I89" s="713">
        <f t="shared" si="1"/>
        <v>71547.402141813756</v>
      </c>
      <c r="J89" s="726"/>
      <c r="K89" s="726"/>
    </row>
    <row r="90" spans="2:11" ht="26.25" customHeight="1">
      <c r="B90" s="998" t="s">
        <v>218</v>
      </c>
      <c r="C90" s="998"/>
      <c r="D90" s="998"/>
      <c r="E90" s="999" t="s">
        <v>70</v>
      </c>
      <c r="F90" s="999"/>
      <c r="G90" s="37">
        <f>+'ppto sistema septico'!V45</f>
        <v>0</v>
      </c>
      <c r="H90" s="712">
        <f>'ppto sistema septico'!AA45+'ppto sistema septico'!AC45+'ppto sistema septico'!AE45</f>
        <v>74236.959825163649</v>
      </c>
      <c r="I90" s="713">
        <f t="shared" si="1"/>
        <v>0</v>
      </c>
      <c r="J90" s="726"/>
      <c r="K90" s="726"/>
    </row>
    <row r="91" spans="2:11" ht="26.25" customHeight="1">
      <c r="B91" s="998" t="s">
        <v>381</v>
      </c>
      <c r="C91" s="998"/>
      <c r="D91" s="998"/>
      <c r="E91" s="999" t="s">
        <v>70</v>
      </c>
      <c r="F91" s="999"/>
      <c r="G91" s="37">
        <f>+'ppto sistema septico'!V46</f>
        <v>0</v>
      </c>
      <c r="H91" s="712">
        <f>'ppto sistema septico'!AA46+'ppto sistema septico'!AC46+'ppto sistema septico'!AE46</f>
        <v>41514.25982516363</v>
      </c>
      <c r="I91" s="713">
        <f t="shared" si="1"/>
        <v>0</v>
      </c>
      <c r="J91" s="726"/>
      <c r="K91" s="726"/>
    </row>
    <row r="92" spans="2:11" ht="16.5" customHeight="1">
      <c r="B92" s="998" t="s">
        <v>226</v>
      </c>
      <c r="C92" s="998"/>
      <c r="D92" s="998"/>
      <c r="E92" s="999" t="s">
        <v>77</v>
      </c>
      <c r="F92" s="999"/>
      <c r="G92" s="37">
        <f>+'ppto sistema septico'!V50</f>
        <v>88.7</v>
      </c>
      <c r="H92" s="712">
        <f>'ppto sistema septico'!AA50+'ppto sistema septico'!AC50+'ppto sistema septico'!AE50</f>
        <v>7051.1367258181817</v>
      </c>
      <c r="I92" s="713">
        <f t="shared" si="1"/>
        <v>625435.82758007268</v>
      </c>
      <c r="J92" s="726"/>
      <c r="K92" s="726"/>
    </row>
    <row r="93" spans="2:11" ht="27" customHeight="1">
      <c r="B93" s="998" t="s">
        <v>227</v>
      </c>
      <c r="C93" s="998"/>
      <c r="D93" s="998"/>
      <c r="E93" s="999" t="s">
        <v>70</v>
      </c>
      <c r="F93" s="999"/>
      <c r="G93" s="37">
        <f>+'ppto sistema septico'!V51</f>
        <v>1134</v>
      </c>
      <c r="H93" s="712">
        <f>'ppto sistema septico'!AA51+'ppto sistema septico'!AC51+'ppto sistema septico'!AE51</f>
        <v>11743.62250020202</v>
      </c>
      <c r="I93" s="713">
        <f t="shared" si="1"/>
        <v>13317267.915229091</v>
      </c>
      <c r="J93" s="726"/>
      <c r="K93" s="726"/>
    </row>
    <row r="94" spans="2:11" ht="23.25" customHeight="1">
      <c r="B94" s="998" t="s">
        <v>377</v>
      </c>
      <c r="C94" s="998"/>
      <c r="D94" s="998"/>
      <c r="E94" s="999" t="s">
        <v>68</v>
      </c>
      <c r="F94" s="999"/>
      <c r="G94" s="37">
        <f>+'ppto sistema septico'!V52</f>
        <v>126.2</v>
      </c>
      <c r="H94" s="712">
        <f>'ppto sistema septico'!AA52+'ppto sistema septico'!AC52+'ppto sistema septico'!AE52</f>
        <v>104716.00888103896</v>
      </c>
      <c r="I94" s="713">
        <f t="shared" si="1"/>
        <v>13215160.320787117</v>
      </c>
      <c r="J94" s="726"/>
      <c r="K94" s="726"/>
    </row>
    <row r="95" spans="2:11" ht="21.75" customHeight="1">
      <c r="B95" s="998" t="s">
        <v>336</v>
      </c>
      <c r="C95" s="998"/>
      <c r="D95" s="998"/>
      <c r="E95" s="999" t="s">
        <v>325</v>
      </c>
      <c r="F95" s="999"/>
      <c r="G95" s="37">
        <f>+'ppto sistema septico'!V53</f>
        <v>1</v>
      </c>
      <c r="H95" s="712">
        <f>+'ppto sistema septico'!AA53+'ppto sistema septico'!AC53+'ppto sistema septico'!AE53</f>
        <v>210061.52635151515</v>
      </c>
      <c r="I95" s="713">
        <f t="shared" si="1"/>
        <v>210061.52635151515</v>
      </c>
      <c r="J95" s="726"/>
      <c r="K95" s="726"/>
    </row>
    <row r="96" spans="2:11" ht="15.75" customHeight="1">
      <c r="B96" s="998"/>
      <c r="C96" s="998"/>
      <c r="D96" s="998"/>
      <c r="E96" s="999"/>
      <c r="F96" s="999"/>
      <c r="G96" s="40"/>
      <c r="H96" s="41"/>
      <c r="I96" s="877"/>
      <c r="J96" s="725"/>
      <c r="K96" s="725"/>
    </row>
    <row r="97" spans="2:22" ht="14.25" customHeight="1">
      <c r="B97" s="1028" t="s">
        <v>254</v>
      </c>
      <c r="C97" s="1029"/>
      <c r="D97" s="1029"/>
      <c r="E97" s="1029"/>
      <c r="F97" s="1029"/>
      <c r="G97" s="1029"/>
      <c r="H97" s="1029"/>
      <c r="I97" s="878">
        <f>SUM(I21:T95)</f>
        <v>346851908.32529318</v>
      </c>
      <c r="J97" s="725"/>
      <c r="K97" s="725"/>
      <c r="U97" s="717" t="s">
        <v>9</v>
      </c>
      <c r="V97" s="600"/>
    </row>
    <row r="98" spans="2:22" ht="14.25" customHeight="1">
      <c r="B98" s="1030" t="s">
        <v>435</v>
      </c>
      <c r="C98" s="1030"/>
      <c r="D98" s="1030"/>
      <c r="E98" s="1030"/>
      <c r="F98" s="1030"/>
      <c r="G98" s="1030"/>
      <c r="H98" s="1030"/>
      <c r="I98" s="878">
        <f>+'ppto sistema septico'!AJ54</f>
        <v>42562750</v>
      </c>
      <c r="J98" s="725"/>
      <c r="K98" s="725"/>
      <c r="U98" s="39"/>
      <c r="V98" s="39"/>
    </row>
    <row r="99" spans="2:22" ht="14.25" customHeight="1">
      <c r="B99" s="1049" t="s">
        <v>444</v>
      </c>
      <c r="C99" s="1050"/>
      <c r="D99" s="1050"/>
      <c r="E99" s="1050"/>
      <c r="F99" s="1050"/>
      <c r="G99" s="1050"/>
      <c r="H99" s="1051"/>
      <c r="I99" s="878">
        <f>I97-I98</f>
        <v>304289158.32529318</v>
      </c>
      <c r="J99" s="725"/>
      <c r="K99" s="725"/>
      <c r="U99" s="39"/>
      <c r="V99" s="39"/>
    </row>
    <row r="100" spans="2:22" ht="14.25" customHeight="1">
      <c r="B100" s="1036" t="s">
        <v>249</v>
      </c>
      <c r="C100" s="1036"/>
      <c r="D100" s="1036"/>
      <c r="E100" s="1036"/>
      <c r="F100" s="1036"/>
      <c r="G100" s="1036"/>
      <c r="H100" s="1036"/>
      <c r="I100" s="878">
        <f>(I99*A.U!F25)</f>
        <v>76072289.581323296</v>
      </c>
      <c r="J100" s="725"/>
      <c r="K100" s="725"/>
      <c r="U100" s="39"/>
      <c r="V100" s="39"/>
    </row>
    <row r="101" spans="2:22" ht="14.25" customHeight="1">
      <c r="B101" s="1030" t="s">
        <v>449</v>
      </c>
      <c r="C101" s="1029"/>
      <c r="D101" s="1029"/>
      <c r="E101" s="1029"/>
      <c r="F101" s="1029"/>
      <c r="G101" s="1029"/>
      <c r="H101" s="1029"/>
      <c r="I101" s="878">
        <f>+I97+I100</f>
        <v>422924197.90661645</v>
      </c>
      <c r="J101" s="725"/>
      <c r="K101" s="725"/>
      <c r="U101" s="652"/>
    </row>
    <row r="102" spans="2:22" ht="14.25" customHeight="1">
      <c r="B102" s="1030" t="s">
        <v>445</v>
      </c>
      <c r="C102" s="1030"/>
      <c r="D102" s="1030"/>
      <c r="E102" s="1030"/>
      <c r="F102" s="1030"/>
      <c r="G102" s="1030"/>
      <c r="H102" s="591">
        <f>D121</f>
        <v>339651357.90661645</v>
      </c>
      <c r="I102" s="879"/>
      <c r="J102" s="725"/>
      <c r="K102" s="725"/>
    </row>
    <row r="103" spans="2:22" ht="14.25" customHeight="1">
      <c r="B103" s="1030" t="s">
        <v>446</v>
      </c>
      <c r="C103" s="1030"/>
      <c r="D103" s="1030"/>
      <c r="E103" s="1030"/>
      <c r="F103" s="1030"/>
      <c r="G103" s="1030"/>
      <c r="H103" s="591">
        <f>(H102-I98)</f>
        <v>297088607.90661645</v>
      </c>
      <c r="I103" s="880"/>
      <c r="J103" s="725"/>
      <c r="K103" s="725"/>
    </row>
    <row r="104" spans="2:22" ht="14.25" customHeight="1">
      <c r="B104" s="1221" t="s">
        <v>891</v>
      </c>
      <c r="C104" s="1222"/>
      <c r="D104" s="1222"/>
      <c r="E104" s="1222"/>
      <c r="F104" s="1222"/>
      <c r="G104" s="1223"/>
      <c r="H104" s="591">
        <v>95412840</v>
      </c>
      <c r="I104" s="880"/>
      <c r="J104" s="725"/>
      <c r="K104" s="725"/>
    </row>
    <row r="105" spans="2:22" ht="14.25" customHeight="1">
      <c r="B105" s="1030" t="s">
        <v>250</v>
      </c>
      <c r="C105" s="1030"/>
      <c r="D105" s="1030"/>
      <c r="E105" s="1030"/>
      <c r="F105" s="1030"/>
      <c r="G105" s="1030"/>
      <c r="H105" s="591">
        <f>+'ppto sistema septico'!AD73</f>
        <v>1640000</v>
      </c>
      <c r="I105" s="879">
        <f>+H105</f>
        <v>1640000</v>
      </c>
      <c r="J105" s="725"/>
      <c r="K105" s="725"/>
      <c r="U105" s="1" t="s">
        <v>830</v>
      </c>
      <c r="V105" s="1" t="s">
        <v>831</v>
      </c>
    </row>
    <row r="106" spans="2:22" ht="14.25" customHeight="1">
      <c r="B106" s="1030" t="s">
        <v>448</v>
      </c>
      <c r="C106" s="1030"/>
      <c r="D106" s="1030"/>
      <c r="E106" s="1030"/>
      <c r="F106" s="1030"/>
      <c r="G106" s="1030"/>
      <c r="H106" s="1030"/>
      <c r="I106" s="878">
        <f>+I101+I105</f>
        <v>424564197.90661645</v>
      </c>
      <c r="J106" s="725"/>
      <c r="K106" s="725"/>
      <c r="U106" s="879">
        <f>+I106*0.8</f>
        <v>339651358.32529318</v>
      </c>
      <c r="V106" s="652">
        <f>+U106-I98</f>
        <v>297088608.32529318</v>
      </c>
    </row>
    <row r="107" spans="2:22" ht="17.25" customHeight="1">
      <c r="B107" s="1030" t="s">
        <v>447</v>
      </c>
      <c r="C107" s="1030"/>
      <c r="D107" s="1030"/>
      <c r="E107" s="1030"/>
      <c r="F107" s="1030"/>
      <c r="G107" s="1030"/>
      <c r="H107" s="1030"/>
      <c r="I107" s="878">
        <f>I106-I98+10500000</f>
        <v>392501447.90661645</v>
      </c>
      <c r="J107" s="725"/>
      <c r="K107" s="725"/>
      <c r="U107" s="879">
        <f>+I106*0.2</f>
        <v>84912839.581323296</v>
      </c>
    </row>
    <row r="108" spans="2:22">
      <c r="B108" s="1037"/>
      <c r="C108" s="1038"/>
      <c r="D108" s="1038"/>
      <c r="E108" s="1038"/>
      <c r="F108" s="1038"/>
      <c r="G108" s="1038"/>
      <c r="H108" s="1038"/>
      <c r="I108" s="1039"/>
      <c r="J108" s="725"/>
      <c r="K108" s="725"/>
    </row>
    <row r="109" spans="2:22" s="43" customFormat="1">
      <c r="B109" s="1025" t="s">
        <v>28</v>
      </c>
      <c r="C109" s="1025"/>
      <c r="D109" s="1025"/>
      <c r="E109" s="1025"/>
      <c r="F109" s="1025"/>
      <c r="G109" s="1025"/>
      <c r="H109" s="1025"/>
      <c r="I109" s="1025"/>
      <c r="J109" s="725"/>
      <c r="K109" s="725"/>
      <c r="L109" s="1"/>
      <c r="M109" s="1"/>
      <c r="N109" s="1"/>
      <c r="O109" s="1"/>
      <c r="P109" s="1"/>
      <c r="U109" s="652"/>
      <c r="V109" s="1"/>
    </row>
    <row r="110" spans="2:22" s="43" customFormat="1" ht="18" customHeight="1">
      <c r="B110" s="1005" t="s">
        <v>3</v>
      </c>
      <c r="C110" s="1005"/>
      <c r="D110" s="1040" t="s">
        <v>29</v>
      </c>
      <c r="E110" s="1040"/>
      <c r="F110" s="1041" t="s">
        <v>32</v>
      </c>
      <c r="G110" s="1041"/>
      <c r="H110" s="1025" t="s">
        <v>41</v>
      </c>
      <c r="I110" s="1025"/>
      <c r="J110" s="725"/>
      <c r="K110" s="725"/>
      <c r="L110" s="1"/>
      <c r="M110" s="1"/>
      <c r="N110" s="1"/>
      <c r="O110" s="1"/>
      <c r="P110" s="1"/>
      <c r="U110" s="652"/>
      <c r="V110" s="1"/>
    </row>
    <row r="111" spans="2:22" s="43" customFormat="1" ht="12" customHeight="1">
      <c r="B111" s="1005"/>
      <c r="C111" s="1005"/>
      <c r="D111" s="1040"/>
      <c r="E111" s="1040"/>
      <c r="F111" s="1041"/>
      <c r="G111" s="1041"/>
      <c r="H111" s="1025"/>
      <c r="I111" s="1025"/>
      <c r="J111" s="725"/>
      <c r="K111" s="725"/>
      <c r="L111" s="1"/>
      <c r="M111" s="1"/>
      <c r="N111" s="1"/>
      <c r="O111" s="1"/>
      <c r="P111" s="1"/>
      <c r="U111" s="48"/>
      <c r="V111" s="630"/>
    </row>
    <row r="112" spans="2:22" s="43" customFormat="1" ht="18" customHeight="1">
      <c r="B112" s="1005"/>
      <c r="C112" s="1005"/>
      <c r="D112" s="895" t="s">
        <v>30</v>
      </c>
      <c r="E112" s="895" t="s">
        <v>31</v>
      </c>
      <c r="F112" s="902" t="s">
        <v>30</v>
      </c>
      <c r="G112" s="902" t="s">
        <v>31</v>
      </c>
      <c r="H112" s="42" t="s">
        <v>30</v>
      </c>
      <c r="I112" s="42" t="s">
        <v>31</v>
      </c>
      <c r="J112" s="318"/>
      <c r="K112" s="318"/>
      <c r="L112" s="1"/>
      <c r="M112" s="1"/>
      <c r="N112" s="1"/>
      <c r="O112" s="1"/>
      <c r="P112" s="1"/>
      <c r="V112" s="631"/>
    </row>
    <row r="113" spans="2:25" s="43" customFormat="1" ht="33.75" customHeight="1">
      <c r="B113" s="1027" t="s">
        <v>616</v>
      </c>
      <c r="C113" s="1027"/>
      <c r="D113" s="896">
        <f>'ppto sistema septico'!AD69</f>
        <v>269819920.24833953</v>
      </c>
      <c r="E113" s="897"/>
      <c r="F113" s="903"/>
      <c r="G113" s="904"/>
      <c r="H113" s="44"/>
      <c r="I113" s="44"/>
      <c r="J113" s="727"/>
      <c r="K113" s="727"/>
      <c r="L113" s="1"/>
      <c r="M113" s="1"/>
      <c r="N113" s="1"/>
      <c r="O113" s="1"/>
      <c r="P113" s="1"/>
      <c r="V113" s="631"/>
    </row>
    <row r="114" spans="2:25" s="43" customFormat="1" ht="33.75" customHeight="1">
      <c r="B114" s="1023" t="s">
        <v>618</v>
      </c>
      <c r="C114" s="1024"/>
      <c r="D114" s="896"/>
      <c r="E114" s="897"/>
      <c r="F114" s="905">
        <f>'ppto sistema septico'!AD70</f>
        <v>16004636.738497021</v>
      </c>
      <c r="G114" s="904"/>
      <c r="H114" s="44"/>
      <c r="I114" s="44"/>
      <c r="J114" s="727"/>
      <c r="K114" s="727"/>
      <c r="L114" s="1"/>
      <c r="M114" s="1"/>
      <c r="N114" s="1"/>
      <c r="O114" s="1"/>
      <c r="P114" s="1"/>
      <c r="V114" s="631"/>
      <c r="X114" s="1"/>
      <c r="Y114" s="1"/>
    </row>
    <row r="115" spans="2:25" s="43" customFormat="1" ht="23.25" hidden="1" customHeight="1">
      <c r="B115" s="1027" t="s">
        <v>620</v>
      </c>
      <c r="C115" s="1027"/>
      <c r="D115" s="896"/>
      <c r="E115" s="897"/>
      <c r="F115" s="906">
        <f>+'ppto sistema septico'!AD71</f>
        <v>61027351.338456638</v>
      </c>
      <c r="G115" s="907"/>
      <c r="H115" s="44"/>
      <c r="I115" s="44"/>
      <c r="J115" s="727"/>
      <c r="K115" s="727"/>
      <c r="L115" s="1"/>
      <c r="M115" s="1"/>
      <c r="N115" s="1"/>
      <c r="O115" s="1"/>
      <c r="P115" s="1"/>
      <c r="U115" s="606" t="s">
        <v>450</v>
      </c>
      <c r="V115" s="674">
        <f>I97-U116</f>
        <v>0</v>
      </c>
      <c r="X115" s="1032" t="s">
        <v>426</v>
      </c>
      <c r="Y115" s="1033"/>
    </row>
    <row r="116" spans="2:25" s="43" customFormat="1" ht="22.5" hidden="1" customHeight="1">
      <c r="B116" s="1043" t="s">
        <v>300</v>
      </c>
      <c r="C116" s="1027"/>
      <c r="D116" s="898">
        <f>SUM(D113:D115)</f>
        <v>269819920.24833953</v>
      </c>
      <c r="E116" s="897"/>
      <c r="F116" s="908">
        <f>SUM(F113:F115)</f>
        <v>77031988.076953664</v>
      </c>
      <c r="G116" s="909"/>
      <c r="H116" s="44"/>
      <c r="I116" s="44"/>
      <c r="J116" s="727"/>
      <c r="K116" s="727"/>
      <c r="L116" s="1"/>
      <c r="M116" s="1"/>
      <c r="N116" s="1"/>
      <c r="O116" s="1"/>
      <c r="P116" s="1"/>
      <c r="U116" s="48">
        <f>D116+F116</f>
        <v>346851908.32529318</v>
      </c>
      <c r="X116" s="1"/>
      <c r="Y116" s="1"/>
    </row>
    <row r="117" spans="2:25" s="43" customFormat="1" ht="24.75" customHeight="1">
      <c r="B117" s="1026" t="s">
        <v>353</v>
      </c>
      <c r="C117" s="1026"/>
      <c r="D117" s="899">
        <f>I97-F117</f>
        <v>280233636.32529318</v>
      </c>
      <c r="E117" s="899"/>
      <c r="F117" s="910">
        <f>C133</f>
        <v>66618272</v>
      </c>
      <c r="G117" s="910"/>
      <c r="H117" s="46"/>
      <c r="I117" s="46"/>
      <c r="J117" s="728"/>
      <c r="K117" s="728"/>
      <c r="L117" s="1"/>
      <c r="M117" s="1"/>
      <c r="N117" s="1"/>
      <c r="O117" s="1"/>
      <c r="P117" s="1"/>
      <c r="U117" s="592">
        <f>D117+F117</f>
        <v>346851908.32529318</v>
      </c>
      <c r="V117" s="592">
        <f>U117-I97</f>
        <v>0</v>
      </c>
      <c r="X117" s="461">
        <v>1</v>
      </c>
      <c r="Y117" s="320">
        <f>ROUNDUP(E142*X117,0)</f>
        <v>42</v>
      </c>
    </row>
    <row r="118" spans="2:25" s="43" customFormat="1" ht="20.25" customHeight="1">
      <c r="B118" s="1026" t="s">
        <v>299</v>
      </c>
      <c r="C118" s="1026"/>
      <c r="D118" s="899">
        <f>(D117-I98)*25%</f>
        <v>59417721.581323296</v>
      </c>
      <c r="E118" s="899"/>
      <c r="F118" s="910">
        <f>(F117)*25%</f>
        <v>16654568</v>
      </c>
      <c r="G118" s="910"/>
      <c r="H118" s="46"/>
      <c r="I118" s="46"/>
      <c r="J118" s="728"/>
      <c r="K118" s="728"/>
      <c r="L118" s="1"/>
      <c r="M118" s="1"/>
      <c r="N118" s="1"/>
      <c r="O118" s="1"/>
      <c r="P118" s="1"/>
      <c r="U118" s="592">
        <f>D118+F118</f>
        <v>76072289.581323296</v>
      </c>
      <c r="V118" s="592">
        <f>U118-I100</f>
        <v>0</v>
      </c>
      <c r="X118" s="461">
        <v>2</v>
      </c>
      <c r="Y118" s="320">
        <f>ROUNDUP(E143*X118,0)</f>
        <v>4</v>
      </c>
    </row>
    <row r="119" spans="2:25" s="43" customFormat="1" ht="20.25" customHeight="1">
      <c r="B119" s="1027" t="s">
        <v>85</v>
      </c>
      <c r="C119" s="1027"/>
      <c r="D119" s="898"/>
      <c r="E119" s="897"/>
      <c r="F119" s="909">
        <f>+I105</f>
        <v>1640000</v>
      </c>
      <c r="G119" s="910"/>
      <c r="H119" s="46"/>
      <c r="I119" s="46"/>
      <c r="J119" s="728"/>
      <c r="K119" s="728"/>
      <c r="L119" s="1"/>
      <c r="M119" s="1"/>
      <c r="N119" s="1"/>
      <c r="O119" s="1"/>
      <c r="P119" s="1"/>
      <c r="U119" s="592">
        <f>F119</f>
        <v>1640000</v>
      </c>
      <c r="V119" s="592">
        <f>F119-I105</f>
        <v>0</v>
      </c>
      <c r="X119" s="461">
        <v>2</v>
      </c>
      <c r="Y119" s="320">
        <f>ROUNDUP(E144*X119,0)</f>
        <v>0</v>
      </c>
    </row>
    <row r="120" spans="2:25" s="43" customFormat="1" ht="20.25" customHeight="1">
      <c r="B120" s="1023" t="s">
        <v>892</v>
      </c>
      <c r="C120" s="1024"/>
      <c r="D120" s="898"/>
      <c r="E120" s="897"/>
      <c r="F120" s="909">
        <v>10500000</v>
      </c>
      <c r="G120" s="910"/>
      <c r="H120" s="46"/>
      <c r="I120" s="46"/>
      <c r="J120" s="728"/>
      <c r="K120" s="728"/>
      <c r="L120" s="1"/>
      <c r="M120" s="1"/>
      <c r="N120" s="1"/>
      <c r="O120" s="1"/>
      <c r="P120" s="1"/>
      <c r="U120" s="592"/>
      <c r="V120" s="592"/>
      <c r="X120" s="461"/>
      <c r="Y120" s="320"/>
    </row>
    <row r="121" spans="2:25" s="43" customFormat="1" ht="25.5" customHeight="1">
      <c r="B121" s="1026" t="s">
        <v>354</v>
      </c>
      <c r="C121" s="1026"/>
      <c r="D121" s="899">
        <f>D117+D118</f>
        <v>339651357.90661645</v>
      </c>
      <c r="E121" s="900"/>
      <c r="F121" s="910">
        <f>F117+F118+F119</f>
        <v>84912840</v>
      </c>
      <c r="G121" s="910"/>
      <c r="H121" s="46"/>
      <c r="I121" s="46"/>
      <c r="J121" s="46">
        <f>I106*D123</f>
        <v>339651357.90661645</v>
      </c>
      <c r="K121" s="46">
        <f>I106*F123</f>
        <v>84912840</v>
      </c>
      <c r="L121" s="1"/>
      <c r="M121" s="1"/>
      <c r="N121" s="1"/>
      <c r="O121" s="1"/>
      <c r="P121" s="1"/>
      <c r="U121" s="592">
        <f>D121+F121+G121</f>
        <v>424564197.90661645</v>
      </c>
      <c r="V121" s="592">
        <f>U121-I106</f>
        <v>0</v>
      </c>
      <c r="X121" s="461">
        <v>3</v>
      </c>
      <c r="Y121" s="320">
        <f t="shared" ref="Y121:Y125" si="2">ROUNDUP(E145*X121,0)</f>
        <v>0</v>
      </c>
    </row>
    <row r="122" spans="2:25" s="43" customFormat="1" ht="41.25" customHeight="1">
      <c r="B122" s="1026" t="s">
        <v>451</v>
      </c>
      <c r="C122" s="1026"/>
      <c r="D122" s="899">
        <f>D121-I98</f>
        <v>297088607.90661645</v>
      </c>
      <c r="E122" s="901"/>
      <c r="F122" s="910">
        <f>F121+F120</f>
        <v>95412840</v>
      </c>
      <c r="G122" s="910"/>
      <c r="H122" s="47"/>
      <c r="I122" s="47"/>
      <c r="J122" s="729"/>
      <c r="K122" s="729"/>
      <c r="L122" s="1"/>
      <c r="M122" s="1"/>
      <c r="N122" s="1"/>
      <c r="O122" s="1"/>
      <c r="P122" s="1"/>
      <c r="U122" s="592">
        <f>D122+F122+G122</f>
        <v>392501447.90661645</v>
      </c>
      <c r="V122" s="592">
        <f>U122-I107</f>
        <v>0</v>
      </c>
      <c r="X122" s="461">
        <v>4</v>
      </c>
      <c r="Y122" s="320">
        <f t="shared" si="2"/>
        <v>0</v>
      </c>
    </row>
    <row r="123" spans="2:25" s="43" customFormat="1" ht="18.75" customHeight="1">
      <c r="B123" s="1044" t="s">
        <v>452</v>
      </c>
      <c r="C123" s="1045"/>
      <c r="D123" s="914">
        <f>D121/I106</f>
        <v>0.79999999901386709</v>
      </c>
      <c r="E123" s="915"/>
      <c r="F123" s="916">
        <f>F121/I106</f>
        <v>0.20000000098613288</v>
      </c>
      <c r="G123" s="910"/>
      <c r="H123" s="47"/>
      <c r="I123" s="47"/>
      <c r="J123" s="729"/>
      <c r="K123" s="729"/>
      <c r="L123" s="45"/>
      <c r="O123" s="48"/>
      <c r="U123" s="48"/>
      <c r="V123" s="48"/>
      <c r="X123" s="461">
        <v>7</v>
      </c>
      <c r="Y123" s="320">
        <f t="shared" si="2"/>
        <v>0</v>
      </c>
    </row>
    <row r="124" spans="2:25" ht="25.5" customHeight="1">
      <c r="B124" s="1046" t="s">
        <v>374</v>
      </c>
      <c r="C124" s="1047"/>
      <c r="D124" s="1047"/>
      <c r="E124" s="1047"/>
      <c r="F124" s="1047"/>
      <c r="G124" s="1047"/>
      <c r="H124" s="1047"/>
      <c r="I124" s="1048"/>
      <c r="J124" s="730"/>
      <c r="K124" s="730"/>
      <c r="L124" s="49"/>
      <c r="M124" s="50"/>
      <c r="N124" s="51"/>
      <c r="O124" s="52"/>
      <c r="X124" s="461">
        <v>8</v>
      </c>
      <c r="Y124" s="320">
        <f t="shared" si="2"/>
        <v>0</v>
      </c>
    </row>
    <row r="125" spans="2:25">
      <c r="L125" s="49"/>
      <c r="X125" s="461">
        <v>8</v>
      </c>
      <c r="Y125" s="320">
        <f t="shared" si="2"/>
        <v>0</v>
      </c>
    </row>
    <row r="126" spans="2:25">
      <c r="D126" s="50"/>
      <c r="F126" s="50"/>
      <c r="G126" s="652"/>
      <c r="X126" s="42" t="s">
        <v>2</v>
      </c>
      <c r="Y126" s="42">
        <f>SUM(Y117:Y125)</f>
        <v>46</v>
      </c>
    </row>
    <row r="127" spans="2:25">
      <c r="G127" s="53"/>
      <c r="H127" s="55"/>
    </row>
    <row r="128" spans="2:25">
      <c r="G128" s="53"/>
      <c r="H128" s="55"/>
    </row>
    <row r="129" spans="2:21">
      <c r="B129" s="735"/>
      <c r="C129" s="735"/>
      <c r="D129" s="735" t="s">
        <v>672</v>
      </c>
      <c r="G129" s="53"/>
      <c r="H129" s="53"/>
      <c r="M129" s="53"/>
    </row>
    <row r="130" spans="2:21">
      <c r="B130" s="54" t="s">
        <v>665</v>
      </c>
      <c r="C130" s="734">
        <f>+D130</f>
        <v>84912839.581323296</v>
      </c>
      <c r="D130" s="734">
        <f>I106*20%</f>
        <v>84912839.581323296</v>
      </c>
      <c r="G130" s="53"/>
      <c r="H130" s="53"/>
      <c r="M130" s="53"/>
    </row>
    <row r="131" spans="2:21">
      <c r="B131" s="54" t="s">
        <v>666</v>
      </c>
      <c r="C131" s="732">
        <f>+F119</f>
        <v>1640000</v>
      </c>
      <c r="D131" s="54"/>
      <c r="G131" s="53"/>
      <c r="H131" s="53"/>
      <c r="M131" s="53"/>
    </row>
    <row r="132" spans="2:21">
      <c r="B132" s="54" t="s">
        <v>667</v>
      </c>
      <c r="C132" s="733">
        <f>C130-C131</f>
        <v>83272839.581323296</v>
      </c>
      <c r="D132" s="731">
        <f>C133+C134</f>
        <v>83272840</v>
      </c>
      <c r="E132" s="1" t="s">
        <v>671</v>
      </c>
      <c r="G132" s="53"/>
      <c r="H132" s="53"/>
      <c r="M132" s="53"/>
    </row>
    <row r="133" spans="2:21">
      <c r="B133" s="54" t="s">
        <v>668</v>
      </c>
      <c r="C133" s="731">
        <v>66618272</v>
      </c>
      <c r="D133" s="54" t="s">
        <v>670</v>
      </c>
      <c r="E133" s="1" t="s">
        <v>673</v>
      </c>
      <c r="G133" s="53"/>
      <c r="H133" s="53"/>
      <c r="M133" s="53"/>
    </row>
    <row r="134" spans="2:21">
      <c r="B134" s="54" t="s">
        <v>669</v>
      </c>
      <c r="C134" s="731">
        <f>C133*25%</f>
        <v>16654568</v>
      </c>
      <c r="D134" s="54"/>
      <c r="G134" s="53"/>
      <c r="H134" s="53"/>
      <c r="M134" s="53"/>
    </row>
    <row r="135" spans="2:21">
      <c r="G135" s="53"/>
      <c r="H135" s="53"/>
      <c r="M135" s="53"/>
    </row>
    <row r="136" spans="2:21">
      <c r="G136" s="53"/>
      <c r="M136" s="53"/>
    </row>
    <row r="137" spans="2:21">
      <c r="B137" s="1034" t="s">
        <v>425</v>
      </c>
      <c r="C137" s="1035"/>
      <c r="D137" s="1035"/>
      <c r="E137" s="1035"/>
      <c r="F137" s="1035"/>
      <c r="G137" s="1035"/>
      <c r="H137" s="1035"/>
      <c r="I137" s="1035"/>
      <c r="J137" s="1035"/>
      <c r="K137" s="1035"/>
      <c r="L137" s="1035"/>
      <c r="M137" s="1035"/>
      <c r="N137" s="1035"/>
      <c r="O137" s="1035"/>
      <c r="P137" s="1035"/>
      <c r="Q137" s="1035"/>
      <c r="R137" s="1035"/>
      <c r="S137" s="1035"/>
      <c r="T137" s="1035"/>
      <c r="U137" s="1035"/>
    </row>
    <row r="139" spans="2:21">
      <c r="B139" s="451" t="s">
        <v>390</v>
      </c>
      <c r="C139" s="452">
        <f>'FICHAS '!Q57</f>
        <v>44</v>
      </c>
    </row>
    <row r="141" spans="2:21" ht="38.25">
      <c r="B141" s="42" t="s">
        <v>391</v>
      </c>
      <c r="C141" s="42" t="s">
        <v>392</v>
      </c>
      <c r="D141" s="42" t="s">
        <v>393</v>
      </c>
      <c r="E141" s="453" t="s">
        <v>394</v>
      </c>
      <c r="F141" s="453" t="s">
        <v>395</v>
      </c>
      <c r="G141" s="453" t="s">
        <v>396</v>
      </c>
      <c r="H141" s="454" t="s">
        <v>397</v>
      </c>
      <c r="I141" s="454" t="s">
        <v>398</v>
      </c>
      <c r="J141" s="454"/>
      <c r="K141" s="454"/>
      <c r="L141" s="453" t="s">
        <v>399</v>
      </c>
      <c r="M141" s="453" t="s">
        <v>400</v>
      </c>
      <c r="N141" s="453" t="s">
        <v>401</v>
      </c>
      <c r="U141" s="453" t="s">
        <v>399</v>
      </c>
    </row>
    <row r="142" spans="2:21" ht="76.5">
      <c r="B142" s="455" t="s">
        <v>402</v>
      </c>
      <c r="C142" s="320" t="s">
        <v>403</v>
      </c>
      <c r="D142" s="456"/>
      <c r="E142" s="320">
        <f>'FICHAS '!P56</f>
        <v>42</v>
      </c>
      <c r="F142" s="457">
        <f t="shared" ref="F142:F149" si="3">E142*D142</f>
        <v>0</v>
      </c>
      <c r="G142" s="458" t="e">
        <f t="shared" ref="G142:G149" si="4">F142/$F$150</f>
        <v>#DIV/0!</v>
      </c>
      <c r="H142" s="456" t="e">
        <f>$I$106*G142</f>
        <v>#DIV/0!</v>
      </c>
      <c r="I142" s="456" t="e">
        <f>IF(E142&gt;0,H142/E142," ")</f>
        <v>#DIV/0!</v>
      </c>
      <c r="J142" s="456"/>
      <c r="K142" s="456"/>
      <c r="L142" s="457" t="e">
        <f>IF(#REF!&gt;D142,"SI","NO")</f>
        <v>#REF!</v>
      </c>
      <c r="M142" s="459" t="e">
        <f t="shared" ref="M142:M149" si="5">ROUNDDOWN($I$106/D142,0)</f>
        <v>#DIV/0!</v>
      </c>
      <c r="N142" s="54">
        <f>+'[75]FICHAS '!O$106</f>
        <v>0</v>
      </c>
      <c r="O142" s="460">
        <f t="shared" ref="O142:O149" si="6">+D142*N142</f>
        <v>0</v>
      </c>
      <c r="U142" s="457" t="e">
        <f t="shared" ref="U142:U149" si="7">IF(I142=" ","SIN TANQUE",IF(D142&lt;I142,"SI","NO"))</f>
        <v>#DIV/0!</v>
      </c>
    </row>
    <row r="143" spans="2:21" ht="76.5">
      <c r="B143" s="455" t="s">
        <v>404</v>
      </c>
      <c r="C143" s="320" t="s">
        <v>405</v>
      </c>
      <c r="D143" s="456"/>
      <c r="E143" s="320">
        <f>'FICHAS '!Q56</f>
        <v>2</v>
      </c>
      <c r="F143" s="457">
        <f t="shared" si="3"/>
        <v>0</v>
      </c>
      <c r="G143" s="458" t="e">
        <f t="shared" si="4"/>
        <v>#DIV/0!</v>
      </c>
      <c r="H143" s="456" t="e">
        <f t="shared" ref="H143:H149" si="8">$I$106*G143</f>
        <v>#DIV/0!</v>
      </c>
      <c r="I143" s="456" t="e">
        <f t="shared" ref="I143:I149" si="9">IF(E143&gt;0,H143/E143," ")</f>
        <v>#DIV/0!</v>
      </c>
      <c r="J143" s="456"/>
      <c r="K143" s="456"/>
      <c r="L143" s="457" t="e">
        <f>IF(#REF!&gt;D143,"SI","NO")</f>
        <v>#REF!</v>
      </c>
      <c r="M143" s="459" t="e">
        <f t="shared" si="5"/>
        <v>#DIV/0!</v>
      </c>
      <c r="N143" s="54">
        <f>+'[75]FICHAS '!P106</f>
        <v>0</v>
      </c>
      <c r="O143" s="460">
        <f t="shared" si="6"/>
        <v>0</v>
      </c>
      <c r="U143" s="457" t="e">
        <f t="shared" si="7"/>
        <v>#DIV/0!</v>
      </c>
    </row>
    <row r="144" spans="2:21" ht="87.75" customHeight="1">
      <c r="B144" s="455" t="s">
        <v>406</v>
      </c>
      <c r="C144" s="320" t="s">
        <v>407</v>
      </c>
      <c r="D144" s="456"/>
      <c r="E144" s="320">
        <f>'FICHAS '!R56</f>
        <v>0</v>
      </c>
      <c r="F144" s="457">
        <f t="shared" si="3"/>
        <v>0</v>
      </c>
      <c r="G144" s="458" t="e">
        <f t="shared" si="4"/>
        <v>#DIV/0!</v>
      </c>
      <c r="H144" s="456" t="e">
        <f t="shared" si="8"/>
        <v>#DIV/0!</v>
      </c>
      <c r="I144" s="456" t="str">
        <f t="shared" si="9"/>
        <v xml:space="preserve"> </v>
      </c>
      <c r="J144" s="456"/>
      <c r="K144" s="456"/>
      <c r="L144" s="457" t="e">
        <f>IF(#REF!&gt;D144,"SI","NO")</f>
        <v>#REF!</v>
      </c>
      <c r="M144" s="459" t="e">
        <f t="shared" si="5"/>
        <v>#DIV/0!</v>
      </c>
      <c r="N144" s="54">
        <f>+'[75]FICHAS '!Q106</f>
        <v>0</v>
      </c>
      <c r="O144" s="460">
        <f t="shared" si="6"/>
        <v>0</v>
      </c>
      <c r="U144" s="457" t="str">
        <f t="shared" si="7"/>
        <v>SIN TANQUE</v>
      </c>
    </row>
    <row r="145" spans="2:21" ht="76.5">
      <c r="B145" s="455" t="s">
        <v>408</v>
      </c>
      <c r="C145" s="320" t="s">
        <v>409</v>
      </c>
      <c r="D145" s="456"/>
      <c r="E145" s="320">
        <f>'FICHAS '!S56</f>
        <v>0</v>
      </c>
      <c r="F145" s="457">
        <f t="shared" si="3"/>
        <v>0</v>
      </c>
      <c r="G145" s="458" t="e">
        <f t="shared" si="4"/>
        <v>#DIV/0!</v>
      </c>
      <c r="H145" s="456" t="e">
        <f t="shared" si="8"/>
        <v>#DIV/0!</v>
      </c>
      <c r="I145" s="456" t="str">
        <f t="shared" si="9"/>
        <v xml:space="preserve"> </v>
      </c>
      <c r="J145" s="456"/>
      <c r="K145" s="456"/>
      <c r="L145" s="457" t="e">
        <f>IF(#REF!&gt;D145,"SI","NO")</f>
        <v>#REF!</v>
      </c>
      <c r="M145" s="459" t="e">
        <f t="shared" si="5"/>
        <v>#DIV/0!</v>
      </c>
      <c r="N145" s="54">
        <f>+'[75]FICHAS '!R106</f>
        <v>0</v>
      </c>
      <c r="O145" s="460">
        <f t="shared" si="6"/>
        <v>0</v>
      </c>
      <c r="U145" s="457" t="str">
        <f t="shared" si="7"/>
        <v>SIN TANQUE</v>
      </c>
    </row>
    <row r="146" spans="2:21" ht="76.5">
      <c r="B146" s="455" t="s">
        <v>410</v>
      </c>
      <c r="C146" s="320" t="s">
        <v>411</v>
      </c>
      <c r="D146" s="456"/>
      <c r="E146" s="320">
        <f>'FICHAS '!T56</f>
        <v>0</v>
      </c>
      <c r="F146" s="457">
        <f t="shared" si="3"/>
        <v>0</v>
      </c>
      <c r="G146" s="458" t="e">
        <f t="shared" si="4"/>
        <v>#DIV/0!</v>
      </c>
      <c r="H146" s="456" t="e">
        <f t="shared" si="8"/>
        <v>#DIV/0!</v>
      </c>
      <c r="I146" s="456" t="str">
        <f t="shared" si="9"/>
        <v xml:space="preserve"> </v>
      </c>
      <c r="J146" s="456"/>
      <c r="K146" s="456"/>
      <c r="L146" s="457" t="e">
        <f>IF(#REF!&gt;D146,"SI","NO")</f>
        <v>#REF!</v>
      </c>
      <c r="M146" s="459" t="e">
        <f t="shared" si="5"/>
        <v>#DIV/0!</v>
      </c>
      <c r="N146" s="54">
        <f>+'[75]FICHAS '!S106</f>
        <v>0</v>
      </c>
      <c r="O146" s="460">
        <f t="shared" si="6"/>
        <v>0</v>
      </c>
      <c r="U146" s="457" t="str">
        <f t="shared" si="7"/>
        <v>SIN TANQUE</v>
      </c>
    </row>
    <row r="147" spans="2:21" ht="89.25">
      <c r="B147" s="455" t="s">
        <v>412</v>
      </c>
      <c r="C147" s="320" t="s">
        <v>238</v>
      </c>
      <c r="D147" s="456"/>
      <c r="E147" s="320">
        <f>'FICHAS '!U56</f>
        <v>0</v>
      </c>
      <c r="F147" s="457">
        <f t="shared" si="3"/>
        <v>0</v>
      </c>
      <c r="G147" s="458" t="e">
        <f t="shared" si="4"/>
        <v>#DIV/0!</v>
      </c>
      <c r="H147" s="456" t="e">
        <f t="shared" si="8"/>
        <v>#DIV/0!</v>
      </c>
      <c r="I147" s="456" t="str">
        <f t="shared" si="9"/>
        <v xml:space="preserve"> </v>
      </c>
      <c r="J147" s="456"/>
      <c r="K147" s="456"/>
      <c r="L147" s="457" t="e">
        <f>IF(#REF!&gt;D147,"SI","NO")</f>
        <v>#REF!</v>
      </c>
      <c r="M147" s="459" t="e">
        <f t="shared" si="5"/>
        <v>#DIV/0!</v>
      </c>
      <c r="N147" s="54">
        <f>+'[75]FICHAS '!T106</f>
        <v>0</v>
      </c>
      <c r="O147" s="460">
        <f t="shared" si="6"/>
        <v>0</v>
      </c>
      <c r="U147" s="457" t="str">
        <f t="shared" si="7"/>
        <v>SIN TANQUE</v>
      </c>
    </row>
    <row r="148" spans="2:21" ht="89.25">
      <c r="B148" s="455" t="s">
        <v>413</v>
      </c>
      <c r="C148" s="320" t="s">
        <v>414</v>
      </c>
      <c r="D148" s="456"/>
      <c r="E148" s="320">
        <f>'FICHAS '!V56</f>
        <v>0</v>
      </c>
      <c r="F148" s="457">
        <f t="shared" si="3"/>
        <v>0</v>
      </c>
      <c r="G148" s="458" t="e">
        <f t="shared" si="4"/>
        <v>#DIV/0!</v>
      </c>
      <c r="H148" s="456" t="e">
        <f t="shared" si="8"/>
        <v>#DIV/0!</v>
      </c>
      <c r="I148" s="456" t="str">
        <f t="shared" si="9"/>
        <v xml:space="preserve"> </v>
      </c>
      <c r="J148" s="456"/>
      <c r="K148" s="456"/>
      <c r="L148" s="457" t="e">
        <f>IF(#REF!&gt;D148,"SI","NO")</f>
        <v>#REF!</v>
      </c>
      <c r="M148" s="459" t="e">
        <f t="shared" si="5"/>
        <v>#DIV/0!</v>
      </c>
      <c r="N148" s="54">
        <f>+'[75]FICHAS '!U106</f>
        <v>0</v>
      </c>
      <c r="O148" s="460">
        <f t="shared" si="6"/>
        <v>0</v>
      </c>
      <c r="U148" s="457" t="str">
        <f t="shared" si="7"/>
        <v>SIN TANQUE</v>
      </c>
    </row>
    <row r="149" spans="2:21" ht="76.5">
      <c r="B149" s="455" t="s">
        <v>415</v>
      </c>
      <c r="C149" s="320" t="s">
        <v>416</v>
      </c>
      <c r="D149" s="456"/>
      <c r="E149" s="320">
        <f>'FICHAS '!W56</f>
        <v>0</v>
      </c>
      <c r="F149" s="457">
        <f t="shared" si="3"/>
        <v>0</v>
      </c>
      <c r="G149" s="458" t="e">
        <f t="shared" si="4"/>
        <v>#DIV/0!</v>
      </c>
      <c r="H149" s="456" t="e">
        <f t="shared" si="8"/>
        <v>#DIV/0!</v>
      </c>
      <c r="I149" s="456" t="str">
        <f t="shared" si="9"/>
        <v xml:space="preserve"> </v>
      </c>
      <c r="J149" s="456"/>
      <c r="K149" s="456"/>
      <c r="L149" s="457" t="e">
        <f>IF(#REF!&gt;D149,"SI","NO")</f>
        <v>#REF!</v>
      </c>
      <c r="M149" s="459" t="e">
        <f t="shared" si="5"/>
        <v>#DIV/0!</v>
      </c>
      <c r="N149" s="54">
        <f>+'[75]FICHAS '!V106</f>
        <v>0</v>
      </c>
      <c r="O149" s="460">
        <f t="shared" si="6"/>
        <v>0</v>
      </c>
      <c r="U149" s="457" t="str">
        <f t="shared" si="7"/>
        <v>SIN TANQUE</v>
      </c>
    </row>
    <row r="150" spans="2:21">
      <c r="C150" s="318"/>
      <c r="D150" s="42" t="s">
        <v>2</v>
      </c>
      <c r="E150" s="462">
        <f>SUM(E142:E149)</f>
        <v>44</v>
      </c>
      <c r="F150" s="463">
        <f>SUM(F142:F149)</f>
        <v>0</v>
      </c>
      <c r="G150" s="463" t="e">
        <f>SUM(G142:G149)</f>
        <v>#DIV/0!</v>
      </c>
      <c r="H150" s="464" t="e">
        <f>SUM(H142:H149)</f>
        <v>#DIV/0!</v>
      </c>
      <c r="I150" s="465"/>
      <c r="J150" s="465"/>
      <c r="K150" s="465"/>
      <c r="L150" s="466"/>
      <c r="M150" s="466" t="s">
        <v>271</v>
      </c>
      <c r="N150" s="1">
        <f>SUM(N142:N149)</f>
        <v>0</v>
      </c>
      <c r="O150" s="460">
        <f>SUM(O142:O149)</f>
        <v>0</v>
      </c>
    </row>
    <row r="152" spans="2:21">
      <c r="F152" s="467" t="s">
        <v>417</v>
      </c>
      <c r="G152" s="468" t="e">
        <f>H150-F150</f>
        <v>#DIV/0!</v>
      </c>
      <c r="L152" s="39">
        <f>+I106-O150</f>
        <v>424564197.90661645</v>
      </c>
    </row>
    <row r="156" spans="2:21">
      <c r="B156" s="1031" t="s">
        <v>418</v>
      </c>
      <c r="C156" s="1031"/>
      <c r="D156" s="1031"/>
      <c r="E156" s="1031"/>
      <c r="G156" s="1042"/>
      <c r="H156" s="1042"/>
      <c r="I156" s="1042"/>
      <c r="J156" s="1042"/>
      <c r="K156" s="1042"/>
      <c r="L156" s="1042"/>
    </row>
    <row r="157" spans="2:21" ht="38.25">
      <c r="B157" s="453" t="s">
        <v>419</v>
      </c>
      <c r="C157" s="453" t="s">
        <v>420</v>
      </c>
      <c r="D157" s="453" t="s">
        <v>421</v>
      </c>
      <c r="E157" s="453" t="s">
        <v>422</v>
      </c>
      <c r="G157" s="311"/>
      <c r="H157" s="311"/>
      <c r="I157" s="311"/>
      <c r="J157" s="311"/>
      <c r="K157" s="311"/>
      <c r="L157" s="469"/>
    </row>
    <row r="158" spans="2:21">
      <c r="B158" s="470">
        <v>50</v>
      </c>
      <c r="C158" s="471">
        <f>B158*D142</f>
        <v>0</v>
      </c>
      <c r="D158" s="471">
        <f>C158*0.8</f>
        <v>0</v>
      </c>
      <c r="E158" s="471">
        <f>C158*0.2</f>
        <v>0</v>
      </c>
      <c r="G158" s="472"/>
      <c r="H158" s="473"/>
      <c r="I158" s="473"/>
      <c r="J158" s="473"/>
      <c r="K158" s="473"/>
      <c r="L158" s="473"/>
    </row>
    <row r="159" spans="2:21">
      <c r="B159" s="470">
        <v>30</v>
      </c>
      <c r="C159" s="471">
        <f>B159*D142</f>
        <v>0</v>
      </c>
      <c r="D159" s="471">
        <f>C159*0.8</f>
        <v>0</v>
      </c>
      <c r="E159" s="471">
        <f>C159*0.2</f>
        <v>0</v>
      </c>
      <c r="G159" s="472"/>
      <c r="H159" s="473"/>
      <c r="I159" s="473"/>
      <c r="J159" s="473"/>
      <c r="K159" s="473"/>
      <c r="L159" s="473"/>
    </row>
    <row r="162" spans="2:5">
      <c r="B162" s="1031" t="s">
        <v>423</v>
      </c>
      <c r="C162" s="1031"/>
      <c r="D162" s="1031"/>
      <c r="E162" s="1031"/>
    </row>
    <row r="163" spans="2:5" ht="38.25">
      <c r="B163" s="453" t="s">
        <v>424</v>
      </c>
      <c r="C163" s="453" t="s">
        <v>420</v>
      </c>
      <c r="D163" s="453" t="s">
        <v>421</v>
      </c>
      <c r="E163" s="474" t="s">
        <v>422</v>
      </c>
    </row>
    <row r="164" spans="2:5">
      <c r="B164" s="470"/>
      <c r="C164" s="471" t="e">
        <f>E164*C158/E158</f>
        <v>#DIV/0!</v>
      </c>
      <c r="D164" s="471" t="e">
        <f>C164*0.8</f>
        <v>#DIV/0!</v>
      </c>
      <c r="E164" s="471"/>
    </row>
  </sheetData>
  <sheetProtection insertRows="0"/>
  <mergeCells count="199">
    <mergeCell ref="B104:G104"/>
    <mergeCell ref="B120:C120"/>
    <mergeCell ref="B27:D27"/>
    <mergeCell ref="E27:F27"/>
    <mergeCell ref="B63:D63"/>
    <mergeCell ref="E63:F63"/>
    <mergeCell ref="B84:D84"/>
    <mergeCell ref="E76:F76"/>
    <mergeCell ref="E78:F78"/>
    <mergeCell ref="B83:D83"/>
    <mergeCell ref="E83:F83"/>
    <mergeCell ref="B80:D80"/>
    <mergeCell ref="E80:F80"/>
    <mergeCell ref="B33:D33"/>
    <mergeCell ref="E33:F33"/>
    <mergeCell ref="B35:D35"/>
    <mergeCell ref="E35:F35"/>
    <mergeCell ref="B37:D37"/>
    <mergeCell ref="E37:F37"/>
    <mergeCell ref="E41:F41"/>
    <mergeCell ref="B41:D41"/>
    <mergeCell ref="B39:D39"/>
    <mergeCell ref="E39:F39"/>
    <mergeCell ref="B38:D38"/>
    <mergeCell ref="E38:F38"/>
    <mergeCell ref="B36:D36"/>
    <mergeCell ref="B99:H99"/>
    <mergeCell ref="B89:D89"/>
    <mergeCell ref="E89:F89"/>
    <mergeCell ref="B85:D85"/>
    <mergeCell ref="B73:D73"/>
    <mergeCell ref="E73:F73"/>
    <mergeCell ref="E75:F75"/>
    <mergeCell ref="B75:D75"/>
    <mergeCell ref="E77:F77"/>
    <mergeCell ref="B82:D82"/>
    <mergeCell ref="E82:F82"/>
    <mergeCell ref="B77:D77"/>
    <mergeCell ref="E79:F79"/>
    <mergeCell ref="E81:F81"/>
    <mergeCell ref="B79:D79"/>
    <mergeCell ref="B81:D81"/>
    <mergeCell ref="B74:D74"/>
    <mergeCell ref="B76:D76"/>
    <mergeCell ref="E74:F74"/>
    <mergeCell ref="B78:D78"/>
    <mergeCell ref="B87:D87"/>
    <mergeCell ref="E36:F36"/>
    <mergeCell ref="B162:E162"/>
    <mergeCell ref="X115:Y115"/>
    <mergeCell ref="B137:U137"/>
    <mergeCell ref="B100:H100"/>
    <mergeCell ref="B105:G105"/>
    <mergeCell ref="B103:G103"/>
    <mergeCell ref="B108:I108"/>
    <mergeCell ref="B109:I109"/>
    <mergeCell ref="B110:C112"/>
    <mergeCell ref="D110:E111"/>
    <mergeCell ref="F110:G111"/>
    <mergeCell ref="B101:H101"/>
    <mergeCell ref="B122:C122"/>
    <mergeCell ref="B118:C118"/>
    <mergeCell ref="B156:E156"/>
    <mergeCell ref="G156:L156"/>
    <mergeCell ref="B121:C121"/>
    <mergeCell ref="B116:C116"/>
    <mergeCell ref="B123:C123"/>
    <mergeCell ref="B106:H106"/>
    <mergeCell ref="B113:C113"/>
    <mergeCell ref="B124:I124"/>
    <mergeCell ref="B119:C119"/>
    <mergeCell ref="B117:C117"/>
    <mergeCell ref="E84:F84"/>
    <mergeCell ref="E95:F95"/>
    <mergeCell ref="B94:D94"/>
    <mergeCell ref="E94:F94"/>
    <mergeCell ref="B93:D93"/>
    <mergeCell ref="B86:D86"/>
    <mergeCell ref="B115:C115"/>
    <mergeCell ref="B97:H97"/>
    <mergeCell ref="B95:D95"/>
    <mergeCell ref="E92:F92"/>
    <mergeCell ref="E93:F93"/>
    <mergeCell ref="B96:D96"/>
    <mergeCell ref="E96:F96"/>
    <mergeCell ref="E87:F87"/>
    <mergeCell ref="B98:H98"/>
    <mergeCell ref="B107:H107"/>
    <mergeCell ref="B102:G102"/>
    <mergeCell ref="B91:D91"/>
    <mergeCell ref="E88:F88"/>
    <mergeCell ref="B92:D92"/>
    <mergeCell ref="E91:F91"/>
    <mergeCell ref="B90:D90"/>
    <mergeCell ref="E86:F86"/>
    <mergeCell ref="B114:C114"/>
    <mergeCell ref="H111:I111"/>
    <mergeCell ref="H110:I110"/>
    <mergeCell ref="B88:D88"/>
    <mergeCell ref="B62:D62"/>
    <mergeCell ref="E62:F62"/>
    <mergeCell ref="B64:D64"/>
    <mergeCell ref="E64:F64"/>
    <mergeCell ref="E72:F72"/>
    <mergeCell ref="B65:D65"/>
    <mergeCell ref="E65:F65"/>
    <mergeCell ref="E66:F66"/>
    <mergeCell ref="B68:D68"/>
    <mergeCell ref="B66:D66"/>
    <mergeCell ref="B70:D70"/>
    <mergeCell ref="E70:F70"/>
    <mergeCell ref="E68:F68"/>
    <mergeCell ref="B72:D72"/>
    <mergeCell ref="B67:D67"/>
    <mergeCell ref="E67:F67"/>
    <mergeCell ref="B69:D69"/>
    <mergeCell ref="E69:F69"/>
    <mergeCell ref="E85:F85"/>
    <mergeCell ref="E90:F90"/>
    <mergeCell ref="E71:F71"/>
    <mergeCell ref="B71:D71"/>
    <mergeCell ref="B57:D57"/>
    <mergeCell ref="E57:F57"/>
    <mergeCell ref="B56:D56"/>
    <mergeCell ref="E56:F56"/>
    <mergeCell ref="B55:D55"/>
    <mergeCell ref="E55:F55"/>
    <mergeCell ref="B61:D61"/>
    <mergeCell ref="E61:F61"/>
    <mergeCell ref="B58:D58"/>
    <mergeCell ref="E58:F58"/>
    <mergeCell ref="B59:D59"/>
    <mergeCell ref="E59:F59"/>
    <mergeCell ref="B46:D46"/>
    <mergeCell ref="E46:F46"/>
    <mergeCell ref="B48:D48"/>
    <mergeCell ref="E48:F48"/>
    <mergeCell ref="B53:D53"/>
    <mergeCell ref="E53:F53"/>
    <mergeCell ref="B54:D54"/>
    <mergeCell ref="E54:F54"/>
    <mergeCell ref="B49:D49"/>
    <mergeCell ref="E49:F49"/>
    <mergeCell ref="B50:D50"/>
    <mergeCell ref="E50:F50"/>
    <mergeCell ref="B51:D51"/>
    <mergeCell ref="E51:F51"/>
    <mergeCell ref="B52:D52"/>
    <mergeCell ref="E52:F52"/>
    <mergeCell ref="B47:D47"/>
    <mergeCell ref="E47:F47"/>
    <mergeCell ref="D2:G3"/>
    <mergeCell ref="H2:I2"/>
    <mergeCell ref="H3:I3"/>
    <mergeCell ref="B5:I5"/>
    <mergeCell ref="B7:I7"/>
    <mergeCell ref="B11:H11"/>
    <mergeCell ref="B2:C3"/>
    <mergeCell ref="B34:D34"/>
    <mergeCell ref="E34:F34"/>
    <mergeCell ref="B29:D29"/>
    <mergeCell ref="E29:F29"/>
    <mergeCell ref="B30:D30"/>
    <mergeCell ref="E30:F30"/>
    <mergeCell ref="B32:D32"/>
    <mergeCell ref="E32:F32"/>
    <mergeCell ref="B28:D28"/>
    <mergeCell ref="E28:F28"/>
    <mergeCell ref="B23:D23"/>
    <mergeCell ref="E23:F23"/>
    <mergeCell ref="B16:H16"/>
    <mergeCell ref="B18:I18"/>
    <mergeCell ref="B19:D19"/>
    <mergeCell ref="B21:D21"/>
    <mergeCell ref="E21:F21"/>
    <mergeCell ref="B22:D22"/>
    <mergeCell ref="E22:F22"/>
    <mergeCell ref="B43:D43"/>
    <mergeCell ref="E43:F43"/>
    <mergeCell ref="B45:D45"/>
    <mergeCell ref="E45:F45"/>
    <mergeCell ref="B12:I12"/>
    <mergeCell ref="E19:F19"/>
    <mergeCell ref="B20:D20"/>
    <mergeCell ref="E20:F20"/>
    <mergeCell ref="B40:D40"/>
    <mergeCell ref="E40:F40"/>
    <mergeCell ref="B42:D42"/>
    <mergeCell ref="E42:F42"/>
    <mergeCell ref="B44:D44"/>
    <mergeCell ref="E44:F44"/>
    <mergeCell ref="B24:D24"/>
    <mergeCell ref="E24:F24"/>
    <mergeCell ref="B25:D25"/>
    <mergeCell ref="E25:F25"/>
    <mergeCell ref="B26:D26"/>
    <mergeCell ref="E26:F26"/>
    <mergeCell ref="B31:D31"/>
    <mergeCell ref="E31:F31"/>
  </mergeCells>
  <conditionalFormatting sqref="G152">
    <cfRule type="cellIs" dxfId="22" priority="2" stopIfTrue="1" operator="greaterThan">
      <formula>0</formula>
    </cfRule>
  </conditionalFormatting>
  <conditionalFormatting sqref="L142:L149">
    <cfRule type="containsText" dxfId="21" priority="5" stopIfTrue="1" operator="containsText" text="NO">
      <formula>NOT(ISERROR(SEARCH("NO",L142)))</formula>
    </cfRule>
    <cfRule type="containsText" dxfId="20" priority="6" stopIfTrue="1" operator="containsText" text="SI">
      <formula>NOT(ISERROR(SEARCH("SI",L142)))</formula>
    </cfRule>
  </conditionalFormatting>
  <conditionalFormatting sqref="U142:U149">
    <cfRule type="containsText" dxfId="19" priority="1" stopIfTrue="1" operator="containsText" text="SIN TANQUE">
      <formula>NOT(ISERROR(SEARCH("SIN TANQUE",U142)))</formula>
    </cfRule>
    <cfRule type="containsText" dxfId="18" priority="3" stopIfTrue="1" operator="containsText" text="NO">
      <formula>NOT(ISERROR(SEARCH("NO",U142)))</formula>
    </cfRule>
    <cfRule type="containsText" dxfId="17" priority="4" stopIfTrue="1" operator="containsText" text="SI">
      <formula>NOT(ISERROR(SEARCH("SI",U142)))</formula>
    </cfRule>
  </conditionalFormatting>
  <dataValidations count="9">
    <dataValidation allowBlank="1" showInputMessage="1" showErrorMessage="1" prompt="diligencie la dedicación del personal relacionado." sqref="D13:D14"/>
    <dataValidation allowBlank="1" showInputMessage="1" showErrorMessage="1" prompt="diligencie la dedicación del personal relacionado._x000a_" sqref="D8:D9"/>
    <dataValidation allowBlank="1" showInputMessage="1" showErrorMessage="1" prompt="diligencie la cantidad del personal requerido" sqref="C9 C13:C14"/>
    <dataValidation allowBlank="1" showInputMessage="1" showErrorMessage="1" prompt="definir la unidad de medida con la cual se asigna el valor unitario." sqref="E8:E9 E13:E14"/>
    <dataValidation allowBlank="1" showInputMessage="1" showErrorMessage="1" prompt="diligencie la cantidad de unidad de medida del valor unitario" sqref="F8:F9 F13:F14 G24"/>
    <dataValidation allowBlank="1" showInputMessage="1" showErrorMessage="1" prompt="traer el valor definido en la hoja &quot;honorarios Corporativos&quot;" sqref="G8:G9 G13:G14"/>
    <dataValidation allowBlank="1" showInputMessage="1" showErrorMessage="1" prompt="ingrese el valor del Factor Prestacional asignado para el personal." sqref="H8:H9 H13:H14"/>
    <dataValidation allowBlank="1" showInputMessage="1" showErrorMessage="1" prompt="Describa aqui el nombre de la entidad u otras entidades" sqref="H111:I111"/>
    <dataValidation allowBlank="1" showInputMessage="1" showErrorMessage="1" prompt="Describa aquí el aporte en especie de los cofinanciadores, en caso de ser necesario." sqref="B124"/>
  </dataValidations>
  <printOptions horizontalCentered="1"/>
  <pageMargins left="0.19685039370078741" right="0.19685039370078741" top="0.19685039370078741" bottom="0.19685039370078741" header="0" footer="0"/>
  <pageSetup scale="60" fitToHeight="2" orientation="portrait" r:id="rId1"/>
  <rowBreaks count="1" manualBreakCount="1">
    <brk id="107" max="8"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N796"/>
  <sheetViews>
    <sheetView showGridLines="0" view="pageBreakPreview" topLeftCell="C6" zoomScale="80" zoomScaleNormal="100" zoomScaleSheetLayoutView="80" workbookViewId="0">
      <pane ySplit="6" topLeftCell="A12" activePane="bottomLeft" state="frozen"/>
      <selection activeCell="C6" sqref="C6"/>
      <selection pane="bottomLeft" activeCell="H9" sqref="H9"/>
    </sheetView>
  </sheetViews>
  <sheetFormatPr baseColWidth="10" defaultColWidth="12" defaultRowHeight="14.25"/>
  <cols>
    <col min="1" max="1" width="9.33203125" style="267" hidden="1" customWidth="1"/>
    <col min="2" max="2" width="17" style="267" hidden="1" customWidth="1"/>
    <col min="3" max="3" width="68.83203125" style="277" customWidth="1"/>
    <col min="4" max="4" width="12.1640625" style="267" customWidth="1"/>
    <col min="5" max="5" width="16.83203125" style="272" customWidth="1"/>
    <col min="6" max="6" width="16" style="273" customWidth="1"/>
    <col min="7" max="7" width="18.6640625" style="273" customWidth="1"/>
    <col min="8" max="8" width="18.1640625" style="273" customWidth="1"/>
    <col min="9" max="9" width="17" style="273" customWidth="1"/>
    <col min="10" max="10" width="18.33203125" style="273" customWidth="1"/>
    <col min="11" max="11" width="19.83203125" style="273" customWidth="1"/>
    <col min="12" max="12" width="24.1640625" style="273" customWidth="1"/>
    <col min="13" max="15" width="17.33203125" style="273" customWidth="1"/>
    <col min="16" max="16" width="19.83203125" style="273" customWidth="1"/>
    <col min="17" max="18" width="19.83203125" style="287" customWidth="1"/>
    <col min="19" max="20" width="19.83203125" style="274" customWidth="1"/>
    <col min="21" max="21" width="16" style="275" customWidth="1"/>
    <col min="22" max="22" width="14.6640625" style="275" customWidth="1"/>
    <col min="23" max="23" width="19.83203125" style="261" customWidth="1"/>
    <col min="24" max="24" width="20.1640625" style="261" customWidth="1"/>
    <col min="25" max="25" width="21.83203125" style="261" customWidth="1"/>
    <col min="26" max="26" width="22.1640625" style="261" customWidth="1"/>
    <col min="27" max="27" width="23.33203125" style="56" customWidth="1"/>
    <col min="28" max="28" width="25.6640625" style="56" customWidth="1"/>
    <col min="29" max="29" width="38.5" style="56" customWidth="1"/>
    <col min="30" max="30" width="28" style="56" customWidth="1"/>
    <col min="31" max="31" width="28.33203125" style="56" customWidth="1"/>
    <col min="32" max="32" width="20.83203125" style="56" customWidth="1"/>
    <col min="33" max="33" width="21.83203125" style="59" customWidth="1"/>
    <col min="34" max="34" width="19.6640625" style="60" customWidth="1"/>
    <col min="35" max="35" width="20.83203125" style="56" customWidth="1"/>
    <col min="36" max="36" width="24.83203125" style="56" customWidth="1"/>
    <col min="37" max="37" width="60" style="56" customWidth="1"/>
    <col min="38" max="38" width="23.1640625" style="56" customWidth="1"/>
    <col min="39" max="39" width="19.1640625" style="56" customWidth="1"/>
    <col min="40" max="16384" width="12" style="56"/>
  </cols>
  <sheetData>
    <row r="1" spans="1:144" ht="15" hidden="1" customHeight="1">
      <c r="A1" s="1055" t="s">
        <v>42</v>
      </c>
      <c r="B1" s="1055"/>
      <c r="C1" s="1055"/>
      <c r="D1" s="1055"/>
      <c r="E1" s="1055"/>
      <c r="F1" s="1055"/>
      <c r="G1" s="1055"/>
      <c r="H1" s="1055"/>
      <c r="I1" s="1055"/>
      <c r="J1" s="1055"/>
      <c r="K1" s="1055"/>
      <c r="L1" s="1055"/>
      <c r="M1" s="1055"/>
      <c r="N1" s="1055"/>
      <c r="O1" s="1055"/>
      <c r="P1" s="1055"/>
      <c r="Q1" s="1055"/>
      <c r="R1" s="1055"/>
      <c r="S1" s="1055"/>
      <c r="T1" s="1055"/>
      <c r="U1" s="1055"/>
      <c r="V1" s="1055"/>
      <c r="W1" s="1055"/>
      <c r="X1" s="1055"/>
      <c r="Y1" s="1055"/>
      <c r="Z1" s="1055"/>
      <c r="AA1" s="1055"/>
      <c r="AB1" s="1055"/>
      <c r="AC1" s="1055"/>
      <c r="AD1" s="1055"/>
      <c r="AE1" s="1055"/>
      <c r="AF1" s="1055"/>
      <c r="AG1" s="1055"/>
      <c r="AH1" s="1055"/>
      <c r="AI1" s="1055"/>
    </row>
    <row r="2" spans="1:144" ht="15" hidden="1">
      <c r="A2" s="57"/>
      <c r="B2" s="57"/>
      <c r="C2" s="57"/>
      <c r="D2" s="57"/>
      <c r="E2" s="57"/>
      <c r="F2" s="57"/>
      <c r="G2" s="57"/>
      <c r="H2" s="57"/>
      <c r="I2" s="57"/>
      <c r="J2" s="57"/>
      <c r="K2" s="57"/>
      <c r="L2" s="57"/>
      <c r="M2" s="57"/>
      <c r="N2" s="57"/>
      <c r="O2" s="57"/>
      <c r="P2" s="58"/>
      <c r="Q2" s="58"/>
      <c r="R2" s="58"/>
      <c r="S2" s="58"/>
      <c r="T2" s="58"/>
      <c r="U2" s="57"/>
      <c r="V2" s="57"/>
      <c r="W2" s="57"/>
      <c r="X2" s="57"/>
      <c r="Y2" s="57"/>
      <c r="Z2" s="57"/>
    </row>
    <row r="3" spans="1:144" ht="38.25" hidden="1" customHeight="1">
      <c r="A3" s="1056" t="s">
        <v>375</v>
      </c>
      <c r="B3" s="1056"/>
      <c r="C3" s="1056"/>
      <c r="D3" s="1056"/>
      <c r="E3" s="1056"/>
      <c r="F3" s="1056"/>
      <c r="G3" s="1056"/>
      <c r="H3" s="1056"/>
      <c r="I3" s="1056"/>
      <c r="J3" s="1056"/>
      <c r="K3" s="1056"/>
      <c r="L3" s="1056"/>
      <c r="M3" s="1056"/>
      <c r="N3" s="1056"/>
      <c r="O3" s="1056"/>
      <c r="P3" s="1056"/>
      <c r="Q3" s="1056"/>
      <c r="R3" s="1056"/>
      <c r="S3" s="1056"/>
      <c r="T3" s="1056"/>
      <c r="U3" s="1056"/>
      <c r="V3" s="1056"/>
      <c r="W3" s="1056"/>
      <c r="X3" s="1056"/>
      <c r="Y3" s="1056"/>
      <c r="Z3" s="1056"/>
      <c r="AA3" s="1056"/>
      <c r="AB3" s="1056"/>
      <c r="AC3" s="1056"/>
      <c r="AD3" s="1056"/>
      <c r="AE3" s="1056"/>
      <c r="AF3" s="1056"/>
      <c r="AG3" s="1056"/>
      <c r="AH3" s="1056"/>
      <c r="AI3" s="1056"/>
    </row>
    <row r="4" spans="1:144" ht="31.5" hidden="1" customHeight="1">
      <c r="A4" s="1057" t="s">
        <v>241</v>
      </c>
      <c r="B4" s="1057"/>
      <c r="C4" s="1057"/>
      <c r="D4" s="1057"/>
      <c r="E4" s="1057"/>
      <c r="F4" s="1057"/>
      <c r="G4" s="1057"/>
      <c r="H4" s="1057"/>
      <c r="I4" s="1057"/>
      <c r="J4" s="1057"/>
      <c r="K4" s="1057"/>
      <c r="L4" s="1057"/>
      <c r="M4" s="1057"/>
      <c r="N4" s="1057"/>
      <c r="O4" s="1057"/>
      <c r="P4" s="1057"/>
      <c r="Q4" s="1057"/>
      <c r="R4" s="1057"/>
      <c r="S4" s="1057"/>
      <c r="T4" s="1057"/>
      <c r="U4" s="1057"/>
      <c r="V4" s="1057"/>
      <c r="W4" s="1057"/>
      <c r="X4" s="1057"/>
      <c r="Y4" s="1057"/>
      <c r="Z4" s="1057"/>
      <c r="AA4" s="1057"/>
      <c r="AB4" s="1057"/>
      <c r="AC4" s="1057"/>
      <c r="AD4" s="1057"/>
      <c r="AE4" s="1057"/>
      <c r="AF4" s="1057"/>
      <c r="AG4" s="1057"/>
      <c r="AH4" s="1057"/>
      <c r="AI4" s="1057"/>
    </row>
    <row r="5" spans="1:144" ht="18" hidden="1" customHeight="1" thickBot="1">
      <c r="A5" s="57"/>
      <c r="B5" s="57"/>
      <c r="C5" s="57"/>
      <c r="D5" s="57"/>
      <c r="E5" s="1055" t="s">
        <v>43</v>
      </c>
      <c r="F5" s="1055"/>
      <c r="G5" s="1055"/>
      <c r="H5" s="1055"/>
      <c r="I5" s="1055"/>
      <c r="J5" s="1055"/>
      <c r="K5" s="1055"/>
      <c r="L5" s="1055"/>
      <c r="M5" s="1055"/>
      <c r="N5" s="1055"/>
      <c r="O5" s="1055"/>
      <c r="P5" s="1055"/>
      <c r="Q5" s="1055"/>
      <c r="R5" s="1055"/>
      <c r="S5" s="1055"/>
      <c r="T5" s="1055"/>
      <c r="U5" s="1055"/>
      <c r="V5" s="61"/>
      <c r="W5" s="57"/>
      <c r="X5" s="57"/>
      <c r="Y5" s="62"/>
      <c r="Z5" s="62"/>
    </row>
    <row r="6" spans="1:144" ht="16.5" customHeight="1">
      <c r="A6" s="1058" t="s">
        <v>44</v>
      </c>
      <c r="B6" s="1062" t="s">
        <v>45</v>
      </c>
      <c r="C6" s="1062" t="s">
        <v>46</v>
      </c>
      <c r="D6" s="1123" t="s">
        <v>47</v>
      </c>
      <c r="E6" s="1072" t="s">
        <v>6</v>
      </c>
      <c r="F6" s="1073"/>
      <c r="G6" s="1070" t="s">
        <v>48</v>
      </c>
      <c r="H6" s="1071"/>
      <c r="I6" s="1074" t="s">
        <v>48</v>
      </c>
      <c r="J6" s="1075"/>
      <c r="K6" s="1068" t="s">
        <v>48</v>
      </c>
      <c r="L6" s="1069"/>
      <c r="M6" s="1068" t="s">
        <v>48</v>
      </c>
      <c r="N6" s="1069"/>
      <c r="O6" s="1068" t="s">
        <v>48</v>
      </c>
      <c r="P6" s="1069"/>
      <c r="Q6" s="1068" t="s">
        <v>48</v>
      </c>
      <c r="R6" s="1069"/>
      <c r="S6" s="1068" t="s">
        <v>48</v>
      </c>
      <c r="T6" s="1069"/>
      <c r="U6" s="1085" t="s">
        <v>49</v>
      </c>
      <c r="V6" s="1085" t="s">
        <v>49</v>
      </c>
      <c r="W6" s="1103" t="s">
        <v>368</v>
      </c>
      <c r="X6" s="1100" t="s">
        <v>91</v>
      </c>
      <c r="Y6" s="1100" t="s">
        <v>369</v>
      </c>
      <c r="Z6" s="1093" t="s">
        <v>50</v>
      </c>
      <c r="AA6" s="1076" t="s">
        <v>51</v>
      </c>
      <c r="AB6" s="1077"/>
      <c r="AC6" s="1077"/>
      <c r="AD6" s="1077"/>
      <c r="AE6" s="1077"/>
      <c r="AF6" s="1077"/>
      <c r="AG6" s="1077"/>
      <c r="AH6" s="1078"/>
      <c r="AI6" s="1082" t="s">
        <v>2</v>
      </c>
    </row>
    <row r="7" spans="1:144" s="71" customFormat="1" ht="34.5" customHeight="1">
      <c r="A7" s="1059"/>
      <c r="B7" s="1063"/>
      <c r="C7" s="1063"/>
      <c r="D7" s="1124"/>
      <c r="E7" s="63" t="s">
        <v>52</v>
      </c>
      <c r="F7" s="64" t="s">
        <v>625</v>
      </c>
      <c r="G7" s="65" t="s">
        <v>52</v>
      </c>
      <c r="H7" s="66" t="s">
        <v>625</v>
      </c>
      <c r="I7" s="67" t="s">
        <v>52</v>
      </c>
      <c r="J7" s="68" t="s">
        <v>625</v>
      </c>
      <c r="K7" s="69" t="s">
        <v>52</v>
      </c>
      <c r="L7" s="70" t="s">
        <v>625</v>
      </c>
      <c r="M7" s="69" t="s">
        <v>52</v>
      </c>
      <c r="N7" s="70" t="s">
        <v>625</v>
      </c>
      <c r="O7" s="69" t="s">
        <v>52</v>
      </c>
      <c r="P7" s="70" t="s">
        <v>626</v>
      </c>
      <c r="Q7" s="69" t="s">
        <v>52</v>
      </c>
      <c r="R7" s="70" t="s">
        <v>625</v>
      </c>
      <c r="S7" s="69" t="s">
        <v>52</v>
      </c>
      <c r="T7" s="70" t="s">
        <v>625</v>
      </c>
      <c r="U7" s="1086"/>
      <c r="V7" s="1086"/>
      <c r="W7" s="1104"/>
      <c r="X7" s="1101"/>
      <c r="Y7" s="1101"/>
      <c r="Z7" s="1094"/>
      <c r="AA7" s="1109" t="s">
        <v>53</v>
      </c>
      <c r="AB7" s="1110"/>
      <c r="AC7" s="1113" t="s">
        <v>54</v>
      </c>
      <c r="AD7" s="1114"/>
      <c r="AE7" s="1088" t="s">
        <v>55</v>
      </c>
      <c r="AF7" s="1089"/>
      <c r="AG7" s="1111" t="s">
        <v>56</v>
      </c>
      <c r="AH7" s="1112"/>
      <c r="AI7" s="1083"/>
    </row>
    <row r="8" spans="1:144" s="71" customFormat="1" ht="29.25" customHeight="1" thickBot="1">
      <c r="A8" s="1059"/>
      <c r="B8" s="1063"/>
      <c r="C8" s="1063"/>
      <c r="D8" s="1124"/>
      <c r="E8" s="72" t="s">
        <v>585</v>
      </c>
      <c r="F8" s="73">
        <f>'FICHAS '!P56</f>
        <v>42</v>
      </c>
      <c r="G8" s="74" t="s">
        <v>57</v>
      </c>
      <c r="H8" s="75">
        <f>'FICHAS '!Q56</f>
        <v>2</v>
      </c>
      <c r="I8" s="76" t="s">
        <v>586</v>
      </c>
      <c r="J8" s="77">
        <f>+'FICHAS '!R56</f>
        <v>0</v>
      </c>
      <c r="K8" s="78" t="s">
        <v>587</v>
      </c>
      <c r="L8" s="79">
        <f>'FICHAS '!S56</f>
        <v>0</v>
      </c>
      <c r="M8" s="78" t="s">
        <v>588</v>
      </c>
      <c r="N8" s="79">
        <f>'FICHAS '!T56</f>
        <v>0</v>
      </c>
      <c r="O8" s="78" t="s">
        <v>589</v>
      </c>
      <c r="P8" s="79">
        <f>'FICHAS '!U56</f>
        <v>0</v>
      </c>
      <c r="Q8" s="78" t="s">
        <v>590</v>
      </c>
      <c r="R8" s="79">
        <f>+'FICHAS '!V56</f>
        <v>0</v>
      </c>
      <c r="S8" s="78" t="s">
        <v>591</v>
      </c>
      <c r="T8" s="79">
        <f>+'FICHAS '!W56</f>
        <v>0</v>
      </c>
      <c r="U8" s="1086"/>
      <c r="V8" s="1086"/>
      <c r="W8" s="1104"/>
      <c r="X8" s="1101"/>
      <c r="Y8" s="1101"/>
      <c r="Z8" s="1094"/>
      <c r="AA8" s="1065" t="s">
        <v>247</v>
      </c>
      <c r="AB8" s="1115" t="s">
        <v>59</v>
      </c>
      <c r="AC8" s="1106" t="s">
        <v>247</v>
      </c>
      <c r="AD8" s="1090" t="s">
        <v>58</v>
      </c>
      <c r="AE8" s="1096" t="s">
        <v>247</v>
      </c>
      <c r="AF8" s="1061" t="s">
        <v>59</v>
      </c>
      <c r="AG8" s="1099" t="s">
        <v>247</v>
      </c>
      <c r="AH8" s="1118" t="s">
        <v>59</v>
      </c>
      <c r="AI8" s="1083"/>
    </row>
    <row r="9" spans="1:144" s="71" customFormat="1" ht="29.25" customHeight="1" thickBot="1">
      <c r="A9" s="1059"/>
      <c r="B9" s="1063"/>
      <c r="C9" s="1063"/>
      <c r="D9" s="1124"/>
      <c r="E9" s="80" t="s">
        <v>60</v>
      </c>
      <c r="F9" s="81">
        <f>+'FICHAS '!BL56</f>
        <v>1</v>
      </c>
      <c r="G9" s="82" t="s">
        <v>60</v>
      </c>
      <c r="H9" s="83">
        <f>+'FICHAS '!BM56</f>
        <v>1</v>
      </c>
      <c r="I9" s="84" t="s">
        <v>60</v>
      </c>
      <c r="J9" s="85">
        <f>+'FICHAS '!BN56</f>
        <v>0</v>
      </c>
      <c r="K9" s="86" t="s">
        <v>60</v>
      </c>
      <c r="L9" s="87">
        <f>'FICHAS '!BO56</f>
        <v>0</v>
      </c>
      <c r="M9" s="86" t="s">
        <v>60</v>
      </c>
      <c r="N9" s="87">
        <f>'FICHAS '!BP56</f>
        <v>0</v>
      </c>
      <c r="O9" s="86" t="s">
        <v>60</v>
      </c>
      <c r="P9" s="87">
        <f>'FICHAS '!BQ56</f>
        <v>0</v>
      </c>
      <c r="Q9" s="86" t="s">
        <v>60</v>
      </c>
      <c r="R9" s="87">
        <f>+'FICHAS '!BR56</f>
        <v>0</v>
      </c>
      <c r="S9" s="86" t="s">
        <v>60</v>
      </c>
      <c r="T9" s="87">
        <f>+'FICHAS '!BS56</f>
        <v>0</v>
      </c>
      <c r="U9" s="1086"/>
      <c r="V9" s="1086"/>
      <c r="W9" s="1104"/>
      <c r="X9" s="1101"/>
      <c r="Y9" s="1101"/>
      <c r="Z9" s="1094"/>
      <c r="AA9" s="1066"/>
      <c r="AB9" s="1116"/>
      <c r="AC9" s="1107"/>
      <c r="AD9" s="1091"/>
      <c r="AE9" s="1097"/>
      <c r="AF9" s="1061"/>
      <c r="AG9" s="1099"/>
      <c r="AH9" s="1119"/>
      <c r="AI9" s="1083"/>
      <c r="AJ9" s="913" t="s">
        <v>240</v>
      </c>
    </row>
    <row r="10" spans="1:144" s="71" customFormat="1" ht="29.25" customHeight="1" thickBot="1">
      <c r="A10" s="1060"/>
      <c r="B10" s="1064"/>
      <c r="C10" s="1064"/>
      <c r="D10" s="1125"/>
      <c r="E10" s="660" t="s">
        <v>61</v>
      </c>
      <c r="F10" s="661">
        <f>+'FICHAS '!BL57</f>
        <v>41</v>
      </c>
      <c r="G10" s="662" t="s">
        <v>61</v>
      </c>
      <c r="H10" s="663">
        <f>+'FICHAS '!BM57</f>
        <v>1</v>
      </c>
      <c r="I10" s="664" t="s">
        <v>61</v>
      </c>
      <c r="J10" s="665">
        <f>+'FICHAS '!BN57</f>
        <v>0</v>
      </c>
      <c r="K10" s="666" t="s">
        <v>61</v>
      </c>
      <c r="L10" s="667">
        <f>'FICHAS '!BO57</f>
        <v>0</v>
      </c>
      <c r="M10" s="666" t="s">
        <v>61</v>
      </c>
      <c r="N10" s="667">
        <f>'FICHAS '!BP57</f>
        <v>0</v>
      </c>
      <c r="O10" s="666" t="s">
        <v>61</v>
      </c>
      <c r="P10" s="667">
        <f>'FICHAS '!BQ57</f>
        <v>0</v>
      </c>
      <c r="Q10" s="666" t="s">
        <v>61</v>
      </c>
      <c r="R10" s="667">
        <f>+'FICHAS '!BR57</f>
        <v>0</v>
      </c>
      <c r="S10" s="666" t="s">
        <v>61</v>
      </c>
      <c r="T10" s="667">
        <f>+'FICHAS '!BS57</f>
        <v>0</v>
      </c>
      <c r="U10" s="1087"/>
      <c r="V10" s="1087"/>
      <c r="W10" s="1105"/>
      <c r="X10" s="1102"/>
      <c r="Y10" s="1102"/>
      <c r="Z10" s="1095"/>
      <c r="AA10" s="1067"/>
      <c r="AB10" s="1117"/>
      <c r="AC10" s="1108"/>
      <c r="AD10" s="1092"/>
      <c r="AE10" s="1098"/>
      <c r="AF10" s="1061"/>
      <c r="AG10" s="1099"/>
      <c r="AH10" s="1120"/>
      <c r="AI10" s="1084"/>
    </row>
    <row r="11" spans="1:144" s="71" customFormat="1" ht="29.25" customHeight="1">
      <c r="A11" s="88"/>
      <c r="B11" s="89"/>
      <c r="C11" s="89"/>
      <c r="D11" s="90"/>
      <c r="E11" s="668" t="s">
        <v>624</v>
      </c>
      <c r="F11" s="661">
        <f>'FICHAS '!BU56+'FICHAS '!BW56</f>
        <v>46</v>
      </c>
      <c r="G11" s="669" t="s">
        <v>624</v>
      </c>
      <c r="H11" s="669">
        <f>'FICHAS '!BX56</f>
        <v>0</v>
      </c>
      <c r="I11" s="670" t="s">
        <v>624</v>
      </c>
      <c r="J11" s="670">
        <f>'FICHAS '!BY56</f>
        <v>0</v>
      </c>
      <c r="K11" s="671" t="s">
        <v>624</v>
      </c>
      <c r="L11" s="671">
        <f>'FICHAS '!BZ56</f>
        <v>0</v>
      </c>
      <c r="M11" s="671" t="s">
        <v>624</v>
      </c>
      <c r="N11" s="671">
        <f>'FICHAS '!CA56</f>
        <v>0</v>
      </c>
      <c r="O11" s="671" t="s">
        <v>624</v>
      </c>
      <c r="P11" s="671">
        <f>'FICHAS '!CB56</f>
        <v>0</v>
      </c>
      <c r="Q11" s="671" t="s">
        <v>624</v>
      </c>
      <c r="R11" s="671">
        <f>'FICHAS '!CC56</f>
        <v>0</v>
      </c>
      <c r="S11" s="671" t="s">
        <v>624</v>
      </c>
      <c r="T11" s="671">
        <f>'FICHAS '!CD56</f>
        <v>0</v>
      </c>
      <c r="U11" s="91"/>
      <c r="V11" s="92"/>
      <c r="W11" s="93"/>
      <c r="X11" s="94"/>
      <c r="Y11" s="94"/>
      <c r="Z11" s="95"/>
      <c r="AA11" s="96"/>
      <c r="AB11" s="97"/>
      <c r="AC11" s="98"/>
      <c r="AD11" s="99"/>
      <c r="AE11" s="100"/>
      <c r="AF11" s="672"/>
      <c r="AG11" s="673"/>
      <c r="AH11" s="101"/>
      <c r="AI11" s="102"/>
    </row>
    <row r="12" spans="1:144" s="60" customFormat="1" ht="32.25" customHeight="1">
      <c r="A12" s="103">
        <v>1</v>
      </c>
      <c r="B12" s="104" t="s">
        <v>62</v>
      </c>
      <c r="C12" s="105" t="s">
        <v>92</v>
      </c>
      <c r="D12" s="106" t="s">
        <v>63</v>
      </c>
      <c r="E12" s="107">
        <f>+(E16*0.4*0.4)+(E17*0.4*0.5)+(E18*0.4*0.4)+(E22*((PI()*(0.2^2))/2)*0.35)+E21*(((PI()*(1.5)^2)/4)*1.8)+0.1+IF(F9&gt;0,(E43*0.15*0.1),0)</f>
        <v>9.8009489484300332</v>
      </c>
      <c r="F12" s="108">
        <f>+E12*$F$8</f>
        <v>411.63985583406139</v>
      </c>
      <c r="G12" s="109">
        <f>+(G16*0.4*0.4)+(G17*0.4*0.5)+(G18*0.4*0.5)+(G24*((PI()*(0.2^2))/2)*0.35)+G23*(((3.1416*(1.8)^2)/4)*1.8)+0.1+IF(H9&gt;0,(G42*0.15*0.1),0)</f>
        <v>15.932443948575129</v>
      </c>
      <c r="H12" s="110">
        <f t="shared" ref="H12:H17" si="0">+G12*$H$8</f>
        <v>31.864887897150258</v>
      </c>
      <c r="I12" s="109">
        <f>+(I16*0.4*0.4)+(I17*0.4*0.5)+(I18*0.4*0.4)+(I26*((PI()*(0.2^2))/2)*0.35)+I25*(((3.1416*(1.9)^2)/4)*1.9)+0.1+IF(J9&gt;0,(I43*0.15*0.15),0)</f>
        <v>5.9890497485751277</v>
      </c>
      <c r="J12" s="110">
        <f>+I12*$J$8</f>
        <v>0</v>
      </c>
      <c r="K12" s="109">
        <f>+(K16*0.4*0.4)+(K17*0.4*0.5)+(K18*0.4*0.4)+(K28*((PI()*(0.2^2))/2)*0.35)+K27*(((3.1416*(2.1)^2)/4)*2.2)+0.12+IF(L9&gt;0,(K43*0.15*0.15),0)</f>
        <v>8.3219419485751285</v>
      </c>
      <c r="L12" s="110">
        <f>+K12*$L$8</f>
        <v>0</v>
      </c>
      <c r="M12" s="109">
        <f>+(M16*0.4*0.4)+(M17*0.4*0.5)+(M18*0.4*0.4)+(M30*((PI()*(0.2^2))/2)*0.35)+M29*(((3.1416*(2.5)^2)/4)*2.3)+0.12+IF(N9&gt;0,(M43*0.15*0.15))</f>
        <v>11.992116148575127</v>
      </c>
      <c r="N12" s="110">
        <f>+M12*$N$8</f>
        <v>0</v>
      </c>
      <c r="O12" s="109">
        <f>+(O16*0.4*0.4)+(O17*0.4*0.5)+(O18*0.4*0.4)+(O32*((PI()*(0.2^2))/2)*0.35)+O31*(((3.1416*(2.5)^2)/4)*2.3)+0.15+IF(P9&gt;0,(O43*0.15*0.15),0)</f>
        <v>12.022116148575128</v>
      </c>
      <c r="P12" s="111">
        <f>+O12*$P$8</f>
        <v>0</v>
      </c>
      <c r="Q12" s="110">
        <f>+(Q16*0.4*0.4)+(Q17*0.4*0.5)+(Q18*0.4*0.4)+(Q34*((PI()*(0.2^2))/2)*0.35)+Q33*(((3.1416*(2.6)^2)/4)*2.5)+0.15+IF(R9&gt;0,(Q43*0.15*0.15),0)</f>
        <v>14.005251148575129</v>
      </c>
      <c r="R12" s="110">
        <f>+Q12*$R$8</f>
        <v>0</v>
      </c>
      <c r="S12" s="110">
        <f>+(S16*0.4*0.4)+(S17*0.4*0.5)+(S18*0.4*0.4)+(S36*((PI()*(0.2^2))/2)*0.35)+S35*(((3.1416*(2.8)^2)/4)*2.6)+0.15+IF(T9&gt;0,(S43*0.15*0.15),0)</f>
        <v>16.741584748575125</v>
      </c>
      <c r="T12" s="110">
        <f>+S12*$T$8</f>
        <v>0</v>
      </c>
      <c r="U12" s="110">
        <f>+F12+H12+J12+L12+N12+P12+R12+T12</f>
        <v>443.50474373121165</v>
      </c>
      <c r="V12" s="113">
        <f>+ROUND(U12,1)</f>
        <v>443.5</v>
      </c>
      <c r="W12" s="114">
        <f>'A.P.U. 2023'!F9</f>
        <v>28013.16</v>
      </c>
      <c r="X12" s="114">
        <f>'A.P.U. 2023'!G9</f>
        <v>28013.16</v>
      </c>
      <c r="Y12" s="115">
        <f t="shared" ref="Y12:Y44" si="1">V12*W12</f>
        <v>12423836.459999999</v>
      </c>
      <c r="Z12" s="116">
        <f t="shared" ref="Z12:Z40" si="2">V12*X12</f>
        <v>12423836.459999999</v>
      </c>
      <c r="AA12" s="117"/>
      <c r="AB12" s="118"/>
      <c r="AC12" s="119"/>
      <c r="AD12" s="116"/>
      <c r="AE12" s="120"/>
      <c r="AF12" s="114"/>
      <c r="AG12" s="120">
        <f>'A.P.U. 2023'!F9</f>
        <v>28013.16</v>
      </c>
      <c r="AH12" s="116">
        <f>+AG12*V12</f>
        <v>12423836.459999999</v>
      </c>
      <c r="AI12" s="874">
        <f>+AB12+AD12+AF12+AH12</f>
        <v>12423836.459999999</v>
      </c>
    </row>
    <row r="13" spans="1:144" s="60" customFormat="1" ht="30" customHeight="1">
      <c r="A13" s="122">
        <f>+A12+1</f>
        <v>2</v>
      </c>
      <c r="B13" s="123" t="s">
        <v>64</v>
      </c>
      <c r="C13" s="124" t="s">
        <v>93</v>
      </c>
      <c r="D13" s="125" t="s">
        <v>63</v>
      </c>
      <c r="E13" s="126">
        <f>+E12*0.01</f>
        <v>9.8009489484300327E-2</v>
      </c>
      <c r="F13" s="108">
        <f>+E13*$F$8</f>
        <v>4.116398558340614</v>
      </c>
      <c r="G13" s="607">
        <f>G12*0.01</f>
        <v>0.15932443948575128</v>
      </c>
      <c r="H13" s="112">
        <f t="shared" si="0"/>
        <v>0.31864887897150257</v>
      </c>
      <c r="I13" s="607">
        <f>+I12*0.01</f>
        <v>5.989049748575128E-2</v>
      </c>
      <c r="J13" s="112">
        <f>+I13*$J$8</f>
        <v>0</v>
      </c>
      <c r="K13" s="607">
        <f>+K12*0.01</f>
        <v>8.3219419485751289E-2</v>
      </c>
      <c r="L13" s="112">
        <f>+K13*$L$8</f>
        <v>0</v>
      </c>
      <c r="M13" s="607">
        <f>+M12*0.01</f>
        <v>0.11992116148575127</v>
      </c>
      <c r="N13" s="112">
        <f>+M13*$N$8</f>
        <v>0</v>
      </c>
      <c r="O13" s="607">
        <f>+O12*0.01</f>
        <v>0.12022116148575128</v>
      </c>
      <c r="P13" s="128">
        <f>+O13*$P$8</f>
        <v>0</v>
      </c>
      <c r="Q13" s="608">
        <f>+Q12*0.01</f>
        <v>0.14005251148575129</v>
      </c>
      <c r="R13" s="112">
        <f>+Q13*$R$8</f>
        <v>0</v>
      </c>
      <c r="S13" s="608">
        <f>+S12*1%</f>
        <v>0.16741584748575125</v>
      </c>
      <c r="T13" s="112">
        <f>+S13*$T$8</f>
        <v>0</v>
      </c>
      <c r="U13" s="112">
        <f t="shared" ref="U13:U18" si="3">+F13+H13+J13+L13+N13+P13+R13+T13</f>
        <v>4.4350474373121163</v>
      </c>
      <c r="V13" s="113">
        <f>+ROUND(U13,1)</f>
        <v>4.4000000000000004</v>
      </c>
      <c r="W13" s="121">
        <f>'A.P.U. 2023'!F17</f>
        <v>145647.7414</v>
      </c>
      <c r="X13" s="121">
        <f>'A.P.U. 2023'!G17</f>
        <v>145647.7414</v>
      </c>
      <c r="Y13" s="129">
        <f t="shared" si="1"/>
        <v>640850.06216000009</v>
      </c>
      <c r="Z13" s="130">
        <f t="shared" si="2"/>
        <v>640850.06216000009</v>
      </c>
      <c r="AA13" s="131"/>
      <c r="AB13" s="132"/>
      <c r="AC13" s="131"/>
      <c r="AD13" s="130"/>
      <c r="AE13" s="133"/>
      <c r="AF13" s="121"/>
      <c r="AG13" s="133">
        <f>'A.P.U. 2023'!F17</f>
        <v>145647.7414</v>
      </c>
      <c r="AH13" s="130">
        <f>+AG13*V13</f>
        <v>640850.06216000009</v>
      </c>
      <c r="AI13" s="875">
        <f>+AB13+AD13+AF13+AH13</f>
        <v>640850.06216000009</v>
      </c>
    </row>
    <row r="14" spans="1:144" s="60" customFormat="1" ht="42" customHeight="1">
      <c r="A14" s="122">
        <f>+A12+1</f>
        <v>2</v>
      </c>
      <c r="B14" s="123" t="s">
        <v>65</v>
      </c>
      <c r="C14" s="124" t="s">
        <v>94</v>
      </c>
      <c r="D14" s="125" t="s">
        <v>63</v>
      </c>
      <c r="E14" s="134">
        <f>+E12-((((3.1416*(2*0.0254)^2)/4)*E16)+(((3.1416*(3*0.0254)^2)/4)*E17)+(((3.1416*(3*0.0254)^2)/4)*E18)+(((3.1416*(4*0.0254)^2)/4)*E42)+E21*(((3.1416*(1.2)^2)/4)*1.5)+IF(F9&gt;0,(((3.1416*(2*0.0254)^2)/4)*E42),0))</f>
        <v>7.4895939846660333</v>
      </c>
      <c r="F14" s="135">
        <f>+E14*$F$8</f>
        <v>314.56294735597339</v>
      </c>
      <c r="G14" s="127">
        <f>+G12-((((3.1416*(2*0.0254)^2)/4)*G16)+(((3.1416*(3*0.0254)^2)/4)*G17)+(((3.1416*(3*0.0254)^2)/4)*G18)+(((G23*(((3.1416*(1.5)^2)/4)*1.5)+IF(H9&gt;0,(((3.1416*(2*0.0254)^2)/4)*G42),0)))))</f>
        <v>12.946277813007129</v>
      </c>
      <c r="H14" s="112">
        <f t="shared" si="0"/>
        <v>25.892555626014257</v>
      </c>
      <c r="I14" s="127">
        <f>+I12-((((3.1416*(2*0.0254)^2)/4)*I16)+(((3.1416*(3*0.0254)^2)/4)*I17)+(((3.1416*(3*0.0254)^2)/4)*I18)+I25*(((3.1416*(1.6)^2)/4)*1.6)+IF(J9&gt;0,(((3.1416*(2*0.0254)^2)/4)*I43),0))</f>
        <v>2.7659708446071267</v>
      </c>
      <c r="J14" s="135">
        <f>+I14*$J$8</f>
        <v>0</v>
      </c>
      <c r="K14" s="127">
        <f>+K12-((((3.1416*(2*0.0254)^2)/4)*K16)+(((3.1416*(3*0.0254)^2)/4)*K17)+(((3.1416*(3*0.0254)^2)/4)*K18)+K27*(((3.1416*(1.8)^2)/4)*1.9)+IF(L9&gt;0,(((3.1416*(2*0.0254)^2)/4)*K43),0))</f>
        <v>3.4799256272791288</v>
      </c>
      <c r="L14" s="135">
        <f>+K14*$L$8</f>
        <v>0</v>
      </c>
      <c r="M14" s="127">
        <f>+M12-((((3.1416*(2*0.0254)^2)/4)*M16)+(((3.1416*(3*0.0254)^2)/4)*M17)+(((3.1416*(3*0.0254)^2)/4)*M18)+M29*(((3.1416*(2)^2)/4)*2)+IF(N9&gt;0,(((3.1416*(2*0.0254)^2)/4)*M43),0))</f>
        <v>5.701822227279127</v>
      </c>
      <c r="N14" s="135">
        <f>+M14*$N$8</f>
        <v>0</v>
      </c>
      <c r="O14" s="127">
        <f>+O12-((((3.1416*(2*0.0254)^2)/4)*O16)+(((3.1416*(3*0.0254)^2)/4)*O17)+(((3.1416*(3*0.0254)^2)/4)*O18)+O31*(((3.1416*(2.2)^2)/4)*2)+IF(P9&gt;0,(((3.1416*(2*0.0254)^2)/4)*O43),0))</f>
        <v>4.4123502272791271</v>
      </c>
      <c r="P14" s="136">
        <f>+O14*$P$8</f>
        <v>0</v>
      </c>
      <c r="Q14" s="135">
        <f>+Q12-((((3.1416*(2*0.0254)^2)/4)*Q16)+(((3.1416*(3*0.0254)^2)/4)*Q17)+(((3.1416*(3*0.0254)^2)/4)*Q18)+Q31*(((3.1416*(2.2)^2)/4)*2)+IF(R9&gt;0,(((3.1416*(2*0.0254)^2)/4)*Q43),0))</f>
        <v>13.998157227279128</v>
      </c>
      <c r="R14" s="135">
        <f>+Q14*$R$8</f>
        <v>0</v>
      </c>
      <c r="S14" s="135">
        <f>+S12-((((3.1416*(2*0.0254)^2)/4)*S16)+(((3.1416*(3*0.0254)^2)/4)*S17)+(((3.1416*(3*0.0254)^2)/4)*S18)+S31*(((3.1416*(2.2)^2)/4)*2)+IF(T9&gt;0,(((3.1416*(2*0.0254)^2)/4)*S43),0))</f>
        <v>16.734490827279124</v>
      </c>
      <c r="T14" s="135">
        <f>+S14*$T$8</f>
        <v>0</v>
      </c>
      <c r="U14" s="135">
        <f>+F14+H14+J14+L14+N14+P14+R14+T14</f>
        <v>340.45550298198765</v>
      </c>
      <c r="V14" s="113">
        <f t="shared" ref="V14:V49" si="4">+ROUND(U14,1)</f>
        <v>340.5</v>
      </c>
      <c r="W14" s="121">
        <f>'A.P.U. 2023'!F23</f>
        <v>23344.300000000003</v>
      </c>
      <c r="X14" s="121">
        <f>'A.P.U. 2023'!G23</f>
        <v>23344.300000000003</v>
      </c>
      <c r="Y14" s="129">
        <f t="shared" si="1"/>
        <v>7948734.1500000013</v>
      </c>
      <c r="Z14" s="130">
        <f t="shared" si="2"/>
        <v>7948734.1500000013</v>
      </c>
      <c r="AA14" s="131"/>
      <c r="AB14" s="132"/>
      <c r="AC14" s="131"/>
      <c r="AD14" s="130"/>
      <c r="AE14" s="133"/>
      <c r="AF14" s="121"/>
      <c r="AG14" s="133">
        <f>'A.P.U. 2023'!F23</f>
        <v>23344.300000000003</v>
      </c>
      <c r="AH14" s="130">
        <f>+AG14*V14</f>
        <v>7948734.1500000013</v>
      </c>
      <c r="AI14" s="875">
        <f>+AB14+AD14+AF14+AH14</f>
        <v>7948734.1500000013</v>
      </c>
    </row>
    <row r="15" spans="1:144" s="60" customFormat="1" ht="43.5" customHeight="1">
      <c r="A15" s="122">
        <f t="shared" ref="A15:A46" si="5">+A14+1</f>
        <v>3</v>
      </c>
      <c r="B15" s="123" t="s">
        <v>66</v>
      </c>
      <c r="C15" s="124" t="s">
        <v>95</v>
      </c>
      <c r="D15" s="125" t="s">
        <v>63</v>
      </c>
      <c r="E15" s="134">
        <f>+(E12-E14)</f>
        <v>2.3113549637639998</v>
      </c>
      <c r="F15" s="135">
        <f>+E15*$F$8</f>
        <v>97.076908478088001</v>
      </c>
      <c r="G15" s="127">
        <f>+(G12-G14)</f>
        <v>2.9861661355680003</v>
      </c>
      <c r="H15" s="112">
        <f t="shared" si="0"/>
        <v>5.9723322711360005</v>
      </c>
      <c r="I15" s="127">
        <f>+(I12-I14)</f>
        <v>3.223078903968001</v>
      </c>
      <c r="J15" s="135">
        <f>+I15*$J$8</f>
        <v>0</v>
      </c>
      <c r="K15" s="127">
        <f>+(K12-K14)</f>
        <v>4.8420163212959997</v>
      </c>
      <c r="L15" s="135">
        <f>+K15*$L$8</f>
        <v>0</v>
      </c>
      <c r="M15" s="127">
        <f>+(M12-M14)</f>
        <v>6.2902939212959996</v>
      </c>
      <c r="N15" s="135">
        <f>+M15*$N$8</f>
        <v>0</v>
      </c>
      <c r="O15" s="127">
        <f>+(O12-O14)</f>
        <v>7.6097659212960007</v>
      </c>
      <c r="P15" s="136">
        <f>+O15*$P$8</f>
        <v>0</v>
      </c>
      <c r="Q15" s="135">
        <f>+(Q12-Q14)</f>
        <v>7.0939212960006159E-3</v>
      </c>
      <c r="R15" s="135">
        <f>+Q15*$R$8</f>
        <v>0</v>
      </c>
      <c r="S15" s="135">
        <f>+(S12-S14)</f>
        <v>7.0939212960006159E-3</v>
      </c>
      <c r="T15" s="135">
        <f>+S15*$T$8</f>
        <v>0</v>
      </c>
      <c r="U15" s="135">
        <f t="shared" si="3"/>
        <v>103.049240749224</v>
      </c>
      <c r="V15" s="113">
        <f t="shared" si="4"/>
        <v>103</v>
      </c>
      <c r="W15" s="121">
        <f>'A.P.U. 2023'!F29</f>
        <v>2801.3160000000003</v>
      </c>
      <c r="X15" s="121">
        <f>'A.P.U. 2023'!G29</f>
        <v>2801.3160000000003</v>
      </c>
      <c r="Y15" s="129">
        <f t="shared" si="1"/>
        <v>288535.54800000001</v>
      </c>
      <c r="Z15" s="130">
        <f t="shared" si="2"/>
        <v>288535.54800000001</v>
      </c>
      <c r="AA15" s="137"/>
      <c r="AB15" s="138"/>
      <c r="AC15" s="137"/>
      <c r="AD15" s="139"/>
      <c r="AE15" s="140"/>
      <c r="AF15" s="141"/>
      <c r="AG15" s="140">
        <f>'A.P.U. 2023'!G29</f>
        <v>2801.3160000000003</v>
      </c>
      <c r="AH15" s="139">
        <f>+AG15*V15</f>
        <v>288535.54800000001</v>
      </c>
      <c r="AI15" s="875">
        <f>+AB15+AD15+AF15+AH15</f>
        <v>288535.54800000001</v>
      </c>
      <c r="AJ15" s="60">
        <v>2023</v>
      </c>
    </row>
    <row r="16" spans="1:144" s="153" customFormat="1">
      <c r="A16" s="142">
        <f t="shared" si="5"/>
        <v>4</v>
      </c>
      <c r="B16" s="143" t="s">
        <v>67</v>
      </c>
      <c r="C16" s="144" t="s">
        <v>86</v>
      </c>
      <c r="D16" s="145" t="s">
        <v>68</v>
      </c>
      <c r="E16" s="145">
        <f>3</f>
        <v>3</v>
      </c>
      <c r="F16" s="145">
        <f>E16*$F$8+(IF(F10=0,"0",(F10*'FICHAS '!AZ57)))</f>
        <v>283</v>
      </c>
      <c r="G16" s="145">
        <v>3</v>
      </c>
      <c r="H16" s="146">
        <f t="shared" si="0"/>
        <v>6</v>
      </c>
      <c r="I16" s="145">
        <v>3</v>
      </c>
      <c r="J16" s="145">
        <f>+I16*$J$8</f>
        <v>0</v>
      </c>
      <c r="K16" s="145">
        <v>3.5</v>
      </c>
      <c r="L16" s="145">
        <f>+K16*$L$8</f>
        <v>0</v>
      </c>
      <c r="M16" s="145">
        <f>5*0.7</f>
        <v>3.5</v>
      </c>
      <c r="N16" s="145">
        <f>+M16*$N$8</f>
        <v>0</v>
      </c>
      <c r="O16" s="145">
        <f>5*0.7</f>
        <v>3.5</v>
      </c>
      <c r="P16" s="147">
        <f>+O16*$P$8+(P10*'FICHAS '!BE56)</f>
        <v>0</v>
      </c>
      <c r="Q16" s="145">
        <f>5*0.7</f>
        <v>3.5</v>
      </c>
      <c r="R16" s="145">
        <f>+Q16*$P$8</f>
        <v>0</v>
      </c>
      <c r="S16" s="145">
        <f>5*0.7</f>
        <v>3.5</v>
      </c>
      <c r="T16" s="145">
        <f>+S16*$P$8</f>
        <v>0</v>
      </c>
      <c r="U16" s="145">
        <f>+F16+H16+J16+L16+N16+P16+R16+T16</f>
        <v>289</v>
      </c>
      <c r="V16" s="148">
        <f>+ROUND(U16,1)</f>
        <v>289</v>
      </c>
      <c r="W16" s="149">
        <f>'A.P.U. 2023'!F39</f>
        <v>34659.042152894734</v>
      </c>
      <c r="X16" s="149">
        <f>'A.P.U. 2023'!G39</f>
        <v>40436.185825163637</v>
      </c>
      <c r="Y16" s="150">
        <f t="shared" si="1"/>
        <v>10016463.182186577</v>
      </c>
      <c r="Z16" s="151">
        <f t="shared" si="2"/>
        <v>11686057.70347229</v>
      </c>
      <c r="AA16" s="152">
        <f>'A.P.U. 2023'!G32</f>
        <v>15877.575000000001</v>
      </c>
      <c r="AB16" s="152">
        <f>AA16*V16</f>
        <v>4588619.1749999998</v>
      </c>
      <c r="AC16" s="152">
        <f>'A.P.U. 2023'!G33+'A.P.U. 2023'!G35</f>
        <v>20305.588</v>
      </c>
      <c r="AD16" s="152">
        <f>+AC16*V16</f>
        <v>5868314.932</v>
      </c>
      <c r="AE16" s="152">
        <f>+'A.P.U. 2023'!G34</f>
        <v>166.3598251636364</v>
      </c>
      <c r="AF16" s="152">
        <f>+AE16*V16</f>
        <v>48077.989472290923</v>
      </c>
      <c r="AG16" s="152">
        <f>+'A.P.U. 2023'!G36+'A.P.U. 2023'!G37</f>
        <v>4086.663</v>
      </c>
      <c r="AH16" s="152">
        <f>+AG16*V16</f>
        <v>1181045.6070000001</v>
      </c>
      <c r="AI16" s="137">
        <f>+AB16+AD16+AF16+AH16</f>
        <v>11686057.703472292</v>
      </c>
      <c r="AJ16" s="610">
        <f>+'A.P.U. 2023'!L32</f>
        <v>1669594.5212857146</v>
      </c>
      <c r="AK16" s="611"/>
      <c r="AL16" s="610"/>
      <c r="AM16" s="771"/>
      <c r="AN16" s="771"/>
      <c r="AO16" s="771"/>
      <c r="AP16" s="771"/>
      <c r="AQ16" s="771"/>
      <c r="AR16" s="771"/>
      <c r="AS16" s="771"/>
      <c r="AT16" s="771"/>
      <c r="AU16" s="771"/>
      <c r="AV16" s="771"/>
      <c r="AW16" s="771"/>
      <c r="AX16" s="771"/>
      <c r="AY16" s="771"/>
      <c r="AZ16" s="771"/>
      <c r="BA16" s="771"/>
      <c r="BB16" s="771"/>
      <c r="BC16" s="771"/>
      <c r="BD16" s="771"/>
      <c r="BE16" s="771"/>
      <c r="BF16" s="771"/>
      <c r="BG16" s="771"/>
      <c r="BH16" s="771"/>
      <c r="BI16" s="771"/>
      <c r="BJ16" s="771"/>
      <c r="BK16" s="771"/>
      <c r="BL16" s="771"/>
      <c r="BM16" s="771"/>
      <c r="BN16" s="771"/>
      <c r="BO16" s="771"/>
      <c r="BP16" s="771"/>
      <c r="BQ16" s="771"/>
      <c r="BR16" s="771"/>
      <c r="BS16" s="771"/>
      <c r="BT16" s="771"/>
      <c r="BU16" s="771"/>
      <c r="BV16" s="771"/>
      <c r="BW16" s="771"/>
      <c r="BX16" s="771"/>
      <c r="BY16" s="771"/>
      <c r="BZ16" s="771"/>
      <c r="CA16" s="771"/>
      <c r="CB16" s="771"/>
      <c r="CC16" s="771"/>
      <c r="CD16" s="771"/>
      <c r="CE16" s="771"/>
      <c r="CF16" s="771"/>
      <c r="CG16" s="771"/>
      <c r="CH16" s="771"/>
      <c r="CI16" s="771"/>
      <c r="CJ16" s="771"/>
      <c r="CK16" s="771"/>
      <c r="CL16" s="771"/>
      <c r="CM16" s="771"/>
      <c r="CN16" s="771"/>
      <c r="CO16" s="771"/>
      <c r="CP16" s="771"/>
      <c r="CQ16" s="771"/>
      <c r="CR16" s="771"/>
      <c r="CS16" s="771"/>
      <c r="CT16" s="771"/>
      <c r="CU16" s="771"/>
      <c r="CV16" s="771"/>
      <c r="CW16" s="771"/>
      <c r="CX16" s="771"/>
      <c r="CY16" s="771"/>
      <c r="CZ16" s="771"/>
      <c r="DA16" s="771"/>
      <c r="DB16" s="771"/>
      <c r="DC16" s="771"/>
      <c r="DD16" s="771"/>
      <c r="DE16" s="771"/>
      <c r="DF16" s="771"/>
      <c r="DG16" s="771"/>
      <c r="DH16" s="771"/>
      <c r="DI16" s="771"/>
      <c r="DJ16" s="771"/>
      <c r="DK16" s="771"/>
      <c r="DL16" s="771"/>
      <c r="DM16" s="771"/>
      <c r="DN16" s="771"/>
      <c r="DO16" s="771"/>
      <c r="DP16" s="771"/>
      <c r="DQ16" s="771"/>
      <c r="DR16" s="771"/>
      <c r="DS16" s="771"/>
      <c r="DT16" s="771"/>
      <c r="DU16" s="771"/>
      <c r="DV16" s="771"/>
      <c r="DW16" s="771"/>
      <c r="DX16" s="771"/>
      <c r="DY16" s="771"/>
      <c r="DZ16" s="771"/>
      <c r="EA16" s="771"/>
      <c r="EB16" s="771"/>
      <c r="EC16" s="771"/>
      <c r="ED16" s="771"/>
      <c r="EE16" s="771"/>
      <c r="EF16" s="771"/>
      <c r="EG16" s="771"/>
      <c r="EH16" s="771"/>
      <c r="EI16" s="771"/>
      <c r="EJ16" s="771"/>
      <c r="EK16" s="771"/>
      <c r="EL16" s="771"/>
      <c r="EM16" s="771"/>
      <c r="EN16" s="771"/>
    </row>
    <row r="17" spans="1:144" s="169" customFormat="1" ht="28.15" customHeight="1">
      <c r="A17" s="154">
        <f>+A16+1</f>
        <v>5</v>
      </c>
      <c r="B17" s="155" t="s">
        <v>67</v>
      </c>
      <c r="C17" s="156" t="s">
        <v>599</v>
      </c>
      <c r="D17" s="157" t="s">
        <v>68</v>
      </c>
      <c r="E17" s="158">
        <f>+'FICHAS '!Y57</f>
        <v>16.452380952380953</v>
      </c>
      <c r="F17" s="159">
        <f>+E17*$F$8</f>
        <v>691</v>
      </c>
      <c r="G17" s="160">
        <f>+'FICHAS '!Z57</f>
        <v>25</v>
      </c>
      <c r="H17" s="161">
        <f t="shared" si="0"/>
        <v>50</v>
      </c>
      <c r="I17" s="160">
        <f>+'FICHAS '!AA57</f>
        <v>0</v>
      </c>
      <c r="J17" s="159">
        <f>+I17*$J$8+(1*J9)+(5*J10)</f>
        <v>0</v>
      </c>
      <c r="K17" s="160">
        <f>+'FICHAS '!AB57</f>
        <v>0</v>
      </c>
      <c r="L17" s="159">
        <f>+K17*$L$8+(1*L9)+(5*L10)</f>
        <v>0</v>
      </c>
      <c r="M17" s="160">
        <f>+'FICHAS '!AC57</f>
        <v>0</v>
      </c>
      <c r="N17" s="159">
        <f>+M17*$N$8+(1*N9)+(5*N10)</f>
        <v>0</v>
      </c>
      <c r="O17" s="160">
        <f>+'FICHAS '!AD57</f>
        <v>0</v>
      </c>
      <c r="P17" s="162">
        <f>+O17*$P$8+(1*P9)+(5*P10)</f>
        <v>0</v>
      </c>
      <c r="Q17" s="159">
        <f>+'FICHAS '!AE57</f>
        <v>0</v>
      </c>
      <c r="R17" s="159">
        <f>+Q17*$R$8+(1*R9)+(5*R10)</f>
        <v>0</v>
      </c>
      <c r="S17" s="159">
        <f>+'FICHAS '!AF57</f>
        <v>0</v>
      </c>
      <c r="T17" s="159">
        <f>+S17*$P$8+(1*T9)+(5*T10)</f>
        <v>0</v>
      </c>
      <c r="U17" s="159">
        <f t="shared" si="3"/>
        <v>741</v>
      </c>
      <c r="V17" s="163">
        <f>+ROUND(U17,1)</f>
        <v>741</v>
      </c>
      <c r="W17" s="164">
        <f>+'A.P.U. 2023'!F49</f>
        <v>30846.66437348297</v>
      </c>
      <c r="X17" s="164">
        <f>+'A.P.U. 2023'!G49</f>
        <v>35705.339775163637</v>
      </c>
      <c r="Y17" s="165">
        <f t="shared" si="1"/>
        <v>22857378.300750881</v>
      </c>
      <c r="Z17" s="166">
        <f t="shared" si="2"/>
        <v>26457656.773396254</v>
      </c>
      <c r="AA17" s="167">
        <f>+'A.P.U. 2023'!G42</f>
        <v>23715.3</v>
      </c>
      <c r="AB17" s="167">
        <f>+AA17*V17</f>
        <v>17573037.300000001</v>
      </c>
      <c r="AC17" s="167">
        <f>+'A.P.U. 2023'!G43+'A.P.U. 2023'!G45</f>
        <v>6715.3511999999992</v>
      </c>
      <c r="AD17" s="167">
        <f t="shared" ref="AD17:AD45" si="6">+AC17*V17</f>
        <v>4976075.2391999997</v>
      </c>
      <c r="AE17" s="167">
        <f>+'A.P.U. 2023'!G44</f>
        <v>166.3598251636364</v>
      </c>
      <c r="AF17" s="167">
        <f t="shared" ref="AF17:AF43" si="7">+AE17*V17</f>
        <v>123272.63044625457</v>
      </c>
      <c r="AG17" s="167">
        <f>+'A.P.U. 2023'!G46+'A.P.U. 2023'!G47</f>
        <v>5108.3287499999997</v>
      </c>
      <c r="AH17" s="167">
        <f t="shared" ref="AH17:AH43" si="8">+AG17*V17</f>
        <v>3785271.6037499998</v>
      </c>
      <c r="AI17" s="137">
        <f t="shared" ref="AI17:AI53" si="9">+AB17+AD17+AF17+AH17</f>
        <v>26457656.773396254</v>
      </c>
      <c r="AJ17" s="610">
        <f>+'A.P.U. 2023'!L42</f>
        <v>3600278.4726453684</v>
      </c>
      <c r="AK17" s="611"/>
      <c r="AL17" s="611"/>
      <c r="AM17" s="771"/>
      <c r="AN17" s="771"/>
      <c r="AO17" s="771"/>
      <c r="AP17" s="771"/>
      <c r="AQ17" s="771"/>
      <c r="AR17" s="771"/>
      <c r="AS17" s="771"/>
      <c r="AT17" s="771"/>
      <c r="AU17" s="771"/>
      <c r="AV17" s="771"/>
      <c r="AW17" s="771"/>
      <c r="AX17" s="771"/>
      <c r="AY17" s="771"/>
      <c r="AZ17" s="771"/>
      <c r="BA17" s="771"/>
      <c r="BB17" s="771"/>
      <c r="BC17" s="771"/>
      <c r="BD17" s="771"/>
      <c r="BE17" s="771"/>
      <c r="BF17" s="771"/>
      <c r="BG17" s="771"/>
      <c r="BH17" s="771"/>
      <c r="BI17" s="771"/>
      <c r="BJ17" s="771"/>
      <c r="BK17" s="771"/>
      <c r="BL17" s="771"/>
      <c r="BM17" s="771"/>
      <c r="BN17" s="771"/>
      <c r="BO17" s="771"/>
      <c r="BP17" s="771"/>
      <c r="BQ17" s="771"/>
      <c r="BR17" s="771"/>
      <c r="BS17" s="771"/>
      <c r="BT17" s="771"/>
      <c r="BU17" s="771"/>
      <c r="BV17" s="771"/>
      <c r="BW17" s="771"/>
      <c r="BX17" s="771"/>
      <c r="BY17" s="771"/>
      <c r="BZ17" s="771"/>
      <c r="CA17" s="771"/>
      <c r="CB17" s="771"/>
      <c r="CC17" s="771"/>
      <c r="CD17" s="771"/>
      <c r="CE17" s="771"/>
      <c r="CF17" s="771"/>
      <c r="CG17" s="771"/>
      <c r="CH17" s="771"/>
      <c r="CI17" s="771"/>
      <c r="CJ17" s="771"/>
      <c r="CK17" s="771"/>
      <c r="CL17" s="771"/>
      <c r="CM17" s="771"/>
      <c r="CN17" s="771"/>
      <c r="CO17" s="771"/>
      <c r="CP17" s="771"/>
      <c r="CQ17" s="771"/>
      <c r="CR17" s="771"/>
      <c r="CS17" s="771"/>
      <c r="CT17" s="771"/>
      <c r="CU17" s="771"/>
      <c r="CV17" s="771"/>
      <c r="CW17" s="771"/>
      <c r="CX17" s="771"/>
      <c r="CY17" s="771"/>
      <c r="CZ17" s="771"/>
      <c r="DA17" s="771"/>
      <c r="DB17" s="771"/>
      <c r="DC17" s="771"/>
      <c r="DD17" s="771"/>
      <c r="DE17" s="771"/>
      <c r="DF17" s="771"/>
      <c r="DG17" s="771"/>
      <c r="DH17" s="771"/>
      <c r="DI17" s="771"/>
      <c r="DJ17" s="771"/>
      <c r="DK17" s="771"/>
      <c r="DL17" s="771"/>
      <c r="DM17" s="771"/>
      <c r="DN17" s="771"/>
      <c r="DO17" s="771"/>
      <c r="DP17" s="771"/>
      <c r="DQ17" s="771"/>
      <c r="DR17" s="771"/>
      <c r="DS17" s="771"/>
      <c r="DT17" s="771"/>
      <c r="DU17" s="771"/>
      <c r="DV17" s="771"/>
      <c r="DW17" s="771"/>
      <c r="DX17" s="771"/>
      <c r="DY17" s="771"/>
      <c r="DZ17" s="771"/>
      <c r="EA17" s="771"/>
      <c r="EB17" s="771"/>
      <c r="EC17" s="771"/>
      <c r="ED17" s="771"/>
      <c r="EE17" s="771"/>
      <c r="EF17" s="771"/>
      <c r="EG17" s="771"/>
      <c r="EH17" s="771"/>
      <c r="EI17" s="771"/>
      <c r="EJ17" s="771"/>
      <c r="EK17" s="771"/>
      <c r="EL17" s="771"/>
      <c r="EM17" s="771"/>
      <c r="EN17" s="771"/>
    </row>
    <row r="18" spans="1:144" s="169" customFormat="1" ht="28.15" customHeight="1">
      <c r="A18" s="154"/>
      <c r="B18" s="155"/>
      <c r="C18" s="156" t="s">
        <v>825</v>
      </c>
      <c r="D18" s="157" t="s">
        <v>68</v>
      </c>
      <c r="E18" s="158">
        <f>+'FICHAS '!AH57</f>
        <v>17.047619047619047</v>
      </c>
      <c r="F18" s="159">
        <f>+E18*F$8</f>
        <v>716</v>
      </c>
      <c r="G18" s="160">
        <f>+'FICHAS '!AI57</f>
        <v>25</v>
      </c>
      <c r="H18" s="161">
        <f>+G18*H$8</f>
        <v>50</v>
      </c>
      <c r="I18" s="160">
        <f>+'FICHAS '!AJ56</f>
        <v>0</v>
      </c>
      <c r="J18" s="159">
        <f>+I18*J47</f>
        <v>0</v>
      </c>
      <c r="K18" s="160">
        <f>+'FICHAS '!AK56</f>
        <v>0</v>
      </c>
      <c r="L18" s="159">
        <f>+K18*L47</f>
        <v>0</v>
      </c>
      <c r="M18" s="160">
        <f>+'FICHAS '!AL56</f>
        <v>0</v>
      </c>
      <c r="N18" s="159">
        <f>+M18*N$8</f>
        <v>0</v>
      </c>
      <c r="O18" s="160">
        <f>+'FICHAS '!AM56</f>
        <v>0</v>
      </c>
      <c r="P18" s="162">
        <f>+O18*P$8</f>
        <v>0</v>
      </c>
      <c r="Q18" s="159">
        <f>+'FICHAS '!AN56</f>
        <v>0</v>
      </c>
      <c r="R18" s="159">
        <f>+Q18*R$8</f>
        <v>0</v>
      </c>
      <c r="S18" s="159">
        <f>+'FICHAS '!AO56</f>
        <v>0</v>
      </c>
      <c r="T18" s="159">
        <f>+S18*T$8</f>
        <v>0</v>
      </c>
      <c r="U18" s="159">
        <f t="shared" si="3"/>
        <v>766</v>
      </c>
      <c r="V18" s="163">
        <f>+ROUND(U18,1)</f>
        <v>766</v>
      </c>
      <c r="W18" s="164">
        <f>+'A.P.U. 2023'!F59</f>
        <v>23238.675094071201</v>
      </c>
      <c r="X18" s="164">
        <f>+'A.P.U. 2023'!G59</f>
        <v>26845.949025163634</v>
      </c>
      <c r="Y18" s="165">
        <f t="shared" ref="Y18" si="10">V18*W18</f>
        <v>17800825.122058541</v>
      </c>
      <c r="Z18" s="166">
        <f t="shared" ref="Z18" si="11">V18*X18</f>
        <v>20563996.953275345</v>
      </c>
      <c r="AA18" s="167">
        <f>+'A.P.U. 2023'!G52</f>
        <v>15877.575000000001</v>
      </c>
      <c r="AB18" s="167">
        <f>+AA18*V18</f>
        <v>12162222.450000001</v>
      </c>
      <c r="AC18" s="167">
        <f>+'A.P.U. 2023'!G53+'A.P.U. 2023'!G55</f>
        <v>6715.3511999999992</v>
      </c>
      <c r="AD18" s="167">
        <f t="shared" si="6"/>
        <v>5143959.019199999</v>
      </c>
      <c r="AE18" s="167">
        <f>+'A.P.U. 2023'!G54</f>
        <v>166.3598251636364</v>
      </c>
      <c r="AF18" s="167">
        <f t="shared" si="7"/>
        <v>127431.62607534548</v>
      </c>
      <c r="AG18" s="167">
        <f>+'A.P.U. 2023'!G56+'A.P.U. 2023'!G57</f>
        <v>4086.663</v>
      </c>
      <c r="AH18" s="167">
        <f t="shared" si="8"/>
        <v>3130383.858</v>
      </c>
      <c r="AI18" s="137">
        <f t="shared" si="9"/>
        <v>20563996.953275345</v>
      </c>
      <c r="AJ18" s="610">
        <f>+'A.P.U. 2023'!L56</f>
        <v>2672989.9829394929</v>
      </c>
      <c r="AK18" s="611"/>
      <c r="AL18" s="611"/>
      <c r="AM18" s="771"/>
      <c r="AN18" s="771"/>
      <c r="AO18" s="771"/>
      <c r="AP18" s="771"/>
      <c r="AQ18" s="771"/>
      <c r="AR18" s="771"/>
      <c r="AS18" s="771"/>
      <c r="AT18" s="771"/>
      <c r="AU18" s="771"/>
      <c r="AV18" s="771"/>
      <c r="AW18" s="771"/>
      <c r="AX18" s="771"/>
      <c r="AY18" s="771"/>
      <c r="AZ18" s="771"/>
      <c r="BA18" s="771"/>
      <c r="BB18" s="771"/>
      <c r="BC18" s="771"/>
      <c r="BD18" s="771"/>
      <c r="BE18" s="771"/>
      <c r="BF18" s="771"/>
      <c r="BG18" s="771"/>
      <c r="BH18" s="771"/>
      <c r="BI18" s="771"/>
      <c r="BJ18" s="771"/>
      <c r="BK18" s="771"/>
      <c r="BL18" s="771"/>
      <c r="BM18" s="771"/>
      <c r="BN18" s="771"/>
      <c r="BO18" s="771"/>
      <c r="BP18" s="771"/>
      <c r="BQ18" s="771"/>
      <c r="BR18" s="771"/>
      <c r="BS18" s="771"/>
      <c r="BT18" s="771"/>
      <c r="BU18" s="771"/>
      <c r="BV18" s="771"/>
      <c r="BW18" s="771"/>
      <c r="BX18" s="771"/>
      <c r="BY18" s="771"/>
      <c r="BZ18" s="771"/>
      <c r="CA18" s="771"/>
      <c r="CB18" s="771"/>
      <c r="CC18" s="771"/>
      <c r="CD18" s="771"/>
      <c r="CE18" s="771"/>
      <c r="CF18" s="771"/>
      <c r="CG18" s="771"/>
      <c r="CH18" s="771"/>
      <c r="CI18" s="771"/>
      <c r="CJ18" s="771"/>
      <c r="CK18" s="771"/>
      <c r="CL18" s="771"/>
      <c r="CM18" s="771"/>
      <c r="CN18" s="771"/>
      <c r="CO18" s="771"/>
      <c r="CP18" s="771"/>
      <c r="CQ18" s="771"/>
      <c r="CR18" s="771"/>
      <c r="CS18" s="771"/>
      <c r="CT18" s="771"/>
      <c r="CU18" s="771"/>
      <c r="CV18" s="771"/>
      <c r="CW18" s="771"/>
      <c r="CX18" s="771"/>
      <c r="CY18" s="771"/>
      <c r="CZ18" s="771"/>
      <c r="DA18" s="771"/>
      <c r="DB18" s="771"/>
      <c r="DC18" s="771"/>
      <c r="DD18" s="771"/>
      <c r="DE18" s="771"/>
      <c r="DF18" s="771"/>
      <c r="DG18" s="771"/>
      <c r="DH18" s="771"/>
      <c r="DI18" s="771"/>
      <c r="DJ18" s="771"/>
      <c r="DK18" s="771"/>
      <c r="DL18" s="771"/>
      <c r="DM18" s="771"/>
      <c r="DN18" s="771"/>
      <c r="DO18" s="771"/>
      <c r="DP18" s="771"/>
      <c r="DQ18" s="771"/>
      <c r="DR18" s="771"/>
      <c r="DS18" s="771"/>
      <c r="DT18" s="771"/>
      <c r="DU18" s="771"/>
      <c r="DV18" s="771"/>
      <c r="DW18" s="771"/>
      <c r="DX18" s="771"/>
      <c r="DY18" s="771"/>
      <c r="DZ18" s="771"/>
      <c r="EA18" s="771"/>
      <c r="EB18" s="771"/>
      <c r="EC18" s="771"/>
      <c r="ED18" s="771"/>
      <c r="EE18" s="771"/>
      <c r="EF18" s="771"/>
      <c r="EG18" s="771"/>
      <c r="EH18" s="771"/>
      <c r="EI18" s="771"/>
      <c r="EJ18" s="771"/>
      <c r="EK18" s="771"/>
      <c r="EL18" s="771"/>
      <c r="EM18" s="771"/>
      <c r="EN18" s="771"/>
    </row>
    <row r="19" spans="1:144" s="184" customFormat="1" ht="45" customHeight="1">
      <c r="A19" s="170" t="e">
        <f>+#REF!+1</f>
        <v>#REF!</v>
      </c>
      <c r="B19" s="171" t="s">
        <v>69</v>
      </c>
      <c r="C19" s="172" t="s">
        <v>96</v>
      </c>
      <c r="D19" s="173" t="s">
        <v>70</v>
      </c>
      <c r="E19" s="174">
        <f>1</f>
        <v>1</v>
      </c>
      <c r="F19" s="175">
        <f>+E19*$F$8</f>
        <v>42</v>
      </c>
      <c r="G19" s="176">
        <v>1</v>
      </c>
      <c r="H19" s="175">
        <f>+G19*$H$8</f>
        <v>2</v>
      </c>
      <c r="I19" s="176"/>
      <c r="J19" s="175">
        <f>+I19*$J$8</f>
        <v>0</v>
      </c>
      <c r="K19" s="176"/>
      <c r="L19" s="175">
        <f>K19*$L$8</f>
        <v>0</v>
      </c>
      <c r="M19" s="176"/>
      <c r="N19" s="175">
        <f>+M19*$N$8</f>
        <v>0</v>
      </c>
      <c r="O19" s="176"/>
      <c r="P19" s="177">
        <f>+O19*$P$8</f>
        <v>0</v>
      </c>
      <c r="Q19" s="175"/>
      <c r="R19" s="175">
        <f>+Q19*$R$8</f>
        <v>0</v>
      </c>
      <c r="S19" s="175"/>
      <c r="T19" s="175">
        <f>+S19*$R$8</f>
        <v>0</v>
      </c>
      <c r="U19" s="175">
        <f>+F19+H19+J19+L19+N19+P19+R19+T19</f>
        <v>44</v>
      </c>
      <c r="V19" s="178">
        <f t="shared" si="4"/>
        <v>44</v>
      </c>
      <c r="W19" s="179">
        <f>+'A.P.U. 2023'!F70</f>
        <v>42530.644768326965</v>
      </c>
      <c r="X19" s="179">
        <f>+'A.P.U. 2023'!G70</f>
        <v>48940.510314545449</v>
      </c>
      <c r="Y19" s="180">
        <f t="shared" si="1"/>
        <v>1871348.3698063865</v>
      </c>
      <c r="Z19" s="181">
        <f t="shared" si="2"/>
        <v>2153382.4538399996</v>
      </c>
      <c r="AA19" s="182">
        <f>+'A.P.U. 2023'!G62</f>
        <v>13459</v>
      </c>
      <c r="AB19" s="183">
        <f>+AA19*V19</f>
        <v>592196</v>
      </c>
      <c r="AC19" s="182">
        <f>+'A.P.U. 2023'!G63+'A.P.U. 2023'!G64+'A.P.U. 2023'!G65</f>
        <v>26687</v>
      </c>
      <c r="AD19" s="181">
        <f t="shared" si="6"/>
        <v>1174228</v>
      </c>
      <c r="AE19" s="180">
        <f>+'A.P.U. 2023'!G66</f>
        <v>2079.4978145454547</v>
      </c>
      <c r="AF19" s="179">
        <f t="shared" si="7"/>
        <v>91497.903840000014</v>
      </c>
      <c r="AG19" s="180">
        <f>+'A.P.U. 2023'!G67+'A.P.U. 2023'!G68</f>
        <v>6715.0124999999998</v>
      </c>
      <c r="AH19" s="180">
        <f t="shared" si="8"/>
        <v>295460.55</v>
      </c>
      <c r="AI19" s="654">
        <f t="shared" si="9"/>
        <v>2153382.4538400001</v>
      </c>
      <c r="AJ19" s="610">
        <f>+'A.P.U. 2023'!L62</f>
        <v>282034.08403361333</v>
      </c>
      <c r="AK19" s="611"/>
      <c r="AL19" s="610"/>
      <c r="AM19" s="771"/>
      <c r="AN19" s="771"/>
      <c r="AO19" s="771"/>
      <c r="AP19" s="771"/>
      <c r="AQ19" s="771"/>
      <c r="AR19" s="771"/>
      <c r="AS19" s="771"/>
      <c r="AT19" s="771"/>
      <c r="AU19" s="771"/>
      <c r="AV19" s="771"/>
      <c r="AW19" s="771"/>
      <c r="AX19" s="771"/>
      <c r="AY19" s="771"/>
      <c r="AZ19" s="771"/>
      <c r="BA19" s="771"/>
      <c r="BB19" s="771"/>
      <c r="BC19" s="771"/>
      <c r="BD19" s="771"/>
      <c r="BE19" s="771"/>
      <c r="BF19" s="771"/>
      <c r="BG19" s="771"/>
      <c r="BH19" s="771"/>
      <c r="BI19" s="771"/>
      <c r="BJ19" s="771"/>
      <c r="BK19" s="771"/>
      <c r="BL19" s="771"/>
      <c r="BM19" s="771"/>
      <c r="BN19" s="771"/>
      <c r="BO19" s="771"/>
      <c r="BP19" s="771"/>
      <c r="BQ19" s="771"/>
      <c r="BR19" s="771"/>
      <c r="BS19" s="771"/>
      <c r="BT19" s="771"/>
      <c r="BU19" s="771"/>
      <c r="BV19" s="771"/>
      <c r="BW19" s="771"/>
      <c r="BX19" s="771"/>
      <c r="BY19" s="771"/>
      <c r="BZ19" s="771"/>
      <c r="CA19" s="771"/>
      <c r="CB19" s="771"/>
      <c r="CC19" s="771"/>
      <c r="CD19" s="771"/>
      <c r="CE19" s="771"/>
      <c r="CF19" s="771"/>
      <c r="CG19" s="771"/>
      <c r="CH19" s="771"/>
      <c r="CI19" s="771"/>
      <c r="CJ19" s="771"/>
      <c r="CK19" s="771"/>
      <c r="CL19" s="771"/>
      <c r="CM19" s="771"/>
      <c r="CN19" s="771"/>
      <c r="CO19" s="771"/>
      <c r="CP19" s="771"/>
      <c r="CQ19" s="771"/>
      <c r="CR19" s="771"/>
      <c r="CS19" s="771"/>
      <c r="CT19" s="771"/>
      <c r="CU19" s="771"/>
      <c r="CV19" s="771"/>
      <c r="CW19" s="771"/>
      <c r="CX19" s="771"/>
      <c r="CY19" s="771"/>
      <c r="CZ19" s="771"/>
      <c r="DA19" s="771"/>
      <c r="DB19" s="771"/>
      <c r="DC19" s="771"/>
      <c r="DD19" s="771"/>
      <c r="DE19" s="771"/>
      <c r="DF19" s="771"/>
      <c r="DG19" s="771"/>
      <c r="DH19" s="771"/>
      <c r="DI19" s="771"/>
      <c r="DJ19" s="771"/>
      <c r="DK19" s="771"/>
      <c r="DL19" s="771"/>
      <c r="DM19" s="771"/>
      <c r="DN19" s="771"/>
      <c r="DO19" s="771"/>
      <c r="DP19" s="771"/>
      <c r="DQ19" s="771"/>
      <c r="DR19" s="771"/>
      <c r="DS19" s="771"/>
      <c r="DT19" s="771"/>
      <c r="DU19" s="771"/>
      <c r="DV19" s="771"/>
      <c r="DW19" s="771"/>
      <c r="DX19" s="771"/>
      <c r="DY19" s="771"/>
      <c r="DZ19" s="771"/>
      <c r="EA19" s="771"/>
      <c r="EB19" s="771"/>
      <c r="EC19" s="771"/>
      <c r="ED19" s="771"/>
      <c r="EE19" s="771"/>
      <c r="EF19" s="771"/>
      <c r="EG19" s="771"/>
      <c r="EH19" s="771"/>
      <c r="EI19" s="771"/>
      <c r="EJ19" s="771"/>
      <c r="EK19" s="771"/>
      <c r="EL19" s="771"/>
      <c r="EM19" s="771"/>
      <c r="EN19" s="771"/>
    </row>
    <row r="20" spans="1:144" s="198" customFormat="1" ht="28.5" customHeight="1">
      <c r="A20" s="185" t="e">
        <f t="shared" si="5"/>
        <v>#REF!</v>
      </c>
      <c r="B20" s="186" t="s">
        <v>69</v>
      </c>
      <c r="C20" s="187" t="s">
        <v>97</v>
      </c>
      <c r="D20" s="188" t="s">
        <v>70</v>
      </c>
      <c r="E20" s="189"/>
      <c r="F20" s="190"/>
      <c r="G20" s="191"/>
      <c r="H20" s="190"/>
      <c r="I20" s="191">
        <v>1</v>
      </c>
      <c r="J20" s="190">
        <f>+I20*$J$8</f>
        <v>0</v>
      </c>
      <c r="K20" s="191">
        <v>1</v>
      </c>
      <c r="L20" s="190">
        <f>+K20*$L$8</f>
        <v>0</v>
      </c>
      <c r="M20" s="191">
        <v>1</v>
      </c>
      <c r="N20" s="190">
        <f>+M20*$N$8</f>
        <v>0</v>
      </c>
      <c r="O20" s="191">
        <v>1</v>
      </c>
      <c r="P20" s="192">
        <f>+O20*$P$8</f>
        <v>0</v>
      </c>
      <c r="Q20" s="190">
        <v>1</v>
      </c>
      <c r="R20" s="190">
        <f>+Q20*$R$8</f>
        <v>0</v>
      </c>
      <c r="S20" s="190">
        <v>1</v>
      </c>
      <c r="T20" s="190">
        <f>+S20*$T$8</f>
        <v>0</v>
      </c>
      <c r="U20" s="190">
        <f t="shared" ref="U20:U42" si="12">+F20+H20+J20+L20+N20+P20+R20+T20</f>
        <v>0</v>
      </c>
      <c r="V20" s="193">
        <f t="shared" si="4"/>
        <v>0</v>
      </c>
      <c r="W20" s="194">
        <f>+'A.P.U. 2023'!F81</f>
        <v>75556.686021634843</v>
      </c>
      <c r="X20" s="194">
        <f>+'A.P.U. 2023'!G81</f>
        <v>87684.513752727275</v>
      </c>
      <c r="Y20" s="195">
        <f t="shared" si="1"/>
        <v>0</v>
      </c>
      <c r="Z20" s="196">
        <f t="shared" si="2"/>
        <v>0</v>
      </c>
      <c r="AA20" s="197">
        <f>+'A.P.U. 2023'!G73</f>
        <v>29417</v>
      </c>
      <c r="AB20" s="197">
        <f>+AA20*V20</f>
        <v>0</v>
      </c>
      <c r="AC20" s="197">
        <f>+'A.P.U. 2023'!G74+'A.P.U. 2023'!G75+'A.P.U. 2023'!G76</f>
        <v>46541.5</v>
      </c>
      <c r="AD20" s="196">
        <f t="shared" si="6"/>
        <v>0</v>
      </c>
      <c r="AE20" s="195">
        <f>+'A.P.U. 2023'!G77</f>
        <v>2772.6637527272733</v>
      </c>
      <c r="AF20" s="194">
        <f t="shared" si="7"/>
        <v>0</v>
      </c>
      <c r="AG20" s="195">
        <f>+'A.P.U. 2023'!G78+'A.P.U. 2023'!G79</f>
        <v>8953.35</v>
      </c>
      <c r="AH20" s="180">
        <f t="shared" si="8"/>
        <v>0</v>
      </c>
      <c r="AI20" s="654">
        <f t="shared" si="9"/>
        <v>0</v>
      </c>
      <c r="AJ20" s="610">
        <f>+'A.P.U. 2023'!L73</f>
        <v>0</v>
      </c>
      <c r="AK20" s="611"/>
      <c r="AL20" s="611"/>
      <c r="AM20" s="771"/>
      <c r="AN20" s="771"/>
      <c r="AO20" s="771"/>
      <c r="AP20" s="771"/>
      <c r="AQ20" s="771"/>
      <c r="AR20" s="771"/>
      <c r="AS20" s="771"/>
      <c r="AT20" s="771"/>
      <c r="AU20" s="771"/>
      <c r="AV20" s="771"/>
      <c r="AW20" s="771"/>
      <c r="AX20" s="771"/>
      <c r="AY20" s="771"/>
      <c r="AZ20" s="771"/>
      <c r="BA20" s="771"/>
      <c r="BB20" s="771"/>
      <c r="BC20" s="771"/>
      <c r="BD20" s="771"/>
      <c r="BE20" s="771"/>
      <c r="BF20" s="771"/>
      <c r="BG20" s="771"/>
      <c r="BH20" s="771"/>
      <c r="BI20" s="771"/>
      <c r="BJ20" s="771"/>
      <c r="BK20" s="771"/>
      <c r="BL20" s="771"/>
      <c r="BM20" s="771"/>
      <c r="BN20" s="771"/>
      <c r="BO20" s="771"/>
      <c r="BP20" s="771"/>
      <c r="BQ20" s="771"/>
      <c r="BR20" s="771"/>
      <c r="BS20" s="771"/>
      <c r="BT20" s="771"/>
      <c r="BU20" s="771"/>
      <c r="BV20" s="771"/>
      <c r="BW20" s="771"/>
      <c r="BX20" s="771"/>
      <c r="BY20" s="771"/>
      <c r="BZ20" s="771"/>
      <c r="CA20" s="771"/>
      <c r="CB20" s="771"/>
      <c r="CC20" s="771"/>
      <c r="CD20" s="771"/>
      <c r="CE20" s="771"/>
      <c r="CF20" s="771"/>
      <c r="CG20" s="771"/>
      <c r="CH20" s="771"/>
      <c r="CI20" s="771"/>
      <c r="CJ20" s="771"/>
      <c r="CK20" s="771"/>
      <c r="CL20" s="771"/>
      <c r="CM20" s="771"/>
      <c r="CN20" s="771"/>
      <c r="CO20" s="771"/>
      <c r="CP20" s="771"/>
      <c r="CQ20" s="771"/>
      <c r="CR20" s="771"/>
      <c r="CS20" s="771"/>
      <c r="CT20" s="771"/>
      <c r="CU20" s="771"/>
      <c r="CV20" s="771"/>
      <c r="CW20" s="771"/>
      <c r="CX20" s="771"/>
      <c r="CY20" s="771"/>
      <c r="CZ20" s="771"/>
      <c r="DA20" s="771"/>
      <c r="DB20" s="771"/>
      <c r="DC20" s="771"/>
      <c r="DD20" s="771"/>
      <c r="DE20" s="771"/>
      <c r="DF20" s="771"/>
      <c r="DG20" s="771"/>
      <c r="DH20" s="771"/>
      <c r="DI20" s="771"/>
      <c r="DJ20" s="771"/>
      <c r="DK20" s="771"/>
      <c r="DL20" s="771"/>
      <c r="DM20" s="771"/>
      <c r="DN20" s="771"/>
      <c r="DO20" s="771"/>
      <c r="DP20" s="771"/>
      <c r="DQ20" s="771"/>
      <c r="DR20" s="771"/>
      <c r="DS20" s="771"/>
      <c r="DT20" s="771"/>
      <c r="DU20" s="771"/>
      <c r="DV20" s="771"/>
      <c r="DW20" s="771"/>
      <c r="DX20" s="771"/>
      <c r="DY20" s="771"/>
      <c r="DZ20" s="771"/>
      <c r="EA20" s="771"/>
      <c r="EB20" s="771"/>
      <c r="EC20" s="771"/>
      <c r="ED20" s="771"/>
      <c r="EE20" s="771"/>
      <c r="EF20" s="771"/>
      <c r="EG20" s="771"/>
      <c r="EH20" s="771"/>
      <c r="EI20" s="771"/>
      <c r="EJ20" s="771"/>
      <c r="EK20" s="771"/>
      <c r="EL20" s="771"/>
      <c r="EM20" s="771"/>
      <c r="EN20" s="771"/>
    </row>
    <row r="21" spans="1:144" s="184" customFormat="1" ht="109.5" customHeight="1">
      <c r="A21" s="170" t="e">
        <f t="shared" si="5"/>
        <v>#REF!</v>
      </c>
      <c r="B21" s="171" t="s">
        <v>69</v>
      </c>
      <c r="C21" s="172" t="str">
        <f>+'A.P.U. 2023'!A84</f>
        <v>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v>
      </c>
      <c r="D21" s="173" t="s">
        <v>70</v>
      </c>
      <c r="E21" s="174">
        <v>1</v>
      </c>
      <c r="F21" s="175">
        <f>+F8*E21</f>
        <v>42</v>
      </c>
      <c r="G21" s="175"/>
      <c r="H21" s="175"/>
      <c r="I21" s="175"/>
      <c r="J21" s="175"/>
      <c r="K21" s="175"/>
      <c r="L21" s="175"/>
      <c r="M21" s="175"/>
      <c r="N21" s="175"/>
      <c r="O21" s="175"/>
      <c r="P21" s="177"/>
      <c r="Q21" s="175"/>
      <c r="R21" s="175"/>
      <c r="S21" s="175"/>
      <c r="T21" s="175"/>
      <c r="U21" s="175">
        <f t="shared" si="12"/>
        <v>42</v>
      </c>
      <c r="V21" s="178">
        <f t="shared" si="4"/>
        <v>42</v>
      </c>
      <c r="W21" s="179">
        <f>+'A.P.U. 2023'!F94</f>
        <v>3469001.8100483515</v>
      </c>
      <c r="X21" s="179">
        <f>+'A.P.U. 2023'!G94</f>
        <v>4010349.2547610048</v>
      </c>
      <c r="Y21" s="180">
        <f t="shared" si="1"/>
        <v>145698076.02203077</v>
      </c>
      <c r="Z21" s="181">
        <f>V21*X21</f>
        <v>168434668.6999622</v>
      </c>
      <c r="AA21" s="182">
        <f>+'A.P.U. 2023'!G84</f>
        <v>3363362.0221476713</v>
      </c>
      <c r="AB21" s="183">
        <f t="shared" ref="AB21:AB45" si="13">+AA21*V21</f>
        <v>141261204.93020219</v>
      </c>
      <c r="AC21" s="182">
        <f>+'A.P.U. 2023'!G87+'A.P.U. 2023'!G85</f>
        <v>27182.5</v>
      </c>
      <c r="AD21" s="181">
        <f t="shared" si="6"/>
        <v>1141665</v>
      </c>
      <c r="AE21" s="180">
        <f>+'A.P.U. 2023'!G89</f>
        <v>162527.98261333336</v>
      </c>
      <c r="AF21" s="179">
        <f t="shared" si="7"/>
        <v>6826175.2697600005</v>
      </c>
      <c r="AG21" s="180">
        <f>+'A.P.U. 2023'!G91+'A.P.U. 2023'!G92</f>
        <v>457276.75</v>
      </c>
      <c r="AH21" s="180">
        <f t="shared" si="8"/>
        <v>19205623.5</v>
      </c>
      <c r="AI21" s="654">
        <f t="shared" si="9"/>
        <v>168434668.6999622</v>
      </c>
      <c r="AJ21" s="610">
        <f>+'A.P.U. 2023'!L84</f>
        <v>22736592.677931428</v>
      </c>
      <c r="AK21" s="611"/>
      <c r="AL21" s="611"/>
      <c r="AM21" s="771"/>
      <c r="AN21" s="771"/>
      <c r="AO21" s="771"/>
      <c r="AP21" s="771"/>
      <c r="AQ21" s="771"/>
      <c r="AR21" s="771"/>
      <c r="AS21" s="771"/>
      <c r="AT21" s="771"/>
      <c r="AU21" s="771"/>
      <c r="AV21" s="771"/>
      <c r="AW21" s="771"/>
      <c r="AX21" s="771"/>
      <c r="AY21" s="771"/>
      <c r="AZ21" s="771"/>
      <c r="BA21" s="771"/>
      <c r="BB21" s="771"/>
      <c r="BC21" s="771"/>
      <c r="BD21" s="771"/>
      <c r="BE21" s="771"/>
      <c r="BF21" s="771"/>
      <c r="BG21" s="771"/>
      <c r="BH21" s="771"/>
      <c r="BI21" s="771"/>
      <c r="BJ21" s="771"/>
      <c r="BK21" s="771"/>
      <c r="BL21" s="771"/>
      <c r="BM21" s="771"/>
      <c r="BN21" s="771"/>
      <c r="BO21" s="771"/>
      <c r="BP21" s="771"/>
      <c r="BQ21" s="771"/>
      <c r="BR21" s="771"/>
      <c r="BS21" s="771"/>
      <c r="BT21" s="771"/>
      <c r="BU21" s="771"/>
      <c r="BV21" s="771"/>
      <c r="BW21" s="771"/>
      <c r="BX21" s="771"/>
      <c r="BY21" s="771"/>
      <c r="BZ21" s="771"/>
      <c r="CA21" s="771"/>
      <c r="CB21" s="771"/>
      <c r="CC21" s="771"/>
      <c r="CD21" s="771"/>
      <c r="CE21" s="771"/>
      <c r="CF21" s="771"/>
      <c r="CG21" s="771"/>
      <c r="CH21" s="771"/>
      <c r="CI21" s="771"/>
      <c r="CJ21" s="771"/>
      <c r="CK21" s="771"/>
      <c r="CL21" s="771"/>
      <c r="CM21" s="771"/>
      <c r="CN21" s="771"/>
      <c r="CO21" s="771"/>
      <c r="CP21" s="771"/>
      <c r="CQ21" s="771"/>
      <c r="CR21" s="771"/>
      <c r="CS21" s="771"/>
      <c r="CT21" s="771"/>
      <c r="CU21" s="771"/>
      <c r="CV21" s="771"/>
      <c r="CW21" s="771"/>
      <c r="CX21" s="771"/>
      <c r="CY21" s="771"/>
      <c r="CZ21" s="771"/>
      <c r="DA21" s="771"/>
      <c r="DB21" s="771"/>
      <c r="DC21" s="771"/>
      <c r="DD21" s="771"/>
      <c r="DE21" s="771"/>
      <c r="DF21" s="771"/>
      <c r="DG21" s="771"/>
      <c r="DH21" s="771"/>
      <c r="DI21" s="771"/>
      <c r="DJ21" s="771"/>
      <c r="DK21" s="771"/>
      <c r="DL21" s="771"/>
      <c r="DM21" s="771"/>
      <c r="DN21" s="771"/>
      <c r="DO21" s="771"/>
      <c r="DP21" s="771"/>
      <c r="DQ21" s="771"/>
      <c r="DR21" s="771"/>
      <c r="DS21" s="771"/>
      <c r="DT21" s="771"/>
      <c r="DU21" s="771"/>
      <c r="DV21" s="771"/>
      <c r="DW21" s="771"/>
      <c r="DX21" s="771"/>
      <c r="DY21" s="771"/>
      <c r="DZ21" s="771"/>
      <c r="EA21" s="771"/>
      <c r="EB21" s="771"/>
      <c r="EC21" s="771"/>
      <c r="ED21" s="771"/>
      <c r="EE21" s="771"/>
      <c r="EF21" s="771"/>
      <c r="EG21" s="771"/>
      <c r="EH21" s="771"/>
      <c r="EI21" s="771"/>
      <c r="EJ21" s="771"/>
      <c r="EK21" s="771"/>
      <c r="EL21" s="771"/>
      <c r="EM21" s="771"/>
      <c r="EN21" s="771"/>
    </row>
    <row r="22" spans="1:144" s="184" customFormat="1" ht="109.5" customHeight="1">
      <c r="A22" s="170"/>
      <c r="B22" s="171"/>
      <c r="C22" s="172" t="s">
        <v>566</v>
      </c>
      <c r="D22" s="173" t="s">
        <v>70</v>
      </c>
      <c r="E22" s="174">
        <v>1</v>
      </c>
      <c r="F22" s="175">
        <f>F11*E22</f>
        <v>46</v>
      </c>
      <c r="G22" s="175"/>
      <c r="H22" s="175"/>
      <c r="I22" s="175"/>
      <c r="J22" s="175"/>
      <c r="K22" s="175"/>
      <c r="L22" s="175"/>
      <c r="M22" s="175"/>
      <c r="N22" s="175"/>
      <c r="O22" s="175"/>
      <c r="P22" s="177"/>
      <c r="Q22" s="175"/>
      <c r="R22" s="175"/>
      <c r="S22" s="175"/>
      <c r="T22" s="175"/>
      <c r="U22" s="175">
        <f t="shared" ref="U22" si="14">+F22+H22+J22+L22+N22+P22+R22+T22</f>
        <v>46</v>
      </c>
      <c r="V22" s="178">
        <f t="shared" ref="V22" si="15">+ROUND(U22,1)</f>
        <v>46</v>
      </c>
      <c r="W22" s="179">
        <f>'A.P.U. 2023'!F106</f>
        <v>693269.88267604134</v>
      </c>
      <c r="X22" s="179">
        <f>'A.P.U. 2023'!G106</f>
        <v>780624.2698533982</v>
      </c>
      <c r="Y22" s="180">
        <f t="shared" ref="Y22" si="16">V22*W22</f>
        <v>31890414.603097901</v>
      </c>
      <c r="Z22" s="181">
        <f>V22*X22</f>
        <v>35908716.413256317</v>
      </c>
      <c r="AA22" s="182">
        <f>'A.P.U. 2023'!G97</f>
        <v>536821.31968976185</v>
      </c>
      <c r="AB22" s="183">
        <f t="shared" si="13"/>
        <v>24693780.705729045</v>
      </c>
      <c r="AC22" s="182">
        <f>'A.P.U. 2023'!G99+'A.P.U. 2023'!G100</f>
        <v>10293</v>
      </c>
      <c r="AD22" s="181">
        <f t="shared" si="6"/>
        <v>473478</v>
      </c>
      <c r="AE22" s="180">
        <f>'A.P.U. 2023'!G101</f>
        <v>166359.82516363639</v>
      </c>
      <c r="AF22" s="179">
        <f t="shared" si="7"/>
        <v>7652551.9575272733</v>
      </c>
      <c r="AG22" s="180">
        <f>'A.P.U. 2023'!F105</f>
        <v>67150.125</v>
      </c>
      <c r="AH22" s="180">
        <f t="shared" si="8"/>
        <v>3088905.75</v>
      </c>
      <c r="AI22" s="654">
        <f t="shared" si="9"/>
        <v>35908716.413256317</v>
      </c>
      <c r="AJ22" s="610">
        <f>'A.P.U. 2023'!L102</f>
        <v>4018301.8101584204</v>
      </c>
      <c r="AK22" s="611"/>
      <c r="AL22" s="611"/>
      <c r="AM22" s="771"/>
      <c r="AN22" s="771"/>
      <c r="AO22" s="771"/>
      <c r="AP22" s="771"/>
      <c r="AQ22" s="771"/>
      <c r="AR22" s="771"/>
      <c r="AS22" s="771"/>
      <c r="AT22" s="771"/>
      <c r="AU22" s="771"/>
      <c r="AV22" s="771"/>
      <c r="AW22" s="771"/>
      <c r="AX22" s="771"/>
      <c r="AY22" s="771"/>
      <c r="AZ22" s="771"/>
      <c r="BA22" s="771"/>
      <c r="BB22" s="771"/>
      <c r="BC22" s="771"/>
      <c r="BD22" s="771"/>
      <c r="BE22" s="771"/>
      <c r="BF22" s="771"/>
      <c r="BG22" s="771"/>
      <c r="BH22" s="771"/>
      <c r="BI22" s="771"/>
      <c r="BJ22" s="771"/>
      <c r="BK22" s="771"/>
      <c r="BL22" s="771"/>
      <c r="BM22" s="771"/>
      <c r="BN22" s="771"/>
      <c r="BO22" s="771"/>
      <c r="BP22" s="771"/>
      <c r="BQ22" s="771"/>
      <c r="BR22" s="771"/>
      <c r="BS22" s="771"/>
      <c r="BT22" s="771"/>
      <c r="BU22" s="771"/>
      <c r="BV22" s="771"/>
      <c r="BW22" s="771"/>
      <c r="BX22" s="771"/>
      <c r="BY22" s="771"/>
      <c r="BZ22" s="771"/>
      <c r="CA22" s="771"/>
      <c r="CB22" s="771"/>
      <c r="CC22" s="771"/>
      <c r="CD22" s="771"/>
      <c r="CE22" s="771"/>
      <c r="CF22" s="771"/>
      <c r="CG22" s="771"/>
      <c r="CH22" s="771"/>
      <c r="CI22" s="771"/>
      <c r="CJ22" s="771"/>
      <c r="CK22" s="771"/>
      <c r="CL22" s="771"/>
      <c r="CM22" s="771"/>
      <c r="CN22" s="771"/>
      <c r="CO22" s="771"/>
      <c r="CP22" s="771"/>
      <c r="CQ22" s="771"/>
      <c r="CR22" s="771"/>
      <c r="CS22" s="771"/>
      <c r="CT22" s="771"/>
      <c r="CU22" s="771"/>
      <c r="CV22" s="771"/>
      <c r="CW22" s="771"/>
      <c r="CX22" s="771"/>
      <c r="CY22" s="771"/>
      <c r="CZ22" s="771"/>
      <c r="DA22" s="771"/>
      <c r="DB22" s="771"/>
      <c r="DC22" s="771"/>
      <c r="DD22" s="771"/>
      <c r="DE22" s="771"/>
      <c r="DF22" s="771"/>
      <c r="DG22" s="771"/>
      <c r="DH22" s="771"/>
      <c r="DI22" s="771"/>
      <c r="DJ22" s="771"/>
      <c r="DK22" s="771"/>
      <c r="DL22" s="771"/>
      <c r="DM22" s="771"/>
      <c r="DN22" s="771"/>
      <c r="DO22" s="771"/>
      <c r="DP22" s="771"/>
      <c r="DQ22" s="771"/>
      <c r="DR22" s="771"/>
      <c r="DS22" s="771"/>
      <c r="DT22" s="771"/>
      <c r="DU22" s="771"/>
      <c r="DV22" s="771"/>
      <c r="DW22" s="771"/>
      <c r="DX22" s="771"/>
      <c r="DY22" s="771"/>
      <c r="DZ22" s="771"/>
      <c r="EA22" s="771"/>
      <c r="EB22" s="771"/>
      <c r="EC22" s="771"/>
      <c r="ED22" s="771"/>
      <c r="EE22" s="771"/>
      <c r="EF22" s="771"/>
      <c r="EG22" s="771"/>
      <c r="EH22" s="771"/>
      <c r="EI22" s="771"/>
      <c r="EJ22" s="771"/>
      <c r="EK22" s="771"/>
      <c r="EL22" s="771"/>
      <c r="EM22" s="771"/>
      <c r="EN22" s="771"/>
    </row>
    <row r="23" spans="1:144" s="184" customFormat="1" ht="99.75">
      <c r="A23" s="170" t="e">
        <f>+A21+1</f>
        <v>#REF!</v>
      </c>
      <c r="B23" s="171" t="s">
        <v>69</v>
      </c>
      <c r="C23" s="199" t="str">
        <f>+'A.P.U. 2023'!A109</f>
        <v>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v>
      </c>
      <c r="D23" s="173" t="s">
        <v>70</v>
      </c>
      <c r="E23" s="174"/>
      <c r="F23" s="176"/>
      <c r="G23" s="176">
        <v>1</v>
      </c>
      <c r="H23" s="176">
        <f>+G23*$H$8</f>
        <v>2</v>
      </c>
      <c r="I23" s="176"/>
      <c r="J23" s="176"/>
      <c r="K23" s="176"/>
      <c r="L23" s="176"/>
      <c r="M23" s="176"/>
      <c r="N23" s="176"/>
      <c r="O23" s="176"/>
      <c r="P23" s="200"/>
      <c r="Q23" s="176"/>
      <c r="R23" s="176"/>
      <c r="S23" s="176"/>
      <c r="T23" s="176"/>
      <c r="U23" s="176">
        <f t="shared" si="12"/>
        <v>2</v>
      </c>
      <c r="V23" s="178">
        <f t="shared" si="4"/>
        <v>2</v>
      </c>
      <c r="W23" s="179">
        <f>+'A.P.U. 2023'!F119</f>
        <v>4243952.1700562667</v>
      </c>
      <c r="X23" s="179">
        <f>+'A.P.U. 2023'!G119</f>
        <v>4916523.0813101577</v>
      </c>
      <c r="Y23" s="180">
        <f t="shared" si="1"/>
        <v>8487904.3401125334</v>
      </c>
      <c r="Z23" s="181">
        <f t="shared" si="2"/>
        <v>9833046.1626203153</v>
      </c>
      <c r="AA23" s="182">
        <f>+'A.P.U. 2023'!G109</f>
        <v>4185235.3125901576</v>
      </c>
      <c r="AB23" s="183">
        <f t="shared" si="13"/>
        <v>8370470.6251803152</v>
      </c>
      <c r="AC23" s="182">
        <f>+'A.P.U. 2023'!G112+'A.P.U. 2023'!G110</f>
        <v>27182.5</v>
      </c>
      <c r="AD23" s="181">
        <f t="shared" si="6"/>
        <v>54365</v>
      </c>
      <c r="AE23" s="180">
        <f>+'A.P.U. 2023'!G114</f>
        <v>246828.51871999999</v>
      </c>
      <c r="AF23" s="179">
        <f t="shared" si="7"/>
        <v>493657.03743999999</v>
      </c>
      <c r="AG23" s="180">
        <f>+'A.P.U. 2023'!G116+'A.P.U. 2023'!G117</f>
        <v>457276.75</v>
      </c>
      <c r="AH23" s="180">
        <f t="shared" si="8"/>
        <v>914553.5</v>
      </c>
      <c r="AI23" s="654">
        <f t="shared" si="9"/>
        <v>9833046.1626203153</v>
      </c>
      <c r="AJ23" s="610">
        <f>+'A.P.U. 2023'!L109</f>
        <v>1345141.822507781</v>
      </c>
      <c r="AK23" s="611"/>
      <c r="AL23" s="611"/>
      <c r="AM23" s="771"/>
      <c r="AN23" s="771"/>
      <c r="AO23" s="771"/>
      <c r="AP23" s="771"/>
      <c r="AQ23" s="771"/>
      <c r="AR23" s="771"/>
      <c r="AS23" s="771"/>
      <c r="AT23" s="771"/>
      <c r="AU23" s="771"/>
      <c r="AV23" s="771"/>
      <c r="AW23" s="771"/>
      <c r="AX23" s="771"/>
      <c r="AY23" s="771"/>
      <c r="AZ23" s="771"/>
      <c r="BA23" s="771"/>
      <c r="BB23" s="771"/>
      <c r="BC23" s="771"/>
      <c r="BD23" s="771"/>
      <c r="BE23" s="771"/>
      <c r="BF23" s="771"/>
      <c r="BG23" s="771"/>
      <c r="BH23" s="771"/>
      <c r="BI23" s="771"/>
      <c r="BJ23" s="771"/>
      <c r="BK23" s="771"/>
      <c r="BL23" s="771"/>
      <c r="BM23" s="771"/>
      <c r="BN23" s="771"/>
      <c r="BO23" s="771"/>
      <c r="BP23" s="771"/>
      <c r="BQ23" s="771"/>
      <c r="BR23" s="771"/>
      <c r="BS23" s="771"/>
      <c r="BT23" s="771"/>
      <c r="BU23" s="771"/>
      <c r="BV23" s="771"/>
      <c r="BW23" s="771"/>
      <c r="BX23" s="771"/>
      <c r="BY23" s="771"/>
      <c r="BZ23" s="771"/>
      <c r="CA23" s="771"/>
      <c r="CB23" s="771"/>
      <c r="CC23" s="771"/>
      <c r="CD23" s="771"/>
      <c r="CE23" s="771"/>
      <c r="CF23" s="771"/>
      <c r="CG23" s="771"/>
      <c r="CH23" s="771"/>
      <c r="CI23" s="771"/>
      <c r="CJ23" s="771"/>
      <c r="CK23" s="771"/>
      <c r="CL23" s="771"/>
      <c r="CM23" s="771"/>
      <c r="CN23" s="771"/>
      <c r="CO23" s="771"/>
      <c r="CP23" s="771"/>
      <c r="CQ23" s="771"/>
      <c r="CR23" s="771"/>
      <c r="CS23" s="771"/>
      <c r="CT23" s="771"/>
      <c r="CU23" s="771"/>
      <c r="CV23" s="771"/>
      <c r="CW23" s="771"/>
      <c r="CX23" s="771"/>
      <c r="CY23" s="771"/>
      <c r="CZ23" s="771"/>
      <c r="DA23" s="771"/>
      <c r="DB23" s="771"/>
      <c r="DC23" s="771"/>
      <c r="DD23" s="771"/>
      <c r="DE23" s="771"/>
      <c r="DF23" s="771"/>
      <c r="DG23" s="771"/>
      <c r="DH23" s="771"/>
      <c r="DI23" s="771"/>
      <c r="DJ23" s="771"/>
      <c r="DK23" s="771"/>
      <c r="DL23" s="771"/>
      <c r="DM23" s="771"/>
      <c r="DN23" s="771"/>
      <c r="DO23" s="771"/>
      <c r="DP23" s="771"/>
      <c r="DQ23" s="771"/>
      <c r="DR23" s="771"/>
      <c r="DS23" s="771"/>
      <c r="DT23" s="771"/>
      <c r="DU23" s="771"/>
      <c r="DV23" s="771"/>
      <c r="DW23" s="771"/>
      <c r="DX23" s="771"/>
      <c r="DY23" s="771"/>
      <c r="DZ23" s="771"/>
      <c r="EA23" s="771"/>
      <c r="EB23" s="771"/>
      <c r="EC23" s="771"/>
      <c r="ED23" s="771"/>
      <c r="EE23" s="771"/>
      <c r="EF23" s="771"/>
      <c r="EG23" s="771"/>
      <c r="EH23" s="771"/>
      <c r="EI23" s="771"/>
      <c r="EJ23" s="771"/>
      <c r="EK23" s="771"/>
      <c r="EL23" s="771"/>
      <c r="EM23" s="771"/>
      <c r="EN23" s="771"/>
    </row>
    <row r="24" spans="1:144" s="184" customFormat="1" ht="63.6" customHeight="1">
      <c r="A24" s="170"/>
      <c r="B24" s="171"/>
      <c r="C24" s="199" t="s">
        <v>567</v>
      </c>
      <c r="D24" s="173" t="s">
        <v>70</v>
      </c>
      <c r="E24" s="174"/>
      <c r="F24" s="176"/>
      <c r="G24" s="176">
        <v>1</v>
      </c>
      <c r="H24" s="176">
        <f>+G24*$H$11</f>
        <v>0</v>
      </c>
      <c r="I24" s="176"/>
      <c r="J24" s="176"/>
      <c r="K24" s="176"/>
      <c r="L24" s="176"/>
      <c r="M24" s="176"/>
      <c r="N24" s="176"/>
      <c r="O24" s="176"/>
      <c r="P24" s="200"/>
      <c r="Q24" s="176"/>
      <c r="R24" s="176"/>
      <c r="S24" s="176"/>
      <c r="T24" s="176"/>
      <c r="U24" s="176">
        <f t="shared" si="12"/>
        <v>0</v>
      </c>
      <c r="V24" s="178">
        <f t="shared" si="4"/>
        <v>0</v>
      </c>
      <c r="W24" s="179">
        <f>'A.P.U. 2023'!F131</f>
        <v>746397.68177051272</v>
      </c>
      <c r="X24" s="179">
        <f>'A.P.U. 2023'!G131</f>
        <v>843298.62352581916</v>
      </c>
      <c r="Y24" s="180">
        <f t="shared" ref="Y24" si="17">V24*W24</f>
        <v>0</v>
      </c>
      <c r="Z24" s="181">
        <f t="shared" ref="Z24" si="18">V24*X24</f>
        <v>0</v>
      </c>
      <c r="AA24" s="182">
        <f>'A.P.U. 2023'!G122</f>
        <v>596612.89836218278</v>
      </c>
      <c r="AB24" s="183">
        <f t="shared" si="13"/>
        <v>0</v>
      </c>
      <c r="AC24" s="182">
        <f>'A.P.U. 2023'!G124+'A.P.U. 2023'!G125</f>
        <v>10293</v>
      </c>
      <c r="AD24" s="181">
        <f t="shared" si="6"/>
        <v>0</v>
      </c>
      <c r="AE24" s="180">
        <f>'A.P.U. 2023'!G126</f>
        <v>166359.82516363639</v>
      </c>
      <c r="AF24" s="179">
        <f t="shared" si="7"/>
        <v>0</v>
      </c>
      <c r="AG24" s="180">
        <f>'A.P.U. 2023'!F130</f>
        <v>70032.899999999994</v>
      </c>
      <c r="AH24" s="180">
        <f t="shared" si="8"/>
        <v>0</v>
      </c>
      <c r="AI24" s="654">
        <f t="shared" si="9"/>
        <v>0</v>
      </c>
      <c r="AJ24" s="610">
        <f>'A.P.U. 2023'!L128</f>
        <v>0</v>
      </c>
      <c r="AK24" s="611"/>
      <c r="AL24" s="611"/>
      <c r="AM24" s="771"/>
      <c r="AN24" s="771"/>
      <c r="AO24" s="771"/>
      <c r="AP24" s="771"/>
      <c r="AQ24" s="771"/>
      <c r="AR24" s="771"/>
      <c r="AS24" s="771"/>
      <c r="AT24" s="771"/>
      <c r="AU24" s="771"/>
      <c r="AV24" s="771"/>
      <c r="AW24" s="771"/>
      <c r="AX24" s="771"/>
      <c r="AY24" s="771"/>
      <c r="AZ24" s="771"/>
      <c r="BA24" s="771"/>
      <c r="BB24" s="771"/>
      <c r="BC24" s="771"/>
      <c r="BD24" s="771"/>
      <c r="BE24" s="771"/>
      <c r="BF24" s="771"/>
      <c r="BG24" s="771"/>
      <c r="BH24" s="771"/>
      <c r="BI24" s="771"/>
      <c r="BJ24" s="771"/>
      <c r="BK24" s="771"/>
      <c r="BL24" s="771"/>
      <c r="BM24" s="771"/>
      <c r="BN24" s="771"/>
      <c r="BO24" s="771"/>
      <c r="BP24" s="771"/>
      <c r="BQ24" s="771"/>
      <c r="BR24" s="771"/>
      <c r="BS24" s="771"/>
      <c r="BT24" s="771"/>
      <c r="BU24" s="771"/>
      <c r="BV24" s="771"/>
      <c r="BW24" s="771"/>
      <c r="BX24" s="771"/>
      <c r="BY24" s="771"/>
      <c r="BZ24" s="771"/>
      <c r="CA24" s="771"/>
      <c r="CB24" s="771"/>
      <c r="CC24" s="771"/>
      <c r="CD24" s="771"/>
      <c r="CE24" s="771"/>
      <c r="CF24" s="771"/>
      <c r="CG24" s="771"/>
      <c r="CH24" s="771"/>
      <c r="CI24" s="771"/>
      <c r="CJ24" s="771"/>
      <c r="CK24" s="771"/>
      <c r="CL24" s="771"/>
      <c r="CM24" s="771"/>
      <c r="CN24" s="771"/>
      <c r="CO24" s="771"/>
      <c r="CP24" s="771"/>
      <c r="CQ24" s="771"/>
      <c r="CR24" s="771"/>
      <c r="CS24" s="771"/>
      <c r="CT24" s="771"/>
      <c r="CU24" s="771"/>
      <c r="CV24" s="771"/>
      <c r="CW24" s="771"/>
      <c r="CX24" s="771"/>
      <c r="CY24" s="771"/>
      <c r="CZ24" s="771"/>
      <c r="DA24" s="771"/>
      <c r="DB24" s="771"/>
      <c r="DC24" s="771"/>
      <c r="DD24" s="771"/>
      <c r="DE24" s="771"/>
      <c r="DF24" s="771"/>
      <c r="DG24" s="771"/>
      <c r="DH24" s="771"/>
      <c r="DI24" s="771"/>
      <c r="DJ24" s="771"/>
      <c r="DK24" s="771"/>
      <c r="DL24" s="771"/>
      <c r="DM24" s="771"/>
      <c r="DN24" s="771"/>
      <c r="DO24" s="771"/>
      <c r="DP24" s="771"/>
      <c r="DQ24" s="771"/>
      <c r="DR24" s="771"/>
      <c r="DS24" s="771"/>
      <c r="DT24" s="771"/>
      <c r="DU24" s="771"/>
      <c r="DV24" s="771"/>
      <c r="DW24" s="771"/>
      <c r="DX24" s="771"/>
      <c r="DY24" s="771"/>
      <c r="DZ24" s="771"/>
      <c r="EA24" s="771"/>
      <c r="EB24" s="771"/>
      <c r="EC24" s="771"/>
      <c r="ED24" s="771"/>
      <c r="EE24" s="771"/>
      <c r="EF24" s="771"/>
      <c r="EG24" s="771"/>
      <c r="EH24" s="771"/>
      <c r="EI24" s="771"/>
      <c r="EJ24" s="771"/>
      <c r="EK24" s="771"/>
      <c r="EL24" s="771"/>
      <c r="EM24" s="771"/>
      <c r="EN24" s="771"/>
    </row>
    <row r="25" spans="1:144" s="184" customFormat="1" ht="99.75">
      <c r="A25" s="170" t="e">
        <f>+A23+1</f>
        <v>#REF!</v>
      </c>
      <c r="B25" s="171" t="s">
        <v>69</v>
      </c>
      <c r="C25" s="199" t="str">
        <f>+'A.P.U. 2023'!A135</f>
        <v>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v>
      </c>
      <c r="D25" s="173" t="s">
        <v>70</v>
      </c>
      <c r="E25" s="174"/>
      <c r="F25" s="176"/>
      <c r="G25" s="176"/>
      <c r="H25" s="176"/>
      <c r="I25" s="176">
        <v>1</v>
      </c>
      <c r="J25" s="176">
        <f>+I25*$J$8</f>
        <v>0</v>
      </c>
      <c r="K25" s="176"/>
      <c r="L25" s="176"/>
      <c r="M25" s="176"/>
      <c r="N25" s="176"/>
      <c r="O25" s="176"/>
      <c r="P25" s="200"/>
      <c r="Q25" s="176"/>
      <c r="R25" s="176"/>
      <c r="S25" s="176"/>
      <c r="T25" s="176"/>
      <c r="U25" s="176">
        <f t="shared" si="12"/>
        <v>0</v>
      </c>
      <c r="V25" s="178">
        <f t="shared" si="4"/>
        <v>0</v>
      </c>
      <c r="W25" s="179">
        <f>+'A.P.U. 2023'!F144</f>
        <v>5395859.4114834648</v>
      </c>
      <c r="X25" s="179">
        <f>+'A.P.U. 2023'!G144</f>
        <v>6334190.1171653224</v>
      </c>
      <c r="Y25" s="180">
        <f t="shared" si="1"/>
        <v>0</v>
      </c>
      <c r="Z25" s="181">
        <f t="shared" si="2"/>
        <v>0</v>
      </c>
      <c r="AA25" s="182">
        <f>+'A.P.U. 2023'!G135</f>
        <v>5849730.8671653224</v>
      </c>
      <c r="AB25" s="183">
        <f>+AA25*V25</f>
        <v>0</v>
      </c>
      <c r="AC25" s="182">
        <f>+'A.P.U. 2023'!G138+'A.P.U. 2023'!G136</f>
        <v>27182.5</v>
      </c>
      <c r="AD25" s="181">
        <f t="shared" si="6"/>
        <v>0</v>
      </c>
      <c r="AE25" s="180">
        <f>+'A.P.U. 2023'!G140</f>
        <v>0</v>
      </c>
      <c r="AF25" s="179">
        <f t="shared" si="7"/>
        <v>0</v>
      </c>
      <c r="AG25" s="180">
        <f>+'A.P.U. 2023'!G141+'A.P.U. 2023'!G142</f>
        <v>457276.75</v>
      </c>
      <c r="AH25" s="180">
        <f t="shared" si="8"/>
        <v>0</v>
      </c>
      <c r="AI25" s="654">
        <f t="shared" si="9"/>
        <v>0</v>
      </c>
      <c r="AJ25" s="610">
        <f>+'A.P.U. 2023'!L135</f>
        <v>0</v>
      </c>
      <c r="AK25" s="611"/>
      <c r="AL25" s="611"/>
      <c r="AM25" s="771"/>
      <c r="AN25" s="771"/>
      <c r="AO25" s="771"/>
      <c r="AP25" s="771"/>
      <c r="AQ25" s="771"/>
      <c r="AR25" s="771"/>
      <c r="AS25" s="771"/>
      <c r="AT25" s="771"/>
      <c r="AU25" s="771"/>
      <c r="AV25" s="771"/>
      <c r="AW25" s="771"/>
      <c r="AX25" s="771"/>
      <c r="AY25" s="771"/>
      <c r="AZ25" s="771"/>
      <c r="BA25" s="771"/>
      <c r="BB25" s="771"/>
      <c r="BC25" s="771"/>
      <c r="BD25" s="771"/>
      <c r="BE25" s="771"/>
      <c r="BF25" s="771"/>
      <c r="BG25" s="771"/>
      <c r="BH25" s="771"/>
      <c r="BI25" s="771"/>
      <c r="BJ25" s="771"/>
      <c r="BK25" s="771"/>
      <c r="BL25" s="771"/>
      <c r="BM25" s="771"/>
      <c r="BN25" s="771"/>
      <c r="BO25" s="771"/>
      <c r="BP25" s="771"/>
      <c r="BQ25" s="771"/>
      <c r="BR25" s="771"/>
      <c r="BS25" s="771"/>
      <c r="BT25" s="771"/>
      <c r="BU25" s="771"/>
      <c r="BV25" s="771"/>
      <c r="BW25" s="771"/>
      <c r="BX25" s="771"/>
      <c r="BY25" s="771"/>
      <c r="BZ25" s="771"/>
      <c r="CA25" s="771"/>
      <c r="CB25" s="771"/>
      <c r="CC25" s="771"/>
      <c r="CD25" s="771"/>
      <c r="CE25" s="771"/>
      <c r="CF25" s="771"/>
      <c r="CG25" s="771"/>
      <c r="CH25" s="771"/>
      <c r="CI25" s="771"/>
      <c r="CJ25" s="771"/>
      <c r="CK25" s="771"/>
      <c r="CL25" s="771"/>
      <c r="CM25" s="771"/>
      <c r="CN25" s="771"/>
      <c r="CO25" s="771"/>
      <c r="CP25" s="771"/>
      <c r="CQ25" s="771"/>
      <c r="CR25" s="771"/>
      <c r="CS25" s="771"/>
      <c r="CT25" s="771"/>
      <c r="CU25" s="771"/>
      <c r="CV25" s="771"/>
      <c r="CW25" s="771"/>
      <c r="CX25" s="771"/>
      <c r="CY25" s="771"/>
      <c r="CZ25" s="771"/>
      <c r="DA25" s="771"/>
      <c r="DB25" s="771"/>
      <c r="DC25" s="771"/>
      <c r="DD25" s="771"/>
      <c r="DE25" s="771"/>
      <c r="DF25" s="771"/>
      <c r="DG25" s="771"/>
      <c r="DH25" s="771"/>
      <c r="DI25" s="771"/>
      <c r="DJ25" s="771"/>
      <c r="DK25" s="771"/>
      <c r="DL25" s="771"/>
      <c r="DM25" s="771"/>
      <c r="DN25" s="771"/>
      <c r="DO25" s="771"/>
      <c r="DP25" s="771"/>
      <c r="DQ25" s="771"/>
      <c r="DR25" s="771"/>
      <c r="DS25" s="771"/>
      <c r="DT25" s="771"/>
      <c r="DU25" s="771"/>
      <c r="DV25" s="771"/>
      <c r="DW25" s="771"/>
      <c r="DX25" s="771"/>
      <c r="DY25" s="771"/>
      <c r="DZ25" s="771"/>
      <c r="EA25" s="771"/>
      <c r="EB25" s="771"/>
      <c r="EC25" s="771"/>
      <c r="ED25" s="771"/>
      <c r="EE25" s="771"/>
      <c r="EF25" s="771"/>
      <c r="EG25" s="771"/>
      <c r="EH25" s="771"/>
      <c r="EI25" s="771"/>
      <c r="EJ25" s="771"/>
      <c r="EK25" s="771"/>
      <c r="EL25" s="771"/>
      <c r="EM25" s="771"/>
      <c r="EN25" s="771"/>
    </row>
    <row r="26" spans="1:144" s="184" customFormat="1" ht="55.15" customHeight="1">
      <c r="A26" s="170"/>
      <c r="B26" s="171"/>
      <c r="C26" s="199" t="s">
        <v>592</v>
      </c>
      <c r="D26" s="173" t="s">
        <v>70</v>
      </c>
      <c r="E26" s="174"/>
      <c r="F26" s="176"/>
      <c r="G26" s="176"/>
      <c r="H26" s="176"/>
      <c r="I26" s="176">
        <v>1</v>
      </c>
      <c r="J26" s="176">
        <f>+I26*$J$11</f>
        <v>0</v>
      </c>
      <c r="K26" s="176"/>
      <c r="L26" s="176"/>
      <c r="M26" s="176"/>
      <c r="N26" s="176"/>
      <c r="O26" s="176"/>
      <c r="P26" s="200"/>
      <c r="Q26" s="176"/>
      <c r="R26" s="176"/>
      <c r="S26" s="176"/>
      <c r="T26" s="176"/>
      <c r="U26" s="176">
        <f t="shared" si="12"/>
        <v>0</v>
      </c>
      <c r="V26" s="178">
        <f t="shared" si="4"/>
        <v>0</v>
      </c>
      <c r="W26" s="179">
        <f>'A.P.U. 2023'!F156</f>
        <v>875725.11002161622</v>
      </c>
      <c r="X26" s="179">
        <f>'A.P.U. 2023'!G156</f>
        <v>997198.26314463234</v>
      </c>
      <c r="Y26" s="180">
        <f t="shared" ref="Y26" si="19">V26*W26</f>
        <v>0</v>
      </c>
      <c r="Z26" s="181">
        <f t="shared" ref="Z26" si="20">V26*X26</f>
        <v>0</v>
      </c>
      <c r="AA26" s="182">
        <f>'A.P.U. 2023'!G147</f>
        <v>750512.53798099596</v>
      </c>
      <c r="AB26" s="183">
        <f>+AA26*V26</f>
        <v>0</v>
      </c>
      <c r="AC26" s="182">
        <f>'A.P.U. 2023'!G149+'A.P.U. 2023'!G150</f>
        <v>10293</v>
      </c>
      <c r="AD26" s="181">
        <f t="shared" si="6"/>
        <v>0</v>
      </c>
      <c r="AE26" s="180">
        <f>'A.P.U. 2023'!G151</f>
        <v>166359.82516363639</v>
      </c>
      <c r="AF26" s="179">
        <f t="shared" si="7"/>
        <v>0</v>
      </c>
      <c r="AG26" s="180">
        <f>'A.P.U. 2023'!F155</f>
        <v>70032.899999999994</v>
      </c>
      <c r="AH26" s="180">
        <f t="shared" si="8"/>
        <v>0</v>
      </c>
      <c r="AI26" s="654">
        <f t="shared" si="9"/>
        <v>0</v>
      </c>
      <c r="AJ26" s="610">
        <f>'A.P.U. 2023'!L153</f>
        <v>0</v>
      </c>
      <c r="AK26" s="611"/>
      <c r="AL26" s="611"/>
      <c r="AM26" s="771"/>
      <c r="AN26" s="771"/>
      <c r="AO26" s="771"/>
      <c r="AP26" s="771"/>
      <c r="AQ26" s="771"/>
      <c r="AR26" s="771"/>
      <c r="AS26" s="771"/>
      <c r="AT26" s="771"/>
      <c r="AU26" s="771"/>
      <c r="AV26" s="771"/>
      <c r="AW26" s="771"/>
      <c r="AX26" s="771"/>
      <c r="AY26" s="771"/>
      <c r="AZ26" s="771"/>
      <c r="BA26" s="771"/>
      <c r="BB26" s="771"/>
      <c r="BC26" s="771"/>
      <c r="BD26" s="771"/>
      <c r="BE26" s="771"/>
      <c r="BF26" s="771"/>
      <c r="BG26" s="771"/>
      <c r="BH26" s="771"/>
      <c r="BI26" s="771"/>
      <c r="BJ26" s="771"/>
      <c r="BK26" s="771"/>
      <c r="BL26" s="771"/>
      <c r="BM26" s="771"/>
      <c r="BN26" s="771"/>
      <c r="BO26" s="771"/>
      <c r="BP26" s="771"/>
      <c r="BQ26" s="771"/>
      <c r="BR26" s="771"/>
      <c r="BS26" s="771"/>
      <c r="BT26" s="771"/>
      <c r="BU26" s="771"/>
      <c r="BV26" s="771"/>
      <c r="BW26" s="771"/>
      <c r="BX26" s="771"/>
      <c r="BY26" s="771"/>
      <c r="BZ26" s="771"/>
      <c r="CA26" s="771"/>
      <c r="CB26" s="771"/>
      <c r="CC26" s="771"/>
      <c r="CD26" s="771"/>
      <c r="CE26" s="771"/>
      <c r="CF26" s="771"/>
      <c r="CG26" s="771"/>
      <c r="CH26" s="771"/>
      <c r="CI26" s="771"/>
      <c r="CJ26" s="771"/>
      <c r="CK26" s="771"/>
      <c r="CL26" s="771"/>
      <c r="CM26" s="771"/>
      <c r="CN26" s="771"/>
      <c r="CO26" s="771"/>
      <c r="CP26" s="771"/>
      <c r="CQ26" s="771"/>
      <c r="CR26" s="771"/>
      <c r="CS26" s="771"/>
      <c r="CT26" s="771"/>
      <c r="CU26" s="771"/>
      <c r="CV26" s="771"/>
      <c r="CW26" s="771"/>
      <c r="CX26" s="771"/>
      <c r="CY26" s="771"/>
      <c r="CZ26" s="771"/>
      <c r="DA26" s="771"/>
      <c r="DB26" s="771"/>
      <c r="DC26" s="771"/>
      <c r="DD26" s="771"/>
      <c r="DE26" s="771"/>
      <c r="DF26" s="771"/>
      <c r="DG26" s="771"/>
      <c r="DH26" s="771"/>
      <c r="DI26" s="771"/>
      <c r="DJ26" s="771"/>
      <c r="DK26" s="771"/>
      <c r="DL26" s="771"/>
      <c r="DM26" s="771"/>
      <c r="DN26" s="771"/>
      <c r="DO26" s="771"/>
      <c r="DP26" s="771"/>
      <c r="DQ26" s="771"/>
      <c r="DR26" s="771"/>
      <c r="DS26" s="771"/>
      <c r="DT26" s="771"/>
      <c r="DU26" s="771"/>
      <c r="DV26" s="771"/>
      <c r="DW26" s="771"/>
      <c r="DX26" s="771"/>
      <c r="DY26" s="771"/>
      <c r="DZ26" s="771"/>
      <c r="EA26" s="771"/>
      <c r="EB26" s="771"/>
      <c r="EC26" s="771"/>
      <c r="ED26" s="771"/>
      <c r="EE26" s="771"/>
      <c r="EF26" s="771"/>
      <c r="EG26" s="771"/>
      <c r="EH26" s="771"/>
      <c r="EI26" s="771"/>
      <c r="EJ26" s="771"/>
      <c r="EK26" s="771"/>
      <c r="EL26" s="771"/>
      <c r="EM26" s="771"/>
      <c r="EN26" s="771"/>
    </row>
    <row r="27" spans="1:144" s="184" customFormat="1" ht="133.5" customHeight="1">
      <c r="A27" s="170" t="e">
        <f>+A25+1</f>
        <v>#REF!</v>
      </c>
      <c r="B27" s="171" t="s">
        <v>69</v>
      </c>
      <c r="C27" s="199" t="str">
        <f>+'A.P.U. 2023'!A159</f>
        <v>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v>
      </c>
      <c r="D27" s="173" t="s">
        <v>70</v>
      </c>
      <c r="E27" s="174"/>
      <c r="F27" s="176"/>
      <c r="G27" s="176"/>
      <c r="H27" s="176"/>
      <c r="I27" s="176"/>
      <c r="J27" s="176"/>
      <c r="K27" s="176">
        <v>1</v>
      </c>
      <c r="L27" s="176">
        <f>+K27*$L$8</f>
        <v>0</v>
      </c>
      <c r="M27" s="176"/>
      <c r="N27" s="176"/>
      <c r="O27" s="176"/>
      <c r="P27" s="200"/>
      <c r="Q27" s="176"/>
      <c r="R27" s="176"/>
      <c r="S27" s="176"/>
      <c r="T27" s="176"/>
      <c r="U27" s="176">
        <f t="shared" si="12"/>
        <v>0</v>
      </c>
      <c r="V27" s="178">
        <f>+ROUND(U27,1)</f>
        <v>0</v>
      </c>
      <c r="W27" s="179">
        <f>+'A.P.U. 2023'!F168</f>
        <v>7459952.541048239</v>
      </c>
      <c r="X27" s="179">
        <f>+'A.P.U. 2023'!G168</f>
        <v>8773084.4248474035</v>
      </c>
      <c r="Y27" s="180">
        <f t="shared" si="1"/>
        <v>0</v>
      </c>
      <c r="Z27" s="181">
        <f t="shared" si="2"/>
        <v>0</v>
      </c>
      <c r="AA27" s="182">
        <f>+'A.P.U. 2023'!G159</f>
        <v>8197169.8248474048</v>
      </c>
      <c r="AB27" s="183">
        <f t="shared" si="13"/>
        <v>0</v>
      </c>
      <c r="AC27" s="182">
        <f>+'A.P.U. 2023'!G162+'A.P.U. 2023'!G160</f>
        <v>27182.5</v>
      </c>
      <c r="AD27" s="181">
        <f t="shared" si="6"/>
        <v>0</v>
      </c>
      <c r="AE27" s="180">
        <f>+'A.P.U. 2023'!G164</f>
        <v>0</v>
      </c>
      <c r="AF27" s="179">
        <f t="shared" si="7"/>
        <v>0</v>
      </c>
      <c r="AG27" s="180">
        <f>+'A.P.U. 2023'!G165+'A.P.U. 2023'!G166</f>
        <v>548732.1</v>
      </c>
      <c r="AH27" s="180">
        <f t="shared" si="8"/>
        <v>0</v>
      </c>
      <c r="AI27" s="654">
        <f t="shared" si="9"/>
        <v>0</v>
      </c>
      <c r="AJ27" s="610">
        <f>+'A.P.U. 2023'!L159</f>
        <v>0</v>
      </c>
      <c r="AK27" s="611"/>
      <c r="AL27" s="611"/>
      <c r="AM27" s="771"/>
      <c r="AN27" s="771"/>
      <c r="AO27" s="771"/>
      <c r="AP27" s="771"/>
      <c r="AQ27" s="771"/>
      <c r="AR27" s="771"/>
      <c r="AS27" s="771"/>
      <c r="AT27" s="771"/>
      <c r="AU27" s="771"/>
      <c r="AV27" s="771"/>
      <c r="AW27" s="771"/>
      <c r="AX27" s="771"/>
      <c r="AY27" s="771"/>
      <c r="AZ27" s="771"/>
      <c r="BA27" s="771"/>
      <c r="BB27" s="771"/>
      <c r="BC27" s="771"/>
      <c r="BD27" s="771"/>
      <c r="BE27" s="771"/>
      <c r="BF27" s="771"/>
      <c r="BG27" s="771"/>
      <c r="BH27" s="771"/>
      <c r="BI27" s="771"/>
      <c r="BJ27" s="771"/>
      <c r="BK27" s="771"/>
      <c r="BL27" s="771"/>
      <c r="BM27" s="771"/>
      <c r="BN27" s="771"/>
      <c r="BO27" s="771"/>
      <c r="BP27" s="771"/>
      <c r="BQ27" s="771"/>
      <c r="BR27" s="771"/>
      <c r="BS27" s="771"/>
      <c r="BT27" s="771"/>
      <c r="BU27" s="771"/>
      <c r="BV27" s="771"/>
      <c r="BW27" s="771"/>
      <c r="BX27" s="771"/>
      <c r="BY27" s="771"/>
      <c r="BZ27" s="771"/>
      <c r="CA27" s="771"/>
      <c r="CB27" s="771"/>
      <c r="CC27" s="771"/>
      <c r="CD27" s="771"/>
      <c r="CE27" s="771"/>
      <c r="CF27" s="771"/>
      <c r="CG27" s="771"/>
      <c r="CH27" s="771"/>
      <c r="CI27" s="771"/>
      <c r="CJ27" s="771"/>
      <c r="CK27" s="771"/>
      <c r="CL27" s="771"/>
      <c r="CM27" s="771"/>
      <c r="CN27" s="771"/>
      <c r="CO27" s="771"/>
      <c r="CP27" s="771"/>
      <c r="CQ27" s="771"/>
      <c r="CR27" s="771"/>
      <c r="CS27" s="771"/>
      <c r="CT27" s="771"/>
      <c r="CU27" s="771"/>
      <c r="CV27" s="771"/>
      <c r="CW27" s="771"/>
      <c r="CX27" s="771"/>
      <c r="CY27" s="771"/>
      <c r="CZ27" s="771"/>
      <c r="DA27" s="771"/>
      <c r="DB27" s="771"/>
      <c r="DC27" s="771"/>
      <c r="DD27" s="771"/>
      <c r="DE27" s="771"/>
      <c r="DF27" s="771"/>
      <c r="DG27" s="771"/>
      <c r="DH27" s="771"/>
      <c r="DI27" s="771"/>
      <c r="DJ27" s="771"/>
      <c r="DK27" s="771"/>
      <c r="DL27" s="771"/>
      <c r="DM27" s="771"/>
      <c r="DN27" s="771"/>
      <c r="DO27" s="771"/>
      <c r="DP27" s="771"/>
      <c r="DQ27" s="771"/>
      <c r="DR27" s="771"/>
      <c r="DS27" s="771"/>
      <c r="DT27" s="771"/>
      <c r="DU27" s="771"/>
      <c r="DV27" s="771"/>
      <c r="DW27" s="771"/>
      <c r="DX27" s="771"/>
      <c r="DY27" s="771"/>
      <c r="DZ27" s="771"/>
      <c r="EA27" s="771"/>
      <c r="EB27" s="771"/>
      <c r="EC27" s="771"/>
      <c r="ED27" s="771"/>
      <c r="EE27" s="771"/>
      <c r="EF27" s="771"/>
      <c r="EG27" s="771"/>
      <c r="EH27" s="771"/>
      <c r="EI27" s="771"/>
      <c r="EJ27" s="771"/>
      <c r="EK27" s="771"/>
      <c r="EL27" s="771"/>
      <c r="EM27" s="771"/>
      <c r="EN27" s="771"/>
    </row>
    <row r="28" spans="1:144" s="184" customFormat="1" ht="59.65" customHeight="1">
      <c r="A28" s="170"/>
      <c r="B28" s="171"/>
      <c r="C28" s="199" t="s">
        <v>593</v>
      </c>
      <c r="D28" s="173" t="s">
        <v>70</v>
      </c>
      <c r="E28" s="174"/>
      <c r="F28" s="176"/>
      <c r="G28" s="176"/>
      <c r="H28" s="176"/>
      <c r="I28" s="176"/>
      <c r="J28" s="176"/>
      <c r="K28" s="176">
        <v>1</v>
      </c>
      <c r="L28" s="176">
        <f>+K28*$L$11</f>
        <v>0</v>
      </c>
      <c r="M28" s="176"/>
      <c r="N28" s="176"/>
      <c r="O28" s="176"/>
      <c r="P28" s="200"/>
      <c r="Q28" s="176"/>
      <c r="R28" s="176"/>
      <c r="S28" s="176"/>
      <c r="T28" s="176"/>
      <c r="U28" s="176">
        <f t="shared" ref="U28" si="21">+F28+H28+J28+L28+N28+P28+R28+T28</f>
        <v>0</v>
      </c>
      <c r="V28" s="178">
        <f>+ROUND(U28,1)</f>
        <v>0</v>
      </c>
      <c r="W28" s="179">
        <f>'A.P.U. 2023'!F180</f>
        <v>955704.18757740781</v>
      </c>
      <c r="X28" s="179">
        <f>'A.P.U. 2023'!G180</f>
        <v>1092921.0926860243</v>
      </c>
      <c r="Y28" s="180">
        <f t="shared" si="1"/>
        <v>0</v>
      </c>
      <c r="Z28" s="181">
        <f t="shared" si="2"/>
        <v>0</v>
      </c>
      <c r="AA28" s="182">
        <f>'A.P.U. 2023'!G171</f>
        <v>849118.14252238791</v>
      </c>
      <c r="AB28" s="183">
        <f t="shared" si="13"/>
        <v>0</v>
      </c>
      <c r="AC28" s="182">
        <f>'A.P.U. 2023'!G173+'A.P.U. 2023'!G174</f>
        <v>10293</v>
      </c>
      <c r="AD28" s="181">
        <f t="shared" si="6"/>
        <v>0</v>
      </c>
      <c r="AE28" s="180">
        <f>'A.P.U. 2023'!G175</f>
        <v>166359.82516363639</v>
      </c>
      <c r="AF28" s="179">
        <f t="shared" si="7"/>
        <v>0</v>
      </c>
      <c r="AG28" s="180">
        <f>'A.P.U. 2023'!F179</f>
        <v>67150.125</v>
      </c>
      <c r="AH28" s="180">
        <f t="shared" si="8"/>
        <v>0</v>
      </c>
      <c r="AI28" s="654">
        <f t="shared" si="9"/>
        <v>0</v>
      </c>
      <c r="AJ28" s="610">
        <f>'A.P.U. 2023'!L177</f>
        <v>0</v>
      </c>
      <c r="AK28" s="611"/>
      <c r="AL28" s="611"/>
      <c r="AM28" s="771"/>
      <c r="AN28" s="771"/>
      <c r="AO28" s="771"/>
      <c r="AP28" s="771"/>
      <c r="AQ28" s="771"/>
      <c r="AR28" s="771"/>
      <c r="AS28" s="771"/>
      <c r="AT28" s="771"/>
      <c r="AU28" s="771"/>
      <c r="AV28" s="771"/>
      <c r="AW28" s="771"/>
      <c r="AX28" s="771"/>
      <c r="AY28" s="771"/>
      <c r="AZ28" s="771"/>
      <c r="BA28" s="771"/>
      <c r="BB28" s="771"/>
      <c r="BC28" s="771"/>
      <c r="BD28" s="771"/>
      <c r="BE28" s="771"/>
      <c r="BF28" s="771"/>
      <c r="BG28" s="771"/>
      <c r="BH28" s="771"/>
      <c r="BI28" s="771"/>
      <c r="BJ28" s="771"/>
      <c r="BK28" s="771"/>
      <c r="BL28" s="771"/>
      <c r="BM28" s="771"/>
      <c r="BN28" s="771"/>
      <c r="BO28" s="771"/>
      <c r="BP28" s="771"/>
      <c r="BQ28" s="771"/>
      <c r="BR28" s="771"/>
      <c r="BS28" s="771"/>
      <c r="BT28" s="771"/>
      <c r="BU28" s="771"/>
      <c r="BV28" s="771"/>
      <c r="BW28" s="771"/>
      <c r="BX28" s="771"/>
      <c r="BY28" s="771"/>
      <c r="BZ28" s="771"/>
      <c r="CA28" s="771"/>
      <c r="CB28" s="771"/>
      <c r="CC28" s="771"/>
      <c r="CD28" s="771"/>
      <c r="CE28" s="771"/>
      <c r="CF28" s="771"/>
      <c r="CG28" s="771"/>
      <c r="CH28" s="771"/>
      <c r="CI28" s="771"/>
      <c r="CJ28" s="771"/>
      <c r="CK28" s="771"/>
      <c r="CL28" s="771"/>
      <c r="CM28" s="771"/>
      <c r="CN28" s="771"/>
      <c r="CO28" s="771"/>
      <c r="CP28" s="771"/>
      <c r="CQ28" s="771"/>
      <c r="CR28" s="771"/>
      <c r="CS28" s="771"/>
      <c r="CT28" s="771"/>
      <c r="CU28" s="771"/>
      <c r="CV28" s="771"/>
      <c r="CW28" s="771"/>
      <c r="CX28" s="771"/>
      <c r="CY28" s="771"/>
      <c r="CZ28" s="771"/>
      <c r="DA28" s="771"/>
      <c r="DB28" s="771"/>
      <c r="DC28" s="771"/>
      <c r="DD28" s="771"/>
      <c r="DE28" s="771"/>
      <c r="DF28" s="771"/>
      <c r="DG28" s="771"/>
      <c r="DH28" s="771"/>
      <c r="DI28" s="771"/>
      <c r="DJ28" s="771"/>
      <c r="DK28" s="771"/>
      <c r="DL28" s="771"/>
      <c r="DM28" s="771"/>
      <c r="DN28" s="771"/>
      <c r="DO28" s="771"/>
      <c r="DP28" s="771"/>
      <c r="DQ28" s="771"/>
      <c r="DR28" s="771"/>
      <c r="DS28" s="771"/>
      <c r="DT28" s="771"/>
      <c r="DU28" s="771"/>
      <c r="DV28" s="771"/>
      <c r="DW28" s="771"/>
      <c r="DX28" s="771"/>
      <c r="DY28" s="771"/>
      <c r="DZ28" s="771"/>
      <c r="EA28" s="771"/>
      <c r="EB28" s="771"/>
      <c r="EC28" s="771"/>
      <c r="ED28" s="771"/>
      <c r="EE28" s="771"/>
      <c r="EF28" s="771"/>
      <c r="EG28" s="771"/>
      <c r="EH28" s="771"/>
      <c r="EI28" s="771"/>
      <c r="EJ28" s="771"/>
      <c r="EK28" s="771"/>
      <c r="EL28" s="771"/>
      <c r="EM28" s="771"/>
      <c r="EN28" s="771"/>
    </row>
    <row r="29" spans="1:144" s="184" customFormat="1" ht="117.75" customHeight="1">
      <c r="A29" s="170" t="e">
        <f>+A27+1</f>
        <v>#REF!</v>
      </c>
      <c r="B29" s="171" t="s">
        <v>69</v>
      </c>
      <c r="C29" s="199" t="str">
        <f>+'A.P.U. 2023'!A183</f>
        <v>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v>
      </c>
      <c r="D29" s="173" t="s">
        <v>70</v>
      </c>
      <c r="E29" s="174"/>
      <c r="F29" s="176"/>
      <c r="G29" s="176"/>
      <c r="H29" s="176"/>
      <c r="I29" s="176"/>
      <c r="J29" s="176"/>
      <c r="K29" s="176"/>
      <c r="L29" s="176"/>
      <c r="M29" s="176">
        <v>1</v>
      </c>
      <c r="N29" s="176">
        <f>+M29*$N$8</f>
        <v>0</v>
      </c>
      <c r="O29" s="176"/>
      <c r="P29" s="200"/>
      <c r="Q29" s="176"/>
      <c r="R29" s="176"/>
      <c r="S29" s="176"/>
      <c r="T29" s="176"/>
      <c r="U29" s="176">
        <f t="shared" si="12"/>
        <v>0</v>
      </c>
      <c r="V29" s="178">
        <f t="shared" si="4"/>
        <v>0</v>
      </c>
      <c r="W29" s="179">
        <f>+'A.P.U. 2023'!F192</f>
        <v>9944663.230858421</v>
      </c>
      <c r="X29" s="179">
        <f>+'A.P.U. 2023'!G192</f>
        <v>11703825.37097152</v>
      </c>
      <c r="Y29" s="180">
        <f t="shared" si="1"/>
        <v>0</v>
      </c>
      <c r="Z29" s="181">
        <f t="shared" si="2"/>
        <v>0</v>
      </c>
      <c r="AA29" s="182">
        <f>+'A.P.U. 2023'!G183</f>
        <v>10990727.74597152</v>
      </c>
      <c r="AB29" s="183">
        <f>+AA29*V29</f>
        <v>0</v>
      </c>
      <c r="AC29" s="182">
        <f>+'A.P.U. 2023'!G186+'A.P.U. 2023'!G184</f>
        <v>27182.5</v>
      </c>
      <c r="AD29" s="181">
        <f t="shared" si="6"/>
        <v>0</v>
      </c>
      <c r="AE29" s="180">
        <f>+'A.P.U. 2023'!G188</f>
        <v>0</v>
      </c>
      <c r="AF29" s="179">
        <f t="shared" si="7"/>
        <v>0</v>
      </c>
      <c r="AG29" s="180">
        <f>+'A.P.U. 2023'!G189+'A.P.U. 2023'!G190</f>
        <v>685915.125</v>
      </c>
      <c r="AH29" s="180">
        <f t="shared" si="8"/>
        <v>0</v>
      </c>
      <c r="AI29" s="654">
        <f t="shared" si="9"/>
        <v>0</v>
      </c>
      <c r="AJ29" s="610">
        <f>+'A.P.U. 2023'!L183</f>
        <v>0</v>
      </c>
      <c r="AK29" s="611"/>
      <c r="AL29" s="611"/>
      <c r="AM29" s="771"/>
      <c r="AN29" s="771"/>
      <c r="AO29" s="771"/>
      <c r="AP29" s="771"/>
      <c r="AQ29" s="771"/>
      <c r="AR29" s="771"/>
      <c r="AS29" s="771"/>
      <c r="AT29" s="771"/>
      <c r="AU29" s="771"/>
      <c r="AV29" s="771"/>
      <c r="AW29" s="771"/>
      <c r="AX29" s="771"/>
      <c r="AY29" s="771"/>
      <c r="AZ29" s="771"/>
      <c r="BA29" s="771"/>
      <c r="BB29" s="771"/>
      <c r="BC29" s="771"/>
      <c r="BD29" s="771"/>
      <c r="BE29" s="771"/>
      <c r="BF29" s="771"/>
      <c r="BG29" s="771"/>
      <c r="BH29" s="771"/>
      <c r="BI29" s="771"/>
      <c r="BJ29" s="771"/>
      <c r="BK29" s="771"/>
      <c r="BL29" s="771"/>
      <c r="BM29" s="771"/>
      <c r="BN29" s="771"/>
      <c r="BO29" s="771"/>
      <c r="BP29" s="771"/>
      <c r="BQ29" s="771"/>
      <c r="BR29" s="771"/>
      <c r="BS29" s="771"/>
      <c r="BT29" s="771"/>
      <c r="BU29" s="771"/>
      <c r="BV29" s="771"/>
      <c r="BW29" s="771"/>
      <c r="BX29" s="771"/>
      <c r="BY29" s="771"/>
      <c r="BZ29" s="771"/>
      <c r="CA29" s="771"/>
      <c r="CB29" s="771"/>
      <c r="CC29" s="771"/>
      <c r="CD29" s="771"/>
      <c r="CE29" s="771"/>
      <c r="CF29" s="771"/>
      <c r="CG29" s="771"/>
      <c r="CH29" s="771"/>
      <c r="CI29" s="771"/>
      <c r="CJ29" s="771"/>
      <c r="CK29" s="771"/>
      <c r="CL29" s="771"/>
      <c r="CM29" s="771"/>
      <c r="CN29" s="771"/>
      <c r="CO29" s="771"/>
      <c r="CP29" s="771"/>
      <c r="CQ29" s="771"/>
      <c r="CR29" s="771"/>
      <c r="CS29" s="771"/>
      <c r="CT29" s="771"/>
      <c r="CU29" s="771"/>
      <c r="CV29" s="771"/>
      <c r="CW29" s="771"/>
      <c r="CX29" s="771"/>
      <c r="CY29" s="771"/>
      <c r="CZ29" s="771"/>
      <c r="DA29" s="771"/>
      <c r="DB29" s="771"/>
      <c r="DC29" s="771"/>
      <c r="DD29" s="771"/>
      <c r="DE29" s="771"/>
      <c r="DF29" s="771"/>
      <c r="DG29" s="771"/>
      <c r="DH29" s="771"/>
      <c r="DI29" s="771"/>
      <c r="DJ29" s="771"/>
      <c r="DK29" s="771"/>
      <c r="DL29" s="771"/>
      <c r="DM29" s="771"/>
      <c r="DN29" s="771"/>
      <c r="DO29" s="771"/>
      <c r="DP29" s="771"/>
      <c r="DQ29" s="771"/>
      <c r="DR29" s="771"/>
      <c r="DS29" s="771"/>
      <c r="DT29" s="771"/>
      <c r="DU29" s="771"/>
      <c r="DV29" s="771"/>
      <c r="DW29" s="771"/>
      <c r="DX29" s="771"/>
      <c r="DY29" s="771"/>
      <c r="DZ29" s="771"/>
      <c r="EA29" s="771"/>
      <c r="EB29" s="771"/>
      <c r="EC29" s="771"/>
      <c r="ED29" s="771"/>
      <c r="EE29" s="771"/>
      <c r="EF29" s="771"/>
      <c r="EG29" s="771"/>
      <c r="EH29" s="771"/>
      <c r="EI29" s="771"/>
      <c r="EJ29" s="771"/>
      <c r="EK29" s="771"/>
      <c r="EL29" s="771"/>
      <c r="EM29" s="771"/>
      <c r="EN29" s="771"/>
    </row>
    <row r="30" spans="1:144" s="184" customFormat="1" ht="78.599999999999994" customHeight="1">
      <c r="A30" s="170"/>
      <c r="B30" s="171"/>
      <c r="C30" s="199" t="s">
        <v>594</v>
      </c>
      <c r="D30" s="173" t="s">
        <v>70</v>
      </c>
      <c r="E30" s="174"/>
      <c r="F30" s="176"/>
      <c r="G30" s="176"/>
      <c r="H30" s="176"/>
      <c r="I30" s="176"/>
      <c r="J30" s="176"/>
      <c r="K30" s="176"/>
      <c r="L30" s="176"/>
      <c r="M30" s="176">
        <v>1</v>
      </c>
      <c r="N30" s="176">
        <f>+M30*$N$11</f>
        <v>0</v>
      </c>
      <c r="O30" s="176"/>
      <c r="P30" s="200"/>
      <c r="Q30" s="176"/>
      <c r="R30" s="176"/>
      <c r="S30" s="176"/>
      <c r="T30" s="176"/>
      <c r="U30" s="176">
        <f t="shared" ref="U30" si="22">+F30+H30+J30+L30+N30+P30+R30+T30</f>
        <v>0</v>
      </c>
      <c r="V30" s="178">
        <f t="shared" ref="V30" si="23">+ROUND(U30,1)</f>
        <v>0</v>
      </c>
      <c r="W30" s="179">
        <f>'A.P.U. 2023'!F204</f>
        <v>1495361.145035943</v>
      </c>
      <c r="X30" s="179">
        <f>'A.P.U. 2023'!G204</f>
        <v>1735112.872061681</v>
      </c>
      <c r="Y30" s="180">
        <f t="shared" ref="Y30" si="24">V30*W30</f>
        <v>0</v>
      </c>
      <c r="Z30" s="181">
        <f t="shared" ref="Z30" si="25">V30*X30</f>
        <v>0</v>
      </c>
      <c r="AA30" s="182">
        <f>'A.P.U. 2023'!G195</f>
        <v>1491309.9218980446</v>
      </c>
      <c r="AB30" s="183">
        <f>+AA30*V30</f>
        <v>0</v>
      </c>
      <c r="AC30" s="182">
        <f>'A.P.U. 2023'!G197+'A.P.U. 2023'!G198</f>
        <v>10293</v>
      </c>
      <c r="AD30" s="181">
        <f t="shared" si="6"/>
        <v>0</v>
      </c>
      <c r="AE30" s="180">
        <f>'A.P.U. 2023'!G199</f>
        <v>166359.82516363639</v>
      </c>
      <c r="AF30" s="179">
        <f t="shared" si="7"/>
        <v>0</v>
      </c>
      <c r="AG30" s="180">
        <f>'A.P.U. 2023'!F203</f>
        <v>67150.125</v>
      </c>
      <c r="AH30" s="180">
        <f t="shared" ref="AH30" si="26">+AG30*V30</f>
        <v>0</v>
      </c>
      <c r="AI30" s="654">
        <f t="shared" si="9"/>
        <v>0</v>
      </c>
      <c r="AJ30" s="610">
        <f>'A.P.U. 2023'!L200</f>
        <v>0</v>
      </c>
      <c r="AK30" s="611"/>
      <c r="AL30" s="611"/>
      <c r="AM30" s="771"/>
      <c r="AN30" s="771"/>
      <c r="AO30" s="771"/>
      <c r="AP30" s="771"/>
      <c r="AQ30" s="771"/>
      <c r="AR30" s="771"/>
      <c r="AS30" s="771"/>
      <c r="AT30" s="771"/>
      <c r="AU30" s="771"/>
      <c r="AV30" s="771"/>
      <c r="AW30" s="771"/>
      <c r="AX30" s="771"/>
      <c r="AY30" s="771"/>
      <c r="AZ30" s="771"/>
      <c r="BA30" s="771"/>
      <c r="BB30" s="771"/>
      <c r="BC30" s="771"/>
      <c r="BD30" s="771"/>
      <c r="BE30" s="771"/>
      <c r="BF30" s="771"/>
      <c r="BG30" s="771"/>
      <c r="BH30" s="771"/>
      <c r="BI30" s="771"/>
      <c r="BJ30" s="771"/>
      <c r="BK30" s="771"/>
      <c r="BL30" s="771"/>
      <c r="BM30" s="771"/>
      <c r="BN30" s="771"/>
      <c r="BO30" s="771"/>
      <c r="BP30" s="771"/>
      <c r="BQ30" s="771"/>
      <c r="BR30" s="771"/>
      <c r="BS30" s="771"/>
      <c r="BT30" s="771"/>
      <c r="BU30" s="771"/>
      <c r="BV30" s="771"/>
      <c r="BW30" s="771"/>
      <c r="BX30" s="771"/>
      <c r="BY30" s="771"/>
      <c r="BZ30" s="771"/>
      <c r="CA30" s="771"/>
      <c r="CB30" s="771"/>
      <c r="CC30" s="771"/>
      <c r="CD30" s="771"/>
      <c r="CE30" s="771"/>
      <c r="CF30" s="771"/>
      <c r="CG30" s="771"/>
      <c r="CH30" s="771"/>
      <c r="CI30" s="771"/>
      <c r="CJ30" s="771"/>
      <c r="CK30" s="771"/>
      <c r="CL30" s="771"/>
      <c r="CM30" s="771"/>
      <c r="CN30" s="771"/>
      <c r="CO30" s="771"/>
      <c r="CP30" s="771"/>
      <c r="CQ30" s="771"/>
      <c r="CR30" s="771"/>
      <c r="CS30" s="771"/>
      <c r="CT30" s="771"/>
      <c r="CU30" s="771"/>
      <c r="CV30" s="771"/>
      <c r="CW30" s="771"/>
      <c r="CX30" s="771"/>
      <c r="CY30" s="771"/>
      <c r="CZ30" s="771"/>
      <c r="DA30" s="771"/>
      <c r="DB30" s="771"/>
      <c r="DC30" s="771"/>
      <c r="DD30" s="771"/>
      <c r="DE30" s="771"/>
      <c r="DF30" s="771"/>
      <c r="DG30" s="771"/>
      <c r="DH30" s="771"/>
      <c r="DI30" s="771"/>
      <c r="DJ30" s="771"/>
      <c r="DK30" s="771"/>
      <c r="DL30" s="771"/>
      <c r="DM30" s="771"/>
      <c r="DN30" s="771"/>
      <c r="DO30" s="771"/>
      <c r="DP30" s="771"/>
      <c r="DQ30" s="771"/>
      <c r="DR30" s="771"/>
      <c r="DS30" s="771"/>
      <c r="DT30" s="771"/>
      <c r="DU30" s="771"/>
      <c r="DV30" s="771"/>
      <c r="DW30" s="771"/>
      <c r="DX30" s="771"/>
      <c r="DY30" s="771"/>
      <c r="DZ30" s="771"/>
      <c r="EA30" s="771"/>
      <c r="EB30" s="771"/>
      <c r="EC30" s="771"/>
      <c r="ED30" s="771"/>
      <c r="EE30" s="771"/>
      <c r="EF30" s="771"/>
      <c r="EG30" s="771"/>
      <c r="EH30" s="771"/>
      <c r="EI30" s="771"/>
      <c r="EJ30" s="771"/>
      <c r="EK30" s="771"/>
      <c r="EL30" s="771"/>
      <c r="EM30" s="771"/>
      <c r="EN30" s="771"/>
    </row>
    <row r="31" spans="1:144" s="184" customFormat="1" ht="125.25" customHeight="1">
      <c r="A31" s="170" t="e">
        <f>+A29+1</f>
        <v>#REF!</v>
      </c>
      <c r="B31" s="171" t="s">
        <v>69</v>
      </c>
      <c r="C31" s="199" t="str">
        <f>+'A.P.U. 2023'!A207</f>
        <v>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v>
      </c>
      <c r="D31" s="173" t="s">
        <v>70</v>
      </c>
      <c r="E31" s="174"/>
      <c r="F31" s="176"/>
      <c r="G31" s="176"/>
      <c r="H31" s="176"/>
      <c r="I31" s="176"/>
      <c r="J31" s="176"/>
      <c r="K31" s="176"/>
      <c r="L31" s="176"/>
      <c r="M31" s="176"/>
      <c r="N31" s="176"/>
      <c r="O31" s="176">
        <v>1</v>
      </c>
      <c r="P31" s="200">
        <f>+O31*$P$8</f>
        <v>0</v>
      </c>
      <c r="Q31" s="176"/>
      <c r="R31" s="176"/>
      <c r="S31" s="176"/>
      <c r="T31" s="176"/>
      <c r="U31" s="176">
        <f t="shared" si="12"/>
        <v>0</v>
      </c>
      <c r="V31" s="178">
        <f t="shared" si="4"/>
        <v>0</v>
      </c>
      <c r="W31" s="179">
        <f>+'A.P.U. 2023'!F216</f>
        <v>13341173.91016799</v>
      </c>
      <c r="X31" s="179">
        <f>+'A.P.U. 2023'!G216</f>
        <v>15745673.079349907</v>
      </c>
      <c r="Y31" s="180">
        <f t="shared" si="1"/>
        <v>0</v>
      </c>
      <c r="Z31" s="181">
        <f t="shared" si="2"/>
        <v>0</v>
      </c>
      <c r="AA31" s="182">
        <f>+'A.P.U. 2023'!G207</f>
        <v>15032575.454349907</v>
      </c>
      <c r="AB31" s="183">
        <f t="shared" si="13"/>
        <v>0</v>
      </c>
      <c r="AC31" s="182">
        <f>+'A.P.U. 2023'!G210+'A.P.U. 2023'!G208</f>
        <v>27182.5</v>
      </c>
      <c r="AD31" s="181">
        <f t="shared" si="6"/>
        <v>0</v>
      </c>
      <c r="AE31" s="180">
        <f>+'A.P.U. 2023'!G212</f>
        <v>0</v>
      </c>
      <c r="AF31" s="179">
        <f t="shared" si="7"/>
        <v>0</v>
      </c>
      <c r="AG31" s="180">
        <f>+'A.P.U. 2023'!G213+'A.P.U. 2023'!G214</f>
        <v>685915.125</v>
      </c>
      <c r="AH31" s="180">
        <f t="shared" si="8"/>
        <v>0</v>
      </c>
      <c r="AI31" s="654">
        <f t="shared" si="9"/>
        <v>0</v>
      </c>
      <c r="AJ31" s="610">
        <f>+'A.P.U. 2023'!L207</f>
        <v>0</v>
      </c>
      <c r="AK31" s="611"/>
      <c r="AL31" s="611"/>
      <c r="AM31" s="771"/>
      <c r="AN31" s="771"/>
      <c r="AO31" s="771"/>
      <c r="AP31" s="771"/>
      <c r="AQ31" s="771"/>
      <c r="AR31" s="771"/>
      <c r="AS31" s="771"/>
      <c r="AT31" s="771"/>
      <c r="AU31" s="771"/>
      <c r="AV31" s="771"/>
      <c r="AW31" s="771"/>
      <c r="AX31" s="771"/>
      <c r="AY31" s="771"/>
      <c r="AZ31" s="771"/>
      <c r="BA31" s="771"/>
      <c r="BB31" s="771"/>
      <c r="BC31" s="771"/>
      <c r="BD31" s="771"/>
      <c r="BE31" s="771"/>
      <c r="BF31" s="771"/>
      <c r="BG31" s="771"/>
      <c r="BH31" s="771"/>
      <c r="BI31" s="771"/>
      <c r="BJ31" s="771"/>
      <c r="BK31" s="771"/>
      <c r="BL31" s="771"/>
      <c r="BM31" s="771"/>
      <c r="BN31" s="771"/>
      <c r="BO31" s="771"/>
      <c r="BP31" s="771"/>
      <c r="BQ31" s="771"/>
      <c r="BR31" s="771"/>
      <c r="BS31" s="771"/>
      <c r="BT31" s="771"/>
      <c r="BU31" s="771"/>
      <c r="BV31" s="771"/>
      <c r="BW31" s="771"/>
      <c r="BX31" s="771"/>
      <c r="BY31" s="771"/>
      <c r="BZ31" s="771"/>
      <c r="CA31" s="771"/>
      <c r="CB31" s="771"/>
      <c r="CC31" s="771"/>
      <c r="CD31" s="771"/>
      <c r="CE31" s="771"/>
      <c r="CF31" s="771"/>
      <c r="CG31" s="771"/>
      <c r="CH31" s="771"/>
      <c r="CI31" s="771"/>
      <c r="CJ31" s="771"/>
      <c r="CK31" s="771"/>
      <c r="CL31" s="771"/>
      <c r="CM31" s="771"/>
      <c r="CN31" s="771"/>
      <c r="CO31" s="771"/>
      <c r="CP31" s="771"/>
      <c r="CQ31" s="771"/>
      <c r="CR31" s="771"/>
      <c r="CS31" s="771"/>
      <c r="CT31" s="771"/>
      <c r="CU31" s="771"/>
      <c r="CV31" s="771"/>
      <c r="CW31" s="771"/>
      <c r="CX31" s="771"/>
      <c r="CY31" s="771"/>
      <c r="CZ31" s="771"/>
      <c r="DA31" s="771"/>
      <c r="DB31" s="771"/>
      <c r="DC31" s="771"/>
      <c r="DD31" s="771"/>
      <c r="DE31" s="771"/>
      <c r="DF31" s="771"/>
      <c r="DG31" s="771"/>
      <c r="DH31" s="771"/>
      <c r="DI31" s="771"/>
      <c r="DJ31" s="771"/>
      <c r="DK31" s="771"/>
      <c r="DL31" s="771"/>
      <c r="DM31" s="771"/>
      <c r="DN31" s="771"/>
      <c r="DO31" s="771"/>
      <c r="DP31" s="771"/>
      <c r="DQ31" s="771"/>
      <c r="DR31" s="771"/>
      <c r="DS31" s="771"/>
      <c r="DT31" s="771"/>
      <c r="DU31" s="771"/>
      <c r="DV31" s="771"/>
      <c r="DW31" s="771"/>
      <c r="DX31" s="771"/>
      <c r="DY31" s="771"/>
      <c r="DZ31" s="771"/>
      <c r="EA31" s="771"/>
      <c r="EB31" s="771"/>
      <c r="EC31" s="771"/>
      <c r="ED31" s="771"/>
      <c r="EE31" s="771"/>
      <c r="EF31" s="771"/>
      <c r="EG31" s="771"/>
      <c r="EH31" s="771"/>
      <c r="EI31" s="771"/>
      <c r="EJ31" s="771"/>
      <c r="EK31" s="771"/>
      <c r="EL31" s="771"/>
      <c r="EM31" s="771"/>
      <c r="EN31" s="771"/>
    </row>
    <row r="32" spans="1:144" s="184" customFormat="1" ht="125.25" customHeight="1">
      <c r="A32" s="170"/>
      <c r="B32" s="171"/>
      <c r="C32" s="199" t="s">
        <v>595</v>
      </c>
      <c r="D32" s="173" t="s">
        <v>70</v>
      </c>
      <c r="E32" s="174"/>
      <c r="F32" s="176"/>
      <c r="G32" s="176"/>
      <c r="H32" s="176"/>
      <c r="I32" s="176"/>
      <c r="J32" s="176"/>
      <c r="K32" s="176"/>
      <c r="L32" s="176"/>
      <c r="M32" s="176"/>
      <c r="N32" s="176"/>
      <c r="O32" s="176">
        <v>1</v>
      </c>
      <c r="P32" s="200">
        <f>+O32*$P$11</f>
        <v>0</v>
      </c>
      <c r="Q32" s="176"/>
      <c r="R32" s="176"/>
      <c r="S32" s="176"/>
      <c r="T32" s="176"/>
      <c r="U32" s="176">
        <f t="shared" ref="U32" si="27">+F32+H32+J32+L32+N32+P32+R32+T32</f>
        <v>0</v>
      </c>
      <c r="V32" s="178">
        <f t="shared" ref="V32" si="28">+ROUND(U32,1)</f>
        <v>0</v>
      </c>
      <c r="W32" s="179">
        <f>'A.P.U. 2023'!F228</f>
        <v>1742076.3529440698</v>
      </c>
      <c r="X32" s="179">
        <f>'A.P.U. 2023'!G228</f>
        <v>2028703.9694723519</v>
      </c>
      <c r="Y32" s="180">
        <f t="shared" ref="Y32" si="29">V32*W32</f>
        <v>0</v>
      </c>
      <c r="Z32" s="181">
        <f t="shared" ref="Z32" si="30">V32*X32</f>
        <v>0</v>
      </c>
      <c r="AA32" s="182">
        <f>'A.P.U. 2023'!G219</f>
        <v>1784901.0193087156</v>
      </c>
      <c r="AB32" s="183">
        <f t="shared" si="13"/>
        <v>0</v>
      </c>
      <c r="AC32" s="182">
        <f>'A.P.U. 2023'!G221+'A.P.U. 2023'!G222</f>
        <v>10293</v>
      </c>
      <c r="AD32" s="181">
        <f t="shared" si="6"/>
        <v>0</v>
      </c>
      <c r="AE32" s="180">
        <f>'A.P.U. 2023'!G223</f>
        <v>166359.82516363639</v>
      </c>
      <c r="AF32" s="179">
        <f t="shared" si="7"/>
        <v>0</v>
      </c>
      <c r="AG32" s="180">
        <f>'A.P.U. 2023'!F227</f>
        <v>67150.125</v>
      </c>
      <c r="AH32" s="180">
        <f t="shared" ref="AH32" si="31">+AG32*V32</f>
        <v>0</v>
      </c>
      <c r="AI32" s="654">
        <f t="shared" si="9"/>
        <v>0</v>
      </c>
      <c r="AJ32" s="610">
        <f>'A.P.U. 2023'!L224</f>
        <v>0</v>
      </c>
      <c r="AK32" s="611"/>
      <c r="AL32" s="611"/>
      <c r="AM32" s="771"/>
      <c r="AN32" s="771"/>
      <c r="AO32" s="771"/>
      <c r="AP32" s="771"/>
      <c r="AQ32" s="771"/>
      <c r="AR32" s="771"/>
      <c r="AS32" s="771"/>
      <c r="AT32" s="771"/>
      <c r="AU32" s="771"/>
      <c r="AV32" s="771"/>
      <c r="AW32" s="771"/>
      <c r="AX32" s="771"/>
      <c r="AY32" s="771"/>
      <c r="AZ32" s="771"/>
      <c r="BA32" s="771"/>
      <c r="BB32" s="771"/>
      <c r="BC32" s="771"/>
      <c r="BD32" s="771"/>
      <c r="BE32" s="771"/>
      <c r="BF32" s="771"/>
      <c r="BG32" s="771"/>
      <c r="BH32" s="771"/>
      <c r="BI32" s="771"/>
      <c r="BJ32" s="771"/>
      <c r="BK32" s="771"/>
      <c r="BL32" s="771"/>
      <c r="BM32" s="771"/>
      <c r="BN32" s="771"/>
      <c r="BO32" s="771"/>
      <c r="BP32" s="771"/>
      <c r="BQ32" s="771"/>
      <c r="BR32" s="771"/>
      <c r="BS32" s="771"/>
      <c r="BT32" s="771"/>
      <c r="BU32" s="771"/>
      <c r="BV32" s="771"/>
      <c r="BW32" s="771"/>
      <c r="BX32" s="771"/>
      <c r="BY32" s="771"/>
      <c r="BZ32" s="771"/>
      <c r="CA32" s="771"/>
      <c r="CB32" s="771"/>
      <c r="CC32" s="771"/>
      <c r="CD32" s="771"/>
      <c r="CE32" s="771"/>
      <c r="CF32" s="771"/>
      <c r="CG32" s="771"/>
      <c r="CH32" s="771"/>
      <c r="CI32" s="771"/>
      <c r="CJ32" s="771"/>
      <c r="CK32" s="771"/>
      <c r="CL32" s="771"/>
      <c r="CM32" s="771"/>
      <c r="CN32" s="771"/>
      <c r="CO32" s="771"/>
      <c r="CP32" s="771"/>
      <c r="CQ32" s="771"/>
      <c r="CR32" s="771"/>
      <c r="CS32" s="771"/>
      <c r="CT32" s="771"/>
      <c r="CU32" s="771"/>
      <c r="CV32" s="771"/>
      <c r="CW32" s="771"/>
      <c r="CX32" s="771"/>
      <c r="CY32" s="771"/>
      <c r="CZ32" s="771"/>
      <c r="DA32" s="771"/>
      <c r="DB32" s="771"/>
      <c r="DC32" s="771"/>
      <c r="DD32" s="771"/>
      <c r="DE32" s="771"/>
      <c r="DF32" s="771"/>
      <c r="DG32" s="771"/>
      <c r="DH32" s="771"/>
      <c r="DI32" s="771"/>
      <c r="DJ32" s="771"/>
      <c r="DK32" s="771"/>
      <c r="DL32" s="771"/>
      <c r="DM32" s="771"/>
      <c r="DN32" s="771"/>
      <c r="DO32" s="771"/>
      <c r="DP32" s="771"/>
      <c r="DQ32" s="771"/>
      <c r="DR32" s="771"/>
      <c r="DS32" s="771"/>
      <c r="DT32" s="771"/>
      <c r="DU32" s="771"/>
      <c r="DV32" s="771"/>
      <c r="DW32" s="771"/>
      <c r="DX32" s="771"/>
      <c r="DY32" s="771"/>
      <c r="DZ32" s="771"/>
      <c r="EA32" s="771"/>
      <c r="EB32" s="771"/>
      <c r="EC32" s="771"/>
      <c r="ED32" s="771"/>
      <c r="EE32" s="771"/>
      <c r="EF32" s="771"/>
      <c r="EG32" s="771"/>
      <c r="EH32" s="771"/>
      <c r="EI32" s="771"/>
      <c r="EJ32" s="771"/>
      <c r="EK32" s="771"/>
      <c r="EL32" s="771"/>
      <c r="EM32" s="771"/>
      <c r="EN32" s="771"/>
    </row>
    <row r="33" spans="1:144" s="184" customFormat="1" ht="120.75" customHeight="1">
      <c r="A33" s="170"/>
      <c r="B33" s="171"/>
      <c r="C33" s="199" t="str">
        <f>+'A.P.U. 2023'!A230</f>
        <v>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v>
      </c>
      <c r="D33" s="173" t="s">
        <v>70</v>
      </c>
      <c r="E33" s="174"/>
      <c r="F33" s="176"/>
      <c r="G33" s="176"/>
      <c r="H33" s="176"/>
      <c r="I33" s="176"/>
      <c r="J33" s="176"/>
      <c r="K33" s="176"/>
      <c r="L33" s="176"/>
      <c r="M33" s="176"/>
      <c r="N33" s="176"/>
      <c r="O33" s="176"/>
      <c r="P33" s="200"/>
      <c r="Q33" s="176">
        <v>1</v>
      </c>
      <c r="R33" s="176">
        <f>+Q33*$R$8</f>
        <v>0</v>
      </c>
      <c r="S33" s="176"/>
      <c r="T33" s="176"/>
      <c r="U33" s="176">
        <f t="shared" si="12"/>
        <v>0</v>
      </c>
      <c r="V33" s="178">
        <f t="shared" ref="V33:V38" si="32">+ROUND(U33,1)</f>
        <v>0</v>
      </c>
      <c r="W33" s="179">
        <f>+'A.P.U. 2023'!F239</f>
        <v>17654681.435537402</v>
      </c>
      <c r="X33" s="179">
        <f>+'A.P.U. 2023'!G239</f>
        <v>20835305.743289504</v>
      </c>
      <c r="Y33" s="180">
        <f t="shared" si="1"/>
        <v>0</v>
      </c>
      <c r="Z33" s="181">
        <f t="shared" si="2"/>
        <v>0</v>
      </c>
      <c r="AA33" s="182">
        <f>+'A.P.U. 2023'!G230</f>
        <v>19893569.743289504</v>
      </c>
      <c r="AB33" s="183">
        <f t="shared" si="13"/>
        <v>0</v>
      </c>
      <c r="AC33" s="182">
        <f>+'A.P.U. 2023'!G233+'A.P.U. 2023'!G231</f>
        <v>27182.5</v>
      </c>
      <c r="AD33" s="181">
        <f t="shared" si="6"/>
        <v>0</v>
      </c>
      <c r="AE33" s="180">
        <f>+'A.P.U. 2023'!G235</f>
        <v>0</v>
      </c>
      <c r="AF33" s="179">
        <f t="shared" si="7"/>
        <v>0</v>
      </c>
      <c r="AG33" s="180">
        <f>+'A.P.U. 2023'!G236+'A.P.U. 2023'!G237</f>
        <v>914553.5</v>
      </c>
      <c r="AH33" s="180">
        <f t="shared" si="8"/>
        <v>0</v>
      </c>
      <c r="AI33" s="654">
        <f t="shared" si="9"/>
        <v>0</v>
      </c>
      <c r="AJ33" s="610">
        <f>+'A.P.U. 2023'!L230</f>
        <v>0</v>
      </c>
      <c r="AK33" s="611"/>
      <c r="AL33" s="611"/>
      <c r="AM33" s="771"/>
      <c r="AN33" s="771"/>
      <c r="AO33" s="771"/>
      <c r="AP33" s="771"/>
      <c r="AQ33" s="771"/>
      <c r="AR33" s="771"/>
      <c r="AS33" s="771"/>
      <c r="AT33" s="771"/>
      <c r="AU33" s="771"/>
      <c r="AV33" s="771"/>
      <c r="AW33" s="771"/>
      <c r="AX33" s="771"/>
      <c r="AY33" s="771"/>
      <c r="AZ33" s="771"/>
      <c r="BA33" s="771"/>
      <c r="BB33" s="771"/>
      <c r="BC33" s="771"/>
      <c r="BD33" s="771"/>
      <c r="BE33" s="771"/>
      <c r="BF33" s="771"/>
      <c r="BG33" s="771"/>
      <c r="BH33" s="771"/>
      <c r="BI33" s="771"/>
      <c r="BJ33" s="771"/>
      <c r="BK33" s="771"/>
      <c r="BL33" s="771"/>
      <c r="BM33" s="771"/>
      <c r="BN33" s="771"/>
      <c r="BO33" s="771"/>
      <c r="BP33" s="771"/>
      <c r="BQ33" s="771"/>
      <c r="BR33" s="771"/>
      <c r="BS33" s="771"/>
      <c r="BT33" s="771"/>
      <c r="BU33" s="771"/>
      <c r="BV33" s="771"/>
      <c r="BW33" s="771"/>
      <c r="BX33" s="771"/>
      <c r="BY33" s="771"/>
      <c r="BZ33" s="771"/>
      <c r="CA33" s="771"/>
      <c r="CB33" s="771"/>
      <c r="CC33" s="771"/>
      <c r="CD33" s="771"/>
      <c r="CE33" s="771"/>
      <c r="CF33" s="771"/>
      <c r="CG33" s="771"/>
      <c r="CH33" s="771"/>
      <c r="CI33" s="771"/>
      <c r="CJ33" s="771"/>
      <c r="CK33" s="771"/>
      <c r="CL33" s="771"/>
      <c r="CM33" s="771"/>
      <c r="CN33" s="771"/>
      <c r="CO33" s="771"/>
      <c r="CP33" s="771"/>
      <c r="CQ33" s="771"/>
      <c r="CR33" s="771"/>
      <c r="CS33" s="771"/>
      <c r="CT33" s="771"/>
      <c r="CU33" s="771"/>
      <c r="CV33" s="771"/>
      <c r="CW33" s="771"/>
      <c r="CX33" s="771"/>
      <c r="CY33" s="771"/>
      <c r="CZ33" s="771"/>
      <c r="DA33" s="771"/>
      <c r="DB33" s="771"/>
      <c r="DC33" s="771"/>
      <c r="DD33" s="771"/>
      <c r="DE33" s="771"/>
      <c r="DF33" s="771"/>
      <c r="DG33" s="771"/>
      <c r="DH33" s="771"/>
      <c r="DI33" s="771"/>
      <c r="DJ33" s="771"/>
      <c r="DK33" s="771"/>
      <c r="DL33" s="771"/>
      <c r="DM33" s="771"/>
      <c r="DN33" s="771"/>
      <c r="DO33" s="771"/>
      <c r="DP33" s="771"/>
      <c r="DQ33" s="771"/>
      <c r="DR33" s="771"/>
      <c r="DS33" s="771"/>
      <c r="DT33" s="771"/>
      <c r="DU33" s="771"/>
      <c r="DV33" s="771"/>
      <c r="DW33" s="771"/>
      <c r="DX33" s="771"/>
      <c r="DY33" s="771"/>
      <c r="DZ33" s="771"/>
      <c r="EA33" s="771"/>
      <c r="EB33" s="771"/>
      <c r="EC33" s="771"/>
      <c r="ED33" s="771"/>
      <c r="EE33" s="771"/>
      <c r="EF33" s="771"/>
      <c r="EG33" s="771"/>
      <c r="EH33" s="771"/>
      <c r="EI33" s="771"/>
      <c r="EJ33" s="771"/>
      <c r="EK33" s="771"/>
      <c r="EL33" s="771"/>
      <c r="EM33" s="771"/>
      <c r="EN33" s="771"/>
    </row>
    <row r="34" spans="1:144" s="184" customFormat="1" ht="89.65" customHeight="1">
      <c r="A34" s="170"/>
      <c r="B34" s="171"/>
      <c r="C34" s="199" t="s">
        <v>596</v>
      </c>
      <c r="D34" s="173" t="s">
        <v>70</v>
      </c>
      <c r="E34" s="174"/>
      <c r="F34" s="176"/>
      <c r="G34" s="176"/>
      <c r="H34" s="176"/>
      <c r="I34" s="176"/>
      <c r="J34" s="176"/>
      <c r="K34" s="176"/>
      <c r="L34" s="176"/>
      <c r="M34" s="176"/>
      <c r="N34" s="176"/>
      <c r="O34" s="176"/>
      <c r="P34" s="200"/>
      <c r="Q34" s="176">
        <v>1</v>
      </c>
      <c r="R34" s="176">
        <f>+Q34*$R$11</f>
        <v>0</v>
      </c>
      <c r="S34" s="176"/>
      <c r="T34" s="176"/>
      <c r="U34" s="176">
        <f t="shared" ref="U34" si="33">+F34+H34+J34+L34+N34+P34+R34+T34</f>
        <v>0</v>
      </c>
      <c r="V34" s="178">
        <f t="shared" si="32"/>
        <v>0</v>
      </c>
      <c r="W34" s="179">
        <f>'A.P.U. 2023'!F251</f>
        <v>2558593.7833794313</v>
      </c>
      <c r="X34" s="179">
        <f>'A.P.U. 2023'!G251</f>
        <v>3000359.7116904324</v>
      </c>
      <c r="Y34" s="180">
        <f t="shared" ref="Y34" si="34">V34*W34</f>
        <v>0</v>
      </c>
      <c r="Z34" s="181">
        <f t="shared" ref="Z34" si="35">V34*X34</f>
        <v>0</v>
      </c>
      <c r="AA34" s="182">
        <f>'A.P.U. 2023'!G242</f>
        <v>2756556.761526796</v>
      </c>
      <c r="AB34" s="183">
        <f t="shared" si="13"/>
        <v>0</v>
      </c>
      <c r="AC34" s="182">
        <f>'A.P.U. 2023'!G244+'A.P.U. 2023'!G245</f>
        <v>10293</v>
      </c>
      <c r="AD34" s="181">
        <f t="shared" si="6"/>
        <v>0</v>
      </c>
      <c r="AE34" s="180">
        <f>'A.P.U. 2023'!G246</f>
        <v>166359.82516363639</v>
      </c>
      <c r="AF34" s="179">
        <f t="shared" si="7"/>
        <v>0</v>
      </c>
      <c r="AG34" s="180">
        <f>'A.P.U. 2023'!F250</f>
        <v>67150.125</v>
      </c>
      <c r="AH34" s="180">
        <f t="shared" ref="AH34" si="36">+AG34*V34</f>
        <v>0</v>
      </c>
      <c r="AI34" s="654">
        <f t="shared" si="9"/>
        <v>0</v>
      </c>
      <c r="AJ34" s="610">
        <f>'A.P.U. 2023'!L247</f>
        <v>0</v>
      </c>
      <c r="AK34" s="611"/>
      <c r="AL34" s="611"/>
      <c r="AM34" s="771"/>
      <c r="AN34" s="771"/>
      <c r="AO34" s="771"/>
      <c r="AP34" s="771"/>
      <c r="AQ34" s="771"/>
      <c r="AR34" s="771"/>
      <c r="AS34" s="771"/>
      <c r="AT34" s="771"/>
      <c r="AU34" s="771"/>
      <c r="AV34" s="771"/>
      <c r="AW34" s="771"/>
      <c r="AX34" s="771"/>
      <c r="AY34" s="771"/>
      <c r="AZ34" s="771"/>
      <c r="BA34" s="771"/>
      <c r="BB34" s="771"/>
      <c r="BC34" s="771"/>
      <c r="BD34" s="771"/>
      <c r="BE34" s="771"/>
      <c r="BF34" s="771"/>
      <c r="BG34" s="771"/>
      <c r="BH34" s="771"/>
      <c r="BI34" s="771"/>
      <c r="BJ34" s="771"/>
      <c r="BK34" s="771"/>
      <c r="BL34" s="771"/>
      <c r="BM34" s="771"/>
      <c r="BN34" s="771"/>
      <c r="BO34" s="771"/>
      <c r="BP34" s="771"/>
      <c r="BQ34" s="771"/>
      <c r="BR34" s="771"/>
      <c r="BS34" s="771"/>
      <c r="BT34" s="771"/>
      <c r="BU34" s="771"/>
      <c r="BV34" s="771"/>
      <c r="BW34" s="771"/>
      <c r="BX34" s="771"/>
      <c r="BY34" s="771"/>
      <c r="BZ34" s="771"/>
      <c r="CA34" s="771"/>
      <c r="CB34" s="771"/>
      <c r="CC34" s="771"/>
      <c r="CD34" s="771"/>
      <c r="CE34" s="771"/>
      <c r="CF34" s="771"/>
      <c r="CG34" s="771"/>
      <c r="CH34" s="771"/>
      <c r="CI34" s="771"/>
      <c r="CJ34" s="771"/>
      <c r="CK34" s="771"/>
      <c r="CL34" s="771"/>
      <c r="CM34" s="771"/>
      <c r="CN34" s="771"/>
      <c r="CO34" s="771"/>
      <c r="CP34" s="771"/>
      <c r="CQ34" s="771"/>
      <c r="CR34" s="771"/>
      <c r="CS34" s="771"/>
      <c r="CT34" s="771"/>
      <c r="CU34" s="771"/>
      <c r="CV34" s="771"/>
      <c r="CW34" s="771"/>
      <c r="CX34" s="771"/>
      <c r="CY34" s="771"/>
      <c r="CZ34" s="771"/>
      <c r="DA34" s="771"/>
      <c r="DB34" s="771"/>
      <c r="DC34" s="771"/>
      <c r="DD34" s="771"/>
      <c r="DE34" s="771"/>
      <c r="DF34" s="771"/>
      <c r="DG34" s="771"/>
      <c r="DH34" s="771"/>
      <c r="DI34" s="771"/>
      <c r="DJ34" s="771"/>
      <c r="DK34" s="771"/>
      <c r="DL34" s="771"/>
      <c r="DM34" s="771"/>
      <c r="DN34" s="771"/>
      <c r="DO34" s="771"/>
      <c r="DP34" s="771"/>
      <c r="DQ34" s="771"/>
      <c r="DR34" s="771"/>
      <c r="DS34" s="771"/>
      <c r="DT34" s="771"/>
      <c r="DU34" s="771"/>
      <c r="DV34" s="771"/>
      <c r="DW34" s="771"/>
      <c r="DX34" s="771"/>
      <c r="DY34" s="771"/>
      <c r="DZ34" s="771"/>
      <c r="EA34" s="771"/>
      <c r="EB34" s="771"/>
      <c r="EC34" s="771"/>
      <c r="ED34" s="771"/>
      <c r="EE34" s="771"/>
      <c r="EF34" s="771"/>
      <c r="EG34" s="771"/>
      <c r="EH34" s="771"/>
      <c r="EI34" s="771"/>
      <c r="EJ34" s="771"/>
      <c r="EK34" s="771"/>
      <c r="EL34" s="771"/>
      <c r="EM34" s="771"/>
      <c r="EN34" s="771"/>
    </row>
    <row r="35" spans="1:144" s="184" customFormat="1" ht="120.75" customHeight="1">
      <c r="A35" s="170"/>
      <c r="B35" s="171"/>
      <c r="C35" s="199" t="str">
        <f>+'A.P.U. 2023'!A254</f>
        <v>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v>
      </c>
      <c r="D35" s="173" t="s">
        <v>70</v>
      </c>
      <c r="E35" s="174"/>
      <c r="F35" s="176"/>
      <c r="G35" s="176"/>
      <c r="H35" s="176"/>
      <c r="I35" s="176"/>
      <c r="J35" s="176"/>
      <c r="K35" s="176"/>
      <c r="L35" s="176"/>
      <c r="M35" s="176"/>
      <c r="N35" s="176"/>
      <c r="O35" s="176"/>
      <c r="P35" s="200"/>
      <c r="Q35" s="176"/>
      <c r="R35" s="176"/>
      <c r="S35" s="176">
        <v>1</v>
      </c>
      <c r="T35" s="176">
        <f>+S35*$T$8</f>
        <v>0</v>
      </c>
      <c r="U35" s="176">
        <f t="shared" si="12"/>
        <v>0</v>
      </c>
      <c r="V35" s="178">
        <f t="shared" si="32"/>
        <v>0</v>
      </c>
      <c r="W35" s="179">
        <f>+'A.P.U. 2023'!F263</f>
        <v>21996683.047971237</v>
      </c>
      <c r="X35" s="179">
        <f>+'A.P.U. 2023'!G263</f>
        <v>26002287.662085772</v>
      </c>
      <c r="Y35" s="180">
        <f t="shared" si="1"/>
        <v>0</v>
      </c>
      <c r="Z35" s="181">
        <f t="shared" si="2"/>
        <v>0</v>
      </c>
      <c r="AA35" s="182">
        <f>+'A.P.U. 2023'!G254</f>
        <v>25060551.662085772</v>
      </c>
      <c r="AB35" s="183">
        <f>+AA35*V35</f>
        <v>0</v>
      </c>
      <c r="AC35" s="182">
        <f>+'A.P.U. 2023'!G257</f>
        <v>12061</v>
      </c>
      <c r="AD35" s="181">
        <f>+AC35*V35</f>
        <v>0</v>
      </c>
      <c r="AE35" s="180">
        <f>+'A.P.U. 2023'!G259</f>
        <v>0</v>
      </c>
      <c r="AF35" s="179">
        <f>+AE35*V35</f>
        <v>0</v>
      </c>
      <c r="AG35" s="180">
        <f>+'A.P.U. 2023'!G260+'A.P.U. 2023'!G261</f>
        <v>914553.5</v>
      </c>
      <c r="AH35" s="180">
        <f>+AG35*V35</f>
        <v>0</v>
      </c>
      <c r="AI35" s="654">
        <f t="shared" si="9"/>
        <v>0</v>
      </c>
      <c r="AJ35" s="610">
        <f>+'A.P.U. 2023'!L254</f>
        <v>0</v>
      </c>
      <c r="AK35" s="611"/>
      <c r="AL35" s="611"/>
      <c r="AM35" s="771"/>
      <c r="AN35" s="771"/>
      <c r="AO35" s="771"/>
      <c r="AP35" s="771"/>
      <c r="AQ35" s="771"/>
      <c r="AR35" s="771"/>
      <c r="AS35" s="771"/>
      <c r="AT35" s="771"/>
      <c r="AU35" s="771"/>
      <c r="AV35" s="771"/>
      <c r="AW35" s="771"/>
      <c r="AX35" s="771"/>
      <c r="AY35" s="771"/>
      <c r="AZ35" s="771"/>
      <c r="BA35" s="771"/>
      <c r="BB35" s="771"/>
      <c r="BC35" s="771"/>
      <c r="BD35" s="771"/>
      <c r="BE35" s="771"/>
      <c r="BF35" s="771"/>
      <c r="BG35" s="771"/>
      <c r="BH35" s="771"/>
      <c r="BI35" s="771"/>
      <c r="BJ35" s="771"/>
      <c r="BK35" s="771"/>
      <c r="BL35" s="771"/>
      <c r="BM35" s="771"/>
      <c r="BN35" s="771"/>
      <c r="BO35" s="771"/>
      <c r="BP35" s="771"/>
      <c r="BQ35" s="771"/>
      <c r="BR35" s="771"/>
      <c r="BS35" s="771"/>
      <c r="BT35" s="771"/>
      <c r="BU35" s="771"/>
      <c r="BV35" s="771"/>
      <c r="BW35" s="771"/>
      <c r="BX35" s="771"/>
      <c r="BY35" s="771"/>
      <c r="BZ35" s="771"/>
      <c r="CA35" s="771"/>
      <c r="CB35" s="771"/>
      <c r="CC35" s="771"/>
      <c r="CD35" s="771"/>
      <c r="CE35" s="771"/>
      <c r="CF35" s="771"/>
      <c r="CG35" s="771"/>
      <c r="CH35" s="771"/>
      <c r="CI35" s="771"/>
      <c r="CJ35" s="771"/>
      <c r="CK35" s="771"/>
      <c r="CL35" s="771"/>
      <c r="CM35" s="771"/>
      <c r="CN35" s="771"/>
      <c r="CO35" s="771"/>
      <c r="CP35" s="771"/>
      <c r="CQ35" s="771"/>
      <c r="CR35" s="771"/>
      <c r="CS35" s="771"/>
      <c r="CT35" s="771"/>
      <c r="CU35" s="771"/>
      <c r="CV35" s="771"/>
      <c r="CW35" s="771"/>
      <c r="CX35" s="771"/>
      <c r="CY35" s="771"/>
      <c r="CZ35" s="771"/>
      <c r="DA35" s="771"/>
      <c r="DB35" s="771"/>
      <c r="DC35" s="771"/>
      <c r="DD35" s="771"/>
      <c r="DE35" s="771"/>
      <c r="DF35" s="771"/>
      <c r="DG35" s="771"/>
      <c r="DH35" s="771"/>
      <c r="DI35" s="771"/>
      <c r="DJ35" s="771"/>
      <c r="DK35" s="771"/>
      <c r="DL35" s="771"/>
      <c r="DM35" s="771"/>
      <c r="DN35" s="771"/>
      <c r="DO35" s="771"/>
      <c r="DP35" s="771"/>
      <c r="DQ35" s="771"/>
      <c r="DR35" s="771"/>
      <c r="DS35" s="771"/>
      <c r="DT35" s="771"/>
      <c r="DU35" s="771"/>
      <c r="DV35" s="771"/>
      <c r="DW35" s="771"/>
      <c r="DX35" s="771"/>
      <c r="DY35" s="771"/>
      <c r="DZ35" s="771"/>
      <c r="EA35" s="771"/>
      <c r="EB35" s="771"/>
      <c r="EC35" s="771"/>
      <c r="ED35" s="771"/>
      <c r="EE35" s="771"/>
      <c r="EF35" s="771"/>
      <c r="EG35" s="771"/>
      <c r="EH35" s="771"/>
      <c r="EI35" s="771"/>
      <c r="EJ35" s="771"/>
      <c r="EK35" s="771"/>
      <c r="EL35" s="771"/>
      <c r="EM35" s="771"/>
      <c r="EN35" s="771"/>
    </row>
    <row r="36" spans="1:144" s="184" customFormat="1" ht="67.5" customHeight="1">
      <c r="A36" s="170"/>
      <c r="B36" s="171"/>
      <c r="C36" s="199" t="s">
        <v>597</v>
      </c>
      <c r="D36" s="637" t="s">
        <v>70</v>
      </c>
      <c r="E36" s="176"/>
      <c r="F36" s="176"/>
      <c r="G36" s="176"/>
      <c r="H36" s="176"/>
      <c r="I36" s="176"/>
      <c r="J36" s="176"/>
      <c r="K36" s="176"/>
      <c r="L36" s="176"/>
      <c r="M36" s="176"/>
      <c r="N36" s="176"/>
      <c r="O36" s="176"/>
      <c r="P36" s="200"/>
      <c r="Q36" s="176"/>
      <c r="R36" s="176"/>
      <c r="S36" s="176">
        <v>1</v>
      </c>
      <c r="T36" s="176">
        <f>+S36*$T$11</f>
        <v>0</v>
      </c>
      <c r="U36" s="176">
        <f t="shared" ref="U36" si="37">+F36+H36+J36+L36+N36+P36+R36+T36</f>
        <v>0</v>
      </c>
      <c r="V36" s="178">
        <f t="shared" si="32"/>
        <v>0</v>
      </c>
      <c r="W36" s="179">
        <f>'A.P.U. 2023'!F275</f>
        <v>3255927.4368723412</v>
      </c>
      <c r="X36" s="179">
        <f>'A.P.U. 2023'!G275</f>
        <v>3830186.759346995</v>
      </c>
      <c r="Y36" s="180">
        <f t="shared" ref="Y36" si="38">V36*W36</f>
        <v>0</v>
      </c>
      <c r="Z36" s="181">
        <f t="shared" ref="Z36" si="39">V36*X36</f>
        <v>0</v>
      </c>
      <c r="AA36" s="182">
        <f>'A.P.U. 2023'!G266</f>
        <v>3586383.8091833587</v>
      </c>
      <c r="AB36" s="183">
        <f>+AA36*V36</f>
        <v>0</v>
      </c>
      <c r="AC36" s="182">
        <f>'A.P.U. 2023'!G268+'A.P.U. 2023'!G269</f>
        <v>10293</v>
      </c>
      <c r="AD36" s="181">
        <f>+AC36*V36</f>
        <v>0</v>
      </c>
      <c r="AE36" s="180">
        <f>'A.P.U. 2023'!G270</f>
        <v>166359.82516363639</v>
      </c>
      <c r="AF36" s="179">
        <f>+AE36*V36</f>
        <v>0</v>
      </c>
      <c r="AG36" s="180">
        <f>'A.P.U. 2023'!F274</f>
        <v>67150.125</v>
      </c>
      <c r="AH36" s="180">
        <f>+AG36*V36</f>
        <v>0</v>
      </c>
      <c r="AI36" s="654">
        <f t="shared" si="9"/>
        <v>0</v>
      </c>
      <c r="AJ36" s="610">
        <f>'A.P.U. 2023'!L272</f>
        <v>0</v>
      </c>
      <c r="AK36" s="611"/>
      <c r="AL36" s="611"/>
      <c r="AM36" s="771"/>
      <c r="AN36" s="771"/>
      <c r="AO36" s="771"/>
      <c r="AP36" s="771"/>
      <c r="AQ36" s="771"/>
      <c r="AR36" s="771"/>
      <c r="AS36" s="771"/>
      <c r="AT36" s="771"/>
      <c r="AU36" s="771"/>
      <c r="AV36" s="771"/>
      <c r="AW36" s="771"/>
      <c r="AX36" s="771"/>
      <c r="AY36" s="771"/>
      <c r="AZ36" s="771"/>
      <c r="BA36" s="771"/>
      <c r="BB36" s="771"/>
      <c r="BC36" s="771"/>
      <c r="BD36" s="771"/>
      <c r="BE36" s="771"/>
      <c r="BF36" s="771"/>
      <c r="BG36" s="771"/>
      <c r="BH36" s="771"/>
      <c r="BI36" s="771"/>
      <c r="BJ36" s="771"/>
      <c r="BK36" s="771"/>
      <c r="BL36" s="771"/>
      <c r="BM36" s="771"/>
      <c r="BN36" s="771"/>
      <c r="BO36" s="771"/>
      <c r="BP36" s="771"/>
      <c r="BQ36" s="771"/>
      <c r="BR36" s="771"/>
      <c r="BS36" s="771"/>
      <c r="BT36" s="771"/>
      <c r="BU36" s="771"/>
      <c r="BV36" s="771"/>
      <c r="BW36" s="771"/>
      <c r="BX36" s="771"/>
      <c r="BY36" s="771"/>
      <c r="BZ36" s="771"/>
      <c r="CA36" s="771"/>
      <c r="CB36" s="771"/>
      <c r="CC36" s="771"/>
      <c r="CD36" s="771"/>
      <c r="CE36" s="771"/>
      <c r="CF36" s="771"/>
      <c r="CG36" s="771"/>
      <c r="CH36" s="771"/>
      <c r="CI36" s="771"/>
      <c r="CJ36" s="771"/>
      <c r="CK36" s="771"/>
      <c r="CL36" s="771"/>
      <c r="CM36" s="771"/>
      <c r="CN36" s="771"/>
      <c r="CO36" s="771"/>
      <c r="CP36" s="771"/>
      <c r="CQ36" s="771"/>
      <c r="CR36" s="771"/>
      <c r="CS36" s="771"/>
      <c r="CT36" s="771"/>
      <c r="CU36" s="771"/>
      <c r="CV36" s="771"/>
      <c r="CW36" s="771"/>
      <c r="CX36" s="771"/>
      <c r="CY36" s="771"/>
      <c r="CZ36" s="771"/>
      <c r="DA36" s="771"/>
      <c r="DB36" s="771"/>
      <c r="DC36" s="771"/>
      <c r="DD36" s="771"/>
      <c r="DE36" s="771"/>
      <c r="DF36" s="771"/>
      <c r="DG36" s="771"/>
      <c r="DH36" s="771"/>
      <c r="DI36" s="771"/>
      <c r="DJ36" s="771"/>
      <c r="DK36" s="771"/>
      <c r="DL36" s="771"/>
      <c r="DM36" s="771"/>
      <c r="DN36" s="771"/>
      <c r="DO36" s="771"/>
      <c r="DP36" s="771"/>
      <c r="DQ36" s="771"/>
      <c r="DR36" s="771"/>
      <c r="DS36" s="771"/>
      <c r="DT36" s="771"/>
      <c r="DU36" s="771"/>
      <c r="DV36" s="771"/>
      <c r="DW36" s="771"/>
      <c r="DX36" s="771"/>
      <c r="DY36" s="771"/>
      <c r="DZ36" s="771"/>
      <c r="EA36" s="771"/>
      <c r="EB36" s="771"/>
      <c r="EC36" s="771"/>
      <c r="ED36" s="771"/>
      <c r="EE36" s="771"/>
      <c r="EF36" s="771"/>
      <c r="EG36" s="771"/>
      <c r="EH36" s="771"/>
      <c r="EI36" s="771"/>
      <c r="EJ36" s="771"/>
      <c r="EK36" s="771"/>
      <c r="EL36" s="771"/>
      <c r="EM36" s="771"/>
      <c r="EN36" s="771"/>
    </row>
    <row r="37" spans="1:144" s="214" customFormat="1" ht="73.5" customHeight="1">
      <c r="A37" s="201" t="e">
        <f>+A40+1</f>
        <v>#REF!</v>
      </c>
      <c r="B37" s="202" t="s">
        <v>69</v>
      </c>
      <c r="C37" s="203" t="s">
        <v>315</v>
      </c>
      <c r="D37" s="204" t="s">
        <v>70</v>
      </c>
      <c r="E37" s="205"/>
      <c r="F37" s="206"/>
      <c r="G37" s="205"/>
      <c r="H37" s="206"/>
      <c r="I37" s="205"/>
      <c r="J37" s="206"/>
      <c r="K37" s="205"/>
      <c r="L37" s="206"/>
      <c r="M37" s="205"/>
      <c r="N37" s="206"/>
      <c r="O37" s="205">
        <v>1</v>
      </c>
      <c r="P37" s="207">
        <f>+O37*$P$8</f>
        <v>0</v>
      </c>
      <c r="Q37" s="206">
        <v>1</v>
      </c>
      <c r="R37" s="206">
        <f>+Q37*$R$8</f>
        <v>0</v>
      </c>
      <c r="S37" s="206">
        <v>1</v>
      </c>
      <c r="T37" s="206">
        <f>+S37*$T$8</f>
        <v>0</v>
      </c>
      <c r="U37" s="206">
        <f t="shared" si="12"/>
        <v>0</v>
      </c>
      <c r="V37" s="208">
        <f t="shared" si="32"/>
        <v>0</v>
      </c>
      <c r="W37" s="209">
        <f>'A.P.U. 2023'!F283</f>
        <v>5481671.1405518716</v>
      </c>
      <c r="X37" s="209">
        <f>'A.P.U. 2023'!G283</f>
        <v>6452756.9919756362</v>
      </c>
      <c r="Y37" s="210">
        <f t="shared" si="1"/>
        <v>0</v>
      </c>
      <c r="Z37" s="211">
        <f t="shared" si="2"/>
        <v>0</v>
      </c>
      <c r="AA37" s="212">
        <f>'A.P.U. 2023'!G278</f>
        <v>6082064.0168119995</v>
      </c>
      <c r="AB37" s="213">
        <f>+AA37*V37</f>
        <v>0</v>
      </c>
      <c r="AC37" s="212"/>
      <c r="AD37" s="212">
        <f>+AC37*V37</f>
        <v>0</v>
      </c>
      <c r="AE37" s="210">
        <f>'A.P.U. 2023'!G279</f>
        <v>166359.82516363639</v>
      </c>
      <c r="AF37" s="209">
        <f>+AE37*V37</f>
        <v>0</v>
      </c>
      <c r="AG37" s="210">
        <f>'A.P.U. 2023'!F280+'A.P.U. 2023'!F281</f>
        <v>204333.15</v>
      </c>
      <c r="AH37" s="210">
        <f>+AG37*V37</f>
        <v>0</v>
      </c>
      <c r="AI37" s="654">
        <f t="shared" si="9"/>
        <v>0</v>
      </c>
      <c r="AJ37" s="610">
        <f>+'A.P.U. 2023'!L275</f>
        <v>0</v>
      </c>
      <c r="AK37" s="611"/>
      <c r="AL37" s="611"/>
      <c r="AM37" s="771"/>
      <c r="AN37" s="771"/>
      <c r="AO37" s="771"/>
      <c r="AP37" s="771"/>
      <c r="AQ37" s="771"/>
      <c r="AR37" s="771"/>
      <c r="AS37" s="771"/>
      <c r="AT37" s="771"/>
      <c r="AU37" s="771"/>
      <c r="AV37" s="771"/>
      <c r="AW37" s="771"/>
      <c r="AX37" s="771"/>
      <c r="AY37" s="771"/>
      <c r="AZ37" s="771"/>
      <c r="BA37" s="771"/>
      <c r="BB37" s="771"/>
      <c r="BC37" s="771"/>
      <c r="BD37" s="771"/>
      <c r="BE37" s="771"/>
      <c r="BF37" s="771"/>
      <c r="BG37" s="771"/>
      <c r="BH37" s="771"/>
      <c r="BI37" s="771"/>
      <c r="BJ37" s="771"/>
      <c r="BK37" s="771"/>
      <c r="BL37" s="771"/>
      <c r="BM37" s="771"/>
      <c r="BN37" s="771"/>
      <c r="BO37" s="771"/>
      <c r="BP37" s="771"/>
      <c r="BQ37" s="771"/>
      <c r="BR37" s="771"/>
      <c r="BS37" s="771"/>
      <c r="BT37" s="771"/>
      <c r="BU37" s="771"/>
      <c r="BV37" s="771"/>
      <c r="BW37" s="771"/>
      <c r="BX37" s="771"/>
      <c r="BY37" s="771"/>
      <c r="BZ37" s="771"/>
      <c r="CA37" s="771"/>
      <c r="CB37" s="771"/>
      <c r="CC37" s="771"/>
      <c r="CD37" s="771"/>
      <c r="CE37" s="771"/>
      <c r="CF37" s="771"/>
      <c r="CG37" s="771"/>
      <c r="CH37" s="771"/>
      <c r="CI37" s="771"/>
      <c r="CJ37" s="771"/>
      <c r="CK37" s="771"/>
      <c r="CL37" s="771"/>
      <c r="CM37" s="771"/>
      <c r="CN37" s="771"/>
      <c r="CO37" s="771"/>
      <c r="CP37" s="771"/>
      <c r="CQ37" s="771"/>
      <c r="CR37" s="771"/>
      <c r="CS37" s="771"/>
      <c r="CT37" s="771"/>
      <c r="CU37" s="771"/>
      <c r="CV37" s="771"/>
      <c r="CW37" s="771"/>
      <c r="CX37" s="771"/>
      <c r="CY37" s="771"/>
      <c r="CZ37" s="771"/>
      <c r="DA37" s="771"/>
      <c r="DB37" s="771"/>
      <c r="DC37" s="771"/>
      <c r="DD37" s="771"/>
      <c r="DE37" s="771"/>
      <c r="DF37" s="771"/>
      <c r="DG37" s="771"/>
      <c r="DH37" s="771"/>
      <c r="DI37" s="771"/>
      <c r="DJ37" s="771"/>
      <c r="DK37" s="771"/>
      <c r="DL37" s="771"/>
      <c r="DM37" s="771"/>
      <c r="DN37" s="771"/>
      <c r="DO37" s="771"/>
      <c r="DP37" s="771"/>
      <c r="DQ37" s="771"/>
      <c r="DR37" s="771"/>
      <c r="DS37" s="771"/>
      <c r="DT37" s="771"/>
      <c r="DU37" s="771"/>
      <c r="DV37" s="771"/>
      <c r="DW37" s="771"/>
      <c r="DX37" s="771"/>
      <c r="DY37" s="771"/>
      <c r="DZ37" s="771"/>
      <c r="EA37" s="771"/>
      <c r="EB37" s="771"/>
      <c r="EC37" s="771"/>
      <c r="ED37" s="771"/>
      <c r="EE37" s="771"/>
      <c r="EF37" s="771"/>
      <c r="EG37" s="771"/>
      <c r="EH37" s="771"/>
      <c r="EI37" s="771"/>
      <c r="EJ37" s="771"/>
      <c r="EK37" s="771"/>
      <c r="EL37" s="771"/>
      <c r="EM37" s="771"/>
      <c r="EN37" s="771"/>
    </row>
    <row r="38" spans="1:144" s="214" customFormat="1" ht="73.5" customHeight="1">
      <c r="A38" s="201" t="e">
        <f>+A41+1</f>
        <v>#REF!</v>
      </c>
      <c r="B38" s="202" t="s">
        <v>69</v>
      </c>
      <c r="C38" s="203" t="s">
        <v>317</v>
      </c>
      <c r="D38" s="204" t="s">
        <v>70</v>
      </c>
      <c r="E38" s="205"/>
      <c r="F38" s="206"/>
      <c r="G38" s="205"/>
      <c r="H38" s="206"/>
      <c r="I38" s="205"/>
      <c r="J38" s="206"/>
      <c r="K38" s="205"/>
      <c r="L38" s="206"/>
      <c r="M38" s="205"/>
      <c r="N38" s="206"/>
      <c r="O38" s="205">
        <v>1</v>
      </c>
      <c r="P38" s="207">
        <f>+O38*$P$8</f>
        <v>0</v>
      </c>
      <c r="Q38" s="206">
        <v>1</v>
      </c>
      <c r="R38" s="206">
        <f>+Q38*$R$8</f>
        <v>0</v>
      </c>
      <c r="S38" s="206">
        <v>1</v>
      </c>
      <c r="T38" s="206">
        <f>+S38*$T$8</f>
        <v>0</v>
      </c>
      <c r="U38" s="206">
        <f t="shared" si="12"/>
        <v>0</v>
      </c>
      <c r="V38" s="208">
        <f t="shared" si="32"/>
        <v>0</v>
      </c>
      <c r="W38" s="209">
        <f>+'A.P.U. 2023'!F298</f>
        <v>6322157.5226997146</v>
      </c>
      <c r="X38" s="209">
        <f>+'A.P.U. 2023'!G298</f>
        <v>7387499.9862315692</v>
      </c>
      <c r="Y38" s="210">
        <f t="shared" si="1"/>
        <v>0</v>
      </c>
      <c r="Z38" s="211">
        <f t="shared" si="2"/>
        <v>0</v>
      </c>
      <c r="AA38" s="212">
        <f>+'A.P.U. 2023'!G286</f>
        <v>5679063.8756039999</v>
      </c>
      <c r="AB38" s="213">
        <f>+AA38*V38</f>
        <v>0</v>
      </c>
      <c r="AC38" s="212">
        <f>SUM('A.P.U. 2023'!G287:G293)</f>
        <v>993344.18546393386</v>
      </c>
      <c r="AD38" s="212">
        <f>+AC38*V38</f>
        <v>0</v>
      </c>
      <c r="AE38" s="210">
        <f>+'A.P.U. 2023'!G294</f>
        <v>166359.82516363639</v>
      </c>
      <c r="AF38" s="209">
        <f>+AE38*V38</f>
        <v>0</v>
      </c>
      <c r="AG38" s="210">
        <f>+'A.P.U. 2023'!G295+'A.P.U. 2023'!G296</f>
        <v>548732.1</v>
      </c>
      <c r="AH38" s="210">
        <f>+AG38*V38</f>
        <v>0</v>
      </c>
      <c r="AI38" s="654">
        <f t="shared" si="9"/>
        <v>0</v>
      </c>
      <c r="AJ38" s="610">
        <f>+'A.P.U. 2023'!L286</f>
        <v>0</v>
      </c>
      <c r="AK38" s="611"/>
      <c r="AL38" s="611"/>
      <c r="AM38" s="771"/>
      <c r="AN38" s="771"/>
      <c r="AO38" s="771"/>
      <c r="AP38" s="771"/>
      <c r="AQ38" s="771"/>
      <c r="AR38" s="771"/>
      <c r="AS38" s="771"/>
      <c r="AT38" s="771"/>
      <c r="AU38" s="771"/>
      <c r="AV38" s="771"/>
      <c r="AW38" s="771"/>
      <c r="AX38" s="771"/>
      <c r="AY38" s="771"/>
      <c r="AZ38" s="771"/>
      <c r="BA38" s="771"/>
      <c r="BB38" s="771"/>
      <c r="BC38" s="771"/>
      <c r="BD38" s="771"/>
      <c r="BE38" s="771"/>
      <c r="BF38" s="771"/>
      <c r="BG38" s="771"/>
      <c r="BH38" s="771"/>
      <c r="BI38" s="771"/>
      <c r="BJ38" s="771"/>
      <c r="BK38" s="771"/>
      <c r="BL38" s="771"/>
      <c r="BM38" s="771"/>
      <c r="BN38" s="771"/>
      <c r="BO38" s="771"/>
      <c r="BP38" s="771"/>
      <c r="BQ38" s="771"/>
      <c r="BR38" s="771"/>
      <c r="BS38" s="771"/>
      <c r="BT38" s="771"/>
      <c r="BU38" s="771"/>
      <c r="BV38" s="771"/>
      <c r="BW38" s="771"/>
      <c r="BX38" s="771"/>
      <c r="BY38" s="771"/>
      <c r="BZ38" s="771"/>
      <c r="CA38" s="771"/>
      <c r="CB38" s="771"/>
      <c r="CC38" s="771"/>
      <c r="CD38" s="771"/>
      <c r="CE38" s="771"/>
      <c r="CF38" s="771"/>
      <c r="CG38" s="771"/>
      <c r="CH38" s="771"/>
      <c r="CI38" s="771"/>
      <c r="CJ38" s="771"/>
      <c r="CK38" s="771"/>
      <c r="CL38" s="771"/>
      <c r="CM38" s="771"/>
      <c r="CN38" s="771"/>
      <c r="CO38" s="771"/>
      <c r="CP38" s="771"/>
      <c r="CQ38" s="771"/>
      <c r="CR38" s="771"/>
      <c r="CS38" s="771"/>
      <c r="CT38" s="771"/>
      <c r="CU38" s="771"/>
      <c r="CV38" s="771"/>
      <c r="CW38" s="771"/>
      <c r="CX38" s="771"/>
      <c r="CY38" s="771"/>
      <c r="CZ38" s="771"/>
      <c r="DA38" s="771"/>
      <c r="DB38" s="771"/>
      <c r="DC38" s="771"/>
      <c r="DD38" s="771"/>
      <c r="DE38" s="771"/>
      <c r="DF38" s="771"/>
      <c r="DG38" s="771"/>
      <c r="DH38" s="771"/>
      <c r="DI38" s="771"/>
      <c r="DJ38" s="771"/>
      <c r="DK38" s="771"/>
      <c r="DL38" s="771"/>
      <c r="DM38" s="771"/>
      <c r="DN38" s="771"/>
      <c r="DO38" s="771"/>
      <c r="DP38" s="771"/>
      <c r="DQ38" s="771"/>
      <c r="DR38" s="771"/>
      <c r="DS38" s="771"/>
      <c r="DT38" s="771"/>
      <c r="DU38" s="771"/>
      <c r="DV38" s="771"/>
      <c r="DW38" s="771"/>
      <c r="DX38" s="771"/>
      <c r="DY38" s="771"/>
      <c r="DZ38" s="771"/>
      <c r="EA38" s="771"/>
      <c r="EB38" s="771"/>
      <c r="EC38" s="771"/>
      <c r="ED38" s="771"/>
      <c r="EE38" s="771"/>
      <c r="EF38" s="771"/>
      <c r="EG38" s="771"/>
      <c r="EH38" s="771"/>
      <c r="EI38" s="771"/>
      <c r="EJ38" s="771"/>
      <c r="EK38" s="771"/>
      <c r="EL38" s="771"/>
      <c r="EM38" s="771"/>
      <c r="EN38" s="771"/>
    </row>
    <row r="39" spans="1:144" s="169" customFormat="1" ht="59.25" customHeight="1">
      <c r="A39" s="154" t="e">
        <f>+A23+1</f>
        <v>#REF!</v>
      </c>
      <c r="B39" s="155" t="s">
        <v>69</v>
      </c>
      <c r="C39" s="215" t="s">
        <v>246</v>
      </c>
      <c r="D39" s="157" t="s">
        <v>70</v>
      </c>
      <c r="E39" s="158">
        <v>1</v>
      </c>
      <c r="F39" s="159">
        <f>+E39*$F$8</f>
        <v>42</v>
      </c>
      <c r="G39" s="159">
        <v>1</v>
      </c>
      <c r="H39" s="159">
        <f>+G39*$H$8</f>
        <v>2</v>
      </c>
      <c r="I39" s="159"/>
      <c r="J39" s="159"/>
      <c r="K39" s="159"/>
      <c r="L39" s="159"/>
      <c r="M39" s="159"/>
      <c r="N39" s="159"/>
      <c r="O39" s="159"/>
      <c r="P39" s="162"/>
      <c r="Q39" s="159"/>
      <c r="R39" s="159"/>
      <c r="S39" s="159"/>
      <c r="T39" s="159"/>
      <c r="U39" s="159">
        <f t="shared" si="12"/>
        <v>44</v>
      </c>
      <c r="V39" s="163">
        <f t="shared" si="4"/>
        <v>44</v>
      </c>
      <c r="W39" s="164">
        <f>+'A.P.U. 2023'!F312</f>
        <v>125186.58698024445</v>
      </c>
      <c r="X39" s="164">
        <f>+'A.P.U. 2023'!G312</f>
        <v>141539.16440545453</v>
      </c>
      <c r="Y39" s="165">
        <f t="shared" si="1"/>
        <v>5508209.8271307554</v>
      </c>
      <c r="Z39" s="166">
        <f t="shared" si="2"/>
        <v>6227723.2338399999</v>
      </c>
      <c r="AA39" s="168">
        <f>+'A.P.U. 2023'!G302</f>
        <v>60860.822399999997</v>
      </c>
      <c r="AB39" s="168">
        <f>+AA39*V39</f>
        <v>2677876.1856</v>
      </c>
      <c r="AC39" s="167">
        <f>SUM('A.P.U. 2023'!G305:G309)+'A.P.U. 2023'!G302</f>
        <v>102418.77439999999</v>
      </c>
      <c r="AD39" s="166">
        <f>+AC39*V39</f>
        <v>4506426.0735999998</v>
      </c>
      <c r="AE39" s="165">
        <f>+'A.P.U. 2023'!G303</f>
        <v>5545.3275054545466</v>
      </c>
      <c r="AF39" s="164">
        <f t="shared" si="7"/>
        <v>243994.41024000006</v>
      </c>
      <c r="AG39" s="165">
        <f>+'A.P.U. 2023'!G304+'A.P.U. 2023'!G310</f>
        <v>33575.0625</v>
      </c>
      <c r="AH39" s="165">
        <f t="shared" si="8"/>
        <v>1477302.75</v>
      </c>
      <c r="AI39" s="654">
        <f>+AA39+AD39+AF39+AH39</f>
        <v>6288584.0562399998</v>
      </c>
      <c r="AJ39" s="610">
        <f>'A.P.U. 2023'!L302</f>
        <v>719513.40670924447</v>
      </c>
      <c r="AK39" s="611"/>
      <c r="AL39" s="611"/>
      <c r="AM39" s="771"/>
      <c r="AN39" s="771"/>
      <c r="AO39" s="771"/>
      <c r="AP39" s="771"/>
      <c r="AQ39" s="771"/>
      <c r="AR39" s="771"/>
      <c r="AS39" s="771"/>
      <c r="AT39" s="771"/>
      <c r="AU39" s="771"/>
      <c r="AV39" s="771"/>
      <c r="AW39" s="771"/>
      <c r="AX39" s="771"/>
      <c r="AY39" s="771"/>
      <c r="AZ39" s="771"/>
      <c r="BA39" s="771"/>
      <c r="BB39" s="771"/>
      <c r="BC39" s="771"/>
      <c r="BD39" s="771"/>
      <c r="BE39" s="771"/>
      <c r="BF39" s="771"/>
      <c r="BG39" s="771"/>
      <c r="BH39" s="771"/>
      <c r="BI39" s="771"/>
      <c r="BJ39" s="771"/>
      <c r="BK39" s="771"/>
      <c r="BL39" s="771"/>
      <c r="BM39" s="771"/>
      <c r="BN39" s="771"/>
      <c r="BO39" s="771"/>
      <c r="BP39" s="771"/>
      <c r="BQ39" s="771"/>
      <c r="BR39" s="771"/>
      <c r="BS39" s="771"/>
      <c r="BT39" s="771"/>
      <c r="BU39" s="771"/>
      <c r="BV39" s="771"/>
      <c r="BW39" s="771"/>
      <c r="BX39" s="771"/>
      <c r="BY39" s="771"/>
      <c r="BZ39" s="771"/>
      <c r="CA39" s="771"/>
      <c r="CB39" s="771"/>
      <c r="CC39" s="771"/>
      <c r="CD39" s="771"/>
      <c r="CE39" s="771"/>
      <c r="CF39" s="771"/>
      <c r="CG39" s="771"/>
      <c r="CH39" s="771"/>
      <c r="CI39" s="771"/>
      <c r="CJ39" s="771"/>
      <c r="CK39" s="771"/>
      <c r="CL39" s="771"/>
      <c r="CM39" s="771"/>
      <c r="CN39" s="771"/>
      <c r="CO39" s="771"/>
      <c r="CP39" s="771"/>
      <c r="CQ39" s="771"/>
      <c r="CR39" s="771"/>
      <c r="CS39" s="771"/>
      <c r="CT39" s="771"/>
      <c r="CU39" s="771"/>
      <c r="CV39" s="771"/>
      <c r="CW39" s="771"/>
      <c r="CX39" s="771"/>
      <c r="CY39" s="771"/>
      <c r="CZ39" s="771"/>
      <c r="DA39" s="771"/>
      <c r="DB39" s="771"/>
      <c r="DC39" s="771"/>
      <c r="DD39" s="771"/>
      <c r="DE39" s="771"/>
      <c r="DF39" s="771"/>
      <c r="DG39" s="771"/>
      <c r="DH39" s="771"/>
      <c r="DI39" s="771"/>
      <c r="DJ39" s="771"/>
      <c r="DK39" s="771"/>
      <c r="DL39" s="771"/>
      <c r="DM39" s="771"/>
      <c r="DN39" s="771"/>
      <c r="DO39" s="771"/>
      <c r="DP39" s="771"/>
      <c r="DQ39" s="771"/>
      <c r="DR39" s="771"/>
      <c r="DS39" s="771"/>
      <c r="DT39" s="771"/>
      <c r="DU39" s="771"/>
      <c r="DV39" s="771"/>
      <c r="DW39" s="771"/>
      <c r="DX39" s="771"/>
      <c r="DY39" s="771"/>
      <c r="DZ39" s="771"/>
      <c r="EA39" s="771"/>
      <c r="EB39" s="771"/>
      <c r="EC39" s="771"/>
      <c r="ED39" s="771"/>
      <c r="EE39" s="771"/>
      <c r="EF39" s="771"/>
      <c r="EG39" s="771"/>
      <c r="EH39" s="771"/>
      <c r="EI39" s="771"/>
      <c r="EJ39" s="771"/>
      <c r="EK39" s="771"/>
      <c r="EL39" s="771"/>
      <c r="EM39" s="771"/>
      <c r="EN39" s="771"/>
    </row>
    <row r="40" spans="1:144" s="184" customFormat="1" ht="38.25" customHeight="1">
      <c r="A40" s="170" t="e">
        <f t="shared" si="5"/>
        <v>#REF!</v>
      </c>
      <c r="B40" s="171" t="s">
        <v>69</v>
      </c>
      <c r="C40" s="199" t="s">
        <v>248</v>
      </c>
      <c r="D40" s="173" t="s">
        <v>70</v>
      </c>
      <c r="E40" s="174"/>
      <c r="F40" s="175"/>
      <c r="G40" s="175"/>
      <c r="H40" s="175"/>
      <c r="I40" s="175">
        <v>1</v>
      </c>
      <c r="J40" s="175">
        <f>+I40*$J$8</f>
        <v>0</v>
      </c>
      <c r="K40" s="175">
        <v>1</v>
      </c>
      <c r="L40" s="175">
        <f>+K40*$L$8</f>
        <v>0</v>
      </c>
      <c r="M40" s="175">
        <v>1</v>
      </c>
      <c r="N40" s="175">
        <f>+M40*$N$8</f>
        <v>0</v>
      </c>
      <c r="O40" s="175">
        <v>1</v>
      </c>
      <c r="P40" s="177">
        <f>+O40*$P$8</f>
        <v>0</v>
      </c>
      <c r="Q40" s="175">
        <v>1</v>
      </c>
      <c r="R40" s="175">
        <f>+Q40*$R$8</f>
        <v>0</v>
      </c>
      <c r="S40" s="175">
        <v>1</v>
      </c>
      <c r="T40" s="175">
        <f>+S40*$T$8</f>
        <v>0</v>
      </c>
      <c r="U40" s="175">
        <f t="shared" si="12"/>
        <v>0</v>
      </c>
      <c r="V40" s="178">
        <f>+ROUND(U40,1)</f>
        <v>0</v>
      </c>
      <c r="W40" s="179">
        <f>+'A.P.U. 2023'!F324</f>
        <v>138180.64076175707</v>
      </c>
      <c r="X40" s="179">
        <f>+'A.P.U. 2023'!G324</f>
        <v>220601.78360545455</v>
      </c>
      <c r="Y40" s="180">
        <f t="shared" si="1"/>
        <v>0</v>
      </c>
      <c r="Z40" s="181">
        <f t="shared" si="2"/>
        <v>0</v>
      </c>
      <c r="AA40" s="182">
        <f>'A.P.U. 2023'!G315</f>
        <v>85093</v>
      </c>
      <c r="AB40" s="183">
        <f t="shared" si="13"/>
        <v>0</v>
      </c>
      <c r="AC40" s="182">
        <f>SUM('A.P.U. 2023'!G318:G321)+'A.P.U. 2023'!G315</f>
        <v>181481.39360000001</v>
      </c>
      <c r="AD40" s="181">
        <f t="shared" si="6"/>
        <v>0</v>
      </c>
      <c r="AE40" s="180">
        <f>+'A.P.U. 2023'!G316</f>
        <v>5545.3275054545466</v>
      </c>
      <c r="AF40" s="179">
        <f t="shared" si="7"/>
        <v>0</v>
      </c>
      <c r="AG40" s="180">
        <f>+'A.P.U. 2023'!G317+'A.P.U. 2023'!G322</f>
        <v>33575.0625</v>
      </c>
      <c r="AH40" s="180">
        <f t="shared" si="8"/>
        <v>0</v>
      </c>
      <c r="AI40" s="654">
        <f t="shared" si="9"/>
        <v>0</v>
      </c>
      <c r="AJ40" s="610">
        <f>+'A.P.U. 2023'!L315</f>
        <v>0</v>
      </c>
      <c r="AK40" s="611"/>
      <c r="AL40" s="611"/>
      <c r="AM40" s="771"/>
      <c r="AN40" s="771"/>
      <c r="AO40" s="771"/>
      <c r="AP40" s="771"/>
      <c r="AQ40" s="771"/>
      <c r="AR40" s="771"/>
      <c r="AS40" s="771"/>
      <c r="AT40" s="771"/>
      <c r="AU40" s="771"/>
      <c r="AV40" s="771"/>
      <c r="AW40" s="771"/>
      <c r="AX40" s="771"/>
      <c r="AY40" s="771"/>
      <c r="AZ40" s="771"/>
      <c r="BA40" s="771"/>
      <c r="BB40" s="771"/>
      <c r="BC40" s="771"/>
      <c r="BD40" s="771"/>
      <c r="BE40" s="771"/>
      <c r="BF40" s="771"/>
      <c r="BG40" s="771"/>
      <c r="BH40" s="771"/>
      <c r="BI40" s="771"/>
      <c r="BJ40" s="771"/>
      <c r="BK40" s="771"/>
      <c r="BL40" s="771"/>
      <c r="BM40" s="771"/>
      <c r="BN40" s="771"/>
      <c r="BO40" s="771"/>
      <c r="BP40" s="771"/>
      <c r="BQ40" s="771"/>
      <c r="BR40" s="771"/>
      <c r="BS40" s="771"/>
      <c r="BT40" s="771"/>
      <c r="BU40" s="771"/>
      <c r="BV40" s="771"/>
      <c r="BW40" s="771"/>
      <c r="BX40" s="771"/>
      <c r="BY40" s="771"/>
      <c r="BZ40" s="771"/>
      <c r="CA40" s="771"/>
      <c r="CB40" s="771"/>
      <c r="CC40" s="771"/>
      <c r="CD40" s="771"/>
      <c r="CE40" s="771"/>
      <c r="CF40" s="771"/>
      <c r="CG40" s="771"/>
      <c r="CH40" s="771"/>
      <c r="CI40" s="771"/>
      <c r="CJ40" s="771"/>
      <c r="CK40" s="771"/>
      <c r="CL40" s="771"/>
      <c r="CM40" s="771"/>
      <c r="CN40" s="771"/>
      <c r="CO40" s="771"/>
      <c r="CP40" s="771"/>
      <c r="CQ40" s="771"/>
      <c r="CR40" s="771"/>
      <c r="CS40" s="771"/>
      <c r="CT40" s="771"/>
      <c r="CU40" s="771"/>
      <c r="CV40" s="771"/>
      <c r="CW40" s="771"/>
      <c r="CX40" s="771"/>
      <c r="CY40" s="771"/>
      <c r="CZ40" s="771"/>
      <c r="DA40" s="771"/>
      <c r="DB40" s="771"/>
      <c r="DC40" s="771"/>
      <c r="DD40" s="771"/>
      <c r="DE40" s="771"/>
      <c r="DF40" s="771"/>
      <c r="DG40" s="771"/>
      <c r="DH40" s="771"/>
      <c r="DI40" s="771"/>
      <c r="DJ40" s="771"/>
      <c r="DK40" s="771"/>
      <c r="DL40" s="771"/>
      <c r="DM40" s="771"/>
      <c r="DN40" s="771"/>
      <c r="DO40" s="771"/>
      <c r="DP40" s="771"/>
      <c r="DQ40" s="771"/>
      <c r="DR40" s="771"/>
      <c r="DS40" s="771"/>
      <c r="DT40" s="771"/>
      <c r="DU40" s="771"/>
      <c r="DV40" s="771"/>
      <c r="DW40" s="771"/>
      <c r="DX40" s="771"/>
      <c r="DY40" s="771"/>
      <c r="DZ40" s="771"/>
      <c r="EA40" s="771"/>
      <c r="EB40" s="771"/>
      <c r="EC40" s="771"/>
      <c r="ED40" s="771"/>
      <c r="EE40" s="771"/>
      <c r="EF40" s="771"/>
      <c r="EG40" s="771"/>
      <c r="EH40" s="771"/>
      <c r="EI40" s="771"/>
      <c r="EJ40" s="771"/>
      <c r="EK40" s="771"/>
      <c r="EL40" s="771"/>
      <c r="EM40" s="771"/>
      <c r="EN40" s="771"/>
    </row>
    <row r="41" spans="1:144" s="184" customFormat="1" ht="54.75" customHeight="1">
      <c r="A41" s="170" t="e">
        <f>+A39+1</f>
        <v>#REF!</v>
      </c>
      <c r="B41" s="171" t="s">
        <v>69</v>
      </c>
      <c r="C41" s="216" t="s">
        <v>87</v>
      </c>
      <c r="D41" s="173" t="s">
        <v>68</v>
      </c>
      <c r="E41" s="174">
        <v>1</v>
      </c>
      <c r="F41" s="175">
        <f>+E41*$F$8</f>
        <v>42</v>
      </c>
      <c r="G41" s="175">
        <v>1</v>
      </c>
      <c r="H41" s="175">
        <f>+G41*$H$8</f>
        <v>2</v>
      </c>
      <c r="I41" s="175">
        <v>1</v>
      </c>
      <c r="J41" s="175">
        <f>+I41*$J$8</f>
        <v>0</v>
      </c>
      <c r="K41" s="175">
        <v>1</v>
      </c>
      <c r="L41" s="175">
        <f>+K41*$L$8</f>
        <v>0</v>
      </c>
      <c r="M41" s="175">
        <v>1</v>
      </c>
      <c r="N41" s="175">
        <f>+M41*$N$8</f>
        <v>0</v>
      </c>
      <c r="O41" s="175">
        <v>1</v>
      </c>
      <c r="P41" s="177">
        <f>+O41*$P$8</f>
        <v>0</v>
      </c>
      <c r="Q41" s="175">
        <v>1</v>
      </c>
      <c r="R41" s="175">
        <f>+Q41*$R$8</f>
        <v>0</v>
      </c>
      <c r="S41" s="175">
        <v>1</v>
      </c>
      <c r="T41" s="175">
        <f>+S41*$T$8</f>
        <v>0</v>
      </c>
      <c r="U41" s="175">
        <f t="shared" si="12"/>
        <v>44</v>
      </c>
      <c r="V41" s="178">
        <f t="shared" si="4"/>
        <v>44</v>
      </c>
      <c r="W41" s="179">
        <f>+'A.P.U. 2023'!F334</f>
        <v>142948.34408224598</v>
      </c>
      <c r="X41" s="179">
        <f>+'A.P.U. 2023'!G334</f>
        <v>167718.70577636364</v>
      </c>
      <c r="Y41" s="180">
        <f t="shared" si="1"/>
        <v>6289727.1396188233</v>
      </c>
      <c r="Z41" s="181">
        <f t="shared" ref="Z41:Z46" si="40">V41*X41</f>
        <v>7379623.0541599998</v>
      </c>
      <c r="AA41" s="182">
        <f>+'A.P.U. 2023'!G327</f>
        <v>62467.126400000001</v>
      </c>
      <c r="AB41" s="183">
        <f t="shared" si="13"/>
        <v>2748553.5616000001</v>
      </c>
      <c r="AC41" s="182">
        <f>+'A.P.U. 2023'!G328</f>
        <v>92673.56</v>
      </c>
      <c r="AD41" s="181">
        <f t="shared" si="6"/>
        <v>4077636.6399999997</v>
      </c>
      <c r="AE41" s="180">
        <f>+'A.P.U. 2023'!G329</f>
        <v>1386.3318763636366</v>
      </c>
      <c r="AF41" s="179">
        <f t="shared" si="7"/>
        <v>60998.602560000014</v>
      </c>
      <c r="AG41" s="217">
        <f>+'A.P.U. 2023'!G330+'A.P.U. 2023'!G331</f>
        <v>11191.6875</v>
      </c>
      <c r="AH41" s="180">
        <f t="shared" si="8"/>
        <v>492434.25</v>
      </c>
      <c r="AI41" s="654">
        <f t="shared" si="9"/>
        <v>7379623.0541599998</v>
      </c>
      <c r="AJ41" s="610">
        <f>'A.P.U. 2023'!L327</f>
        <v>1089895.9145411775</v>
      </c>
      <c r="AK41" s="611"/>
      <c r="AL41" s="611"/>
      <c r="AM41" s="771"/>
      <c r="AN41" s="771"/>
      <c r="AO41" s="771"/>
      <c r="AP41" s="771"/>
      <c r="AQ41" s="771"/>
      <c r="AR41" s="771"/>
      <c r="AS41" s="771"/>
      <c r="AT41" s="771"/>
      <c r="AU41" s="771"/>
      <c r="AV41" s="771"/>
      <c r="AW41" s="771"/>
      <c r="AX41" s="771"/>
      <c r="AY41" s="771"/>
      <c r="AZ41" s="771"/>
      <c r="BA41" s="771"/>
      <c r="BB41" s="771"/>
      <c r="BC41" s="771"/>
      <c r="BD41" s="771"/>
      <c r="BE41" s="771"/>
      <c r="BF41" s="771"/>
      <c r="BG41" s="771"/>
      <c r="BH41" s="771"/>
      <c r="BI41" s="771"/>
      <c r="BJ41" s="771"/>
      <c r="BK41" s="771"/>
      <c r="BL41" s="771"/>
      <c r="BM41" s="771"/>
      <c r="BN41" s="771"/>
      <c r="BO41" s="771"/>
      <c r="BP41" s="771"/>
      <c r="BQ41" s="771"/>
      <c r="BR41" s="771"/>
      <c r="BS41" s="771"/>
      <c r="BT41" s="771"/>
      <c r="BU41" s="771"/>
      <c r="BV41" s="771"/>
      <c r="BW41" s="771"/>
      <c r="BX41" s="771"/>
      <c r="BY41" s="771"/>
      <c r="BZ41" s="771"/>
      <c r="CA41" s="771"/>
      <c r="CB41" s="771"/>
      <c r="CC41" s="771"/>
      <c r="CD41" s="771"/>
      <c r="CE41" s="771"/>
      <c r="CF41" s="771"/>
      <c r="CG41" s="771"/>
      <c r="CH41" s="771"/>
      <c r="CI41" s="771"/>
      <c r="CJ41" s="771"/>
      <c r="CK41" s="771"/>
      <c r="CL41" s="771"/>
      <c r="CM41" s="771"/>
      <c r="CN41" s="771"/>
      <c r="CO41" s="771"/>
      <c r="CP41" s="771"/>
      <c r="CQ41" s="771"/>
      <c r="CR41" s="771"/>
      <c r="CS41" s="771"/>
      <c r="CT41" s="771"/>
      <c r="CU41" s="771"/>
      <c r="CV41" s="771"/>
      <c r="CW41" s="771"/>
      <c r="CX41" s="771"/>
      <c r="CY41" s="771"/>
      <c r="CZ41" s="771"/>
      <c r="DA41" s="771"/>
      <c r="DB41" s="771"/>
      <c r="DC41" s="771"/>
      <c r="DD41" s="771"/>
      <c r="DE41" s="771"/>
      <c r="DF41" s="771"/>
      <c r="DG41" s="771"/>
      <c r="DH41" s="771"/>
      <c r="DI41" s="771"/>
      <c r="DJ41" s="771"/>
      <c r="DK41" s="771"/>
      <c r="DL41" s="771"/>
      <c r="DM41" s="771"/>
      <c r="DN41" s="771"/>
      <c r="DO41" s="771"/>
      <c r="DP41" s="771"/>
      <c r="DQ41" s="771"/>
      <c r="DR41" s="771"/>
      <c r="DS41" s="771"/>
      <c r="DT41" s="771"/>
      <c r="DU41" s="771"/>
      <c r="DV41" s="771"/>
      <c r="DW41" s="771"/>
      <c r="DX41" s="771"/>
      <c r="DY41" s="771"/>
      <c r="DZ41" s="771"/>
      <c r="EA41" s="771"/>
      <c r="EB41" s="771"/>
      <c r="EC41" s="771"/>
      <c r="ED41" s="771"/>
      <c r="EE41" s="771"/>
      <c r="EF41" s="771"/>
      <c r="EG41" s="771"/>
      <c r="EH41" s="771"/>
      <c r="EI41" s="771"/>
      <c r="EJ41" s="771"/>
      <c r="EK41" s="771"/>
      <c r="EL41" s="771"/>
      <c r="EM41" s="771"/>
      <c r="EN41" s="771"/>
    </row>
    <row r="42" spans="1:144" s="214" customFormat="1" ht="46.5" customHeight="1">
      <c r="A42" s="201" t="e">
        <f>+A41+1</f>
        <v>#REF!</v>
      </c>
      <c r="B42" s="202" t="s">
        <v>67</v>
      </c>
      <c r="C42" s="203" t="s">
        <v>232</v>
      </c>
      <c r="D42" s="204" t="s">
        <v>68</v>
      </c>
      <c r="E42" s="218">
        <f>+'FICHAS '!AQ57</f>
        <v>45</v>
      </c>
      <c r="F42" s="206">
        <f>+E42*$F$9</f>
        <v>45</v>
      </c>
      <c r="G42" s="205">
        <f>+'FICHAS '!AR57</f>
        <v>50</v>
      </c>
      <c r="H42" s="206">
        <f>G42*H9</f>
        <v>50</v>
      </c>
      <c r="I42" s="205"/>
      <c r="J42" s="206"/>
      <c r="K42" s="205"/>
      <c r="L42" s="206"/>
      <c r="M42" s="205"/>
      <c r="N42" s="206"/>
      <c r="O42" s="205"/>
      <c r="P42" s="207"/>
      <c r="Q42" s="206"/>
      <c r="R42" s="206"/>
      <c r="S42" s="206"/>
      <c r="T42" s="206"/>
      <c r="U42" s="206">
        <f t="shared" si="12"/>
        <v>95</v>
      </c>
      <c r="V42" s="208">
        <f t="shared" si="4"/>
        <v>95</v>
      </c>
      <c r="W42" s="209">
        <f>+'A.P.U. 2023'!F342</f>
        <v>9118.5043492448058</v>
      </c>
      <c r="X42" s="209">
        <f>+'A.P.U. 2023'!G342</f>
        <v>10168.147421834046</v>
      </c>
      <c r="Y42" s="210">
        <f t="shared" si="1"/>
        <v>866257.9131782566</v>
      </c>
      <c r="Z42" s="211">
        <f t="shared" si="40"/>
        <v>965974.00507423445</v>
      </c>
      <c r="AA42" s="212">
        <f>+'A.P.U. 2023'!G337</f>
        <v>6574.0802967431355</v>
      </c>
      <c r="AB42" s="213">
        <f t="shared" si="13"/>
        <v>624537.62819059787</v>
      </c>
      <c r="AC42" s="212">
        <v>0</v>
      </c>
      <c r="AD42" s="212">
        <f t="shared" si="6"/>
        <v>0</v>
      </c>
      <c r="AE42" s="210">
        <f>+'A.P.U. 2023'!G338</f>
        <v>92.422125090909105</v>
      </c>
      <c r="AF42" s="209">
        <f t="shared" si="7"/>
        <v>8780.1018836363655</v>
      </c>
      <c r="AG42" s="210">
        <f>+'A.P.U. 2023'!G339+'A.P.U. 2023'!G340</f>
        <v>3501.645</v>
      </c>
      <c r="AH42" s="210">
        <f t="shared" si="8"/>
        <v>332656.27500000002</v>
      </c>
      <c r="AI42" s="654">
        <f t="shared" si="9"/>
        <v>965974.00507423421</v>
      </c>
      <c r="AJ42" s="610">
        <f>+'A.P.U. 2023'!L337</f>
        <v>99716.091895977734</v>
      </c>
      <c r="AK42" s="611"/>
      <c r="AL42" s="611"/>
      <c r="AM42" s="771"/>
      <c r="AN42" s="771"/>
      <c r="AO42" s="771"/>
      <c r="AP42" s="771"/>
      <c r="AQ42" s="771"/>
      <c r="AR42" s="771"/>
      <c r="AS42" s="771"/>
      <c r="AT42" s="771"/>
      <c r="AU42" s="771"/>
      <c r="AV42" s="771"/>
      <c r="AW42" s="771"/>
      <c r="AX42" s="771"/>
      <c r="AY42" s="771"/>
      <c r="AZ42" s="771"/>
      <c r="BA42" s="771"/>
      <c r="BB42" s="771"/>
      <c r="BC42" s="771"/>
      <c r="BD42" s="771"/>
      <c r="BE42" s="771"/>
      <c r="BF42" s="771"/>
      <c r="BG42" s="771"/>
      <c r="BH42" s="771"/>
      <c r="BI42" s="771"/>
      <c r="BJ42" s="771"/>
      <c r="BK42" s="771"/>
      <c r="BL42" s="771"/>
      <c r="BM42" s="771"/>
      <c r="BN42" s="771"/>
      <c r="BO42" s="771"/>
      <c r="BP42" s="771"/>
      <c r="BQ42" s="771"/>
      <c r="BR42" s="771"/>
      <c r="BS42" s="771"/>
      <c r="BT42" s="771"/>
      <c r="BU42" s="771"/>
      <c r="BV42" s="771"/>
      <c r="BW42" s="771"/>
      <c r="BX42" s="771"/>
      <c r="BY42" s="771"/>
      <c r="BZ42" s="771"/>
      <c r="CA42" s="771"/>
      <c r="CB42" s="771"/>
      <c r="CC42" s="771"/>
      <c r="CD42" s="771"/>
      <c r="CE42" s="771"/>
      <c r="CF42" s="771"/>
      <c r="CG42" s="771"/>
      <c r="CH42" s="771"/>
      <c r="CI42" s="771"/>
      <c r="CJ42" s="771"/>
      <c r="CK42" s="771"/>
      <c r="CL42" s="771"/>
      <c r="CM42" s="771"/>
      <c r="CN42" s="771"/>
      <c r="CO42" s="771"/>
      <c r="CP42" s="771"/>
      <c r="CQ42" s="771"/>
      <c r="CR42" s="771"/>
      <c r="CS42" s="771"/>
      <c r="CT42" s="771"/>
      <c r="CU42" s="771"/>
      <c r="CV42" s="771"/>
      <c r="CW42" s="771"/>
      <c r="CX42" s="771"/>
      <c r="CY42" s="771"/>
      <c r="CZ42" s="771"/>
      <c r="DA42" s="771"/>
      <c r="DB42" s="771"/>
      <c r="DC42" s="771"/>
      <c r="DD42" s="771"/>
      <c r="DE42" s="771"/>
      <c r="DF42" s="771"/>
      <c r="DG42" s="771"/>
      <c r="DH42" s="771"/>
      <c r="DI42" s="771"/>
      <c r="DJ42" s="771"/>
      <c r="DK42" s="771"/>
      <c r="DL42" s="771"/>
      <c r="DM42" s="771"/>
      <c r="DN42" s="771"/>
      <c r="DO42" s="771"/>
      <c r="DP42" s="771"/>
      <c r="DQ42" s="771"/>
      <c r="DR42" s="771"/>
      <c r="DS42" s="771"/>
      <c r="DT42" s="771"/>
      <c r="DU42" s="771"/>
      <c r="DV42" s="771"/>
      <c r="DW42" s="771"/>
      <c r="DX42" s="771"/>
      <c r="DY42" s="771"/>
      <c r="DZ42" s="771"/>
      <c r="EA42" s="771"/>
      <c r="EB42" s="771"/>
      <c r="EC42" s="771"/>
      <c r="ED42" s="771"/>
      <c r="EE42" s="771"/>
      <c r="EF42" s="771"/>
      <c r="EG42" s="771"/>
      <c r="EH42" s="771"/>
      <c r="EI42" s="771"/>
      <c r="EJ42" s="771"/>
      <c r="EK42" s="771"/>
      <c r="EL42" s="771"/>
      <c r="EM42" s="771"/>
      <c r="EN42" s="771"/>
    </row>
    <row r="43" spans="1:144" s="214" customFormat="1" ht="38.25" customHeight="1">
      <c r="A43" s="201" t="e">
        <f t="shared" si="5"/>
        <v>#REF!</v>
      </c>
      <c r="B43" s="202" t="s">
        <v>67</v>
      </c>
      <c r="C43" s="203" t="s">
        <v>289</v>
      </c>
      <c r="D43" s="204" t="s">
        <v>68</v>
      </c>
      <c r="E43" s="218"/>
      <c r="F43" s="206"/>
      <c r="G43" s="205"/>
      <c r="H43" s="206"/>
      <c r="I43" s="205">
        <f>+'FICHAS '!AS57</f>
        <v>0</v>
      </c>
      <c r="J43" s="206">
        <f>+J9*I43</f>
        <v>0</v>
      </c>
      <c r="K43" s="205">
        <f>+'FICHAS '!AT57</f>
        <v>0</v>
      </c>
      <c r="L43" s="206">
        <f>+L9*K43</f>
        <v>0</v>
      </c>
      <c r="M43" s="205">
        <f>+'FICHAS '!AU57</f>
        <v>0</v>
      </c>
      <c r="N43" s="206">
        <f>+N9*M43</f>
        <v>0</v>
      </c>
      <c r="O43" s="205">
        <f>+'FICHAS '!AV57</f>
        <v>0</v>
      </c>
      <c r="P43" s="207">
        <f>+P9*O43</f>
        <v>0</v>
      </c>
      <c r="Q43" s="206">
        <f>+'FICHAS '!AW57</f>
        <v>0</v>
      </c>
      <c r="R43" s="206">
        <f>+R9*Q43</f>
        <v>0</v>
      </c>
      <c r="S43" s="206">
        <f>+'FICHAS '!AX57</f>
        <v>0</v>
      </c>
      <c r="T43" s="206">
        <f>+T9*S43</f>
        <v>0</v>
      </c>
      <c r="U43" s="206">
        <f>+F43+H43+J43+L43+N43+P43+R43+T43</f>
        <v>0</v>
      </c>
      <c r="V43" s="208">
        <f t="shared" si="4"/>
        <v>0</v>
      </c>
      <c r="W43" s="209">
        <f>+'A.P.U. 2023'!F350</f>
        <v>18387.72100921108</v>
      </c>
      <c r="X43" s="211">
        <f>+'A.P.U. 2023'!G350</f>
        <v>20533.202697193912</v>
      </c>
      <c r="Y43" s="210">
        <f t="shared" si="1"/>
        <v>0</v>
      </c>
      <c r="Z43" s="211">
        <f t="shared" si="40"/>
        <v>0</v>
      </c>
      <c r="AA43" s="212">
        <f>+'A.P.U. 2023'!G345</f>
        <v>13437.490572103003</v>
      </c>
      <c r="AB43" s="213">
        <f t="shared" si="13"/>
        <v>0</v>
      </c>
      <c r="AC43" s="212">
        <v>0</v>
      </c>
      <c r="AD43" s="211">
        <f t="shared" si="6"/>
        <v>0</v>
      </c>
      <c r="AE43" s="210">
        <f>+'A.P.U. 2023'!G346</f>
        <v>92.422125090909105</v>
      </c>
      <c r="AF43" s="209">
        <f t="shared" si="7"/>
        <v>0</v>
      </c>
      <c r="AG43" s="210">
        <f>+'A.P.U. 2023'!G347+'A.P.U. 2023'!G348</f>
        <v>7003.29</v>
      </c>
      <c r="AH43" s="210">
        <f t="shared" si="8"/>
        <v>0</v>
      </c>
      <c r="AI43" s="654">
        <f t="shared" si="9"/>
        <v>0</v>
      </c>
      <c r="AJ43" s="610">
        <f>+'A.P.U. 2023'!L345</f>
        <v>0</v>
      </c>
      <c r="AK43" s="611"/>
      <c r="AL43" s="611"/>
      <c r="AM43" s="771"/>
      <c r="AN43" s="771"/>
      <c r="AO43" s="771"/>
      <c r="AP43" s="771"/>
      <c r="AQ43" s="771"/>
      <c r="AR43" s="771"/>
      <c r="AS43" s="771"/>
      <c r="AT43" s="771"/>
      <c r="AU43" s="771"/>
      <c r="AV43" s="771"/>
      <c r="AW43" s="771"/>
      <c r="AX43" s="771"/>
      <c r="AY43" s="771"/>
      <c r="AZ43" s="771"/>
      <c r="BA43" s="771"/>
      <c r="BB43" s="771"/>
      <c r="BC43" s="771"/>
      <c r="BD43" s="771"/>
      <c r="BE43" s="771"/>
      <c r="BF43" s="771"/>
      <c r="BG43" s="771"/>
      <c r="BH43" s="771"/>
      <c r="BI43" s="771"/>
      <c r="BJ43" s="771"/>
      <c r="BK43" s="771"/>
      <c r="BL43" s="771"/>
      <c r="BM43" s="771"/>
      <c r="BN43" s="771"/>
      <c r="BO43" s="771"/>
      <c r="BP43" s="771"/>
      <c r="BQ43" s="771"/>
      <c r="BR43" s="771"/>
      <c r="BS43" s="771"/>
      <c r="BT43" s="771"/>
      <c r="BU43" s="771"/>
      <c r="BV43" s="771"/>
      <c r="BW43" s="771"/>
      <c r="BX43" s="771"/>
      <c r="BY43" s="771"/>
      <c r="BZ43" s="771"/>
      <c r="CA43" s="771"/>
      <c r="CB43" s="771"/>
      <c r="CC43" s="771"/>
      <c r="CD43" s="771"/>
      <c r="CE43" s="771"/>
      <c r="CF43" s="771"/>
      <c r="CG43" s="771"/>
      <c r="CH43" s="771"/>
      <c r="CI43" s="771"/>
      <c r="CJ43" s="771"/>
      <c r="CK43" s="771"/>
      <c r="CL43" s="771"/>
      <c r="CM43" s="771"/>
      <c r="CN43" s="771"/>
      <c r="CO43" s="771"/>
      <c r="CP43" s="771"/>
      <c r="CQ43" s="771"/>
      <c r="CR43" s="771"/>
      <c r="CS43" s="771"/>
      <c r="CT43" s="771"/>
      <c r="CU43" s="771"/>
      <c r="CV43" s="771"/>
      <c r="CW43" s="771"/>
      <c r="CX43" s="771"/>
      <c r="CY43" s="771"/>
      <c r="CZ43" s="771"/>
      <c r="DA43" s="771"/>
      <c r="DB43" s="771"/>
      <c r="DC43" s="771"/>
      <c r="DD43" s="771"/>
      <c r="DE43" s="771"/>
      <c r="DF43" s="771"/>
      <c r="DG43" s="771"/>
      <c r="DH43" s="771"/>
      <c r="DI43" s="771"/>
      <c r="DJ43" s="771"/>
      <c r="DK43" s="771"/>
      <c r="DL43" s="771"/>
      <c r="DM43" s="771"/>
      <c r="DN43" s="771"/>
      <c r="DO43" s="771"/>
      <c r="DP43" s="771"/>
      <c r="DQ43" s="771"/>
      <c r="DR43" s="771"/>
      <c r="DS43" s="771"/>
      <c r="DT43" s="771"/>
      <c r="DU43" s="771"/>
      <c r="DV43" s="771"/>
      <c r="DW43" s="771"/>
      <c r="DX43" s="771"/>
      <c r="DY43" s="771"/>
      <c r="DZ43" s="771"/>
      <c r="EA43" s="771"/>
      <c r="EB43" s="771"/>
      <c r="EC43" s="771"/>
      <c r="ED43" s="771"/>
      <c r="EE43" s="771"/>
      <c r="EF43" s="771"/>
      <c r="EG43" s="771"/>
      <c r="EH43" s="771"/>
      <c r="EI43" s="771"/>
      <c r="EJ43" s="771"/>
      <c r="EK43" s="771"/>
      <c r="EL43" s="771"/>
      <c r="EM43" s="771"/>
      <c r="EN43" s="771"/>
    </row>
    <row r="44" spans="1:144" s="214" customFormat="1" ht="48" customHeight="1">
      <c r="A44" s="201" t="e">
        <f>+A42+1</f>
        <v>#REF!</v>
      </c>
      <c r="B44" s="202" t="s">
        <v>69</v>
      </c>
      <c r="C44" s="203" t="s">
        <v>88</v>
      </c>
      <c r="D44" s="204" t="s">
        <v>70</v>
      </c>
      <c r="E44" s="218">
        <v>1</v>
      </c>
      <c r="F44" s="206">
        <f>+E44*$F$9</f>
        <v>1</v>
      </c>
      <c r="G44" s="206">
        <v>1</v>
      </c>
      <c r="H44" s="206">
        <f>+G44*$H$9</f>
        <v>1</v>
      </c>
      <c r="I44" s="206"/>
      <c r="J44" s="206"/>
      <c r="K44" s="206"/>
      <c r="L44" s="206"/>
      <c r="M44" s="206"/>
      <c r="N44" s="206"/>
      <c r="O44" s="206"/>
      <c r="P44" s="207"/>
      <c r="Q44" s="206"/>
      <c r="R44" s="206"/>
      <c r="S44" s="206"/>
      <c r="T44" s="206"/>
      <c r="U44" s="206">
        <f>+F44+H44+J44+L44+N44+P44+R44+T44</f>
        <v>2</v>
      </c>
      <c r="V44" s="208">
        <f t="shared" si="4"/>
        <v>2</v>
      </c>
      <c r="W44" s="209">
        <f>+'A.P.U. 2023'!F360</f>
        <v>3867455.5072664502</v>
      </c>
      <c r="X44" s="209">
        <f>+'A.P.U. 2023'!G360</f>
        <v>40250.371594231881</v>
      </c>
      <c r="Y44" s="210">
        <f t="shared" si="1"/>
        <v>7734911.0145329004</v>
      </c>
      <c r="Z44" s="211">
        <f t="shared" si="40"/>
        <v>80500.743188463763</v>
      </c>
      <c r="AA44" s="212">
        <f>+'A.P.U. 2023'!G353+'A.P.U. 2023'!G354</f>
        <v>30489.641245743245</v>
      </c>
      <c r="AB44" s="209">
        <f t="shared" si="13"/>
        <v>60979.28249148649</v>
      </c>
      <c r="AC44" s="212">
        <f>+'A.P.U. 2023'!G356</f>
        <v>5117.7</v>
      </c>
      <c r="AD44" s="211">
        <f t="shared" si="6"/>
        <v>10235.4</v>
      </c>
      <c r="AE44" s="210">
        <f>+'A.P.U. 2023'!G355</f>
        <v>166.3598251636364</v>
      </c>
      <c r="AF44" s="209">
        <f>+AE44*V44</f>
        <v>332.7196503272728</v>
      </c>
      <c r="AG44" s="210">
        <f>+'A.P.U. 2023'!G357+'A.P.U. 2023'!G358</f>
        <v>4476.6705233250004</v>
      </c>
      <c r="AH44" s="210">
        <f>+AG44*V44</f>
        <v>8953.3410466500009</v>
      </c>
      <c r="AI44" s="654">
        <f t="shared" si="9"/>
        <v>80500.743188463763</v>
      </c>
      <c r="AJ44" s="610">
        <f>+'A.P.U. 2023'!L353</f>
        <v>11370.411490237326</v>
      </c>
      <c r="AK44" s="611"/>
      <c r="AL44" s="611"/>
      <c r="AM44" s="771"/>
      <c r="AN44" s="771"/>
      <c r="AO44" s="771"/>
      <c r="AP44" s="771"/>
      <c r="AQ44" s="771"/>
      <c r="AR44" s="771"/>
      <c r="AS44" s="771"/>
      <c r="AT44" s="771"/>
      <c r="AU44" s="771"/>
      <c r="AV44" s="771"/>
      <c r="AW44" s="771"/>
      <c r="AX44" s="771"/>
      <c r="AY44" s="771"/>
      <c r="AZ44" s="771"/>
      <c r="BA44" s="771"/>
      <c r="BB44" s="771"/>
      <c r="BC44" s="771"/>
      <c r="BD44" s="771"/>
      <c r="BE44" s="771"/>
      <c r="BF44" s="771"/>
      <c r="BG44" s="771"/>
      <c r="BH44" s="771"/>
      <c r="BI44" s="771"/>
      <c r="BJ44" s="771"/>
      <c r="BK44" s="771"/>
      <c r="BL44" s="771"/>
      <c r="BM44" s="771"/>
      <c r="BN44" s="771"/>
      <c r="BO44" s="771"/>
      <c r="BP44" s="771"/>
      <c r="BQ44" s="771"/>
      <c r="BR44" s="771"/>
      <c r="BS44" s="771"/>
      <c r="BT44" s="771"/>
      <c r="BU44" s="771"/>
      <c r="BV44" s="771"/>
      <c r="BW44" s="771"/>
      <c r="BX44" s="771"/>
      <c r="BY44" s="771"/>
      <c r="BZ44" s="771"/>
      <c r="CA44" s="771"/>
      <c r="CB44" s="771"/>
      <c r="CC44" s="771"/>
      <c r="CD44" s="771"/>
      <c r="CE44" s="771"/>
      <c r="CF44" s="771"/>
      <c r="CG44" s="771"/>
      <c r="CH44" s="771"/>
      <c r="CI44" s="771"/>
      <c r="CJ44" s="771"/>
      <c r="CK44" s="771"/>
      <c r="CL44" s="771"/>
      <c r="CM44" s="771"/>
      <c r="CN44" s="771"/>
      <c r="CO44" s="771"/>
      <c r="CP44" s="771"/>
      <c r="CQ44" s="771"/>
      <c r="CR44" s="771"/>
      <c r="CS44" s="771"/>
      <c r="CT44" s="771"/>
      <c r="CU44" s="771"/>
      <c r="CV44" s="771"/>
      <c r="CW44" s="771"/>
      <c r="CX44" s="771"/>
      <c r="CY44" s="771"/>
      <c r="CZ44" s="771"/>
      <c r="DA44" s="771"/>
      <c r="DB44" s="771"/>
      <c r="DC44" s="771"/>
      <c r="DD44" s="771"/>
      <c r="DE44" s="771"/>
      <c r="DF44" s="771"/>
      <c r="DG44" s="771"/>
      <c r="DH44" s="771"/>
      <c r="DI44" s="771"/>
      <c r="DJ44" s="771"/>
      <c r="DK44" s="771"/>
      <c r="DL44" s="771"/>
      <c r="DM44" s="771"/>
      <c r="DN44" s="771"/>
      <c r="DO44" s="771"/>
      <c r="DP44" s="771"/>
      <c r="DQ44" s="771"/>
      <c r="DR44" s="771"/>
      <c r="DS44" s="771"/>
      <c r="DT44" s="771"/>
      <c r="DU44" s="771"/>
      <c r="DV44" s="771"/>
      <c r="DW44" s="771"/>
      <c r="DX44" s="771"/>
      <c r="DY44" s="771"/>
      <c r="DZ44" s="771"/>
      <c r="EA44" s="771"/>
      <c r="EB44" s="771"/>
      <c r="EC44" s="771"/>
      <c r="ED44" s="771"/>
      <c r="EE44" s="771"/>
      <c r="EF44" s="771"/>
      <c r="EG44" s="771"/>
      <c r="EH44" s="771"/>
      <c r="EI44" s="771"/>
      <c r="EJ44" s="771"/>
      <c r="EK44" s="771"/>
      <c r="EL44" s="771"/>
      <c r="EM44" s="771"/>
      <c r="EN44" s="771"/>
    </row>
    <row r="45" spans="1:144" s="214" customFormat="1" ht="48" customHeight="1">
      <c r="A45" s="201" t="e">
        <f t="shared" si="5"/>
        <v>#REF!</v>
      </c>
      <c r="B45" s="202" t="s">
        <v>69</v>
      </c>
      <c r="C45" s="203" t="s">
        <v>89</v>
      </c>
      <c r="D45" s="204" t="s">
        <v>70</v>
      </c>
      <c r="E45" s="218"/>
      <c r="F45" s="206"/>
      <c r="G45" s="206"/>
      <c r="H45" s="206"/>
      <c r="I45" s="206">
        <v>1</v>
      </c>
      <c r="J45" s="206">
        <f>+I45*J9</f>
        <v>0</v>
      </c>
      <c r="K45" s="206">
        <v>1</v>
      </c>
      <c r="L45" s="206">
        <f>+K45*$L$9</f>
        <v>0</v>
      </c>
      <c r="M45" s="206">
        <v>1</v>
      </c>
      <c r="N45" s="206">
        <f>+M45*$N$9</f>
        <v>0</v>
      </c>
      <c r="O45" s="206">
        <v>1</v>
      </c>
      <c r="P45" s="207">
        <f>+O45*$P$9</f>
        <v>0</v>
      </c>
      <c r="Q45" s="206">
        <v>1</v>
      </c>
      <c r="R45" s="206">
        <f>+Q45*$R$9</f>
        <v>0</v>
      </c>
      <c r="S45" s="206">
        <v>1</v>
      </c>
      <c r="T45" s="206">
        <f>+S45*$T$9</f>
        <v>0</v>
      </c>
      <c r="U45" s="206">
        <f>+F45+H45+J45+L45+N45+P45+R45+T45</f>
        <v>0</v>
      </c>
      <c r="V45" s="208">
        <f t="shared" si="4"/>
        <v>0</v>
      </c>
      <c r="W45" s="209">
        <f>+'A.P.U. 2023'!F370</f>
        <v>67782.571505835906</v>
      </c>
      <c r="X45" s="209">
        <f>+'A.P.U. 2023'!G370</f>
        <v>79608.969825163644</v>
      </c>
      <c r="Y45" s="210">
        <f>V45*W45</f>
        <v>0</v>
      </c>
      <c r="Z45" s="211">
        <f t="shared" si="40"/>
        <v>0</v>
      </c>
      <c r="AA45" s="212">
        <f>+'A.P.U. 2023'!G363+'A.P.U. 2023'!G364</f>
        <v>67247</v>
      </c>
      <c r="AB45" s="209">
        <f t="shared" si="13"/>
        <v>0</v>
      </c>
      <c r="AC45" s="212">
        <f>+'A.P.U. 2023'!G366</f>
        <v>6823.6</v>
      </c>
      <c r="AD45" s="211">
        <f t="shared" si="6"/>
        <v>0</v>
      </c>
      <c r="AE45" s="210">
        <f>+'A.P.U. 2023'!G365</f>
        <v>166.3598251636364</v>
      </c>
      <c r="AF45" s="209">
        <f>+AE45*V45</f>
        <v>0</v>
      </c>
      <c r="AG45" s="210">
        <f>+'A.P.U. 2023'!G367+'A.P.U. 2023'!G368</f>
        <v>5372.01</v>
      </c>
      <c r="AH45" s="210">
        <f>+AG45*V45</f>
        <v>0</v>
      </c>
      <c r="AI45" s="654">
        <f t="shared" si="9"/>
        <v>0</v>
      </c>
      <c r="AJ45" s="610">
        <f>+'A.P.U. 2023'!L363</f>
        <v>0</v>
      </c>
      <c r="AK45" s="611"/>
      <c r="AL45" s="611"/>
      <c r="AM45" s="771"/>
      <c r="AN45" s="771"/>
      <c r="AO45" s="771"/>
      <c r="AP45" s="771"/>
      <c r="AQ45" s="771"/>
      <c r="AR45" s="771"/>
      <c r="AS45" s="771"/>
      <c r="AT45" s="771"/>
      <c r="AU45" s="771"/>
      <c r="AV45" s="771"/>
      <c r="AW45" s="771"/>
      <c r="AX45" s="771"/>
      <c r="AY45" s="771"/>
      <c r="AZ45" s="771"/>
      <c r="BA45" s="771"/>
      <c r="BB45" s="771"/>
      <c r="BC45" s="771"/>
      <c r="BD45" s="771"/>
      <c r="BE45" s="771"/>
      <c r="BF45" s="771"/>
      <c r="BG45" s="771"/>
      <c r="BH45" s="771"/>
      <c r="BI45" s="771"/>
      <c r="BJ45" s="771"/>
      <c r="BK45" s="771"/>
      <c r="BL45" s="771"/>
      <c r="BM45" s="771"/>
      <c r="BN45" s="771"/>
      <c r="BO45" s="771"/>
      <c r="BP45" s="771"/>
      <c r="BQ45" s="771"/>
      <c r="BR45" s="771"/>
      <c r="BS45" s="771"/>
      <c r="BT45" s="771"/>
      <c r="BU45" s="771"/>
      <c r="BV45" s="771"/>
      <c r="BW45" s="771"/>
      <c r="BX45" s="771"/>
      <c r="BY45" s="771"/>
      <c r="BZ45" s="771"/>
      <c r="CA45" s="771"/>
      <c r="CB45" s="771"/>
      <c r="CC45" s="771"/>
      <c r="CD45" s="771"/>
      <c r="CE45" s="771"/>
      <c r="CF45" s="771"/>
      <c r="CG45" s="771"/>
      <c r="CH45" s="771"/>
      <c r="CI45" s="771"/>
      <c r="CJ45" s="771"/>
      <c r="CK45" s="771"/>
      <c r="CL45" s="771"/>
      <c r="CM45" s="771"/>
      <c r="CN45" s="771"/>
      <c r="CO45" s="771"/>
      <c r="CP45" s="771"/>
      <c r="CQ45" s="771"/>
      <c r="CR45" s="771"/>
      <c r="CS45" s="771"/>
      <c r="CT45" s="771"/>
      <c r="CU45" s="771"/>
      <c r="CV45" s="771"/>
      <c r="CW45" s="771"/>
      <c r="CX45" s="771"/>
      <c r="CY45" s="771"/>
      <c r="CZ45" s="771"/>
      <c r="DA45" s="771"/>
      <c r="DB45" s="771"/>
      <c r="DC45" s="771"/>
      <c r="DD45" s="771"/>
      <c r="DE45" s="771"/>
      <c r="DF45" s="771"/>
      <c r="DG45" s="771"/>
      <c r="DH45" s="771"/>
      <c r="DI45" s="771"/>
      <c r="DJ45" s="771"/>
      <c r="DK45" s="771"/>
      <c r="DL45" s="771"/>
      <c r="DM45" s="771"/>
      <c r="DN45" s="771"/>
      <c r="DO45" s="771"/>
      <c r="DP45" s="771"/>
      <c r="DQ45" s="771"/>
      <c r="DR45" s="771"/>
      <c r="DS45" s="771"/>
      <c r="DT45" s="771"/>
      <c r="DU45" s="771"/>
      <c r="DV45" s="771"/>
      <c r="DW45" s="771"/>
      <c r="DX45" s="771"/>
      <c r="DY45" s="771"/>
      <c r="DZ45" s="771"/>
      <c r="EA45" s="771"/>
      <c r="EB45" s="771"/>
      <c r="EC45" s="771"/>
      <c r="ED45" s="771"/>
      <c r="EE45" s="771"/>
      <c r="EF45" s="771"/>
      <c r="EG45" s="771"/>
      <c r="EH45" s="771"/>
      <c r="EI45" s="771"/>
      <c r="EJ45" s="771"/>
      <c r="EK45" s="771"/>
      <c r="EL45" s="771"/>
      <c r="EM45" s="771"/>
      <c r="EN45" s="771"/>
    </row>
    <row r="46" spans="1:144" s="214" customFormat="1" ht="48" customHeight="1">
      <c r="A46" s="201" t="e">
        <f t="shared" si="5"/>
        <v>#REF!</v>
      </c>
      <c r="B46" s="202" t="s">
        <v>69</v>
      </c>
      <c r="C46" s="219" t="s">
        <v>382</v>
      </c>
      <c r="D46" s="204" t="s">
        <v>70</v>
      </c>
      <c r="E46" s="220">
        <v>0</v>
      </c>
      <c r="F46" s="206">
        <f>+E46*$F$9</f>
        <v>0</v>
      </c>
      <c r="G46" s="220">
        <v>0</v>
      </c>
      <c r="H46" s="206">
        <f>+G46*$F$9</f>
        <v>0</v>
      </c>
      <c r="I46" s="220">
        <v>0</v>
      </c>
      <c r="J46" s="206">
        <f>+I46*$F$9</f>
        <v>0</v>
      </c>
      <c r="K46" s="220">
        <v>0</v>
      </c>
      <c r="L46" s="206">
        <f>+K46*$F$9</f>
        <v>0</v>
      </c>
      <c r="M46" s="220">
        <v>0</v>
      </c>
      <c r="N46" s="206">
        <f>+M46*$F$9</f>
        <v>0</v>
      </c>
      <c r="O46" s="220">
        <v>0</v>
      </c>
      <c r="P46" s="206">
        <f>+O46*$F$9</f>
        <v>0</v>
      </c>
      <c r="Q46" s="220">
        <v>0</v>
      </c>
      <c r="R46" s="206">
        <f>+Q46*$F$9</f>
        <v>0</v>
      </c>
      <c r="S46" s="220">
        <v>0</v>
      </c>
      <c r="T46" s="206">
        <f>+S46*$F$9</f>
        <v>0</v>
      </c>
      <c r="U46" s="206">
        <f>+F46+H46+J46+L46+N46+P46+R46+T46</f>
        <v>0</v>
      </c>
      <c r="V46" s="208">
        <f t="shared" si="4"/>
        <v>0</v>
      </c>
      <c r="W46" s="209">
        <f>+'A.P.U. 2023'!F380</f>
        <v>40284.504278945147</v>
      </c>
      <c r="X46" s="209">
        <f>+'A.P.U. 2023'!G380</f>
        <v>46886.269825163632</v>
      </c>
      <c r="Y46" s="210">
        <f>V46*W46</f>
        <v>0</v>
      </c>
      <c r="Z46" s="211">
        <f t="shared" si="40"/>
        <v>0</v>
      </c>
      <c r="AA46" s="212">
        <f>+'A.P.U. 2023'!G373</f>
        <v>23715.3</v>
      </c>
      <c r="AB46" s="213">
        <f>+AA46*V46</f>
        <v>0</v>
      </c>
      <c r="AC46" s="212">
        <f>+'A.P.U. 2023'!G374+'A.P.U. 2023'!G376</f>
        <v>17632.599999999999</v>
      </c>
      <c r="AD46" s="211">
        <f>+AC46*V46</f>
        <v>0</v>
      </c>
      <c r="AE46" s="210">
        <f>+'A.P.U. 2023'!G375</f>
        <v>166.3598251636364</v>
      </c>
      <c r="AF46" s="209">
        <f>+AE46*V46</f>
        <v>0</v>
      </c>
      <c r="AG46" s="210">
        <f>+'A.P.U. 2023'!G377+'A.P.U. 2023'!G378</f>
        <v>5372.01</v>
      </c>
      <c r="AH46" s="210">
        <f>+AG46*V46</f>
        <v>0</v>
      </c>
      <c r="AI46" s="654">
        <f t="shared" si="9"/>
        <v>0</v>
      </c>
      <c r="AJ46" s="610">
        <f>+'A.P.U. 2023'!L373</f>
        <v>0</v>
      </c>
      <c r="AK46" s="611"/>
      <c r="AL46" s="611"/>
      <c r="AM46" s="771"/>
      <c r="AN46" s="771"/>
      <c r="AO46" s="771"/>
      <c r="AP46" s="771"/>
      <c r="AQ46" s="771"/>
      <c r="AR46" s="771"/>
      <c r="AS46" s="771"/>
      <c r="AT46" s="771"/>
      <c r="AU46" s="771"/>
      <c r="AV46" s="771"/>
      <c r="AW46" s="771"/>
      <c r="AX46" s="771"/>
      <c r="AY46" s="771"/>
      <c r="AZ46" s="771"/>
      <c r="BA46" s="771"/>
      <c r="BB46" s="771"/>
      <c r="BC46" s="771"/>
      <c r="BD46" s="771"/>
      <c r="BE46" s="771"/>
      <c r="BF46" s="771"/>
      <c r="BG46" s="771"/>
      <c r="BH46" s="771"/>
      <c r="BI46" s="771"/>
      <c r="BJ46" s="771"/>
      <c r="BK46" s="771"/>
      <c r="BL46" s="771"/>
      <c r="BM46" s="771"/>
      <c r="BN46" s="771"/>
      <c r="BO46" s="771"/>
      <c r="BP46" s="771"/>
      <c r="BQ46" s="771"/>
      <c r="BR46" s="771"/>
      <c r="BS46" s="771"/>
      <c r="BT46" s="771"/>
      <c r="BU46" s="771"/>
      <c r="BV46" s="771"/>
      <c r="BW46" s="771"/>
      <c r="BX46" s="771"/>
      <c r="BY46" s="771"/>
      <c r="BZ46" s="771"/>
      <c r="CA46" s="771"/>
      <c r="CB46" s="771"/>
      <c r="CC46" s="771"/>
      <c r="CD46" s="771"/>
      <c r="CE46" s="771"/>
      <c r="CF46" s="771"/>
      <c r="CG46" s="771"/>
      <c r="CH46" s="771"/>
      <c r="CI46" s="771"/>
      <c r="CJ46" s="771"/>
      <c r="CK46" s="771"/>
      <c r="CL46" s="771"/>
      <c r="CM46" s="771"/>
      <c r="CN46" s="771"/>
      <c r="CO46" s="771"/>
      <c r="CP46" s="771"/>
      <c r="CQ46" s="771"/>
      <c r="CR46" s="771"/>
      <c r="CS46" s="771"/>
      <c r="CT46" s="771"/>
      <c r="CU46" s="771"/>
      <c r="CV46" s="771"/>
      <c r="CW46" s="771"/>
      <c r="CX46" s="771"/>
      <c r="CY46" s="771"/>
      <c r="CZ46" s="771"/>
      <c r="DA46" s="771"/>
      <c r="DB46" s="771"/>
      <c r="DC46" s="771"/>
      <c r="DD46" s="771"/>
      <c r="DE46" s="771"/>
      <c r="DF46" s="771"/>
      <c r="DG46" s="771"/>
      <c r="DH46" s="771"/>
      <c r="DI46" s="771"/>
      <c r="DJ46" s="771"/>
      <c r="DK46" s="771"/>
      <c r="DL46" s="771"/>
      <c r="DM46" s="771"/>
      <c r="DN46" s="771"/>
      <c r="DO46" s="771"/>
      <c r="DP46" s="771"/>
      <c r="DQ46" s="771"/>
      <c r="DR46" s="771"/>
      <c r="DS46" s="771"/>
      <c r="DT46" s="771"/>
      <c r="DU46" s="771"/>
      <c r="DV46" s="771"/>
      <c r="DW46" s="771"/>
      <c r="DX46" s="771"/>
      <c r="DY46" s="771"/>
      <c r="DZ46" s="771"/>
      <c r="EA46" s="771"/>
      <c r="EB46" s="771"/>
      <c r="EC46" s="771"/>
      <c r="ED46" s="771"/>
      <c r="EE46" s="771"/>
      <c r="EF46" s="771"/>
      <c r="EG46" s="771"/>
      <c r="EH46" s="771"/>
      <c r="EI46" s="771"/>
      <c r="EJ46" s="771"/>
      <c r="EK46" s="771"/>
      <c r="EL46" s="771"/>
      <c r="EM46" s="771"/>
      <c r="EN46" s="771"/>
    </row>
    <row r="47" spans="1:144" s="60" customFormat="1" ht="24" customHeight="1">
      <c r="A47" s="122" t="e">
        <f>+A44+1</f>
        <v>#REF!</v>
      </c>
      <c r="B47" s="221"/>
      <c r="C47" s="222" t="s">
        <v>98</v>
      </c>
      <c r="D47" s="223"/>
      <c r="E47" s="224"/>
      <c r="F47" s="135"/>
      <c r="G47" s="135"/>
      <c r="H47" s="135"/>
      <c r="I47" s="135"/>
      <c r="J47" s="135"/>
      <c r="K47" s="135"/>
      <c r="L47" s="135"/>
      <c r="M47" s="135"/>
      <c r="N47" s="135"/>
      <c r="O47" s="135"/>
      <c r="P47" s="136"/>
      <c r="Q47" s="135"/>
      <c r="R47" s="135"/>
      <c r="S47" s="135"/>
      <c r="T47" s="135"/>
      <c r="U47" s="135"/>
      <c r="V47" s="113"/>
      <c r="W47" s="225"/>
      <c r="X47" s="226"/>
      <c r="Y47" s="133"/>
      <c r="Z47" s="130"/>
      <c r="AA47" s="137"/>
      <c r="AB47" s="138"/>
      <c r="AC47" s="137"/>
      <c r="AD47" s="139"/>
      <c r="AE47" s="140"/>
      <c r="AF47" s="141"/>
      <c r="AG47" s="227"/>
      <c r="AH47" s="139"/>
      <c r="AI47" s="654">
        <f t="shared" si="9"/>
        <v>0</v>
      </c>
      <c r="AJ47" s="228"/>
      <c r="AM47" s="771"/>
      <c r="AN47" s="771"/>
      <c r="AO47" s="771"/>
      <c r="AP47" s="771"/>
      <c r="AQ47" s="771"/>
      <c r="AR47" s="771"/>
      <c r="AS47" s="771"/>
      <c r="AT47" s="771"/>
      <c r="AU47" s="771"/>
      <c r="AV47" s="771"/>
      <c r="AW47" s="771"/>
      <c r="AX47" s="771"/>
      <c r="AY47" s="771"/>
      <c r="AZ47" s="771"/>
      <c r="BA47" s="771"/>
      <c r="BB47" s="771"/>
      <c r="BC47" s="771"/>
      <c r="BD47" s="771"/>
      <c r="BE47" s="771"/>
      <c r="BF47" s="771"/>
      <c r="BG47" s="771"/>
      <c r="BH47" s="771"/>
      <c r="BI47" s="771"/>
      <c r="BJ47" s="771"/>
      <c r="BK47" s="771"/>
      <c r="BL47" s="771"/>
      <c r="BM47" s="771"/>
      <c r="BN47" s="771"/>
      <c r="BO47" s="771"/>
      <c r="BP47" s="771"/>
      <c r="BQ47" s="771"/>
      <c r="BR47" s="771"/>
      <c r="BS47" s="771"/>
      <c r="BT47" s="771"/>
      <c r="BU47" s="771"/>
      <c r="BV47" s="771"/>
      <c r="BW47" s="771"/>
      <c r="BX47" s="771"/>
      <c r="BY47" s="771"/>
      <c r="BZ47" s="771"/>
      <c r="CA47" s="771"/>
      <c r="CB47" s="771"/>
      <c r="CC47" s="771"/>
      <c r="CD47" s="771"/>
      <c r="CE47" s="771"/>
      <c r="CF47" s="771"/>
      <c r="CG47" s="771"/>
      <c r="CH47" s="771"/>
      <c r="CI47" s="771"/>
      <c r="CJ47" s="771"/>
      <c r="CK47" s="771"/>
      <c r="CL47" s="771"/>
      <c r="CM47" s="771"/>
      <c r="CN47" s="771"/>
      <c r="CO47" s="771"/>
      <c r="CP47" s="771"/>
      <c r="CQ47" s="771"/>
      <c r="CR47" s="771"/>
      <c r="CS47" s="771"/>
      <c r="CT47" s="771"/>
      <c r="CU47" s="771"/>
      <c r="CV47" s="771"/>
      <c r="CW47" s="771"/>
      <c r="CX47" s="771"/>
      <c r="CY47" s="771"/>
      <c r="CZ47" s="771"/>
      <c r="DA47" s="771"/>
      <c r="DB47" s="771"/>
      <c r="DC47" s="771"/>
      <c r="DD47" s="771"/>
      <c r="DE47" s="771"/>
      <c r="DF47" s="771"/>
      <c r="DG47" s="771"/>
      <c r="DH47" s="771"/>
      <c r="DI47" s="771"/>
      <c r="DJ47" s="771"/>
      <c r="DK47" s="771"/>
      <c r="DL47" s="771"/>
      <c r="DM47" s="771"/>
      <c r="DN47" s="771"/>
      <c r="DO47" s="771"/>
      <c r="DP47" s="771"/>
      <c r="DQ47" s="771"/>
      <c r="DR47" s="771"/>
      <c r="DS47" s="771"/>
      <c r="DT47" s="771"/>
      <c r="DU47" s="771"/>
      <c r="DV47" s="771"/>
      <c r="DW47" s="771"/>
      <c r="DX47" s="771"/>
      <c r="DY47" s="771"/>
      <c r="DZ47" s="771"/>
      <c r="EA47" s="771"/>
      <c r="EB47" s="771"/>
      <c r="EC47" s="771"/>
      <c r="ED47" s="771"/>
      <c r="EE47" s="771"/>
      <c r="EF47" s="771"/>
      <c r="EG47" s="771"/>
      <c r="EH47" s="771"/>
      <c r="EI47" s="771"/>
      <c r="EJ47" s="771"/>
      <c r="EK47" s="771"/>
      <c r="EL47" s="771"/>
      <c r="EM47" s="771"/>
      <c r="EN47" s="771"/>
    </row>
    <row r="48" spans="1:144" s="60" customFormat="1" ht="48" customHeight="1">
      <c r="A48" s="122" t="e">
        <f t="shared" ref="A48:A53" si="41">+A47+0.1</f>
        <v>#REF!</v>
      </c>
      <c r="B48" s="123" t="s">
        <v>62</v>
      </c>
      <c r="C48" s="229" t="s">
        <v>355</v>
      </c>
      <c r="D48" s="125" t="s">
        <v>99</v>
      </c>
      <c r="E48" s="224">
        <f>0.1*10</f>
        <v>1</v>
      </c>
      <c r="F48" s="135">
        <f>+E48*$F$10</f>
        <v>41</v>
      </c>
      <c r="G48" s="135">
        <f>0.1*15</f>
        <v>1.5</v>
      </c>
      <c r="H48" s="135">
        <f>+G48*$H$10</f>
        <v>1.5</v>
      </c>
      <c r="I48" s="135">
        <f>0.1*20</f>
        <v>2</v>
      </c>
      <c r="J48" s="135">
        <f>+I48*$J$10</f>
        <v>0</v>
      </c>
      <c r="K48" s="135">
        <f>0.1*30</f>
        <v>3</v>
      </c>
      <c r="L48" s="135">
        <f>+K48*$L$10</f>
        <v>0</v>
      </c>
      <c r="M48" s="135">
        <f>0.1*40</f>
        <v>4</v>
      </c>
      <c r="N48" s="135">
        <f>+M48*$N$10</f>
        <v>0</v>
      </c>
      <c r="O48" s="135">
        <f>0.1*50</f>
        <v>5</v>
      </c>
      <c r="P48" s="136">
        <f>+O48*$P$10</f>
        <v>0</v>
      </c>
      <c r="Q48" s="135">
        <f>0.1*70</f>
        <v>7</v>
      </c>
      <c r="R48" s="135">
        <f>+Q48*$R$10</f>
        <v>0</v>
      </c>
      <c r="S48" s="135">
        <f>0.1*90</f>
        <v>9</v>
      </c>
      <c r="T48" s="135">
        <f>+S48*$T$10</f>
        <v>0</v>
      </c>
      <c r="U48" s="135">
        <f t="shared" ref="U48:U53" si="42">+F48+H48+J48+L48+N48+P48+R48+T48</f>
        <v>42.5</v>
      </c>
      <c r="V48" s="113">
        <f t="shared" si="4"/>
        <v>42.5</v>
      </c>
      <c r="W48" s="230">
        <f>+'A.P.U. 2023'!F9</f>
        <v>28013.16</v>
      </c>
      <c r="X48" s="230">
        <f>+'A.P.U. 2023'!G9</f>
        <v>28013.16</v>
      </c>
      <c r="Y48" s="133">
        <f t="shared" ref="Y48:Y53" si="43">V48*W48</f>
        <v>1190559.3</v>
      </c>
      <c r="Z48" s="130">
        <f t="shared" ref="Z48:Z53" si="44">V48*X48</f>
        <v>1190559.3</v>
      </c>
      <c r="AA48" s="137"/>
      <c r="AB48" s="138">
        <f t="shared" ref="AB48:AB53" si="45">+AA48*V48</f>
        <v>0</v>
      </c>
      <c r="AC48" s="137"/>
      <c r="AD48" s="139">
        <f t="shared" ref="AD48:AD53" si="46">+AC48*V48</f>
        <v>0</v>
      </c>
      <c r="AE48" s="140"/>
      <c r="AF48" s="141">
        <f t="shared" ref="AF48:AF53" si="47">+AE48*V48</f>
        <v>0</v>
      </c>
      <c r="AG48" s="140">
        <f>+'A.P.U. 2023'!G9</f>
        <v>28013.16</v>
      </c>
      <c r="AH48" s="139">
        <f t="shared" ref="AH48:AH53" si="48">+AG48*V48</f>
        <v>1190559.3</v>
      </c>
      <c r="AI48" s="654">
        <f t="shared" si="9"/>
        <v>1190559.3</v>
      </c>
      <c r="AJ48" s="228"/>
      <c r="AM48" s="771"/>
      <c r="AN48" s="771"/>
      <c r="AO48" s="771"/>
      <c r="AP48" s="771"/>
      <c r="AQ48" s="771"/>
      <c r="AR48" s="771"/>
      <c r="AS48" s="771"/>
      <c r="AT48" s="771"/>
      <c r="AU48" s="771"/>
      <c r="AV48" s="771"/>
      <c r="AW48" s="771"/>
      <c r="AX48" s="771"/>
      <c r="AY48" s="771"/>
      <c r="AZ48" s="771"/>
      <c r="BA48" s="771"/>
      <c r="BB48" s="771"/>
      <c r="BC48" s="771"/>
      <c r="BD48" s="771"/>
      <c r="BE48" s="771"/>
      <c r="BF48" s="771"/>
      <c r="BG48" s="771"/>
      <c r="BH48" s="771"/>
      <c r="BI48" s="771"/>
      <c r="BJ48" s="771"/>
      <c r="BK48" s="771"/>
      <c r="BL48" s="771"/>
      <c r="BM48" s="771"/>
      <c r="BN48" s="771"/>
      <c r="BO48" s="771"/>
      <c r="BP48" s="771"/>
      <c r="BQ48" s="771"/>
      <c r="BR48" s="771"/>
      <c r="BS48" s="771"/>
      <c r="BT48" s="771"/>
      <c r="BU48" s="771"/>
      <c r="BV48" s="771"/>
      <c r="BW48" s="771"/>
      <c r="BX48" s="771"/>
      <c r="BY48" s="771"/>
      <c r="BZ48" s="771"/>
      <c r="CA48" s="771"/>
      <c r="CB48" s="771"/>
      <c r="CC48" s="771"/>
      <c r="CD48" s="771"/>
      <c r="CE48" s="771"/>
      <c r="CF48" s="771"/>
      <c r="CG48" s="771"/>
      <c r="CH48" s="771"/>
      <c r="CI48" s="771"/>
      <c r="CJ48" s="771"/>
      <c r="CK48" s="771"/>
      <c r="CL48" s="771"/>
      <c r="CM48" s="771"/>
      <c r="CN48" s="771"/>
      <c r="CO48" s="771"/>
      <c r="CP48" s="771"/>
      <c r="CQ48" s="771"/>
      <c r="CR48" s="771"/>
      <c r="CS48" s="771"/>
      <c r="CT48" s="771"/>
      <c r="CU48" s="771"/>
      <c r="CV48" s="771"/>
      <c r="CW48" s="771"/>
      <c r="CX48" s="771"/>
      <c r="CY48" s="771"/>
      <c r="CZ48" s="771"/>
      <c r="DA48" s="771"/>
      <c r="DB48" s="771"/>
      <c r="DC48" s="771"/>
      <c r="DD48" s="771"/>
      <c r="DE48" s="771"/>
      <c r="DF48" s="771"/>
      <c r="DG48" s="771"/>
      <c r="DH48" s="771"/>
      <c r="DI48" s="771"/>
      <c r="DJ48" s="771"/>
      <c r="DK48" s="771"/>
      <c r="DL48" s="771"/>
      <c r="DM48" s="771"/>
      <c r="DN48" s="771"/>
      <c r="DO48" s="771"/>
      <c r="DP48" s="771"/>
      <c r="DQ48" s="771"/>
      <c r="DR48" s="771"/>
      <c r="DS48" s="771"/>
      <c r="DT48" s="771"/>
      <c r="DU48" s="771"/>
      <c r="DV48" s="771"/>
      <c r="DW48" s="771"/>
      <c r="DX48" s="771"/>
      <c r="DY48" s="771"/>
      <c r="DZ48" s="771"/>
      <c r="EA48" s="771"/>
      <c r="EB48" s="771"/>
      <c r="EC48" s="771"/>
      <c r="ED48" s="771"/>
      <c r="EE48" s="771"/>
      <c r="EF48" s="771"/>
      <c r="EG48" s="771"/>
      <c r="EH48" s="771"/>
      <c r="EI48" s="771"/>
      <c r="EJ48" s="771"/>
      <c r="EK48" s="771"/>
      <c r="EL48" s="771"/>
      <c r="EM48" s="771"/>
      <c r="EN48" s="771"/>
    </row>
    <row r="49" spans="1:144" s="60" customFormat="1" ht="48" customHeight="1">
      <c r="A49" s="122" t="e">
        <f t="shared" si="41"/>
        <v>#REF!</v>
      </c>
      <c r="B49" s="123" t="s">
        <v>66</v>
      </c>
      <c r="C49" s="229" t="s">
        <v>95</v>
      </c>
      <c r="D49" s="125" t="s">
        <v>99</v>
      </c>
      <c r="E49" s="224">
        <f>+E48</f>
        <v>1</v>
      </c>
      <c r="F49" s="135">
        <f>+E49*$F$10</f>
        <v>41</v>
      </c>
      <c r="G49" s="135">
        <f>+G48</f>
        <v>1.5</v>
      </c>
      <c r="H49" s="135">
        <f>+G49*$H$10</f>
        <v>1.5</v>
      </c>
      <c r="I49" s="135">
        <f>+I48</f>
        <v>2</v>
      </c>
      <c r="J49" s="135">
        <f>+I49*$J$10</f>
        <v>0</v>
      </c>
      <c r="K49" s="135">
        <f>+K48</f>
        <v>3</v>
      </c>
      <c r="L49" s="135">
        <f>+K49*$L$10</f>
        <v>0</v>
      </c>
      <c r="M49" s="135">
        <f>+M48</f>
        <v>4</v>
      </c>
      <c r="N49" s="135">
        <f>+M49*$N$10</f>
        <v>0</v>
      </c>
      <c r="O49" s="135">
        <f>+O48</f>
        <v>5</v>
      </c>
      <c r="P49" s="136">
        <f>+O49*$P$10</f>
        <v>0</v>
      </c>
      <c r="Q49" s="135">
        <f>+Q48</f>
        <v>7</v>
      </c>
      <c r="R49" s="135">
        <f>+Q49*$P$10</f>
        <v>0</v>
      </c>
      <c r="S49" s="135">
        <f>+S48</f>
        <v>9</v>
      </c>
      <c r="T49" s="135">
        <f>+S49*$P$10</f>
        <v>0</v>
      </c>
      <c r="U49" s="135">
        <f t="shared" si="42"/>
        <v>42.5</v>
      </c>
      <c r="V49" s="113">
        <f t="shared" si="4"/>
        <v>42.5</v>
      </c>
      <c r="W49" s="230">
        <f>+'A.P.U. 2023'!F29</f>
        <v>2801.3160000000003</v>
      </c>
      <c r="X49" s="230">
        <f>+'A.P.U. 2023'!G29</f>
        <v>2801.3160000000003</v>
      </c>
      <c r="Y49" s="133">
        <f t="shared" si="43"/>
        <v>119055.93000000001</v>
      </c>
      <c r="Z49" s="130">
        <f t="shared" si="44"/>
        <v>119055.93000000001</v>
      </c>
      <c r="AA49" s="137"/>
      <c r="AB49" s="138">
        <f t="shared" si="45"/>
        <v>0</v>
      </c>
      <c r="AC49" s="137"/>
      <c r="AD49" s="139">
        <f t="shared" si="46"/>
        <v>0</v>
      </c>
      <c r="AE49" s="140"/>
      <c r="AF49" s="141">
        <f t="shared" si="47"/>
        <v>0</v>
      </c>
      <c r="AG49" s="140">
        <f>+'A.P.U. 2023'!G26+'A.P.U. 2023'!G27</f>
        <v>2801.3160000000003</v>
      </c>
      <c r="AH49" s="139">
        <f t="shared" si="48"/>
        <v>119055.93000000001</v>
      </c>
      <c r="AI49" s="654">
        <f t="shared" si="9"/>
        <v>119055.93000000001</v>
      </c>
      <c r="AJ49" s="228"/>
      <c r="AM49" s="771"/>
      <c r="AN49" s="771"/>
      <c r="AO49" s="771"/>
      <c r="AP49" s="771"/>
      <c r="AQ49" s="771"/>
      <c r="AR49" s="771"/>
      <c r="AS49" s="771"/>
      <c r="AT49" s="771"/>
      <c r="AU49" s="771"/>
      <c r="AV49" s="771"/>
      <c r="AW49" s="771"/>
      <c r="AX49" s="771"/>
      <c r="AY49" s="771"/>
      <c r="AZ49" s="771"/>
      <c r="BA49" s="771"/>
      <c r="BB49" s="771"/>
      <c r="BC49" s="771"/>
      <c r="BD49" s="771"/>
      <c r="BE49" s="771"/>
      <c r="BF49" s="771"/>
      <c r="BG49" s="771"/>
      <c r="BH49" s="771"/>
      <c r="BI49" s="771"/>
      <c r="BJ49" s="771"/>
      <c r="BK49" s="771"/>
      <c r="BL49" s="771"/>
      <c r="BM49" s="771"/>
      <c r="BN49" s="771"/>
      <c r="BO49" s="771"/>
      <c r="BP49" s="771"/>
      <c r="BQ49" s="771"/>
      <c r="BR49" s="771"/>
      <c r="BS49" s="771"/>
      <c r="BT49" s="771"/>
      <c r="BU49" s="771"/>
      <c r="BV49" s="771"/>
      <c r="BW49" s="771"/>
      <c r="BX49" s="771"/>
      <c r="BY49" s="771"/>
      <c r="BZ49" s="771"/>
      <c r="CA49" s="771"/>
      <c r="CB49" s="771"/>
      <c r="CC49" s="771"/>
      <c r="CD49" s="771"/>
      <c r="CE49" s="771"/>
      <c r="CF49" s="771"/>
      <c r="CG49" s="771"/>
      <c r="CH49" s="771"/>
      <c r="CI49" s="771"/>
      <c r="CJ49" s="771"/>
      <c r="CK49" s="771"/>
      <c r="CL49" s="771"/>
      <c r="CM49" s="771"/>
      <c r="CN49" s="771"/>
      <c r="CO49" s="771"/>
      <c r="CP49" s="771"/>
      <c r="CQ49" s="771"/>
      <c r="CR49" s="771"/>
      <c r="CS49" s="771"/>
      <c r="CT49" s="771"/>
      <c r="CU49" s="771"/>
      <c r="CV49" s="771"/>
      <c r="CW49" s="771"/>
      <c r="CX49" s="771"/>
      <c r="CY49" s="771"/>
      <c r="CZ49" s="771"/>
      <c r="DA49" s="771"/>
      <c r="DB49" s="771"/>
      <c r="DC49" s="771"/>
      <c r="DD49" s="771"/>
      <c r="DE49" s="771"/>
      <c r="DF49" s="771"/>
      <c r="DG49" s="771"/>
      <c r="DH49" s="771"/>
      <c r="DI49" s="771"/>
      <c r="DJ49" s="771"/>
      <c r="DK49" s="771"/>
      <c r="DL49" s="771"/>
      <c r="DM49" s="771"/>
      <c r="DN49" s="771"/>
      <c r="DO49" s="771"/>
      <c r="DP49" s="771"/>
      <c r="DQ49" s="771"/>
      <c r="DR49" s="771"/>
      <c r="DS49" s="771"/>
      <c r="DT49" s="771"/>
      <c r="DU49" s="771"/>
      <c r="DV49" s="771"/>
      <c r="DW49" s="771"/>
      <c r="DX49" s="771"/>
      <c r="DY49" s="771"/>
      <c r="DZ49" s="771"/>
      <c r="EA49" s="771"/>
      <c r="EB49" s="771"/>
      <c r="EC49" s="771"/>
      <c r="ED49" s="771"/>
      <c r="EE49" s="771"/>
      <c r="EF49" s="771"/>
      <c r="EG49" s="771"/>
      <c r="EH49" s="771"/>
      <c r="EI49" s="771"/>
      <c r="EJ49" s="771"/>
      <c r="EK49" s="771"/>
      <c r="EL49" s="771"/>
      <c r="EM49" s="771"/>
      <c r="EN49" s="771"/>
    </row>
    <row r="50" spans="1:144" s="243" customFormat="1" ht="48" customHeight="1">
      <c r="A50" s="231" t="e">
        <f>+A49+0.1</f>
        <v>#REF!</v>
      </c>
      <c r="B50" s="232" t="s">
        <v>71</v>
      </c>
      <c r="C50" s="233" t="s">
        <v>100</v>
      </c>
      <c r="D50" s="234" t="s">
        <v>101</v>
      </c>
      <c r="E50" s="235">
        <f>1.4*1.5</f>
        <v>2.0999999999999996</v>
      </c>
      <c r="F50" s="236">
        <f>+E50*$F$10</f>
        <v>86.09999999999998</v>
      </c>
      <c r="G50" s="237">
        <f>1.7*1.5</f>
        <v>2.5499999999999998</v>
      </c>
      <c r="H50" s="236">
        <f>+G50*$H$10</f>
        <v>2.5499999999999998</v>
      </c>
      <c r="I50" s="237">
        <f>1.8*1.5</f>
        <v>2.7</v>
      </c>
      <c r="J50" s="236">
        <f>+I50*$J$10</f>
        <v>0</v>
      </c>
      <c r="K50" s="237">
        <f>2*1.5</f>
        <v>3</v>
      </c>
      <c r="L50" s="236">
        <f>+K50*$L$10</f>
        <v>0</v>
      </c>
      <c r="M50" s="237">
        <f>2.2*1.5</f>
        <v>3.3000000000000003</v>
      </c>
      <c r="N50" s="236">
        <f>+M50*$N$10</f>
        <v>0</v>
      </c>
      <c r="O50" s="237">
        <f>2.4*1.5</f>
        <v>3.5999999999999996</v>
      </c>
      <c r="P50" s="238">
        <f>+O50*$P$10</f>
        <v>0</v>
      </c>
      <c r="Q50" s="237">
        <f>2.6*1.5</f>
        <v>3.9000000000000004</v>
      </c>
      <c r="R50" s="236">
        <f>+Q50*$R$10</f>
        <v>0</v>
      </c>
      <c r="S50" s="237">
        <f>2.8*1.5</f>
        <v>4.1999999999999993</v>
      </c>
      <c r="T50" s="236">
        <f>+S50*$T$10</f>
        <v>0</v>
      </c>
      <c r="U50" s="236">
        <f t="shared" si="42"/>
        <v>88.649999999999977</v>
      </c>
      <c r="V50" s="239">
        <f>+ROUND(U50,1)</f>
        <v>88.7</v>
      </c>
      <c r="W50" s="240">
        <f>+'A.P.U. 2023'!F388</f>
        <v>12869.238243465239</v>
      </c>
      <c r="X50" s="240">
        <f>+'A.P.U. 2023'!G388</f>
        <v>13862.241725818181</v>
      </c>
      <c r="Y50" s="241">
        <f t="shared" si="43"/>
        <v>1141501.4321953668</v>
      </c>
      <c r="Z50" s="242">
        <f t="shared" si="44"/>
        <v>1229580.8410800728</v>
      </c>
      <c r="AA50" s="212">
        <f>+'A.P.U. 2023'!G383</f>
        <v>6219.3375999999998</v>
      </c>
      <c r="AB50" s="209">
        <f t="shared" si="45"/>
        <v>551655.24511999998</v>
      </c>
      <c r="AC50" s="653"/>
      <c r="AD50" s="209"/>
      <c r="AE50" s="210">
        <f>+'A.P.U. 2023'!G384</f>
        <v>831.79912581818189</v>
      </c>
      <c r="AF50" s="209">
        <f t="shared" si="47"/>
        <v>73780.582460072736</v>
      </c>
      <c r="AG50" s="210">
        <f>+'A.P.U. 2023'!G385+'A.P.U. 2023'!G386</f>
        <v>6811.1049999999996</v>
      </c>
      <c r="AH50" s="210">
        <f t="shared" si="48"/>
        <v>604145.0135</v>
      </c>
      <c r="AI50" s="654">
        <f t="shared" si="9"/>
        <v>1229580.8410800728</v>
      </c>
      <c r="AJ50" s="228">
        <f>+'A.P.U. 2023'!L383</f>
        <v>88079.408884705859</v>
      </c>
      <c r="AK50" s="60"/>
      <c r="AL50" s="60"/>
      <c r="AM50" s="771"/>
      <c r="AN50" s="771"/>
      <c r="AO50" s="771"/>
      <c r="AP50" s="771"/>
      <c r="AQ50" s="771"/>
      <c r="AR50" s="771"/>
      <c r="AS50" s="771"/>
      <c r="AT50" s="771"/>
      <c r="AU50" s="771"/>
      <c r="AV50" s="771"/>
      <c r="AW50" s="771"/>
      <c r="AX50" s="771"/>
      <c r="AY50" s="771"/>
      <c r="AZ50" s="771"/>
      <c r="BA50" s="771"/>
      <c r="BB50" s="771"/>
      <c r="BC50" s="771"/>
      <c r="BD50" s="771"/>
      <c r="BE50" s="771"/>
      <c r="BF50" s="771"/>
      <c r="BG50" s="771"/>
      <c r="BH50" s="771"/>
      <c r="BI50" s="771"/>
      <c r="BJ50" s="771"/>
      <c r="BK50" s="771"/>
      <c r="BL50" s="771"/>
      <c r="BM50" s="771"/>
      <c r="BN50" s="771"/>
      <c r="BO50" s="771"/>
      <c r="BP50" s="771"/>
      <c r="BQ50" s="771"/>
      <c r="BR50" s="771"/>
      <c r="BS50" s="771"/>
      <c r="BT50" s="771"/>
      <c r="BU50" s="771"/>
      <c r="BV50" s="771"/>
      <c r="BW50" s="771"/>
      <c r="BX50" s="771"/>
      <c r="BY50" s="771"/>
      <c r="BZ50" s="771"/>
      <c r="CA50" s="771"/>
      <c r="CB50" s="771"/>
      <c r="CC50" s="771"/>
      <c r="CD50" s="771"/>
      <c r="CE50" s="771"/>
      <c r="CF50" s="771"/>
      <c r="CG50" s="771"/>
      <c r="CH50" s="771"/>
      <c r="CI50" s="771"/>
      <c r="CJ50" s="771"/>
      <c r="CK50" s="771"/>
      <c r="CL50" s="771"/>
      <c r="CM50" s="771"/>
      <c r="CN50" s="771"/>
      <c r="CO50" s="771"/>
      <c r="CP50" s="771"/>
      <c r="CQ50" s="771"/>
      <c r="CR50" s="771"/>
      <c r="CS50" s="771"/>
      <c r="CT50" s="771"/>
      <c r="CU50" s="771"/>
      <c r="CV50" s="771"/>
      <c r="CW50" s="771"/>
      <c r="CX50" s="771"/>
      <c r="CY50" s="771"/>
      <c r="CZ50" s="771"/>
      <c r="DA50" s="771"/>
      <c r="DB50" s="771"/>
      <c r="DC50" s="771"/>
      <c r="DD50" s="771"/>
      <c r="DE50" s="771"/>
      <c r="DF50" s="771"/>
      <c r="DG50" s="771"/>
      <c r="DH50" s="771"/>
      <c r="DI50" s="771"/>
      <c r="DJ50" s="771"/>
      <c r="DK50" s="771"/>
      <c r="DL50" s="771"/>
      <c r="DM50" s="771"/>
      <c r="DN50" s="771"/>
      <c r="DO50" s="771"/>
      <c r="DP50" s="771"/>
      <c r="DQ50" s="771"/>
      <c r="DR50" s="771"/>
      <c r="DS50" s="771"/>
      <c r="DT50" s="771"/>
      <c r="DU50" s="771"/>
      <c r="DV50" s="771"/>
      <c r="DW50" s="771"/>
      <c r="DX50" s="771"/>
      <c r="DY50" s="771"/>
      <c r="DZ50" s="771"/>
      <c r="EA50" s="771"/>
      <c r="EB50" s="771"/>
      <c r="EC50" s="771"/>
      <c r="ED50" s="771"/>
      <c r="EE50" s="771"/>
      <c r="EF50" s="771"/>
      <c r="EG50" s="771"/>
      <c r="EH50" s="771"/>
      <c r="EI50" s="771"/>
      <c r="EJ50" s="771"/>
      <c r="EK50" s="771"/>
      <c r="EL50" s="771"/>
      <c r="EM50" s="771"/>
      <c r="EN50" s="771"/>
    </row>
    <row r="51" spans="1:144" s="243" customFormat="1" ht="48" customHeight="1">
      <c r="A51" s="231" t="e">
        <f t="shared" si="41"/>
        <v>#REF!</v>
      </c>
      <c r="B51" s="232" t="s">
        <v>69</v>
      </c>
      <c r="C51" s="233" t="s">
        <v>90</v>
      </c>
      <c r="D51" s="234" t="s">
        <v>70</v>
      </c>
      <c r="E51" s="235">
        <v>27</v>
      </c>
      <c r="F51" s="236">
        <f>+E51*$F$10</f>
        <v>1107</v>
      </c>
      <c r="G51" s="237">
        <v>27</v>
      </c>
      <c r="H51" s="236">
        <f>+G51*$H$10</f>
        <v>27</v>
      </c>
      <c r="I51" s="237">
        <v>27</v>
      </c>
      <c r="J51" s="236">
        <f>+I51*$J$10</f>
        <v>0</v>
      </c>
      <c r="K51" s="237">
        <f>16*3</f>
        <v>48</v>
      </c>
      <c r="L51" s="236">
        <f>+K51*$L$10</f>
        <v>0</v>
      </c>
      <c r="M51" s="237">
        <f>25*3</f>
        <v>75</v>
      </c>
      <c r="N51" s="236">
        <f>+M51*$N$10</f>
        <v>0</v>
      </c>
      <c r="O51" s="237">
        <f>36*3</f>
        <v>108</v>
      </c>
      <c r="P51" s="238">
        <f>+O51*$P$10</f>
        <v>0</v>
      </c>
      <c r="Q51" s="237">
        <f>49*3</f>
        <v>147</v>
      </c>
      <c r="R51" s="236">
        <f>+Q51*$R$10</f>
        <v>0</v>
      </c>
      <c r="S51" s="237">
        <f>64*3</f>
        <v>192</v>
      </c>
      <c r="T51" s="236">
        <f>+S51*$T$10</f>
        <v>0</v>
      </c>
      <c r="U51" s="236">
        <f t="shared" si="42"/>
        <v>1134</v>
      </c>
      <c r="V51" s="239">
        <f>+ROUND(U51,1)</f>
        <v>1134</v>
      </c>
      <c r="W51" s="240">
        <f>+'A.P.U. 2023'!F396</f>
        <v>12495.193611313131</v>
      </c>
      <c r="X51" s="240">
        <f>+'A.P.U. 2023'!G396</f>
        <v>14337.43361131313</v>
      </c>
      <c r="Y51" s="241">
        <f t="shared" si="43"/>
        <v>14169549.55522909</v>
      </c>
      <c r="Z51" s="242">
        <f t="shared" si="44"/>
        <v>16258649.71522909</v>
      </c>
      <c r="AA51" s="212">
        <f>+'A.P.U. 2023'!G391</f>
        <v>11538.24</v>
      </c>
      <c r="AB51" s="209">
        <f t="shared" si="45"/>
        <v>13084364.16</v>
      </c>
      <c r="AC51" s="653"/>
      <c r="AD51" s="209"/>
      <c r="AE51" s="210">
        <f>+'A.P.U. 2023'!G392</f>
        <v>205.38250020202022</v>
      </c>
      <c r="AF51" s="209">
        <f t="shared" si="47"/>
        <v>232903.75522909092</v>
      </c>
      <c r="AG51" s="210">
        <f>+'A.P.U. 2023'!G393+'A.P.U. 2023'!G394</f>
        <v>2593.8111111111107</v>
      </c>
      <c r="AH51" s="210">
        <f t="shared" si="48"/>
        <v>2941381.7999999993</v>
      </c>
      <c r="AI51" s="654">
        <f t="shared" si="9"/>
        <v>16258649.71522909</v>
      </c>
      <c r="AJ51" s="228">
        <f>'A.P.U. 2023'!L393</f>
        <v>2089100.1600000001</v>
      </c>
      <c r="AK51" s="60"/>
      <c r="AL51" s="60"/>
      <c r="AM51" s="771"/>
      <c r="AN51" s="771"/>
      <c r="AO51" s="771"/>
      <c r="AP51" s="771"/>
      <c r="AQ51" s="771"/>
      <c r="AR51" s="771"/>
      <c r="AS51" s="771"/>
      <c r="AT51" s="771"/>
      <c r="AU51" s="771"/>
      <c r="AV51" s="771"/>
      <c r="AW51" s="771"/>
      <c r="AX51" s="771"/>
      <c r="AY51" s="771"/>
      <c r="AZ51" s="771"/>
      <c r="BA51" s="771"/>
      <c r="BB51" s="771"/>
      <c r="BC51" s="771"/>
      <c r="BD51" s="771"/>
      <c r="BE51" s="771"/>
      <c r="BF51" s="771"/>
      <c r="BG51" s="771"/>
      <c r="BH51" s="771"/>
      <c r="BI51" s="771"/>
      <c r="BJ51" s="771"/>
      <c r="BK51" s="771"/>
      <c r="BL51" s="771"/>
      <c r="BM51" s="771"/>
      <c r="BN51" s="771"/>
      <c r="BO51" s="771"/>
      <c r="BP51" s="771"/>
      <c r="BQ51" s="771"/>
      <c r="BR51" s="771"/>
      <c r="BS51" s="771"/>
      <c r="BT51" s="771"/>
      <c r="BU51" s="771"/>
      <c r="BV51" s="771"/>
      <c r="BW51" s="771"/>
      <c r="BX51" s="771"/>
      <c r="BY51" s="771"/>
      <c r="BZ51" s="771"/>
      <c r="CA51" s="771"/>
      <c r="CB51" s="771"/>
      <c r="CC51" s="771"/>
      <c r="CD51" s="771"/>
      <c r="CE51" s="771"/>
      <c r="CF51" s="771"/>
      <c r="CG51" s="771"/>
      <c r="CH51" s="771"/>
      <c r="CI51" s="771"/>
      <c r="CJ51" s="771"/>
      <c r="CK51" s="771"/>
      <c r="CL51" s="771"/>
      <c r="CM51" s="771"/>
      <c r="CN51" s="771"/>
      <c r="CO51" s="771"/>
      <c r="CP51" s="771"/>
      <c r="CQ51" s="771"/>
      <c r="CR51" s="771"/>
      <c r="CS51" s="771"/>
      <c r="CT51" s="771"/>
      <c r="CU51" s="771"/>
      <c r="CV51" s="771"/>
      <c r="CW51" s="771"/>
      <c r="CX51" s="771"/>
      <c r="CY51" s="771"/>
      <c r="CZ51" s="771"/>
      <c r="DA51" s="771"/>
      <c r="DB51" s="771"/>
      <c r="DC51" s="771"/>
      <c r="DD51" s="771"/>
      <c r="DE51" s="771"/>
      <c r="DF51" s="771"/>
      <c r="DG51" s="771"/>
      <c r="DH51" s="771"/>
      <c r="DI51" s="771"/>
      <c r="DJ51" s="771"/>
      <c r="DK51" s="771"/>
      <c r="DL51" s="771"/>
      <c r="DM51" s="771"/>
      <c r="DN51" s="771"/>
      <c r="DO51" s="771"/>
      <c r="DP51" s="771"/>
      <c r="DQ51" s="771"/>
      <c r="DR51" s="771"/>
      <c r="DS51" s="771"/>
      <c r="DT51" s="771"/>
      <c r="DU51" s="771"/>
      <c r="DV51" s="771"/>
      <c r="DW51" s="771"/>
      <c r="DX51" s="771"/>
      <c r="DY51" s="771"/>
      <c r="DZ51" s="771"/>
      <c r="EA51" s="771"/>
      <c r="EB51" s="771"/>
      <c r="EC51" s="771"/>
      <c r="ED51" s="771"/>
      <c r="EE51" s="771"/>
      <c r="EF51" s="771"/>
      <c r="EG51" s="771"/>
      <c r="EH51" s="771"/>
      <c r="EI51" s="771"/>
      <c r="EJ51" s="771"/>
      <c r="EK51" s="771"/>
      <c r="EL51" s="771"/>
      <c r="EM51" s="771"/>
      <c r="EN51" s="771"/>
    </row>
    <row r="52" spans="1:144" s="243" customFormat="1" ht="48" customHeight="1">
      <c r="A52" s="231" t="e">
        <f t="shared" si="41"/>
        <v>#REF!</v>
      </c>
      <c r="B52" s="232" t="s">
        <v>69</v>
      </c>
      <c r="C52" s="233" t="s">
        <v>379</v>
      </c>
      <c r="D52" s="234" t="s">
        <v>68</v>
      </c>
      <c r="E52" s="235">
        <v>3</v>
      </c>
      <c r="F52" s="236">
        <f>+E52*$F$10</f>
        <v>123</v>
      </c>
      <c r="G52" s="237">
        <v>3.2</v>
      </c>
      <c r="H52" s="236">
        <f>+G52*$H$10</f>
        <v>3.2</v>
      </c>
      <c r="I52" s="237">
        <v>3.4</v>
      </c>
      <c r="J52" s="236">
        <f>+I52*$J$10</f>
        <v>0</v>
      </c>
      <c r="K52" s="237">
        <v>3.6</v>
      </c>
      <c r="L52" s="236">
        <f>+K52*$L$10</f>
        <v>0</v>
      </c>
      <c r="M52" s="237">
        <v>3.8</v>
      </c>
      <c r="N52" s="236">
        <f>+M52*$N$10</f>
        <v>0</v>
      </c>
      <c r="O52" s="237">
        <v>4</v>
      </c>
      <c r="P52" s="238">
        <f>+O52*$P$10</f>
        <v>0</v>
      </c>
      <c r="Q52" s="237">
        <v>4.2</v>
      </c>
      <c r="R52" s="236">
        <f>+Q52*$R$10</f>
        <v>0</v>
      </c>
      <c r="S52" s="237">
        <v>4.2</v>
      </c>
      <c r="T52" s="236">
        <f>+S52*$T$10</f>
        <v>0</v>
      </c>
      <c r="U52" s="236">
        <f t="shared" si="42"/>
        <v>126.2</v>
      </c>
      <c r="V52" s="239">
        <f>+ROUND(U52,1)</f>
        <v>126.2</v>
      </c>
      <c r="W52" s="240">
        <f>+'A.P.U. 2023'!F407</f>
        <v>95591.128803962798</v>
      </c>
      <c r="X52" s="240">
        <f>+'A.P.U. 2023'!G407</f>
        <v>112283.90332548339</v>
      </c>
      <c r="Y52" s="241">
        <f t="shared" si="43"/>
        <v>12063600.455060106</v>
      </c>
      <c r="Z52" s="242">
        <f t="shared" si="44"/>
        <v>14170228.599676004</v>
      </c>
      <c r="AA52" s="212">
        <f>+'A.P.U. 2023'!G399</f>
        <v>15882.726720000001</v>
      </c>
      <c r="AB52" s="213">
        <f>+AA52*V52</f>
        <v>2004400.1120640002</v>
      </c>
      <c r="AC52" s="212">
        <f>+'A.P.U. 2023'!G402+'A.P.U. 2023'!G403+'A.P.U. 2023'!G404</f>
        <v>88666.755809523806</v>
      </c>
      <c r="AD52" s="211">
        <f t="shared" si="46"/>
        <v>11189744.583161905</v>
      </c>
      <c r="AE52" s="210">
        <f>+'A.P.U. 2023'!G400</f>
        <v>166.52635151515153</v>
      </c>
      <c r="AF52" s="209">
        <f t="shared" si="47"/>
        <v>21015.625561212124</v>
      </c>
      <c r="AG52" s="210">
        <f>+'A.P.U. 2023'!G401+'A.P.U. 2023'!G405</f>
        <v>7567.8944444444442</v>
      </c>
      <c r="AH52" s="210">
        <f t="shared" si="48"/>
        <v>955068.27888888889</v>
      </c>
      <c r="AI52" s="654">
        <f t="shared" si="9"/>
        <v>14170228.599676006</v>
      </c>
      <c r="AJ52" s="228">
        <f>+'A.P.U. 2023'!L399</f>
        <v>2106628.1446158998</v>
      </c>
      <c r="AK52" s="60"/>
      <c r="AL52" s="60"/>
      <c r="AM52" s="771"/>
      <c r="AN52" s="771"/>
      <c r="AO52" s="771"/>
      <c r="AP52" s="771"/>
      <c r="AQ52" s="771"/>
      <c r="AR52" s="771"/>
      <c r="AS52" s="771"/>
      <c r="AT52" s="771"/>
      <c r="AU52" s="771"/>
      <c r="AV52" s="771"/>
      <c r="AW52" s="771"/>
      <c r="AX52" s="771"/>
      <c r="AY52" s="771"/>
      <c r="AZ52" s="771"/>
      <c r="BA52" s="771"/>
      <c r="BB52" s="771"/>
      <c r="BC52" s="771"/>
      <c r="BD52" s="771"/>
      <c r="BE52" s="771"/>
      <c r="BF52" s="771"/>
      <c r="BG52" s="771"/>
      <c r="BH52" s="771"/>
      <c r="BI52" s="771"/>
      <c r="BJ52" s="771"/>
      <c r="BK52" s="771"/>
      <c r="BL52" s="771"/>
      <c r="BM52" s="771"/>
      <c r="BN52" s="771"/>
      <c r="BO52" s="771"/>
      <c r="BP52" s="771"/>
      <c r="BQ52" s="771"/>
      <c r="BR52" s="771"/>
      <c r="BS52" s="771"/>
      <c r="BT52" s="771"/>
      <c r="BU52" s="771"/>
      <c r="BV52" s="771"/>
      <c r="BW52" s="771"/>
      <c r="BX52" s="771"/>
      <c r="BY52" s="771"/>
      <c r="BZ52" s="771"/>
      <c r="CA52" s="771"/>
      <c r="CB52" s="771"/>
      <c r="CC52" s="771"/>
      <c r="CD52" s="771"/>
      <c r="CE52" s="771"/>
      <c r="CF52" s="771"/>
      <c r="CG52" s="771"/>
      <c r="CH52" s="771"/>
      <c r="CI52" s="771"/>
      <c r="CJ52" s="771"/>
      <c r="CK52" s="771"/>
      <c r="CL52" s="771"/>
      <c r="CM52" s="771"/>
      <c r="CN52" s="771"/>
      <c r="CO52" s="771"/>
      <c r="CP52" s="771"/>
      <c r="CQ52" s="771"/>
      <c r="CR52" s="771"/>
      <c r="CS52" s="771"/>
      <c r="CT52" s="771"/>
      <c r="CU52" s="771"/>
      <c r="CV52" s="771"/>
      <c r="CW52" s="771"/>
      <c r="CX52" s="771"/>
      <c r="CY52" s="771"/>
      <c r="CZ52" s="771"/>
      <c r="DA52" s="771"/>
      <c r="DB52" s="771"/>
      <c r="DC52" s="771"/>
      <c r="DD52" s="771"/>
      <c r="DE52" s="771"/>
      <c r="DF52" s="771"/>
      <c r="DG52" s="771"/>
      <c r="DH52" s="771"/>
      <c r="DI52" s="771"/>
      <c r="DJ52" s="771"/>
      <c r="DK52" s="771"/>
      <c r="DL52" s="771"/>
      <c r="DM52" s="771"/>
      <c r="DN52" s="771"/>
      <c r="DO52" s="771"/>
      <c r="DP52" s="771"/>
      <c r="DQ52" s="771"/>
      <c r="DR52" s="771"/>
      <c r="DS52" s="771"/>
      <c r="DT52" s="771"/>
      <c r="DU52" s="771"/>
      <c r="DV52" s="771"/>
      <c r="DW52" s="771"/>
      <c r="DX52" s="771"/>
      <c r="DY52" s="771"/>
      <c r="DZ52" s="771"/>
      <c r="EA52" s="771"/>
      <c r="EB52" s="771"/>
      <c r="EC52" s="771"/>
      <c r="ED52" s="771"/>
      <c r="EE52" s="771"/>
      <c r="EF52" s="771"/>
      <c r="EG52" s="771"/>
      <c r="EH52" s="771"/>
      <c r="EI52" s="771"/>
      <c r="EJ52" s="771"/>
      <c r="EK52" s="771"/>
      <c r="EL52" s="771"/>
      <c r="EM52" s="771"/>
      <c r="EN52" s="771"/>
    </row>
    <row r="53" spans="1:144" s="243" customFormat="1" ht="48" customHeight="1">
      <c r="A53" s="231" t="e">
        <f t="shared" si="41"/>
        <v>#REF!</v>
      </c>
      <c r="B53" s="232" t="s">
        <v>69</v>
      </c>
      <c r="C53" s="233" t="s">
        <v>326</v>
      </c>
      <c r="D53" s="234" t="s">
        <v>325</v>
      </c>
      <c r="E53" s="235">
        <v>1</v>
      </c>
      <c r="F53" s="236">
        <v>1</v>
      </c>
      <c r="G53" s="235"/>
      <c r="H53" s="236"/>
      <c r="I53" s="235"/>
      <c r="J53" s="236"/>
      <c r="K53" s="235"/>
      <c r="L53" s="236"/>
      <c r="M53" s="235"/>
      <c r="N53" s="236"/>
      <c r="O53" s="235"/>
      <c r="P53" s="236"/>
      <c r="Q53" s="235"/>
      <c r="R53" s="236"/>
      <c r="S53" s="235"/>
      <c r="T53" s="236"/>
      <c r="U53" s="236">
        <f t="shared" si="42"/>
        <v>1</v>
      </c>
      <c r="V53" s="239">
        <f>+ROUND(U53,1)</f>
        <v>1</v>
      </c>
      <c r="W53" s="240">
        <f>+'A.P.U. 2023'!F415</f>
        <v>179142.69040380273</v>
      </c>
      <c r="X53" s="240">
        <f>+'A.P.U. 2023'!G415</f>
        <v>212655.33746262625</v>
      </c>
      <c r="Y53" s="241">
        <f t="shared" si="43"/>
        <v>179142.69040380273</v>
      </c>
      <c r="Z53" s="242">
        <f t="shared" si="44"/>
        <v>212655.33746262625</v>
      </c>
      <c r="AA53" s="212">
        <f>+'A.P.U. 2023'!G410</f>
        <v>209895</v>
      </c>
      <c r="AB53" s="213">
        <f t="shared" si="45"/>
        <v>209895</v>
      </c>
      <c r="AC53" s="212"/>
      <c r="AD53" s="211">
        <f t="shared" si="46"/>
        <v>0</v>
      </c>
      <c r="AE53" s="210">
        <f>+'A.P.U. 2023'!G411</f>
        <v>166.52635151515153</v>
      </c>
      <c r="AF53" s="209">
        <f t="shared" si="47"/>
        <v>166.52635151515153</v>
      </c>
      <c r="AG53" s="210">
        <f>+'A.P.U. 2023'!G413+'A.P.U. 2023'!G412</f>
        <v>2593.8111111111107</v>
      </c>
      <c r="AH53" s="210">
        <f t="shared" si="48"/>
        <v>2593.8111111111107</v>
      </c>
      <c r="AI53" s="654">
        <f t="shared" si="9"/>
        <v>212655.33746262625</v>
      </c>
      <c r="AJ53" s="228">
        <f>'A.P.U. 2023'!L412</f>
        <v>33512.647058823524</v>
      </c>
      <c r="AK53" s="60"/>
      <c r="AL53" s="60"/>
      <c r="AM53" s="771"/>
      <c r="AN53" s="771"/>
      <c r="AO53" s="771"/>
      <c r="AP53" s="771"/>
      <c r="AQ53" s="771"/>
      <c r="AR53" s="771"/>
      <c r="AS53" s="771"/>
      <c r="AT53" s="771"/>
      <c r="AU53" s="771"/>
      <c r="AV53" s="771"/>
      <c r="AW53" s="771"/>
      <c r="AX53" s="771"/>
      <c r="AY53" s="771"/>
      <c r="AZ53" s="771"/>
      <c r="BA53" s="771"/>
      <c r="BB53" s="771"/>
      <c r="BC53" s="771"/>
      <c r="BD53" s="771"/>
      <c r="BE53" s="771"/>
      <c r="BF53" s="771"/>
      <c r="BG53" s="771"/>
      <c r="BH53" s="771"/>
      <c r="BI53" s="771"/>
      <c r="BJ53" s="771"/>
      <c r="BK53" s="771"/>
      <c r="BL53" s="771"/>
      <c r="BM53" s="771"/>
      <c r="BN53" s="771"/>
      <c r="BO53" s="771"/>
      <c r="BP53" s="771"/>
      <c r="BQ53" s="771"/>
      <c r="BR53" s="771"/>
      <c r="BS53" s="771"/>
      <c r="BT53" s="771"/>
      <c r="BU53" s="771"/>
      <c r="BV53" s="771"/>
      <c r="BW53" s="771"/>
      <c r="BX53" s="771"/>
      <c r="BY53" s="771"/>
      <c r="BZ53" s="771"/>
      <c r="CA53" s="771"/>
      <c r="CB53" s="771"/>
      <c r="CC53" s="771"/>
      <c r="CD53" s="771"/>
      <c r="CE53" s="771"/>
      <c r="CF53" s="771"/>
      <c r="CG53" s="771"/>
      <c r="CH53" s="771"/>
      <c r="CI53" s="771"/>
      <c r="CJ53" s="771"/>
      <c r="CK53" s="771"/>
      <c r="CL53" s="771"/>
      <c r="CM53" s="771"/>
      <c r="CN53" s="771"/>
      <c r="CO53" s="771"/>
      <c r="CP53" s="771"/>
      <c r="CQ53" s="771"/>
      <c r="CR53" s="771"/>
      <c r="CS53" s="771"/>
      <c r="CT53" s="771"/>
      <c r="CU53" s="771"/>
      <c r="CV53" s="771"/>
      <c r="CW53" s="771"/>
      <c r="CX53" s="771"/>
      <c r="CY53" s="771"/>
      <c r="CZ53" s="771"/>
      <c r="DA53" s="771"/>
      <c r="DB53" s="771"/>
      <c r="DC53" s="771"/>
      <c r="DD53" s="771"/>
      <c r="DE53" s="771"/>
      <c r="DF53" s="771"/>
      <c r="DG53" s="771"/>
      <c r="DH53" s="771"/>
      <c r="DI53" s="771"/>
      <c r="DJ53" s="771"/>
      <c r="DK53" s="771"/>
      <c r="DL53" s="771"/>
      <c r="DM53" s="771"/>
      <c r="DN53" s="771"/>
      <c r="DO53" s="771"/>
      <c r="DP53" s="771"/>
      <c r="DQ53" s="771"/>
      <c r="DR53" s="771"/>
      <c r="DS53" s="771"/>
      <c r="DT53" s="771"/>
      <c r="DU53" s="771"/>
      <c r="DV53" s="771"/>
      <c r="DW53" s="771"/>
      <c r="DX53" s="771"/>
      <c r="DY53" s="771"/>
      <c r="DZ53" s="771"/>
      <c r="EA53" s="771"/>
      <c r="EB53" s="771"/>
      <c r="EC53" s="771"/>
      <c r="ED53" s="771"/>
      <c r="EE53" s="771"/>
      <c r="EF53" s="771"/>
      <c r="EG53" s="771"/>
      <c r="EH53" s="771"/>
      <c r="EI53" s="771"/>
      <c r="EJ53" s="771"/>
      <c r="EK53" s="771"/>
      <c r="EL53" s="771"/>
      <c r="EM53" s="771"/>
      <c r="EN53" s="771"/>
    </row>
    <row r="54" spans="1:144" s="60" customFormat="1" ht="48" customHeight="1" thickBot="1">
      <c r="A54" s="1129" t="s">
        <v>72</v>
      </c>
      <c r="B54" s="1130"/>
      <c r="C54" s="1130"/>
      <c r="D54" s="1130"/>
      <c r="E54" s="1130"/>
      <c r="F54" s="1130"/>
      <c r="G54" s="1130"/>
      <c r="H54" s="1130"/>
      <c r="I54" s="1130"/>
      <c r="J54" s="1130"/>
      <c r="K54" s="1130"/>
      <c r="L54" s="1130"/>
      <c r="M54" s="1130"/>
      <c r="N54" s="1130"/>
      <c r="O54" s="1130"/>
      <c r="P54" s="1130"/>
      <c r="Q54" s="1130"/>
      <c r="R54" s="1130"/>
      <c r="S54" s="1130"/>
      <c r="T54" s="1130"/>
      <c r="U54" s="1130"/>
      <c r="V54" s="1130"/>
      <c r="W54" s="1130"/>
      <c r="X54" s="1131"/>
      <c r="Y54" s="244">
        <f>SUM(Y12:Y53)</f>
        <v>309186881.41755277</v>
      </c>
      <c r="Z54" s="245">
        <f>SUM(Z12:Z53)</f>
        <v>344174032.1396932</v>
      </c>
      <c r="AA54" s="246">
        <f>SUM(AA12:AA53)</f>
        <v>117378033.15057008</v>
      </c>
      <c r="AB54" s="246">
        <f>SUM(AB12:AB53)</f>
        <v>231203792.36117762</v>
      </c>
      <c r="AC54" s="247">
        <f>SUM(AC11:AC53)</f>
        <v>1879805.8596734579</v>
      </c>
      <c r="AD54" s="248">
        <f>SUM(AD12:AD53)</f>
        <v>38616127.887161903</v>
      </c>
      <c r="AE54" s="249">
        <f>SUM(AE11:AE53)</f>
        <v>2092837.1389544564</v>
      </c>
      <c r="AF54" s="250">
        <f>SUM(AF12:AF53)</f>
        <v>16004636.738497021</v>
      </c>
      <c r="AG54" s="251"/>
      <c r="AH54" s="252">
        <f>SUM(AH12:AH53)</f>
        <v>61027351.338456638</v>
      </c>
      <c r="AI54" s="253">
        <f>SUM(AI12:AI53)</f>
        <v>344234892.96209323</v>
      </c>
      <c r="AJ54" s="254">
        <f>ROUND((SUM(AJ16:AJ53)),0)</f>
        <v>42562750</v>
      </c>
    </row>
    <row r="55" spans="1:144" s="60" customFormat="1" ht="18.75" customHeight="1">
      <c r="A55" s="255"/>
      <c r="B55" s="255"/>
      <c r="C55" s="256"/>
      <c r="D55" s="255"/>
      <c r="E55" s="257"/>
      <c r="F55" s="258"/>
      <c r="G55" s="258"/>
      <c r="H55" s="258"/>
      <c r="I55" s="258"/>
      <c r="J55" s="258"/>
      <c r="K55" s="258"/>
      <c r="L55" s="258"/>
      <c r="M55" s="258"/>
      <c r="N55" s="258"/>
      <c r="O55" s="258"/>
      <c r="P55" s="258"/>
      <c r="Q55" s="135"/>
      <c r="R55" s="135"/>
      <c r="S55" s="135"/>
      <c r="T55" s="135"/>
      <c r="U55" s="259"/>
      <c r="V55" s="259"/>
      <c r="W55" s="260"/>
      <c r="X55" s="260"/>
      <c r="Y55" s="261"/>
      <c r="Z55" s="260"/>
      <c r="AB55" s="228"/>
      <c r="AC55" s="262"/>
      <c r="AD55" s="228"/>
      <c r="AF55" s="228"/>
      <c r="AG55" s="263"/>
      <c r="AH55" s="264"/>
    </row>
    <row r="56" spans="1:144" s="60" customFormat="1" ht="48.75" customHeight="1">
      <c r="A56" s="255"/>
      <c r="B56" s="255"/>
      <c r="C56" s="265" t="s">
        <v>242</v>
      </c>
      <c r="D56" s="1126">
        <f>Z54</f>
        <v>344174032.1396932</v>
      </c>
      <c r="E56" s="1127"/>
      <c r="F56" s="1127"/>
      <c r="G56" s="1127"/>
      <c r="H56" s="1127"/>
      <c r="I56" s="1127"/>
      <c r="J56" s="1127"/>
      <c r="K56" s="1127"/>
      <c r="L56" s="1127"/>
      <c r="M56" s="1127"/>
      <c r="N56" s="1127"/>
      <c r="O56" s="1127"/>
      <c r="P56" s="1127"/>
      <c r="Q56" s="1127"/>
      <c r="R56" s="1127"/>
      <c r="S56" s="1127"/>
      <c r="T56" s="1127"/>
      <c r="U56" s="1127"/>
      <c r="V56" s="1127"/>
      <c r="W56" s="1127"/>
      <c r="X56" s="1127"/>
      <c r="Y56" s="1127"/>
      <c r="Z56" s="1128"/>
      <c r="AA56" s="228"/>
      <c r="AB56" s="228">
        <f>AB54+AD54+AF54</f>
        <v>285824556.98683655</v>
      </c>
      <c r="AC56" s="228"/>
      <c r="AD56" s="228"/>
      <c r="AE56" s="228"/>
      <c r="AF56" s="228"/>
      <c r="AG56" s="263"/>
      <c r="AH56" s="228"/>
      <c r="AI56" s="266"/>
    </row>
    <row r="57" spans="1:144" s="60" customFormat="1" ht="29.25" customHeight="1">
      <c r="A57" s="255"/>
      <c r="B57" s="255"/>
      <c r="C57" s="265" t="s">
        <v>243</v>
      </c>
      <c r="D57" s="1126">
        <f>D56*0.25</f>
        <v>86043508.0349233</v>
      </c>
      <c r="E57" s="1127"/>
      <c r="F57" s="1127"/>
      <c r="G57" s="1127"/>
      <c r="H57" s="1127"/>
      <c r="I57" s="1127"/>
      <c r="J57" s="1127"/>
      <c r="K57" s="1127"/>
      <c r="L57" s="1127"/>
      <c r="M57" s="1127"/>
      <c r="N57" s="1127"/>
      <c r="O57" s="1127"/>
      <c r="P57" s="1127"/>
      <c r="Q57" s="1127"/>
      <c r="R57" s="1127"/>
      <c r="S57" s="1127"/>
      <c r="T57" s="1127"/>
      <c r="U57" s="1127"/>
      <c r="V57" s="1127"/>
      <c r="W57" s="1127"/>
      <c r="X57" s="1127"/>
      <c r="Y57" s="1127"/>
      <c r="Z57" s="1128"/>
      <c r="AB57" s="228">
        <f>AB56-AF54</f>
        <v>269819920.24833953</v>
      </c>
      <c r="AG57" s="263"/>
    </row>
    <row r="58" spans="1:144" s="60" customFormat="1" ht="29.25" customHeight="1">
      <c r="A58" s="255"/>
      <c r="B58" s="255"/>
      <c r="C58" s="265" t="s">
        <v>244</v>
      </c>
      <c r="D58" s="1126"/>
      <c r="E58" s="1127"/>
      <c r="F58" s="1127"/>
      <c r="G58" s="1127"/>
      <c r="H58" s="1127"/>
      <c r="I58" s="1127"/>
      <c r="J58" s="1127"/>
      <c r="K58" s="1127"/>
      <c r="L58" s="1127"/>
      <c r="M58" s="1127"/>
      <c r="N58" s="1127"/>
      <c r="O58" s="1127"/>
      <c r="P58" s="1127"/>
      <c r="Q58" s="1127"/>
      <c r="R58" s="1127"/>
      <c r="S58" s="1127"/>
      <c r="T58" s="1127"/>
      <c r="U58" s="1127"/>
      <c r="V58" s="1127"/>
      <c r="W58" s="1127"/>
      <c r="X58" s="1127"/>
      <c r="Y58" s="1127"/>
      <c r="Z58" s="1128"/>
      <c r="AB58" s="228"/>
      <c r="AG58" s="263"/>
      <c r="AK58" s="873" t="s">
        <v>822</v>
      </c>
      <c r="AL58" s="870" t="s">
        <v>773</v>
      </c>
      <c r="AM58" s="871">
        <v>1160000</v>
      </c>
    </row>
    <row r="59" spans="1:144" ht="21" customHeight="1" thickBot="1">
      <c r="B59" s="267" t="s">
        <v>29</v>
      </c>
      <c r="C59" s="265" t="s">
        <v>245</v>
      </c>
      <c r="D59" s="1126">
        <f>D56+D57+D58</f>
        <v>430217540.17461652</v>
      </c>
      <c r="E59" s="1127"/>
      <c r="F59" s="1127"/>
      <c r="G59" s="1127"/>
      <c r="H59" s="1127"/>
      <c r="I59" s="1127"/>
      <c r="J59" s="1127"/>
      <c r="K59" s="1127"/>
      <c r="L59" s="1127"/>
      <c r="M59" s="1127"/>
      <c r="N59" s="1127"/>
      <c r="O59" s="1127"/>
      <c r="P59" s="1127"/>
      <c r="Q59" s="1127"/>
      <c r="R59" s="1127"/>
      <c r="S59" s="1127"/>
      <c r="T59" s="1127"/>
      <c r="U59" s="1127"/>
      <c r="V59" s="1127"/>
      <c r="W59" s="1127"/>
      <c r="X59" s="1127"/>
      <c r="Y59" s="1127"/>
      <c r="Z59" s="1128"/>
      <c r="AK59" s="1079" t="s">
        <v>774</v>
      </c>
      <c r="AL59" s="1080"/>
      <c r="AM59" s="1081"/>
    </row>
    <row r="60" spans="1:144" ht="36" customHeight="1" thickBot="1">
      <c r="B60" s="268" t="s">
        <v>74</v>
      </c>
      <c r="C60" s="265" t="s">
        <v>240</v>
      </c>
      <c r="D60" s="1121">
        <f>AJ54</f>
        <v>42562750</v>
      </c>
      <c r="E60" s="1122"/>
      <c r="F60" s="1122"/>
      <c r="G60" s="1122"/>
      <c r="H60" s="1122"/>
      <c r="I60" s="1122"/>
      <c r="J60" s="1122"/>
      <c r="K60" s="1122"/>
      <c r="L60" s="1122"/>
      <c r="M60" s="1122"/>
      <c r="N60" s="1122"/>
      <c r="O60" s="1122"/>
      <c r="P60" s="1122"/>
      <c r="Q60" s="1122"/>
      <c r="R60" s="1122"/>
      <c r="S60" s="1122"/>
      <c r="T60" s="1122"/>
      <c r="U60" s="1122"/>
      <c r="V60" s="1122"/>
      <c r="W60" s="1122"/>
      <c r="X60" s="1122"/>
      <c r="Y60" s="1122"/>
      <c r="Z60" s="1122"/>
      <c r="AC60" s="267"/>
      <c r="AK60" s="269" t="s">
        <v>337</v>
      </c>
      <c r="AL60" s="270" t="s">
        <v>775</v>
      </c>
      <c r="AM60" s="270" t="s">
        <v>338</v>
      </c>
    </row>
    <row r="61" spans="1:144" ht="15.75" thickBot="1">
      <c r="B61" s="268" t="e">
        <f>+AB17+#REF!+AB21+AB41+AD17+#REF!+AD19+AD20+AD39+AF17+#REF!+AF19+AF20+AF39+AF41</f>
        <v>#REF!</v>
      </c>
      <c r="C61" s="271"/>
      <c r="Q61" s="273"/>
      <c r="R61" s="273"/>
      <c r="S61" s="273"/>
      <c r="T61" s="273"/>
      <c r="U61" s="273"/>
      <c r="V61" s="273"/>
      <c r="W61" s="273"/>
      <c r="AC61" s="276"/>
      <c r="AK61" s="772" t="s">
        <v>339</v>
      </c>
      <c r="AL61" s="773">
        <v>136000</v>
      </c>
      <c r="AM61" s="773">
        <f>$AM$58*25</f>
        <v>29000000</v>
      </c>
    </row>
    <row r="62" spans="1:144" ht="15.75" thickBot="1">
      <c r="C62" s="271"/>
      <c r="Q62" s="273"/>
      <c r="R62" s="273"/>
      <c r="S62" s="273"/>
      <c r="T62" s="273"/>
      <c r="U62" s="273"/>
      <c r="V62" s="273"/>
      <c r="W62" s="273"/>
      <c r="AC62" s="276"/>
      <c r="AK62" s="772" t="s">
        <v>340</v>
      </c>
      <c r="AL62" s="773">
        <v>191000</v>
      </c>
      <c r="AM62" s="773">
        <f>AM58*35</f>
        <v>40600000</v>
      </c>
    </row>
    <row r="63" spans="1:144" ht="15.75" thickBot="1">
      <c r="B63" s="267" t="s">
        <v>75</v>
      </c>
      <c r="C63" s="271"/>
      <c r="Q63" s="273"/>
      <c r="R63" s="273"/>
      <c r="S63" s="273"/>
      <c r="T63" s="273"/>
      <c r="U63" s="273"/>
      <c r="V63" s="273"/>
      <c r="W63" s="273"/>
      <c r="AC63" s="276"/>
      <c r="AK63" s="772" t="s">
        <v>341</v>
      </c>
      <c r="AL63" s="773">
        <v>273000</v>
      </c>
      <c r="AM63" s="773">
        <f>AM58*50</f>
        <v>58000000</v>
      </c>
    </row>
    <row r="64" spans="1:144" ht="15.75" thickBot="1">
      <c r="B64" s="268">
        <f>+AB16+AB42+AB50+AD16+AD44+AD51+AF16+AF42+AF44+AF50+AF51+AH54</f>
        <v>73034588.86746265</v>
      </c>
      <c r="C64" s="271"/>
      <c r="Q64" s="273"/>
      <c r="R64" s="273"/>
      <c r="S64" s="273"/>
      <c r="T64" s="273"/>
      <c r="U64" s="273"/>
      <c r="V64" s="273"/>
      <c r="W64" s="273"/>
      <c r="AC64" s="276"/>
      <c r="AK64" s="772" t="s">
        <v>342</v>
      </c>
      <c r="AL64" s="773">
        <v>382000</v>
      </c>
      <c r="AM64" s="773">
        <f>AM58*70</f>
        <v>81200000</v>
      </c>
    </row>
    <row r="65" spans="2:39" ht="15.75" thickBot="1">
      <c r="B65" s="268"/>
      <c r="C65" s="271"/>
      <c r="Q65" s="273"/>
      <c r="R65" s="273"/>
      <c r="S65" s="273"/>
      <c r="T65" s="273"/>
      <c r="U65" s="273"/>
      <c r="V65" s="273"/>
      <c r="W65" s="273"/>
      <c r="AC65" s="276"/>
      <c r="AK65" s="772" t="s">
        <v>343</v>
      </c>
      <c r="AL65" s="773">
        <v>546000</v>
      </c>
      <c r="AM65" s="773">
        <f>AM58*100</f>
        <v>116000000</v>
      </c>
    </row>
    <row r="66" spans="2:39" ht="15.75" thickBot="1">
      <c r="C66" s="271"/>
      <c r="Q66" s="273"/>
      <c r="R66" s="273"/>
      <c r="S66" s="273"/>
      <c r="T66" s="273"/>
      <c r="U66" s="273"/>
      <c r="V66" s="273"/>
      <c r="W66" s="273"/>
      <c r="AC66" s="276"/>
      <c r="AK66" s="772" t="s">
        <v>344</v>
      </c>
      <c r="AL66" s="872">
        <v>1093000</v>
      </c>
      <c r="AM66" s="773">
        <f>AM58*200</f>
        <v>232000000</v>
      </c>
    </row>
    <row r="67" spans="2:39" ht="15.75" thickBot="1">
      <c r="Q67" s="273"/>
      <c r="R67" s="273"/>
      <c r="S67" s="273"/>
      <c r="T67" s="273"/>
      <c r="U67" s="273"/>
      <c r="V67" s="273"/>
      <c r="W67" s="273"/>
      <c r="AC67" s="276"/>
      <c r="AD67" s="276"/>
      <c r="AK67" s="772" t="s">
        <v>345</v>
      </c>
      <c r="AL67" s="872">
        <v>1640000</v>
      </c>
      <c r="AM67" s="773">
        <f>AM58*300</f>
        <v>348000000</v>
      </c>
    </row>
    <row r="68" spans="2:39" ht="15.75" thickBot="1">
      <c r="Q68" s="273"/>
      <c r="R68" s="273"/>
      <c r="S68" s="273"/>
      <c r="T68" s="273"/>
      <c r="U68" s="273"/>
      <c r="V68" s="273"/>
      <c r="W68" s="273"/>
      <c r="AA68" s="276"/>
      <c r="AC68" s="276"/>
      <c r="AD68" s="655" t="s">
        <v>2</v>
      </c>
      <c r="AK68" s="772" t="s">
        <v>346</v>
      </c>
      <c r="AL68" s="872">
        <v>2188000</v>
      </c>
      <c r="AM68" s="773">
        <f>AM58*400</f>
        <v>464000000</v>
      </c>
    </row>
    <row r="69" spans="2:39" ht="27" customHeight="1" thickBot="1">
      <c r="Q69" s="273"/>
      <c r="R69" s="273"/>
      <c r="S69" s="273"/>
      <c r="T69" s="273"/>
      <c r="U69" s="273"/>
      <c r="V69" s="273"/>
      <c r="W69" s="273"/>
      <c r="AC69" s="659" t="s">
        <v>617</v>
      </c>
      <c r="AD69" s="651">
        <f>AB54+AD54</f>
        <v>269819920.24833953</v>
      </c>
      <c r="AK69" s="772" t="s">
        <v>347</v>
      </c>
      <c r="AL69" s="872">
        <v>2735000</v>
      </c>
      <c r="AM69" s="773">
        <f>AM58*500</f>
        <v>580000000</v>
      </c>
    </row>
    <row r="70" spans="2:39" ht="15.75" thickBot="1">
      <c r="Q70" s="273"/>
      <c r="R70" s="273"/>
      <c r="S70" s="273"/>
      <c r="T70" s="273"/>
      <c r="U70" s="273"/>
      <c r="V70" s="273"/>
      <c r="W70" s="273"/>
      <c r="AA70" s="276"/>
      <c r="AC70" s="656" t="s">
        <v>619</v>
      </c>
      <c r="AD70" s="650">
        <f>AF54</f>
        <v>16004636.738497021</v>
      </c>
      <c r="AF70" s="276"/>
      <c r="AK70" s="772" t="s">
        <v>348</v>
      </c>
      <c r="AL70" s="872">
        <v>3828000</v>
      </c>
      <c r="AM70" s="773">
        <f>AM58*700</f>
        <v>812000000</v>
      </c>
    </row>
    <row r="71" spans="2:39" ht="24.6" customHeight="1" thickBot="1">
      <c r="Q71" s="273"/>
      <c r="R71" s="273"/>
      <c r="S71" s="273"/>
      <c r="T71" s="273"/>
      <c r="U71" s="273"/>
      <c r="V71" s="273"/>
      <c r="W71" s="273"/>
      <c r="AC71" s="656" t="s">
        <v>615</v>
      </c>
      <c r="AD71" s="650">
        <f>AH54</f>
        <v>61027351.338456638</v>
      </c>
      <c r="AK71" s="772" t="s">
        <v>349</v>
      </c>
      <c r="AL71" s="872">
        <v>4923000</v>
      </c>
      <c r="AM71" s="773">
        <f>AM58*900</f>
        <v>1044000000</v>
      </c>
    </row>
    <row r="72" spans="2:39" ht="15.75" thickBot="1">
      <c r="Q72" s="273"/>
      <c r="R72" s="273"/>
      <c r="S72" s="273"/>
      <c r="T72" s="273"/>
      <c r="U72" s="273"/>
      <c r="V72" s="273"/>
      <c r="W72" s="273"/>
      <c r="AD72" s="279">
        <f>SUM(AD69:AD71)</f>
        <v>346851908.32529318</v>
      </c>
      <c r="AE72" s="280" t="s">
        <v>352</v>
      </c>
      <c r="AK72" s="772" t="s">
        <v>350</v>
      </c>
      <c r="AL72" s="872">
        <v>8205000</v>
      </c>
      <c r="AM72" s="773">
        <f>AM58*1500</f>
        <v>1740000000</v>
      </c>
    </row>
    <row r="73" spans="2:39" ht="15.75" thickBot="1">
      <c r="Q73" s="273"/>
      <c r="R73" s="273"/>
      <c r="S73" s="273"/>
      <c r="T73" s="273"/>
      <c r="U73" s="273"/>
      <c r="V73" s="273"/>
      <c r="W73" s="273"/>
      <c r="AD73" s="282">
        <f>IF($AD$72&lt;=AM61,AL61,IF(AND(AM61&lt;$AD$72,$AD$72&lt;=AM62),AL62,IF(AND(AM62&lt;$AD$72,$AD$72&lt;=AM63),AL63,IF(AND(AM63&lt;$AD$72,$AD$72&lt;=AM64),AL64,IF(AND(AM64&lt;$AD$72,$AD$72&lt;=AM65),AL65,IF(AND(AM65&lt;$AD$72,$AD$72&lt;=AM66),AL66,IF(AND(AM66&lt;$AD$72,$AD$72&lt;=AM67),AL67,IF(AND(AM67&lt;$AD$72,$AD$72&lt;=AM68),AL68,IF(AND(AM68&lt;$AD$72,$AD$72&lt;=AM69),AL69,IF(AND(AM69&lt;$AD$72,$AD$72&lt;=AM70),AL70,IF(AND(AM70&lt;$AD$72,$AD$72&lt;=AM71),AL71,"REVISAR VALOR")))))))))))</f>
        <v>1640000</v>
      </c>
      <c r="AE73" s="56" t="s">
        <v>614</v>
      </c>
      <c r="AK73" s="772" t="s">
        <v>351</v>
      </c>
      <c r="AL73" s="872">
        <v>11569000</v>
      </c>
      <c r="AM73" s="773">
        <f>AM58*2115</f>
        <v>2453400000</v>
      </c>
    </row>
    <row r="74" spans="2:39">
      <c r="Q74" s="273"/>
      <c r="R74" s="273"/>
      <c r="S74" s="273"/>
      <c r="T74" s="273"/>
      <c r="U74" s="273"/>
      <c r="V74" s="273"/>
      <c r="W74" s="273"/>
      <c r="AA74" s="657"/>
      <c r="AC74" s="276"/>
      <c r="AD74" s="282" t="str">
        <f>IF(AND(AM67&lt;$AD$72,$AD$72&lt;=AM68),AL68,IF(AND(AM68&lt;$AD$72,$AD$72&lt;=AM69),AL69,IF(AND(AM69&lt;$AD$72,$AD$72&lt;=AM70),AL70,IF(AND(AM70&lt;$AD$72,$AD$72&lt;=AM71),AL71,IF(AND(AM71&lt;$AD$72,$AD$72&lt;=AM72),AL72,IF(AND(AM72&lt;$AD$72,$AD$72&lt;=AM73),AL73,"REVISAR VALOR"))))))</f>
        <v>REVISAR VALOR</v>
      </c>
      <c r="AE74" s="276"/>
      <c r="AG74" s="276"/>
    </row>
    <row r="75" spans="2:39">
      <c r="Q75" s="273"/>
      <c r="R75" s="273"/>
      <c r="S75" s="273"/>
      <c r="T75" s="273"/>
      <c r="U75" s="273"/>
      <c r="V75" s="273"/>
      <c r="W75" s="273"/>
      <c r="AA75" s="657"/>
      <c r="AB75" s="658"/>
      <c r="AC75" s="276"/>
      <c r="AG75" s="276"/>
    </row>
    <row r="76" spans="2:39">
      <c r="Q76" s="273"/>
      <c r="R76" s="273"/>
      <c r="S76" s="273"/>
      <c r="T76" s="273"/>
      <c r="U76" s="273"/>
      <c r="V76" s="273"/>
      <c r="W76" s="273"/>
      <c r="AC76" s="276"/>
    </row>
    <row r="77" spans="2:39">
      <c r="Q77" s="273"/>
      <c r="R77" s="273"/>
      <c r="S77" s="273"/>
      <c r="T77" s="273"/>
      <c r="U77" s="273"/>
      <c r="V77" s="273"/>
      <c r="W77" s="273"/>
      <c r="AC77" s="276"/>
      <c r="AD77" s="283"/>
      <c r="AE77" s="284"/>
    </row>
    <row r="78" spans="2:39">
      <c r="Q78" s="273"/>
      <c r="R78" s="273"/>
      <c r="S78" s="273"/>
      <c r="T78" s="273"/>
      <c r="U78" s="273"/>
      <c r="V78" s="273"/>
      <c r="W78" s="273"/>
      <c r="AC78" s="228"/>
    </row>
    <row r="79" spans="2:39" ht="15">
      <c r="Q79" s="273"/>
      <c r="R79" s="273"/>
      <c r="S79" s="273"/>
      <c r="T79" s="273"/>
      <c r="U79" s="273"/>
      <c r="V79" s="273"/>
      <c r="W79" s="273"/>
      <c r="AG79" s="281"/>
    </row>
    <row r="80" spans="2:39">
      <c r="Q80" s="273"/>
      <c r="R80" s="273"/>
      <c r="S80" s="273"/>
      <c r="T80" s="273"/>
      <c r="U80" s="273"/>
      <c r="V80" s="273"/>
      <c r="W80" s="273"/>
    </row>
    <row r="81" spans="17:34">
      <c r="Q81" s="273"/>
      <c r="R81" s="273"/>
      <c r="S81" s="273"/>
      <c r="T81" s="273"/>
      <c r="U81" s="273"/>
      <c r="V81" s="273"/>
      <c r="W81" s="273"/>
    </row>
    <row r="82" spans="17:34">
      <c r="Q82" s="273"/>
      <c r="R82" s="273"/>
      <c r="S82" s="273"/>
      <c r="T82" s="273"/>
      <c r="U82" s="273"/>
      <c r="V82" s="273"/>
      <c r="W82" s="273"/>
      <c r="AF82" s="284"/>
      <c r="AH82" s="285"/>
    </row>
    <row r="83" spans="17:34">
      <c r="Q83" s="273"/>
      <c r="R83" s="273"/>
      <c r="S83" s="273"/>
      <c r="T83" s="273"/>
      <c r="U83" s="273"/>
      <c r="V83" s="273"/>
      <c r="W83" s="273"/>
      <c r="AC83" s="278"/>
      <c r="AE83" s="286"/>
    </row>
    <row r="84" spans="17:34">
      <c r="Q84" s="273"/>
      <c r="R84" s="273"/>
      <c r="S84" s="273"/>
      <c r="T84" s="273"/>
      <c r="U84" s="273"/>
      <c r="V84" s="273"/>
      <c r="W84" s="273"/>
      <c r="AE84" s="286"/>
    </row>
    <row r="85" spans="17:34">
      <c r="Q85" s="273"/>
      <c r="R85" s="273"/>
      <c r="S85" s="273"/>
      <c r="T85" s="273"/>
      <c r="U85" s="273"/>
      <c r="V85" s="273"/>
      <c r="W85" s="273"/>
    </row>
    <row r="86" spans="17:34">
      <c r="Q86" s="273"/>
      <c r="R86" s="273"/>
      <c r="S86" s="273"/>
      <c r="T86" s="273"/>
      <c r="U86" s="273"/>
      <c r="V86" s="273"/>
      <c r="W86" s="273"/>
    </row>
    <row r="87" spans="17:34">
      <c r="Q87" s="273"/>
      <c r="R87" s="273"/>
      <c r="S87" s="273"/>
      <c r="T87" s="273"/>
      <c r="U87" s="273"/>
      <c r="V87" s="273"/>
      <c r="W87" s="273"/>
    </row>
    <row r="88" spans="17:34">
      <c r="Q88" s="273"/>
      <c r="R88" s="273"/>
      <c r="S88" s="273"/>
      <c r="T88" s="273"/>
      <c r="U88" s="273"/>
      <c r="V88" s="273"/>
      <c r="W88" s="273"/>
    </row>
    <row r="89" spans="17:34">
      <c r="Q89" s="273"/>
      <c r="R89" s="273"/>
      <c r="S89" s="273"/>
      <c r="T89" s="273"/>
      <c r="U89" s="273"/>
      <c r="V89" s="273"/>
      <c r="W89" s="273"/>
    </row>
    <row r="90" spans="17:34">
      <c r="Q90" s="273"/>
      <c r="R90" s="273"/>
      <c r="S90" s="273"/>
      <c r="T90" s="273"/>
      <c r="U90" s="273"/>
      <c r="V90" s="273"/>
      <c r="W90" s="273"/>
    </row>
    <row r="91" spans="17:34">
      <c r="Q91" s="273"/>
      <c r="R91" s="273"/>
      <c r="S91" s="273"/>
      <c r="T91" s="273"/>
      <c r="U91" s="273"/>
      <c r="V91" s="273"/>
      <c r="W91" s="273"/>
    </row>
    <row r="92" spans="17:34">
      <c r="Q92" s="273"/>
      <c r="R92" s="273"/>
      <c r="S92" s="273"/>
      <c r="T92" s="273"/>
      <c r="U92" s="273"/>
      <c r="V92" s="273"/>
      <c r="W92" s="273"/>
    </row>
    <row r="93" spans="17:34">
      <c r="Q93" s="273"/>
      <c r="R93" s="273"/>
      <c r="S93" s="273"/>
      <c r="T93" s="273"/>
      <c r="U93" s="273"/>
      <c r="V93" s="273"/>
      <c r="W93" s="273"/>
    </row>
    <row r="94" spans="17:34">
      <c r="Q94" s="273"/>
      <c r="R94" s="273"/>
      <c r="S94" s="273"/>
      <c r="T94" s="273"/>
      <c r="U94" s="273"/>
      <c r="V94" s="273"/>
      <c r="W94" s="273"/>
    </row>
    <row r="95" spans="17:34">
      <c r="Q95" s="273"/>
      <c r="R95" s="273"/>
      <c r="S95" s="273"/>
      <c r="T95" s="273"/>
      <c r="U95" s="273"/>
      <c r="V95" s="273"/>
      <c r="W95" s="273"/>
    </row>
    <row r="96" spans="17:34">
      <c r="Q96" s="273"/>
      <c r="R96" s="273"/>
      <c r="S96" s="273"/>
      <c r="T96" s="273"/>
      <c r="U96" s="273"/>
      <c r="V96" s="273"/>
      <c r="W96" s="273"/>
    </row>
    <row r="97" spans="17:23">
      <c r="Q97" s="273"/>
      <c r="R97" s="273"/>
      <c r="S97" s="273"/>
      <c r="T97" s="273"/>
      <c r="U97" s="273"/>
      <c r="V97" s="273"/>
      <c r="W97" s="273"/>
    </row>
    <row r="98" spans="17:23">
      <c r="Q98" s="273"/>
      <c r="R98" s="273"/>
      <c r="S98" s="273"/>
      <c r="T98" s="273"/>
      <c r="U98" s="273"/>
      <c r="V98" s="273"/>
      <c r="W98" s="273"/>
    </row>
    <row r="99" spans="17:23">
      <c r="Q99" s="273"/>
      <c r="R99" s="273"/>
      <c r="S99" s="273"/>
      <c r="T99" s="273"/>
      <c r="U99" s="273"/>
      <c r="V99" s="273"/>
      <c r="W99" s="273"/>
    </row>
    <row r="100" spans="17:23">
      <c r="Q100" s="273"/>
      <c r="R100" s="273"/>
      <c r="S100" s="273"/>
      <c r="T100" s="273"/>
      <c r="U100" s="273"/>
      <c r="V100" s="273"/>
      <c r="W100" s="273"/>
    </row>
    <row r="101" spans="17:23">
      <c r="Q101" s="273"/>
      <c r="R101" s="273"/>
      <c r="S101" s="273"/>
      <c r="T101" s="273"/>
      <c r="U101" s="273"/>
      <c r="V101" s="273"/>
      <c r="W101" s="273"/>
    </row>
    <row r="102" spans="17:23">
      <c r="Q102" s="273"/>
      <c r="R102" s="273"/>
      <c r="S102" s="273"/>
      <c r="T102" s="273"/>
      <c r="U102" s="273"/>
      <c r="V102" s="273"/>
      <c r="W102" s="273"/>
    </row>
    <row r="103" spans="17:23">
      <c r="Q103" s="273"/>
      <c r="R103" s="273"/>
      <c r="S103" s="273"/>
      <c r="T103" s="273"/>
      <c r="U103" s="273"/>
      <c r="V103" s="273"/>
      <c r="W103" s="273"/>
    </row>
    <row r="104" spans="17:23">
      <c r="Q104" s="273"/>
      <c r="R104" s="273"/>
      <c r="S104" s="273"/>
      <c r="T104" s="273"/>
      <c r="U104" s="273"/>
      <c r="V104" s="273"/>
      <c r="W104" s="273"/>
    </row>
    <row r="105" spans="17:23">
      <c r="Q105" s="273"/>
      <c r="R105" s="273"/>
      <c r="S105" s="273"/>
      <c r="T105" s="273"/>
      <c r="U105" s="273"/>
      <c r="V105" s="273"/>
      <c r="W105" s="273"/>
    </row>
    <row r="106" spans="17:23">
      <c r="Q106" s="273"/>
      <c r="R106" s="273"/>
      <c r="S106" s="273"/>
      <c r="T106" s="273"/>
      <c r="U106" s="273"/>
      <c r="V106" s="273"/>
      <c r="W106" s="273"/>
    </row>
    <row r="107" spans="17:23">
      <c r="Q107" s="273"/>
      <c r="R107" s="273"/>
      <c r="S107" s="273"/>
      <c r="T107" s="273"/>
      <c r="U107" s="273"/>
      <c r="V107" s="273"/>
      <c r="W107" s="273"/>
    </row>
    <row r="108" spans="17:23">
      <c r="Q108" s="273"/>
      <c r="R108" s="273"/>
      <c r="S108" s="273"/>
      <c r="T108" s="273"/>
      <c r="U108" s="273"/>
      <c r="V108" s="273"/>
      <c r="W108" s="273"/>
    </row>
    <row r="109" spans="17:23">
      <c r="Q109" s="273"/>
      <c r="R109" s="273"/>
      <c r="S109" s="273"/>
      <c r="T109" s="273"/>
      <c r="U109" s="273"/>
      <c r="V109" s="273"/>
      <c r="W109" s="273"/>
    </row>
    <row r="110" spans="17:23">
      <c r="Q110" s="273"/>
      <c r="R110" s="273"/>
      <c r="S110" s="273"/>
      <c r="T110" s="273"/>
      <c r="U110" s="273"/>
      <c r="V110" s="273"/>
      <c r="W110" s="273"/>
    </row>
    <row r="111" spans="17:23">
      <c r="Q111" s="273"/>
      <c r="R111" s="273"/>
      <c r="S111" s="273"/>
      <c r="T111" s="273"/>
      <c r="U111" s="273"/>
      <c r="V111" s="273"/>
      <c r="W111" s="273"/>
    </row>
    <row r="112" spans="17:23">
      <c r="Q112" s="273"/>
      <c r="R112" s="273"/>
      <c r="S112" s="273"/>
      <c r="T112" s="273"/>
      <c r="U112" s="273"/>
      <c r="V112" s="273"/>
      <c r="W112" s="273"/>
    </row>
    <row r="113" spans="17:23">
      <c r="Q113" s="273"/>
      <c r="R113" s="273"/>
      <c r="S113" s="273"/>
      <c r="T113" s="273"/>
      <c r="U113" s="273"/>
      <c r="V113" s="273"/>
      <c r="W113" s="273"/>
    </row>
    <row r="114" spans="17:23">
      <c r="Q114" s="273"/>
      <c r="R114" s="273"/>
      <c r="S114" s="273"/>
      <c r="T114" s="273"/>
      <c r="U114" s="273"/>
      <c r="V114" s="273"/>
      <c r="W114" s="273"/>
    </row>
    <row r="115" spans="17:23">
      <c r="Q115" s="273"/>
      <c r="R115" s="273"/>
      <c r="S115" s="273"/>
      <c r="T115" s="273"/>
      <c r="U115" s="273"/>
      <c r="V115" s="273"/>
      <c r="W115" s="273"/>
    </row>
    <row r="116" spans="17:23">
      <c r="Q116" s="273"/>
      <c r="R116" s="273"/>
      <c r="S116" s="273"/>
      <c r="T116" s="273"/>
      <c r="U116" s="273"/>
      <c r="V116" s="273"/>
      <c r="W116" s="273"/>
    </row>
    <row r="117" spans="17:23">
      <c r="Q117" s="273"/>
      <c r="R117" s="273"/>
      <c r="S117" s="273"/>
      <c r="T117" s="273"/>
      <c r="U117" s="273"/>
      <c r="V117" s="273"/>
      <c r="W117" s="273"/>
    </row>
    <row r="118" spans="17:23">
      <c r="Q118" s="273"/>
      <c r="R118" s="273"/>
      <c r="S118" s="273"/>
      <c r="T118" s="273"/>
      <c r="U118" s="273"/>
      <c r="V118" s="273"/>
      <c r="W118" s="273"/>
    </row>
    <row r="119" spans="17:23">
      <c r="Q119" s="273"/>
      <c r="R119" s="273"/>
      <c r="S119" s="273"/>
      <c r="T119" s="273"/>
      <c r="U119" s="273"/>
      <c r="V119" s="273"/>
      <c r="W119" s="273"/>
    </row>
    <row r="120" spans="17:23">
      <c r="Q120" s="273"/>
      <c r="R120" s="273"/>
      <c r="S120" s="273"/>
      <c r="T120" s="273"/>
      <c r="U120" s="273"/>
      <c r="V120" s="273"/>
      <c r="W120" s="273"/>
    </row>
    <row r="121" spans="17:23">
      <c r="Q121" s="273"/>
      <c r="R121" s="273"/>
      <c r="S121" s="273"/>
      <c r="T121" s="273"/>
      <c r="U121" s="273"/>
      <c r="V121" s="273"/>
      <c r="W121" s="273"/>
    </row>
    <row r="122" spans="17:23">
      <c r="Q122" s="273"/>
      <c r="R122" s="273"/>
      <c r="S122" s="273"/>
      <c r="T122" s="273"/>
      <c r="U122" s="273"/>
      <c r="V122" s="273"/>
      <c r="W122" s="273"/>
    </row>
    <row r="123" spans="17:23">
      <c r="Q123" s="273"/>
      <c r="R123" s="273"/>
      <c r="S123" s="273"/>
      <c r="T123" s="273"/>
      <c r="U123" s="273"/>
      <c r="V123" s="273"/>
      <c r="W123" s="273"/>
    </row>
    <row r="124" spans="17:23">
      <c r="Q124" s="273"/>
      <c r="R124" s="273"/>
      <c r="S124" s="273"/>
      <c r="T124" s="273"/>
      <c r="U124" s="273"/>
      <c r="V124" s="273"/>
      <c r="W124" s="273"/>
    </row>
    <row r="125" spans="17:23">
      <c r="Q125" s="273"/>
      <c r="R125" s="273"/>
      <c r="S125" s="273"/>
      <c r="T125" s="273"/>
      <c r="U125" s="273"/>
      <c r="V125" s="273"/>
      <c r="W125" s="273"/>
    </row>
    <row r="126" spans="17:23">
      <c r="Q126" s="273"/>
      <c r="R126" s="273"/>
      <c r="S126" s="273"/>
      <c r="T126" s="273"/>
      <c r="U126" s="273"/>
      <c r="V126" s="273"/>
      <c r="W126" s="273"/>
    </row>
    <row r="127" spans="17:23">
      <c r="Q127" s="273"/>
      <c r="R127" s="273"/>
      <c r="S127" s="273"/>
      <c r="T127" s="273"/>
      <c r="U127" s="273"/>
      <c r="V127" s="273"/>
      <c r="W127" s="273"/>
    </row>
    <row r="128" spans="17:23">
      <c r="Q128" s="273"/>
      <c r="R128" s="273"/>
      <c r="S128" s="273"/>
      <c r="T128" s="273"/>
      <c r="U128" s="273"/>
      <c r="V128" s="273"/>
      <c r="W128" s="273"/>
    </row>
    <row r="129" spans="17:23">
      <c r="Q129" s="273"/>
      <c r="R129" s="273"/>
      <c r="S129" s="273"/>
      <c r="T129" s="273"/>
      <c r="U129" s="273"/>
      <c r="V129" s="273"/>
      <c r="W129" s="273"/>
    </row>
    <row r="130" spans="17:23">
      <c r="Q130" s="273"/>
      <c r="R130" s="273"/>
      <c r="S130" s="273"/>
      <c r="T130" s="273"/>
      <c r="U130" s="273"/>
      <c r="V130" s="273"/>
      <c r="W130" s="273"/>
    </row>
    <row r="131" spans="17:23">
      <c r="Q131" s="273"/>
      <c r="R131" s="273"/>
      <c r="S131" s="273"/>
      <c r="T131" s="273"/>
      <c r="U131" s="273"/>
      <c r="V131" s="273"/>
      <c r="W131" s="273"/>
    </row>
    <row r="132" spans="17:23">
      <c r="Q132" s="273"/>
      <c r="R132" s="273"/>
      <c r="S132" s="273"/>
      <c r="T132" s="273"/>
      <c r="U132" s="273"/>
      <c r="V132" s="273"/>
      <c r="W132" s="273"/>
    </row>
    <row r="133" spans="17:23">
      <c r="Q133" s="273"/>
      <c r="R133" s="273"/>
      <c r="S133" s="273"/>
      <c r="T133" s="273"/>
      <c r="U133" s="273"/>
      <c r="V133" s="273"/>
      <c r="W133" s="273"/>
    </row>
    <row r="134" spans="17:23">
      <c r="Q134" s="273"/>
      <c r="R134" s="273"/>
      <c r="S134" s="273"/>
      <c r="T134" s="273"/>
      <c r="U134" s="273"/>
      <c r="V134" s="273"/>
      <c r="W134" s="273"/>
    </row>
    <row r="135" spans="17:23">
      <c r="Q135" s="273"/>
      <c r="R135" s="273"/>
      <c r="S135" s="273"/>
      <c r="T135" s="273"/>
      <c r="U135" s="273"/>
      <c r="V135" s="273"/>
      <c r="W135" s="273"/>
    </row>
    <row r="136" spans="17:23">
      <c r="Q136" s="273"/>
      <c r="R136" s="273"/>
      <c r="S136" s="273"/>
      <c r="T136" s="273"/>
      <c r="U136" s="273"/>
      <c r="V136" s="273"/>
      <c r="W136" s="273"/>
    </row>
    <row r="137" spans="17:23">
      <c r="Q137" s="273"/>
      <c r="R137" s="273"/>
      <c r="S137" s="273"/>
      <c r="T137" s="273"/>
      <c r="U137" s="273"/>
      <c r="V137" s="273"/>
      <c r="W137" s="273"/>
    </row>
    <row r="138" spans="17:23">
      <c r="Q138" s="273"/>
      <c r="R138" s="273"/>
      <c r="S138" s="273"/>
      <c r="T138" s="273"/>
      <c r="U138" s="273"/>
      <c r="V138" s="273"/>
      <c r="W138" s="273"/>
    </row>
    <row r="139" spans="17:23">
      <c r="Q139" s="273"/>
      <c r="R139" s="273"/>
      <c r="S139" s="273"/>
      <c r="T139" s="273"/>
      <c r="U139" s="273"/>
      <c r="V139" s="273"/>
      <c r="W139" s="273"/>
    </row>
    <row r="140" spans="17:23">
      <c r="Q140" s="273"/>
      <c r="R140" s="273"/>
      <c r="S140" s="273"/>
      <c r="T140" s="273"/>
      <c r="U140" s="273"/>
      <c r="V140" s="273"/>
      <c r="W140" s="273"/>
    </row>
    <row r="141" spans="17:23">
      <c r="Q141" s="273"/>
      <c r="R141" s="273"/>
      <c r="S141" s="273"/>
      <c r="T141" s="273"/>
      <c r="U141" s="273"/>
      <c r="V141" s="273"/>
      <c r="W141" s="273"/>
    </row>
    <row r="142" spans="17:23">
      <c r="Q142" s="273"/>
      <c r="R142" s="273"/>
      <c r="S142" s="273"/>
      <c r="T142" s="273"/>
      <c r="U142" s="273"/>
      <c r="V142" s="273"/>
      <c r="W142" s="273"/>
    </row>
    <row r="143" spans="17:23">
      <c r="Q143" s="273"/>
      <c r="R143" s="273"/>
      <c r="S143" s="273"/>
      <c r="T143" s="273"/>
      <c r="U143" s="273"/>
      <c r="V143" s="273"/>
      <c r="W143" s="273"/>
    </row>
    <row r="144" spans="17:23">
      <c r="Q144" s="273"/>
      <c r="R144" s="273"/>
      <c r="S144" s="273"/>
      <c r="T144" s="273"/>
      <c r="U144" s="273"/>
      <c r="V144" s="273"/>
      <c r="W144" s="273"/>
    </row>
    <row r="145" spans="17:23">
      <c r="Q145" s="273"/>
      <c r="R145" s="273"/>
      <c r="S145" s="273"/>
      <c r="T145" s="273"/>
      <c r="U145" s="273"/>
      <c r="V145" s="273"/>
      <c r="W145" s="273"/>
    </row>
    <row r="146" spans="17:23">
      <c r="Q146" s="273"/>
      <c r="R146" s="273"/>
      <c r="S146" s="273"/>
      <c r="T146" s="273"/>
      <c r="U146" s="273"/>
      <c r="V146" s="273"/>
      <c r="W146" s="273"/>
    </row>
    <row r="147" spans="17:23">
      <c r="Q147" s="273"/>
      <c r="R147" s="273"/>
      <c r="S147" s="273"/>
      <c r="T147" s="273"/>
      <c r="U147" s="273"/>
      <c r="V147" s="273"/>
      <c r="W147" s="273"/>
    </row>
    <row r="148" spans="17:23">
      <c r="Q148" s="273"/>
      <c r="R148" s="273"/>
      <c r="S148" s="273"/>
      <c r="T148" s="273"/>
      <c r="U148" s="273"/>
      <c r="V148" s="273"/>
      <c r="W148" s="273"/>
    </row>
    <row r="149" spans="17:23">
      <c r="Q149" s="273"/>
      <c r="R149" s="273"/>
      <c r="S149" s="273"/>
      <c r="T149" s="273"/>
      <c r="U149" s="273"/>
      <c r="V149" s="273"/>
      <c r="W149" s="273"/>
    </row>
    <row r="150" spans="17:23">
      <c r="Q150" s="273"/>
      <c r="R150" s="273"/>
      <c r="S150" s="273"/>
      <c r="T150" s="273"/>
      <c r="U150" s="273"/>
      <c r="V150" s="273"/>
      <c r="W150" s="273"/>
    </row>
    <row r="151" spans="17:23">
      <c r="Q151" s="273"/>
      <c r="R151" s="273"/>
      <c r="S151" s="273"/>
      <c r="T151" s="273"/>
      <c r="U151" s="273"/>
      <c r="V151" s="273"/>
      <c r="W151" s="273"/>
    </row>
    <row r="152" spans="17:23">
      <c r="Q152" s="273"/>
      <c r="R152" s="273"/>
      <c r="S152" s="273"/>
      <c r="T152" s="273"/>
      <c r="U152" s="273"/>
      <c r="V152" s="273"/>
      <c r="W152" s="273"/>
    </row>
    <row r="153" spans="17:23">
      <c r="Q153" s="273"/>
      <c r="R153" s="273"/>
      <c r="S153" s="273"/>
      <c r="T153" s="273"/>
      <c r="U153" s="273"/>
      <c r="V153" s="273"/>
      <c r="W153" s="273"/>
    </row>
    <row r="154" spans="17:23">
      <c r="Q154" s="273"/>
      <c r="R154" s="273"/>
      <c r="S154" s="273"/>
      <c r="T154" s="273"/>
      <c r="U154" s="273"/>
      <c r="V154" s="273"/>
      <c r="W154" s="273"/>
    </row>
    <row r="155" spans="17:23">
      <c r="Q155" s="273"/>
      <c r="R155" s="273"/>
      <c r="S155" s="273"/>
      <c r="T155" s="273"/>
      <c r="U155" s="273"/>
      <c r="V155" s="273"/>
      <c r="W155" s="273"/>
    </row>
    <row r="156" spans="17:23">
      <c r="Q156" s="273"/>
      <c r="R156" s="273"/>
      <c r="S156" s="273"/>
      <c r="T156" s="273"/>
      <c r="U156" s="273"/>
      <c r="V156" s="273"/>
      <c r="W156" s="273"/>
    </row>
    <row r="157" spans="17:23">
      <c r="Q157" s="273"/>
      <c r="R157" s="273"/>
      <c r="S157" s="273"/>
      <c r="T157" s="273"/>
      <c r="U157" s="273"/>
      <c r="V157" s="273"/>
      <c r="W157" s="273"/>
    </row>
    <row r="158" spans="17:23">
      <c r="Q158" s="273"/>
      <c r="R158" s="273"/>
      <c r="S158" s="273"/>
      <c r="T158" s="273"/>
      <c r="U158" s="273"/>
      <c r="V158" s="273"/>
      <c r="W158" s="273"/>
    </row>
    <row r="159" spans="17:23">
      <c r="Q159" s="273"/>
      <c r="R159" s="273"/>
      <c r="S159" s="273"/>
      <c r="T159" s="273"/>
      <c r="U159" s="273"/>
      <c r="V159" s="273"/>
      <c r="W159" s="273"/>
    </row>
    <row r="160" spans="17:23">
      <c r="Q160" s="273"/>
      <c r="R160" s="273"/>
      <c r="S160" s="273"/>
      <c r="T160" s="273"/>
      <c r="U160" s="273"/>
      <c r="V160" s="273"/>
      <c r="W160" s="273"/>
    </row>
    <row r="161" spans="17:23">
      <c r="Q161" s="273"/>
      <c r="R161" s="273"/>
      <c r="S161" s="273"/>
      <c r="T161" s="273"/>
      <c r="U161" s="273"/>
      <c r="V161" s="273"/>
      <c r="W161" s="273"/>
    </row>
    <row r="162" spans="17:23">
      <c r="Q162" s="273"/>
      <c r="R162" s="273"/>
      <c r="S162" s="273"/>
      <c r="T162" s="273"/>
      <c r="U162" s="273"/>
      <c r="V162" s="273"/>
      <c r="W162" s="273"/>
    </row>
    <row r="163" spans="17:23">
      <c r="Q163" s="273"/>
      <c r="R163" s="273"/>
      <c r="S163" s="273"/>
      <c r="T163" s="273"/>
      <c r="U163" s="273"/>
      <c r="V163" s="273"/>
      <c r="W163" s="273"/>
    </row>
    <row r="164" spans="17:23">
      <c r="Q164" s="273"/>
      <c r="R164" s="273"/>
      <c r="S164" s="273"/>
      <c r="T164" s="273"/>
      <c r="U164" s="273"/>
      <c r="V164" s="273"/>
      <c r="W164" s="273"/>
    </row>
    <row r="165" spans="17:23">
      <c r="Q165" s="273"/>
      <c r="R165" s="273"/>
      <c r="S165" s="273"/>
      <c r="T165" s="273"/>
      <c r="U165" s="273"/>
      <c r="V165" s="273"/>
      <c r="W165" s="273"/>
    </row>
    <row r="166" spans="17:23">
      <c r="Q166" s="273"/>
      <c r="R166" s="273"/>
      <c r="S166" s="273"/>
      <c r="T166" s="273"/>
      <c r="U166" s="273"/>
      <c r="V166" s="273"/>
      <c r="W166" s="273"/>
    </row>
    <row r="167" spans="17:23">
      <c r="Q167" s="273"/>
      <c r="R167" s="273"/>
      <c r="S167" s="273"/>
      <c r="T167" s="273"/>
      <c r="U167" s="273"/>
      <c r="V167" s="273"/>
      <c r="W167" s="273"/>
    </row>
    <row r="168" spans="17:23">
      <c r="Q168" s="273"/>
      <c r="R168" s="273"/>
      <c r="S168" s="273"/>
      <c r="T168" s="273"/>
      <c r="U168" s="273"/>
      <c r="V168" s="273"/>
      <c r="W168" s="273"/>
    </row>
    <row r="169" spans="17:23">
      <c r="Q169" s="273"/>
      <c r="R169" s="273"/>
      <c r="S169" s="273"/>
      <c r="T169" s="273"/>
      <c r="U169" s="273"/>
      <c r="V169" s="273"/>
      <c r="W169" s="273"/>
    </row>
    <row r="170" spans="17:23">
      <c r="Q170" s="273"/>
      <c r="R170" s="273"/>
      <c r="S170" s="273"/>
      <c r="T170" s="273"/>
      <c r="U170" s="273"/>
      <c r="V170" s="273"/>
      <c r="W170" s="273"/>
    </row>
    <row r="171" spans="17:23">
      <c r="Q171" s="273"/>
      <c r="R171" s="273"/>
      <c r="S171" s="273"/>
      <c r="T171" s="273"/>
      <c r="U171" s="273"/>
      <c r="V171" s="273"/>
      <c r="W171" s="273"/>
    </row>
    <row r="172" spans="17:23">
      <c r="Q172" s="273"/>
      <c r="R172" s="273"/>
      <c r="S172" s="273"/>
      <c r="T172" s="273"/>
      <c r="U172" s="273"/>
      <c r="V172" s="273"/>
      <c r="W172" s="273"/>
    </row>
    <row r="173" spans="17:23">
      <c r="Q173" s="273"/>
      <c r="R173" s="273"/>
      <c r="S173" s="273"/>
      <c r="T173" s="273"/>
      <c r="U173" s="273"/>
      <c r="V173" s="273"/>
      <c r="W173" s="273"/>
    </row>
    <row r="174" spans="17:23">
      <c r="Q174" s="273"/>
      <c r="R174" s="273"/>
      <c r="S174" s="273"/>
      <c r="T174" s="273"/>
      <c r="U174" s="273"/>
      <c r="V174" s="273"/>
      <c r="W174" s="273"/>
    </row>
    <row r="175" spans="17:23">
      <c r="Q175" s="273"/>
      <c r="R175" s="273"/>
      <c r="S175" s="273"/>
      <c r="T175" s="273"/>
      <c r="U175" s="273"/>
      <c r="V175" s="273"/>
      <c r="W175" s="273"/>
    </row>
    <row r="176" spans="17:23">
      <c r="Q176" s="273"/>
      <c r="R176" s="273"/>
      <c r="S176" s="273"/>
      <c r="T176" s="273"/>
      <c r="U176" s="273"/>
      <c r="V176" s="273"/>
      <c r="W176" s="273"/>
    </row>
    <row r="177" spans="17:23">
      <c r="Q177" s="273"/>
      <c r="R177" s="273"/>
      <c r="S177" s="273"/>
      <c r="T177" s="273"/>
      <c r="U177" s="273"/>
      <c r="V177" s="273"/>
      <c r="W177" s="273"/>
    </row>
    <row r="178" spans="17:23">
      <c r="Q178" s="273"/>
      <c r="R178" s="273"/>
      <c r="S178" s="273"/>
      <c r="T178" s="273"/>
      <c r="U178" s="273"/>
      <c r="V178" s="273"/>
      <c r="W178" s="273"/>
    </row>
    <row r="179" spans="17:23">
      <c r="Q179" s="273"/>
      <c r="R179" s="273"/>
      <c r="S179" s="273"/>
      <c r="T179" s="273"/>
      <c r="U179" s="273"/>
      <c r="V179" s="273"/>
      <c r="W179" s="273"/>
    </row>
    <row r="180" spans="17:23">
      <c r="Q180" s="273"/>
      <c r="R180" s="273"/>
      <c r="S180" s="273"/>
      <c r="T180" s="273"/>
      <c r="U180" s="273"/>
      <c r="V180" s="273"/>
      <c r="W180" s="273"/>
    </row>
    <row r="181" spans="17:23">
      <c r="Q181" s="273"/>
      <c r="R181" s="273"/>
      <c r="S181" s="273"/>
      <c r="T181" s="273"/>
      <c r="U181" s="273"/>
      <c r="V181" s="273"/>
      <c r="W181" s="273"/>
    </row>
    <row r="182" spans="17:23">
      <c r="Q182" s="273"/>
      <c r="R182" s="273"/>
      <c r="S182" s="273"/>
      <c r="T182" s="273"/>
      <c r="U182" s="273"/>
      <c r="V182" s="273"/>
      <c r="W182" s="273"/>
    </row>
    <row r="183" spans="17:23">
      <c r="Q183" s="273"/>
      <c r="R183" s="273"/>
      <c r="S183" s="273"/>
      <c r="T183" s="273"/>
      <c r="U183" s="273"/>
      <c r="V183" s="273"/>
      <c r="W183" s="273"/>
    </row>
    <row r="184" spans="17:23">
      <c r="Q184" s="273"/>
      <c r="R184" s="273"/>
      <c r="S184" s="273"/>
      <c r="T184" s="273"/>
      <c r="U184" s="273"/>
      <c r="V184" s="273"/>
      <c r="W184" s="273"/>
    </row>
    <row r="185" spans="17:23">
      <c r="Q185" s="273"/>
      <c r="R185" s="273"/>
      <c r="S185" s="273"/>
      <c r="T185" s="273"/>
      <c r="U185" s="273"/>
      <c r="V185" s="273"/>
      <c r="W185" s="273"/>
    </row>
    <row r="186" spans="17:23">
      <c r="Q186" s="273"/>
      <c r="R186" s="273"/>
      <c r="S186" s="273"/>
      <c r="T186" s="273"/>
      <c r="U186" s="273"/>
      <c r="V186" s="273"/>
      <c r="W186" s="273"/>
    </row>
    <row r="187" spans="17:23">
      <c r="Q187" s="273"/>
      <c r="R187" s="273"/>
      <c r="S187" s="273"/>
      <c r="T187" s="273"/>
      <c r="U187" s="273"/>
      <c r="V187" s="273"/>
      <c r="W187" s="273"/>
    </row>
    <row r="188" spans="17:23">
      <c r="Q188" s="273"/>
      <c r="R188" s="273"/>
      <c r="S188" s="273"/>
      <c r="T188" s="273"/>
      <c r="U188" s="273"/>
      <c r="V188" s="273"/>
      <c r="W188" s="273"/>
    </row>
    <row r="189" spans="17:23">
      <c r="Q189" s="273"/>
      <c r="R189" s="273"/>
      <c r="S189" s="273"/>
      <c r="T189" s="273"/>
      <c r="U189" s="273"/>
      <c r="V189" s="273"/>
      <c r="W189" s="273"/>
    </row>
    <row r="190" spans="17:23">
      <c r="Q190" s="273"/>
      <c r="R190" s="273"/>
      <c r="S190" s="273"/>
      <c r="T190" s="273"/>
      <c r="U190" s="273"/>
      <c r="V190" s="273"/>
      <c r="W190" s="273"/>
    </row>
    <row r="191" spans="17:23">
      <c r="Q191" s="273"/>
      <c r="R191" s="273"/>
      <c r="S191" s="273"/>
      <c r="T191" s="273"/>
      <c r="U191" s="273"/>
      <c r="V191" s="273"/>
      <c r="W191" s="273"/>
    </row>
    <row r="192" spans="17:23">
      <c r="Q192" s="273"/>
      <c r="R192" s="273"/>
      <c r="S192" s="273"/>
      <c r="T192" s="273"/>
      <c r="U192" s="273"/>
      <c r="V192" s="273"/>
      <c r="W192" s="273"/>
    </row>
    <row r="193" spans="17:23">
      <c r="Q193" s="273"/>
      <c r="R193" s="273"/>
      <c r="S193" s="273"/>
      <c r="T193" s="273"/>
      <c r="U193" s="273"/>
      <c r="V193" s="273"/>
      <c r="W193" s="273"/>
    </row>
    <row r="194" spans="17:23">
      <c r="Q194" s="273"/>
      <c r="R194" s="273"/>
      <c r="S194" s="273"/>
      <c r="T194" s="273"/>
      <c r="U194" s="273"/>
      <c r="V194" s="273"/>
      <c r="W194" s="273"/>
    </row>
    <row r="195" spans="17:23">
      <c r="Q195" s="273"/>
      <c r="R195" s="273"/>
      <c r="S195" s="273"/>
      <c r="T195" s="273"/>
      <c r="U195" s="273"/>
      <c r="V195" s="273"/>
      <c r="W195" s="273"/>
    </row>
    <row r="196" spans="17:23">
      <c r="Q196" s="273"/>
      <c r="R196" s="273"/>
      <c r="S196" s="273"/>
      <c r="T196" s="273"/>
      <c r="U196" s="273"/>
      <c r="V196" s="273"/>
      <c r="W196" s="273"/>
    </row>
    <row r="197" spans="17:23">
      <c r="Q197" s="273"/>
      <c r="R197" s="273"/>
      <c r="S197" s="273"/>
      <c r="T197" s="273"/>
      <c r="U197" s="273"/>
      <c r="V197" s="273"/>
      <c r="W197" s="273"/>
    </row>
    <row r="198" spans="17:23">
      <c r="Q198" s="273"/>
      <c r="R198" s="273"/>
      <c r="S198" s="273"/>
      <c r="T198" s="273"/>
      <c r="U198" s="273"/>
      <c r="V198" s="273"/>
      <c r="W198" s="273"/>
    </row>
    <row r="199" spans="17:23">
      <c r="Q199" s="273"/>
      <c r="R199" s="273"/>
      <c r="S199" s="273"/>
      <c r="T199" s="273"/>
      <c r="U199" s="273"/>
      <c r="V199" s="273"/>
      <c r="W199" s="273"/>
    </row>
    <row r="200" spans="17:23">
      <c r="Q200" s="273"/>
      <c r="R200" s="273"/>
      <c r="S200" s="273"/>
      <c r="T200" s="273"/>
      <c r="U200" s="273"/>
      <c r="V200" s="273"/>
      <c r="W200" s="273"/>
    </row>
    <row r="201" spans="17:23">
      <c r="Q201" s="273"/>
      <c r="R201" s="273"/>
      <c r="S201" s="273"/>
      <c r="T201" s="273"/>
      <c r="U201" s="273"/>
      <c r="V201" s="273"/>
      <c r="W201" s="273"/>
    </row>
    <row r="202" spans="17:23">
      <c r="Q202" s="273"/>
      <c r="R202" s="273"/>
      <c r="S202" s="273"/>
      <c r="T202" s="273"/>
      <c r="U202" s="273"/>
      <c r="V202" s="273"/>
      <c r="W202" s="273"/>
    </row>
    <row r="203" spans="17:23">
      <c r="Q203" s="273"/>
      <c r="R203" s="273"/>
      <c r="S203" s="273"/>
      <c r="T203" s="273"/>
      <c r="U203" s="273"/>
      <c r="V203" s="273"/>
      <c r="W203" s="273"/>
    </row>
    <row r="204" spans="17:23">
      <c r="Q204" s="273"/>
      <c r="R204" s="273"/>
      <c r="S204" s="273"/>
      <c r="T204" s="273"/>
      <c r="U204" s="273"/>
      <c r="V204" s="273"/>
      <c r="W204" s="273"/>
    </row>
    <row r="205" spans="17:23">
      <c r="Q205" s="273"/>
      <c r="R205" s="273"/>
      <c r="S205" s="273"/>
      <c r="T205" s="273"/>
      <c r="U205" s="273"/>
      <c r="V205" s="273"/>
      <c r="W205" s="273"/>
    </row>
    <row r="206" spans="17:23">
      <c r="Q206" s="273"/>
      <c r="R206" s="273"/>
      <c r="S206" s="273"/>
      <c r="T206" s="273"/>
      <c r="U206" s="273"/>
      <c r="V206" s="273"/>
      <c r="W206" s="273"/>
    </row>
    <row r="207" spans="17:23">
      <c r="Q207" s="273"/>
      <c r="R207" s="273"/>
      <c r="S207" s="273"/>
      <c r="T207" s="273"/>
      <c r="U207" s="273"/>
      <c r="V207" s="273"/>
      <c r="W207" s="273"/>
    </row>
    <row r="208" spans="17:23">
      <c r="Q208" s="273"/>
      <c r="R208" s="273"/>
      <c r="S208" s="273"/>
      <c r="T208" s="273"/>
      <c r="U208" s="273"/>
      <c r="V208" s="273"/>
      <c r="W208" s="273"/>
    </row>
    <row r="209" spans="17:23">
      <c r="Q209" s="273"/>
      <c r="R209" s="273"/>
      <c r="S209" s="273"/>
      <c r="T209" s="273"/>
      <c r="U209" s="273"/>
      <c r="V209" s="273"/>
      <c r="W209" s="273"/>
    </row>
    <row r="210" spans="17:23">
      <c r="Q210" s="273"/>
      <c r="R210" s="273"/>
      <c r="S210" s="273"/>
      <c r="T210" s="273"/>
      <c r="U210" s="273"/>
      <c r="V210" s="273"/>
      <c r="W210" s="273"/>
    </row>
    <row r="211" spans="17:23">
      <c r="Q211" s="273"/>
      <c r="R211" s="273"/>
      <c r="S211" s="273"/>
      <c r="T211" s="273"/>
      <c r="U211" s="273"/>
      <c r="V211" s="273"/>
      <c r="W211" s="273"/>
    </row>
    <row r="212" spans="17:23">
      <c r="Q212" s="273"/>
      <c r="R212" s="273"/>
      <c r="S212" s="273"/>
      <c r="T212" s="273"/>
      <c r="U212" s="273"/>
      <c r="V212" s="273"/>
      <c r="W212" s="273"/>
    </row>
    <row r="213" spans="17:23">
      <c r="Q213" s="273"/>
      <c r="R213" s="273"/>
      <c r="S213" s="273"/>
      <c r="T213" s="273"/>
      <c r="U213" s="273"/>
      <c r="V213" s="273"/>
      <c r="W213" s="273"/>
    </row>
    <row r="214" spans="17:23">
      <c r="Q214" s="273"/>
      <c r="R214" s="273"/>
      <c r="S214" s="273"/>
      <c r="T214" s="273"/>
      <c r="U214" s="273"/>
      <c r="V214" s="273"/>
      <c r="W214" s="273"/>
    </row>
    <row r="215" spans="17:23">
      <c r="Q215" s="273"/>
      <c r="R215" s="273"/>
      <c r="S215" s="273"/>
      <c r="T215" s="273"/>
      <c r="U215" s="273"/>
      <c r="V215" s="273"/>
      <c r="W215" s="273"/>
    </row>
    <row r="216" spans="17:23">
      <c r="Q216" s="273"/>
      <c r="R216" s="273"/>
      <c r="S216" s="273"/>
      <c r="T216" s="273"/>
      <c r="U216" s="273"/>
      <c r="V216" s="273"/>
      <c r="W216" s="273"/>
    </row>
    <row r="217" spans="17:23">
      <c r="Q217" s="273"/>
      <c r="R217" s="273"/>
      <c r="S217" s="273"/>
      <c r="T217" s="273"/>
      <c r="U217" s="273"/>
      <c r="V217" s="273"/>
      <c r="W217" s="273"/>
    </row>
    <row r="218" spans="17:23">
      <c r="Q218" s="273"/>
      <c r="R218" s="273"/>
      <c r="S218" s="273"/>
      <c r="T218" s="273"/>
      <c r="U218" s="273"/>
      <c r="V218" s="273"/>
      <c r="W218" s="273"/>
    </row>
    <row r="219" spans="17:23">
      <c r="Q219" s="273"/>
      <c r="R219" s="273"/>
      <c r="S219" s="273"/>
      <c r="T219" s="273"/>
      <c r="U219" s="273"/>
      <c r="V219" s="273"/>
      <c r="W219" s="273"/>
    </row>
    <row r="220" spans="17:23">
      <c r="Q220" s="273"/>
      <c r="R220" s="273"/>
      <c r="S220" s="273"/>
      <c r="T220" s="273"/>
      <c r="U220" s="273"/>
      <c r="V220" s="273"/>
      <c r="W220" s="273"/>
    </row>
    <row r="221" spans="17:23">
      <c r="Q221" s="273"/>
      <c r="R221" s="273"/>
      <c r="S221" s="273"/>
      <c r="T221" s="273"/>
      <c r="U221" s="273"/>
      <c r="V221" s="273"/>
      <c r="W221" s="273"/>
    </row>
    <row r="222" spans="17:23">
      <c r="Q222" s="273"/>
      <c r="R222" s="273"/>
      <c r="S222" s="273"/>
      <c r="T222" s="273"/>
      <c r="U222" s="273"/>
      <c r="V222" s="273"/>
      <c r="W222" s="273"/>
    </row>
    <row r="223" spans="17:23">
      <c r="Q223" s="273"/>
      <c r="R223" s="273"/>
      <c r="S223" s="273"/>
      <c r="T223" s="273"/>
      <c r="U223" s="273"/>
      <c r="V223" s="273"/>
      <c r="W223" s="273"/>
    </row>
    <row r="224" spans="17:23">
      <c r="Q224" s="273"/>
      <c r="R224" s="273"/>
      <c r="S224" s="273"/>
      <c r="T224" s="273"/>
      <c r="U224" s="273"/>
      <c r="V224" s="273"/>
      <c r="W224" s="273"/>
    </row>
    <row r="225" spans="17:23">
      <c r="Q225" s="273"/>
      <c r="R225" s="273"/>
      <c r="S225" s="273"/>
      <c r="T225" s="273"/>
      <c r="U225" s="273"/>
      <c r="V225" s="273"/>
      <c r="W225" s="273"/>
    </row>
    <row r="226" spans="17:23">
      <c r="Q226" s="273"/>
      <c r="R226" s="273"/>
      <c r="S226" s="273"/>
      <c r="T226" s="273"/>
      <c r="U226" s="273"/>
      <c r="V226" s="273"/>
      <c r="W226" s="273"/>
    </row>
    <row r="227" spans="17:23">
      <c r="Q227" s="273"/>
      <c r="R227" s="273"/>
      <c r="S227" s="273"/>
      <c r="T227" s="273"/>
      <c r="U227" s="273"/>
      <c r="V227" s="273"/>
      <c r="W227" s="273"/>
    </row>
    <row r="228" spans="17:23">
      <c r="Q228" s="273"/>
      <c r="R228" s="273"/>
      <c r="S228" s="273"/>
      <c r="T228" s="273"/>
      <c r="U228" s="273"/>
      <c r="V228" s="273"/>
      <c r="W228" s="273"/>
    </row>
    <row r="229" spans="17:23">
      <c r="Q229" s="273"/>
      <c r="R229" s="273"/>
      <c r="S229" s="273"/>
      <c r="T229" s="273"/>
      <c r="U229" s="273"/>
      <c r="V229" s="273"/>
      <c r="W229" s="273"/>
    </row>
    <row r="230" spans="17:23">
      <c r="Q230" s="273"/>
      <c r="R230" s="273"/>
      <c r="S230" s="273"/>
      <c r="T230" s="273"/>
      <c r="U230" s="273"/>
      <c r="V230" s="273"/>
      <c r="W230" s="273"/>
    </row>
    <row r="231" spans="17:23">
      <c r="Q231" s="273"/>
      <c r="R231" s="273"/>
      <c r="S231" s="273"/>
      <c r="T231" s="273"/>
      <c r="U231" s="273"/>
      <c r="V231" s="273"/>
      <c r="W231" s="273"/>
    </row>
    <row r="232" spans="17:23">
      <c r="Q232" s="273"/>
      <c r="R232" s="273"/>
      <c r="S232" s="273"/>
      <c r="T232" s="273"/>
      <c r="U232" s="273"/>
      <c r="V232" s="273"/>
      <c r="W232" s="273"/>
    </row>
    <row r="233" spans="17:23">
      <c r="Q233" s="273"/>
      <c r="R233" s="273"/>
      <c r="S233" s="273"/>
      <c r="T233" s="273"/>
      <c r="U233" s="273"/>
      <c r="V233" s="273"/>
      <c r="W233" s="273"/>
    </row>
    <row r="234" spans="17:23">
      <c r="Q234" s="273"/>
      <c r="R234" s="273"/>
      <c r="S234" s="273"/>
      <c r="T234" s="273"/>
      <c r="U234" s="273"/>
      <c r="V234" s="273"/>
      <c r="W234" s="273"/>
    </row>
    <row r="235" spans="17:23">
      <c r="Q235" s="273"/>
      <c r="R235" s="273"/>
      <c r="S235" s="273"/>
      <c r="T235" s="273"/>
      <c r="U235" s="273"/>
      <c r="V235" s="273"/>
      <c r="W235" s="273"/>
    </row>
    <row r="236" spans="17:23">
      <c r="Q236" s="273"/>
      <c r="R236" s="273"/>
      <c r="S236" s="273"/>
      <c r="T236" s="273"/>
      <c r="U236" s="273"/>
      <c r="V236" s="273"/>
      <c r="W236" s="273"/>
    </row>
    <row r="237" spans="17:23">
      <c r="Q237" s="273"/>
      <c r="R237" s="273"/>
      <c r="S237" s="273"/>
      <c r="T237" s="273"/>
      <c r="U237" s="273"/>
      <c r="V237" s="273"/>
      <c r="W237" s="273"/>
    </row>
    <row r="238" spans="17:23">
      <c r="Q238" s="273"/>
      <c r="R238" s="273"/>
      <c r="S238" s="273"/>
      <c r="T238" s="273"/>
      <c r="U238" s="273"/>
      <c r="V238" s="273"/>
      <c r="W238" s="273"/>
    </row>
    <row r="239" spans="17:23">
      <c r="Q239" s="273"/>
      <c r="R239" s="273"/>
      <c r="S239" s="273"/>
      <c r="T239" s="273"/>
      <c r="U239" s="273"/>
      <c r="V239" s="273"/>
      <c r="W239" s="273"/>
    </row>
    <row r="240" spans="17:23">
      <c r="Q240" s="273"/>
      <c r="R240" s="273"/>
      <c r="S240" s="273"/>
      <c r="T240" s="273"/>
      <c r="U240" s="273"/>
      <c r="V240" s="273"/>
      <c r="W240" s="273"/>
    </row>
    <row r="241" spans="17:23">
      <c r="Q241" s="273"/>
      <c r="R241" s="273"/>
      <c r="S241" s="273"/>
      <c r="T241" s="273"/>
      <c r="U241" s="273"/>
      <c r="V241" s="273"/>
      <c r="W241" s="273"/>
    </row>
    <row r="242" spans="17:23">
      <c r="Q242" s="273"/>
      <c r="R242" s="273"/>
      <c r="S242" s="273"/>
      <c r="T242" s="273"/>
      <c r="U242" s="273"/>
      <c r="V242" s="273"/>
      <c r="W242" s="273"/>
    </row>
    <row r="243" spans="17:23">
      <c r="Q243" s="273"/>
      <c r="R243" s="273"/>
      <c r="S243" s="273"/>
      <c r="T243" s="273"/>
      <c r="U243" s="273"/>
      <c r="V243" s="273"/>
      <c r="W243" s="273"/>
    </row>
    <row r="244" spans="17:23">
      <c r="Q244" s="273"/>
      <c r="R244" s="273"/>
      <c r="S244" s="273"/>
      <c r="T244" s="273"/>
      <c r="U244" s="273"/>
      <c r="V244" s="273"/>
      <c r="W244" s="273"/>
    </row>
    <row r="245" spans="17:23">
      <c r="Q245" s="273"/>
      <c r="R245" s="273"/>
      <c r="S245" s="273"/>
      <c r="T245" s="273"/>
      <c r="U245" s="273"/>
      <c r="V245" s="273"/>
      <c r="W245" s="273"/>
    </row>
    <row r="246" spans="17:23">
      <c r="Q246" s="273"/>
      <c r="R246" s="273"/>
      <c r="S246" s="273"/>
      <c r="T246" s="273"/>
      <c r="U246" s="273"/>
      <c r="V246" s="273"/>
      <c r="W246" s="273"/>
    </row>
    <row r="247" spans="17:23">
      <c r="Q247" s="273"/>
      <c r="R247" s="273"/>
      <c r="S247" s="273"/>
      <c r="T247" s="273"/>
      <c r="U247" s="273"/>
      <c r="V247" s="273"/>
      <c r="W247" s="273"/>
    </row>
    <row r="248" spans="17:23">
      <c r="Q248" s="273"/>
      <c r="R248" s="273"/>
      <c r="S248" s="273"/>
      <c r="T248" s="273"/>
      <c r="U248" s="273"/>
      <c r="V248" s="273"/>
      <c r="W248" s="273"/>
    </row>
    <row r="249" spans="17:23">
      <c r="Q249" s="273"/>
      <c r="R249" s="273"/>
      <c r="S249" s="273"/>
      <c r="T249" s="273"/>
      <c r="U249" s="273"/>
      <c r="V249" s="273"/>
      <c r="W249" s="273"/>
    </row>
    <row r="250" spans="17:23">
      <c r="Q250" s="273"/>
      <c r="R250" s="273"/>
      <c r="S250" s="273"/>
      <c r="T250" s="273"/>
      <c r="U250" s="273"/>
      <c r="V250" s="273"/>
      <c r="W250" s="273"/>
    </row>
    <row r="251" spans="17:23">
      <c r="Q251" s="273"/>
      <c r="R251" s="273"/>
      <c r="S251" s="273"/>
      <c r="T251" s="273"/>
      <c r="U251" s="273"/>
      <c r="V251" s="273"/>
      <c r="W251" s="273"/>
    </row>
    <row r="252" spans="17:23">
      <c r="Q252" s="273"/>
      <c r="R252" s="273"/>
      <c r="S252" s="273"/>
      <c r="T252" s="273"/>
      <c r="U252" s="273"/>
      <c r="V252" s="273"/>
      <c r="W252" s="273"/>
    </row>
    <row r="253" spans="17:23">
      <c r="Q253" s="273"/>
      <c r="R253" s="273"/>
      <c r="S253" s="273"/>
      <c r="T253" s="273"/>
      <c r="U253" s="273"/>
      <c r="V253" s="273"/>
      <c r="W253" s="273"/>
    </row>
    <row r="254" spans="17:23">
      <c r="Q254" s="273"/>
      <c r="R254" s="273"/>
      <c r="S254" s="273"/>
      <c r="T254" s="273"/>
      <c r="U254" s="273"/>
      <c r="V254" s="273"/>
      <c r="W254" s="273"/>
    </row>
    <row r="255" spans="17:23">
      <c r="Q255" s="273"/>
      <c r="R255" s="273"/>
      <c r="S255" s="273"/>
      <c r="T255" s="273"/>
      <c r="U255" s="273"/>
      <c r="V255" s="273"/>
      <c r="W255" s="273"/>
    </row>
    <row r="256" spans="17:23">
      <c r="Q256" s="273"/>
      <c r="R256" s="273"/>
      <c r="S256" s="273"/>
      <c r="T256" s="273"/>
      <c r="U256" s="273"/>
      <c r="V256" s="273"/>
      <c r="W256" s="273"/>
    </row>
    <row r="257" spans="17:23">
      <c r="Q257" s="273"/>
      <c r="R257" s="273"/>
      <c r="S257" s="273"/>
      <c r="T257" s="273"/>
      <c r="U257" s="273"/>
      <c r="V257" s="273"/>
      <c r="W257" s="273"/>
    </row>
    <row r="258" spans="17:23">
      <c r="Q258" s="273"/>
      <c r="R258" s="273"/>
      <c r="S258" s="273"/>
      <c r="T258" s="273"/>
      <c r="U258" s="273"/>
      <c r="V258" s="273"/>
      <c r="W258" s="273"/>
    </row>
    <row r="259" spans="17:23">
      <c r="Q259" s="273"/>
      <c r="R259" s="273"/>
      <c r="S259" s="273"/>
      <c r="T259" s="273"/>
      <c r="U259" s="273"/>
      <c r="V259" s="273"/>
      <c r="W259" s="273"/>
    </row>
    <row r="260" spans="17:23">
      <c r="Q260" s="273"/>
      <c r="R260" s="273"/>
      <c r="S260" s="273"/>
      <c r="T260" s="273"/>
      <c r="U260" s="273"/>
      <c r="V260" s="273"/>
      <c r="W260" s="273"/>
    </row>
    <row r="261" spans="17:23">
      <c r="Q261" s="273"/>
      <c r="R261" s="273"/>
      <c r="S261" s="273"/>
      <c r="T261" s="273"/>
      <c r="U261" s="273"/>
      <c r="V261" s="273"/>
      <c r="W261" s="273"/>
    </row>
    <row r="262" spans="17:23">
      <c r="Q262" s="273"/>
      <c r="R262" s="273"/>
      <c r="S262" s="273"/>
      <c r="T262" s="273"/>
      <c r="U262" s="273"/>
      <c r="V262" s="273"/>
      <c r="W262" s="273"/>
    </row>
    <row r="263" spans="17:23">
      <c r="Q263" s="273"/>
      <c r="R263" s="273"/>
      <c r="S263" s="273"/>
      <c r="T263" s="273"/>
      <c r="U263" s="273"/>
      <c r="V263" s="273"/>
      <c r="W263" s="273"/>
    </row>
    <row r="264" spans="17:23">
      <c r="Q264" s="273"/>
      <c r="R264" s="273"/>
      <c r="S264" s="273"/>
      <c r="T264" s="273"/>
      <c r="U264" s="273"/>
      <c r="V264" s="273"/>
      <c r="W264" s="273"/>
    </row>
    <row r="265" spans="17:23">
      <c r="Q265" s="273"/>
      <c r="R265" s="273"/>
      <c r="S265" s="273"/>
      <c r="T265" s="273"/>
      <c r="U265" s="273"/>
      <c r="V265" s="273"/>
      <c r="W265" s="273"/>
    </row>
    <row r="266" spans="17:23">
      <c r="Q266" s="273"/>
      <c r="R266" s="273"/>
      <c r="S266" s="273"/>
      <c r="T266" s="273"/>
      <c r="U266" s="273"/>
      <c r="V266" s="273"/>
      <c r="W266" s="273"/>
    </row>
    <row r="267" spans="17:23">
      <c r="Q267" s="273"/>
      <c r="R267" s="273"/>
      <c r="S267" s="273"/>
      <c r="T267" s="273"/>
      <c r="U267" s="273"/>
      <c r="V267" s="273"/>
      <c r="W267" s="273"/>
    </row>
    <row r="268" spans="17:23">
      <c r="Q268" s="273"/>
      <c r="R268" s="273"/>
      <c r="S268" s="273"/>
      <c r="T268" s="273"/>
      <c r="U268" s="273"/>
      <c r="V268" s="273"/>
      <c r="W268" s="273"/>
    </row>
    <row r="269" spans="17:23">
      <c r="Q269" s="273"/>
      <c r="R269" s="273"/>
      <c r="S269" s="273"/>
      <c r="T269" s="273"/>
      <c r="U269" s="273"/>
      <c r="V269" s="273"/>
      <c r="W269" s="273"/>
    </row>
    <row r="270" spans="17:23">
      <c r="Q270" s="273"/>
      <c r="R270" s="273"/>
      <c r="S270" s="273"/>
      <c r="T270" s="273"/>
      <c r="U270" s="273"/>
      <c r="V270" s="273"/>
      <c r="W270" s="273"/>
    </row>
    <row r="271" spans="17:23">
      <c r="Q271" s="273"/>
      <c r="R271" s="273"/>
      <c r="S271" s="273"/>
      <c r="T271" s="273"/>
      <c r="U271" s="273"/>
      <c r="V271" s="273"/>
      <c r="W271" s="273"/>
    </row>
    <row r="272" spans="17:23">
      <c r="Q272" s="273"/>
      <c r="R272" s="273"/>
      <c r="S272" s="273"/>
      <c r="T272" s="273"/>
      <c r="U272" s="273"/>
      <c r="V272" s="273"/>
      <c r="W272" s="273"/>
    </row>
    <row r="273" spans="17:23">
      <c r="Q273" s="273"/>
      <c r="R273" s="273"/>
      <c r="S273" s="273"/>
      <c r="T273" s="273"/>
      <c r="U273" s="273"/>
      <c r="V273" s="273"/>
      <c r="W273" s="273"/>
    </row>
    <row r="274" spans="17:23">
      <c r="Q274" s="273"/>
      <c r="R274" s="273"/>
      <c r="S274" s="273"/>
      <c r="T274" s="273"/>
      <c r="U274" s="273"/>
      <c r="V274" s="273"/>
      <c r="W274" s="273"/>
    </row>
    <row r="275" spans="17:23">
      <c r="Q275" s="273"/>
      <c r="R275" s="273"/>
      <c r="S275" s="273"/>
      <c r="T275" s="273"/>
      <c r="U275" s="273"/>
      <c r="V275" s="273"/>
      <c r="W275" s="273"/>
    </row>
    <row r="276" spans="17:23">
      <c r="Q276" s="273"/>
      <c r="R276" s="273"/>
      <c r="S276" s="273"/>
      <c r="T276" s="273"/>
      <c r="U276" s="273"/>
      <c r="V276" s="273"/>
      <c r="W276" s="273"/>
    </row>
    <row r="277" spans="17:23">
      <c r="Q277" s="273"/>
      <c r="R277" s="273"/>
      <c r="S277" s="273"/>
      <c r="T277" s="273"/>
      <c r="U277" s="273"/>
      <c r="V277" s="273"/>
      <c r="W277" s="273"/>
    </row>
    <row r="278" spans="17:23">
      <c r="Q278" s="273"/>
      <c r="R278" s="273"/>
      <c r="S278" s="273"/>
      <c r="T278" s="273"/>
      <c r="U278" s="273"/>
      <c r="V278" s="273"/>
      <c r="W278" s="273"/>
    </row>
    <row r="279" spans="17:23">
      <c r="Q279" s="273"/>
      <c r="R279" s="273"/>
      <c r="S279" s="273"/>
      <c r="T279" s="273"/>
      <c r="U279" s="273"/>
      <c r="V279" s="273"/>
      <c r="W279" s="273"/>
    </row>
    <row r="280" spans="17:23">
      <c r="Q280" s="273"/>
      <c r="R280" s="273"/>
      <c r="S280" s="273"/>
      <c r="T280" s="273"/>
      <c r="U280" s="273"/>
      <c r="V280" s="273"/>
      <c r="W280" s="273"/>
    </row>
    <row r="281" spans="17:23">
      <c r="Q281" s="273"/>
      <c r="R281" s="273"/>
      <c r="S281" s="273"/>
      <c r="T281" s="273"/>
      <c r="U281" s="273"/>
      <c r="V281" s="273"/>
      <c r="W281" s="273"/>
    </row>
    <row r="282" spans="17:23">
      <c r="Q282" s="273"/>
      <c r="R282" s="273"/>
      <c r="S282" s="273"/>
      <c r="T282" s="273"/>
      <c r="U282" s="273"/>
      <c r="V282" s="273"/>
      <c r="W282" s="273"/>
    </row>
    <row r="283" spans="17:23">
      <c r="Q283" s="273"/>
      <c r="R283" s="273"/>
      <c r="S283" s="273"/>
      <c r="T283" s="273"/>
      <c r="U283" s="273"/>
      <c r="V283" s="273"/>
      <c r="W283" s="273"/>
    </row>
    <row r="284" spans="17:23">
      <c r="Q284" s="273"/>
      <c r="R284" s="273"/>
      <c r="S284" s="273"/>
      <c r="T284" s="273"/>
      <c r="U284" s="273"/>
      <c r="V284" s="273"/>
      <c r="W284" s="273"/>
    </row>
    <row r="285" spans="17:23">
      <c r="Q285" s="273"/>
      <c r="R285" s="273"/>
      <c r="S285" s="273"/>
      <c r="T285" s="273"/>
      <c r="U285" s="273"/>
      <c r="V285" s="273"/>
      <c r="W285" s="273"/>
    </row>
    <row r="286" spans="17:23">
      <c r="Q286" s="273"/>
      <c r="R286" s="273"/>
      <c r="S286" s="273"/>
      <c r="T286" s="273"/>
      <c r="U286" s="273"/>
      <c r="V286" s="273"/>
      <c r="W286" s="273"/>
    </row>
    <row r="287" spans="17:23">
      <c r="Q287" s="273"/>
      <c r="R287" s="273"/>
      <c r="S287" s="273"/>
      <c r="T287" s="273"/>
      <c r="U287" s="273"/>
      <c r="V287" s="273"/>
      <c r="W287" s="273"/>
    </row>
    <row r="288" spans="17:23">
      <c r="Q288" s="273"/>
      <c r="R288" s="273"/>
      <c r="S288" s="273"/>
      <c r="T288" s="273"/>
      <c r="U288" s="273"/>
      <c r="V288" s="273"/>
      <c r="W288" s="273"/>
    </row>
    <row r="289" spans="17:23">
      <c r="Q289" s="273"/>
      <c r="R289" s="273"/>
      <c r="S289" s="273"/>
      <c r="T289" s="273"/>
      <c r="U289" s="273"/>
      <c r="V289" s="273"/>
      <c r="W289" s="273"/>
    </row>
    <row r="290" spans="17:23">
      <c r="Q290" s="273"/>
      <c r="R290" s="273"/>
      <c r="S290" s="273"/>
      <c r="T290" s="273"/>
      <c r="U290" s="273"/>
      <c r="V290" s="273"/>
      <c r="W290" s="273"/>
    </row>
    <row r="291" spans="17:23">
      <c r="Q291" s="273"/>
      <c r="R291" s="273"/>
      <c r="S291" s="273"/>
      <c r="T291" s="273"/>
      <c r="U291" s="273"/>
      <c r="V291" s="273"/>
      <c r="W291" s="273"/>
    </row>
    <row r="292" spans="17:23">
      <c r="Q292" s="273"/>
      <c r="R292" s="273"/>
      <c r="S292" s="273"/>
      <c r="T292" s="273"/>
      <c r="U292" s="273"/>
      <c r="V292" s="273"/>
      <c r="W292" s="273"/>
    </row>
    <row r="293" spans="17:23">
      <c r="Q293" s="273"/>
      <c r="R293" s="273"/>
      <c r="S293" s="273"/>
      <c r="T293" s="273"/>
      <c r="U293" s="273"/>
      <c r="V293" s="273"/>
      <c r="W293" s="273"/>
    </row>
    <row r="294" spans="17:23">
      <c r="Q294" s="273"/>
      <c r="R294" s="273"/>
      <c r="S294" s="273"/>
      <c r="T294" s="273"/>
      <c r="U294" s="273"/>
      <c r="V294" s="273"/>
      <c r="W294" s="273"/>
    </row>
    <row r="295" spans="17:23">
      <c r="Q295" s="273"/>
      <c r="R295" s="273"/>
      <c r="S295" s="273"/>
      <c r="T295" s="273"/>
      <c r="U295" s="273"/>
      <c r="V295" s="273"/>
      <c r="W295" s="273"/>
    </row>
    <row r="296" spans="17:23">
      <c r="Q296" s="273"/>
      <c r="R296" s="273"/>
      <c r="S296" s="273"/>
      <c r="T296" s="273"/>
      <c r="U296" s="273"/>
      <c r="V296" s="273"/>
      <c r="W296" s="273"/>
    </row>
    <row r="297" spans="17:23">
      <c r="Q297" s="273"/>
      <c r="R297" s="273"/>
      <c r="S297" s="273"/>
      <c r="T297" s="273"/>
      <c r="U297" s="273"/>
      <c r="V297" s="273"/>
      <c r="W297" s="273"/>
    </row>
    <row r="298" spans="17:23">
      <c r="Q298" s="273"/>
      <c r="R298" s="273"/>
      <c r="S298" s="273"/>
      <c r="T298" s="273"/>
      <c r="U298" s="273"/>
      <c r="V298" s="273"/>
      <c r="W298" s="273"/>
    </row>
    <row r="299" spans="17:23">
      <c r="Q299" s="273"/>
      <c r="R299" s="273"/>
      <c r="S299" s="273"/>
      <c r="T299" s="273"/>
      <c r="U299" s="273"/>
      <c r="V299" s="273"/>
      <c r="W299" s="273"/>
    </row>
    <row r="300" spans="17:23">
      <c r="Q300" s="273"/>
      <c r="R300" s="273"/>
      <c r="S300" s="273"/>
      <c r="T300" s="273"/>
      <c r="U300" s="273"/>
      <c r="V300" s="273"/>
      <c r="W300" s="273"/>
    </row>
    <row r="301" spans="17:23">
      <c r="Q301" s="273"/>
      <c r="R301" s="273"/>
      <c r="S301" s="273"/>
      <c r="T301" s="273"/>
      <c r="U301" s="273"/>
      <c r="V301" s="273"/>
      <c r="W301" s="273"/>
    </row>
    <row r="302" spans="17:23">
      <c r="Q302" s="273"/>
      <c r="R302" s="273"/>
      <c r="S302" s="273"/>
      <c r="T302" s="273"/>
      <c r="U302" s="273"/>
      <c r="V302" s="273"/>
      <c r="W302" s="273"/>
    </row>
    <row r="303" spans="17:23">
      <c r="Q303" s="273"/>
      <c r="R303" s="273"/>
      <c r="S303" s="273"/>
      <c r="T303" s="273"/>
      <c r="U303" s="273"/>
      <c r="V303" s="273"/>
      <c r="W303" s="273"/>
    </row>
    <row r="304" spans="17:23">
      <c r="Q304" s="273"/>
      <c r="R304" s="273"/>
      <c r="S304" s="273"/>
      <c r="T304" s="273"/>
      <c r="U304" s="273"/>
      <c r="V304" s="273"/>
      <c r="W304" s="273"/>
    </row>
    <row r="305" spans="17:23">
      <c r="Q305" s="273"/>
      <c r="R305" s="273"/>
      <c r="S305" s="273"/>
      <c r="T305" s="273"/>
      <c r="U305" s="273"/>
      <c r="V305" s="273"/>
      <c r="W305" s="273"/>
    </row>
    <row r="306" spans="17:23">
      <c r="Q306" s="273"/>
      <c r="R306" s="273"/>
      <c r="S306" s="273"/>
      <c r="T306" s="273"/>
      <c r="U306" s="273"/>
      <c r="V306" s="273"/>
      <c r="W306" s="273"/>
    </row>
    <row r="307" spans="17:23">
      <c r="Q307" s="273"/>
      <c r="R307" s="273"/>
      <c r="S307" s="273"/>
      <c r="T307" s="273"/>
      <c r="U307" s="273"/>
      <c r="V307" s="273"/>
      <c r="W307" s="273"/>
    </row>
    <row r="308" spans="17:23">
      <c r="Q308" s="273"/>
      <c r="R308" s="273"/>
      <c r="S308" s="273"/>
      <c r="T308" s="273"/>
      <c r="U308" s="273"/>
      <c r="V308" s="273"/>
      <c r="W308" s="273"/>
    </row>
    <row r="309" spans="17:23">
      <c r="Q309" s="273"/>
      <c r="R309" s="273"/>
      <c r="S309" s="273"/>
      <c r="T309" s="273"/>
      <c r="U309" s="273"/>
      <c r="V309" s="273"/>
      <c r="W309" s="273"/>
    </row>
    <row r="310" spans="17:23">
      <c r="Q310" s="273"/>
      <c r="R310" s="273"/>
      <c r="S310" s="273"/>
      <c r="T310" s="273"/>
      <c r="U310" s="273"/>
      <c r="V310" s="273"/>
      <c r="W310" s="273"/>
    </row>
    <row r="311" spans="17:23">
      <c r="Q311" s="273"/>
      <c r="R311" s="273"/>
      <c r="S311" s="273"/>
      <c r="T311" s="273"/>
      <c r="U311" s="273"/>
      <c r="V311" s="273"/>
      <c r="W311" s="273"/>
    </row>
    <row r="312" spans="17:23">
      <c r="Q312" s="273"/>
      <c r="R312" s="273"/>
      <c r="S312" s="273"/>
      <c r="T312" s="273"/>
      <c r="U312" s="273"/>
      <c r="V312" s="273"/>
      <c r="W312" s="273"/>
    </row>
    <row r="313" spans="17:23">
      <c r="Q313" s="273"/>
      <c r="R313" s="273"/>
      <c r="S313" s="273"/>
      <c r="T313" s="273"/>
      <c r="U313" s="273"/>
      <c r="V313" s="273"/>
      <c r="W313" s="273"/>
    </row>
    <row r="314" spans="17:23">
      <c r="Q314" s="273"/>
      <c r="R314" s="273"/>
      <c r="S314" s="273"/>
      <c r="T314" s="273"/>
      <c r="U314" s="273"/>
      <c r="V314" s="273"/>
      <c r="W314" s="273"/>
    </row>
    <row r="315" spans="17:23">
      <c r="Q315" s="273"/>
      <c r="R315" s="273"/>
      <c r="S315" s="273"/>
      <c r="T315" s="273"/>
      <c r="U315" s="273"/>
      <c r="V315" s="273"/>
      <c r="W315" s="273"/>
    </row>
    <row r="316" spans="17:23">
      <c r="Q316" s="273"/>
      <c r="R316" s="273"/>
      <c r="S316" s="273"/>
      <c r="T316" s="273"/>
      <c r="U316" s="273"/>
      <c r="V316" s="273"/>
      <c r="W316" s="273"/>
    </row>
    <row r="317" spans="17:23">
      <c r="Q317" s="273"/>
      <c r="R317" s="273"/>
      <c r="S317" s="273"/>
      <c r="T317" s="273"/>
      <c r="U317" s="273"/>
      <c r="V317" s="273"/>
      <c r="W317" s="273"/>
    </row>
    <row r="318" spans="17:23">
      <c r="Q318" s="273"/>
      <c r="R318" s="273"/>
      <c r="S318" s="273"/>
      <c r="T318" s="273"/>
      <c r="U318" s="273"/>
      <c r="V318" s="273"/>
      <c r="W318" s="273"/>
    </row>
    <row r="319" spans="17:23">
      <c r="Q319" s="273"/>
      <c r="R319" s="273"/>
      <c r="S319" s="273"/>
      <c r="T319" s="273"/>
      <c r="U319" s="273"/>
      <c r="V319" s="273"/>
      <c r="W319" s="273"/>
    </row>
    <row r="320" spans="17:23">
      <c r="Q320" s="273"/>
      <c r="R320" s="273"/>
      <c r="S320" s="273"/>
      <c r="T320" s="273"/>
      <c r="U320" s="273"/>
      <c r="V320" s="273"/>
      <c r="W320" s="273"/>
    </row>
    <row r="321" spans="17:23">
      <c r="Q321" s="273"/>
      <c r="R321" s="273"/>
      <c r="S321" s="273"/>
      <c r="T321" s="273"/>
      <c r="U321" s="273"/>
      <c r="V321" s="273"/>
      <c r="W321" s="273"/>
    </row>
    <row r="322" spans="17:23">
      <c r="Q322" s="273"/>
      <c r="R322" s="273"/>
      <c r="S322" s="273"/>
      <c r="T322" s="273"/>
      <c r="U322" s="273"/>
      <c r="V322" s="273"/>
      <c r="W322" s="273"/>
    </row>
    <row r="323" spans="17:23">
      <c r="Q323" s="273"/>
      <c r="R323" s="273"/>
      <c r="S323" s="273"/>
      <c r="T323" s="273"/>
      <c r="U323" s="273"/>
      <c r="V323" s="273"/>
      <c r="W323" s="273"/>
    </row>
    <row r="324" spans="17:23">
      <c r="Q324" s="273"/>
      <c r="R324" s="273"/>
      <c r="S324" s="273"/>
      <c r="T324" s="273"/>
      <c r="U324" s="273"/>
      <c r="V324" s="273"/>
      <c r="W324" s="273"/>
    </row>
    <row r="325" spans="17:23">
      <c r="Q325" s="273"/>
      <c r="R325" s="273"/>
      <c r="S325" s="273"/>
      <c r="T325" s="273"/>
      <c r="U325" s="273"/>
      <c r="V325" s="273"/>
      <c r="W325" s="273"/>
    </row>
    <row r="326" spans="17:23">
      <c r="Q326" s="273"/>
      <c r="R326" s="273"/>
      <c r="S326" s="273"/>
      <c r="T326" s="273"/>
      <c r="U326" s="273"/>
      <c r="V326" s="273"/>
      <c r="W326" s="273"/>
    </row>
    <row r="327" spans="17:23">
      <c r="Q327" s="273"/>
      <c r="R327" s="273"/>
      <c r="S327" s="273"/>
      <c r="T327" s="273"/>
      <c r="U327" s="273"/>
      <c r="V327" s="273"/>
      <c r="W327" s="273"/>
    </row>
    <row r="328" spans="17:23">
      <c r="Q328" s="273"/>
      <c r="R328" s="273"/>
      <c r="S328" s="273"/>
      <c r="T328" s="273"/>
      <c r="U328" s="273"/>
      <c r="V328" s="273"/>
      <c r="W328" s="273"/>
    </row>
    <row r="329" spans="17:23">
      <c r="Q329" s="273"/>
      <c r="R329" s="273"/>
      <c r="S329" s="273"/>
      <c r="T329" s="273"/>
      <c r="U329" s="273"/>
      <c r="V329" s="273"/>
      <c r="W329" s="273"/>
    </row>
    <row r="330" spans="17:23">
      <c r="Q330" s="273"/>
      <c r="R330" s="273"/>
      <c r="S330" s="273"/>
      <c r="T330" s="273"/>
      <c r="U330" s="273"/>
      <c r="V330" s="273"/>
      <c r="W330" s="273"/>
    </row>
    <row r="331" spans="17:23">
      <c r="Q331" s="273"/>
      <c r="R331" s="273"/>
      <c r="S331" s="273"/>
      <c r="T331" s="273"/>
      <c r="U331" s="273"/>
      <c r="V331" s="273"/>
      <c r="W331" s="273"/>
    </row>
    <row r="332" spans="17:23">
      <c r="Q332" s="273"/>
      <c r="R332" s="273"/>
      <c r="S332" s="273"/>
      <c r="T332" s="273"/>
      <c r="U332" s="273"/>
      <c r="V332" s="273"/>
      <c r="W332" s="273"/>
    </row>
    <row r="333" spans="17:23">
      <c r="Q333" s="273"/>
      <c r="R333" s="273"/>
      <c r="S333" s="273"/>
      <c r="T333" s="273"/>
      <c r="U333" s="273"/>
      <c r="V333" s="273"/>
      <c r="W333" s="273"/>
    </row>
    <row r="334" spans="17:23">
      <c r="Q334" s="273"/>
      <c r="R334" s="273"/>
      <c r="S334" s="273"/>
      <c r="T334" s="273"/>
      <c r="U334" s="273"/>
      <c r="V334" s="273"/>
      <c r="W334" s="273"/>
    </row>
    <row r="335" spans="17:23">
      <c r="Q335" s="273"/>
      <c r="R335" s="273"/>
      <c r="S335" s="273"/>
      <c r="T335" s="273"/>
      <c r="U335" s="273"/>
      <c r="V335" s="273"/>
      <c r="W335" s="273"/>
    </row>
    <row r="336" spans="17:23">
      <c r="Q336" s="273"/>
      <c r="R336" s="273"/>
      <c r="S336" s="273"/>
      <c r="T336" s="273"/>
      <c r="U336" s="273"/>
      <c r="V336" s="273"/>
      <c r="W336" s="273"/>
    </row>
    <row r="337" spans="17:23">
      <c r="Q337" s="273"/>
      <c r="R337" s="273"/>
      <c r="S337" s="273"/>
      <c r="T337" s="273"/>
      <c r="U337" s="273"/>
      <c r="V337" s="273"/>
      <c r="W337" s="273"/>
    </row>
    <row r="338" spans="17:23">
      <c r="Q338" s="273"/>
      <c r="R338" s="273"/>
      <c r="S338" s="273"/>
      <c r="T338" s="273"/>
      <c r="U338" s="273"/>
      <c r="V338" s="273"/>
      <c r="W338" s="273"/>
    </row>
    <row r="339" spans="17:23">
      <c r="Q339" s="273"/>
      <c r="R339" s="273"/>
      <c r="S339" s="273"/>
      <c r="T339" s="273"/>
      <c r="U339" s="273"/>
      <c r="V339" s="273"/>
      <c r="W339" s="273"/>
    </row>
    <row r="340" spans="17:23">
      <c r="Q340" s="273"/>
      <c r="R340" s="273"/>
      <c r="S340" s="273"/>
      <c r="T340" s="273"/>
      <c r="U340" s="273"/>
      <c r="V340" s="273"/>
      <c r="W340" s="273"/>
    </row>
    <row r="341" spans="17:23">
      <c r="Q341" s="273"/>
      <c r="R341" s="273"/>
      <c r="S341" s="273"/>
      <c r="T341" s="273"/>
      <c r="U341" s="273"/>
      <c r="V341" s="273"/>
      <c r="W341" s="273"/>
    </row>
    <row r="342" spans="17:23">
      <c r="Q342" s="273"/>
      <c r="R342" s="273"/>
      <c r="S342" s="273"/>
      <c r="T342" s="273"/>
      <c r="U342" s="273"/>
      <c r="V342" s="273"/>
      <c r="W342" s="273"/>
    </row>
    <row r="343" spans="17:23">
      <c r="Q343" s="273"/>
      <c r="R343" s="273"/>
      <c r="S343" s="273"/>
      <c r="T343" s="273"/>
      <c r="U343" s="273"/>
      <c r="V343" s="273"/>
      <c r="W343" s="273"/>
    </row>
    <row r="344" spans="17:23">
      <c r="Q344" s="273"/>
      <c r="R344" s="273"/>
      <c r="S344" s="273"/>
      <c r="T344" s="273"/>
      <c r="U344" s="273"/>
      <c r="V344" s="273"/>
      <c r="W344" s="273"/>
    </row>
    <row r="345" spans="17:23">
      <c r="Q345" s="273"/>
      <c r="R345" s="273"/>
      <c r="S345" s="273"/>
      <c r="T345" s="273"/>
      <c r="U345" s="273"/>
      <c r="V345" s="273"/>
      <c r="W345" s="273"/>
    </row>
    <row r="346" spans="17:23">
      <c r="Q346" s="273"/>
      <c r="R346" s="273"/>
      <c r="S346" s="273"/>
      <c r="T346" s="273"/>
      <c r="U346" s="273"/>
      <c r="V346" s="273"/>
      <c r="W346" s="273"/>
    </row>
    <row r="347" spans="17:23">
      <c r="Q347" s="273"/>
      <c r="R347" s="273"/>
      <c r="S347" s="273"/>
      <c r="T347" s="273"/>
      <c r="U347" s="273"/>
      <c r="V347" s="273"/>
      <c r="W347" s="273"/>
    </row>
    <row r="348" spans="17:23">
      <c r="Q348" s="273"/>
      <c r="R348" s="273"/>
      <c r="S348" s="273"/>
      <c r="T348" s="273"/>
      <c r="U348" s="273"/>
      <c r="V348" s="273"/>
      <c r="W348" s="273"/>
    </row>
    <row r="349" spans="17:23">
      <c r="Q349" s="273"/>
      <c r="R349" s="273"/>
      <c r="S349" s="273"/>
      <c r="T349" s="273"/>
      <c r="U349" s="273"/>
      <c r="V349" s="273"/>
      <c r="W349" s="273"/>
    </row>
    <row r="350" spans="17:23">
      <c r="Q350" s="273"/>
      <c r="R350" s="273"/>
      <c r="S350" s="273"/>
      <c r="T350" s="273"/>
      <c r="U350" s="273"/>
      <c r="V350" s="273"/>
      <c r="W350" s="273"/>
    </row>
    <row r="351" spans="17:23">
      <c r="Q351" s="273"/>
      <c r="R351" s="273"/>
      <c r="S351" s="273"/>
      <c r="T351" s="273"/>
      <c r="U351" s="273"/>
      <c r="V351" s="273"/>
      <c r="W351" s="273"/>
    </row>
    <row r="352" spans="17:23">
      <c r="Q352" s="273"/>
      <c r="R352" s="273"/>
      <c r="S352" s="273"/>
      <c r="T352" s="273"/>
      <c r="U352" s="273"/>
      <c r="V352" s="273"/>
      <c r="W352" s="273"/>
    </row>
    <row r="353" spans="17:23">
      <c r="Q353" s="273"/>
      <c r="R353" s="273"/>
      <c r="S353" s="273"/>
      <c r="T353" s="273"/>
      <c r="U353" s="273"/>
      <c r="V353" s="273"/>
      <c r="W353" s="273"/>
    </row>
    <row r="354" spans="17:23">
      <c r="Q354" s="273"/>
      <c r="R354" s="273"/>
      <c r="S354" s="273"/>
      <c r="T354" s="273"/>
      <c r="U354" s="273"/>
      <c r="V354" s="273"/>
      <c r="W354" s="273"/>
    </row>
    <row r="355" spans="17:23">
      <c r="Q355" s="273"/>
      <c r="R355" s="273"/>
      <c r="S355" s="273"/>
      <c r="T355" s="273"/>
      <c r="U355" s="273"/>
      <c r="V355" s="273"/>
      <c r="W355" s="273"/>
    </row>
    <row r="356" spans="17:23">
      <c r="Q356" s="273"/>
      <c r="R356" s="273"/>
      <c r="S356" s="273"/>
      <c r="T356" s="273"/>
      <c r="U356" s="273"/>
      <c r="V356" s="273"/>
      <c r="W356" s="273"/>
    </row>
    <row r="357" spans="17:23">
      <c r="Q357" s="273"/>
      <c r="R357" s="273"/>
      <c r="S357" s="273"/>
      <c r="T357" s="273"/>
      <c r="U357" s="273"/>
      <c r="V357" s="273"/>
      <c r="W357" s="273"/>
    </row>
    <row r="358" spans="17:23">
      <c r="Q358" s="273"/>
      <c r="R358" s="273"/>
      <c r="S358" s="273"/>
      <c r="T358" s="273"/>
      <c r="U358" s="273"/>
      <c r="V358" s="273"/>
      <c r="W358" s="273"/>
    </row>
    <row r="359" spans="17:23">
      <c r="Q359" s="273"/>
      <c r="R359" s="273"/>
      <c r="S359" s="273"/>
      <c r="T359" s="273"/>
      <c r="U359" s="273"/>
      <c r="V359" s="273"/>
      <c r="W359" s="273"/>
    </row>
    <row r="360" spans="17:23">
      <c r="Q360" s="273"/>
      <c r="R360" s="273"/>
      <c r="S360" s="273"/>
      <c r="T360" s="273"/>
      <c r="U360" s="273"/>
      <c r="V360" s="273"/>
      <c r="W360" s="273"/>
    </row>
    <row r="361" spans="17:23">
      <c r="Q361" s="273"/>
      <c r="R361" s="273"/>
      <c r="S361" s="273"/>
      <c r="T361" s="273"/>
      <c r="U361" s="273"/>
      <c r="V361" s="273"/>
      <c r="W361" s="273"/>
    </row>
    <row r="362" spans="17:23">
      <c r="Q362" s="273"/>
      <c r="R362" s="273"/>
      <c r="S362" s="273"/>
      <c r="T362" s="273"/>
      <c r="U362" s="273"/>
      <c r="V362" s="273"/>
      <c r="W362" s="273"/>
    </row>
    <row r="363" spans="17:23">
      <c r="Q363" s="273"/>
      <c r="R363" s="273"/>
      <c r="S363" s="273"/>
      <c r="T363" s="273"/>
      <c r="U363" s="273"/>
      <c r="V363" s="273"/>
      <c r="W363" s="273"/>
    </row>
    <row r="364" spans="17:23">
      <c r="Q364" s="273"/>
      <c r="R364" s="273"/>
      <c r="S364" s="273"/>
      <c r="T364" s="273"/>
      <c r="U364" s="273"/>
      <c r="V364" s="273"/>
      <c r="W364" s="273"/>
    </row>
    <row r="365" spans="17:23">
      <c r="Q365" s="273"/>
      <c r="R365" s="273"/>
      <c r="S365" s="273"/>
      <c r="T365" s="273"/>
      <c r="U365" s="273"/>
      <c r="V365" s="273"/>
      <c r="W365" s="273"/>
    </row>
    <row r="366" spans="17:23">
      <c r="Q366" s="273"/>
      <c r="R366" s="273"/>
      <c r="S366" s="273"/>
      <c r="T366" s="273"/>
      <c r="U366" s="273"/>
      <c r="V366" s="273"/>
      <c r="W366" s="273"/>
    </row>
    <row r="367" spans="17:23">
      <c r="Q367" s="273"/>
      <c r="R367" s="273"/>
      <c r="S367" s="273"/>
      <c r="T367" s="273"/>
      <c r="U367" s="273"/>
      <c r="V367" s="273"/>
      <c r="W367" s="273"/>
    </row>
    <row r="368" spans="17:23">
      <c r="Q368" s="273"/>
      <c r="R368" s="273"/>
      <c r="S368" s="273"/>
      <c r="T368" s="273"/>
      <c r="U368" s="273"/>
      <c r="V368" s="273"/>
      <c r="W368" s="273"/>
    </row>
    <row r="369" spans="17:23">
      <c r="Q369" s="273"/>
      <c r="R369" s="273"/>
      <c r="S369" s="273"/>
      <c r="T369" s="273"/>
      <c r="U369" s="273"/>
      <c r="V369" s="273"/>
      <c r="W369" s="273"/>
    </row>
    <row r="370" spans="17:23">
      <c r="Q370" s="273"/>
      <c r="R370" s="273"/>
      <c r="S370" s="273"/>
      <c r="T370" s="273"/>
      <c r="U370" s="273"/>
      <c r="V370" s="273"/>
      <c r="W370" s="273"/>
    </row>
    <row r="371" spans="17:23">
      <c r="Q371" s="273"/>
      <c r="R371" s="273"/>
      <c r="S371" s="273"/>
      <c r="T371" s="273"/>
      <c r="U371" s="273"/>
      <c r="V371" s="273"/>
      <c r="W371" s="273"/>
    </row>
    <row r="372" spans="17:23">
      <c r="Q372" s="273"/>
      <c r="R372" s="273"/>
      <c r="S372" s="273"/>
      <c r="T372" s="273"/>
      <c r="U372" s="273"/>
      <c r="V372" s="273"/>
      <c r="W372" s="273"/>
    </row>
    <row r="373" spans="17:23">
      <c r="Q373" s="273"/>
      <c r="R373" s="273"/>
      <c r="S373" s="273"/>
      <c r="T373" s="273"/>
      <c r="U373" s="273"/>
      <c r="V373" s="273"/>
      <c r="W373" s="273"/>
    </row>
    <row r="374" spans="17:23">
      <c r="Q374" s="273"/>
      <c r="R374" s="273"/>
      <c r="S374" s="273"/>
      <c r="T374" s="273"/>
      <c r="U374" s="273"/>
      <c r="V374" s="273"/>
      <c r="W374" s="273"/>
    </row>
    <row r="375" spans="17:23">
      <c r="Q375" s="273"/>
      <c r="R375" s="273"/>
      <c r="S375" s="273"/>
      <c r="T375" s="273"/>
      <c r="U375" s="273"/>
      <c r="V375" s="273"/>
      <c r="W375" s="273"/>
    </row>
    <row r="376" spans="17:23">
      <c r="Q376" s="273"/>
      <c r="R376" s="273"/>
      <c r="S376" s="273"/>
      <c r="T376" s="273"/>
      <c r="U376" s="273"/>
      <c r="V376" s="273"/>
      <c r="W376" s="273"/>
    </row>
    <row r="377" spans="17:23">
      <c r="Q377" s="273"/>
      <c r="R377" s="273"/>
      <c r="S377" s="273"/>
      <c r="T377" s="273"/>
      <c r="U377" s="273"/>
      <c r="V377" s="273"/>
      <c r="W377" s="273"/>
    </row>
    <row r="378" spans="17:23">
      <c r="Q378" s="273"/>
      <c r="R378" s="273"/>
      <c r="S378" s="273"/>
      <c r="T378" s="273"/>
      <c r="U378" s="273"/>
      <c r="V378" s="273"/>
      <c r="W378" s="273"/>
    </row>
    <row r="379" spans="17:23">
      <c r="Q379" s="273"/>
      <c r="R379" s="273"/>
      <c r="S379" s="273"/>
      <c r="T379" s="273"/>
      <c r="U379" s="273"/>
      <c r="V379" s="273"/>
      <c r="W379" s="273"/>
    </row>
    <row r="380" spans="17:23">
      <c r="Q380" s="273"/>
      <c r="R380" s="273"/>
      <c r="S380" s="273"/>
      <c r="T380" s="273"/>
      <c r="U380" s="273"/>
      <c r="V380" s="273"/>
      <c r="W380" s="273"/>
    </row>
    <row r="381" spans="17:23">
      <c r="Q381" s="273"/>
      <c r="R381" s="273"/>
      <c r="S381" s="273"/>
      <c r="T381" s="273"/>
      <c r="U381" s="273"/>
      <c r="V381" s="273"/>
      <c r="W381" s="273"/>
    </row>
    <row r="382" spans="17:23">
      <c r="Q382" s="273"/>
      <c r="R382" s="273"/>
      <c r="S382" s="273"/>
      <c r="T382" s="273"/>
      <c r="U382" s="273"/>
      <c r="V382" s="273"/>
      <c r="W382" s="273"/>
    </row>
    <row r="383" spans="17:23">
      <c r="Q383" s="273"/>
      <c r="R383" s="273"/>
      <c r="S383" s="273"/>
      <c r="T383" s="273"/>
      <c r="U383" s="273"/>
      <c r="V383" s="273"/>
      <c r="W383" s="273"/>
    </row>
    <row r="384" spans="17:23">
      <c r="Q384" s="273"/>
      <c r="R384" s="273"/>
      <c r="S384" s="273"/>
      <c r="T384" s="273"/>
      <c r="U384" s="273"/>
      <c r="V384" s="273"/>
      <c r="W384" s="273"/>
    </row>
    <row r="385" spans="17:23">
      <c r="Q385" s="273"/>
      <c r="R385" s="273"/>
      <c r="S385" s="273"/>
      <c r="T385" s="273"/>
      <c r="U385" s="273"/>
      <c r="V385" s="273"/>
      <c r="W385" s="273"/>
    </row>
    <row r="386" spans="17:23">
      <c r="Q386" s="273"/>
      <c r="R386" s="273"/>
      <c r="S386" s="273"/>
      <c r="T386" s="273"/>
      <c r="U386" s="273"/>
      <c r="V386" s="273"/>
      <c r="W386" s="273"/>
    </row>
    <row r="387" spans="17:23">
      <c r="Q387" s="273"/>
      <c r="R387" s="273"/>
      <c r="S387" s="273"/>
      <c r="T387" s="273"/>
      <c r="U387" s="273"/>
      <c r="V387" s="273"/>
      <c r="W387" s="273"/>
    </row>
    <row r="388" spans="17:23">
      <c r="Q388" s="273"/>
      <c r="R388" s="273"/>
      <c r="S388" s="273"/>
      <c r="T388" s="273"/>
      <c r="U388" s="273"/>
      <c r="V388" s="273"/>
      <c r="W388" s="273"/>
    </row>
    <row r="389" spans="17:23">
      <c r="Q389" s="273"/>
      <c r="R389" s="273"/>
      <c r="S389" s="273"/>
      <c r="T389" s="273"/>
      <c r="U389" s="273"/>
      <c r="V389" s="273"/>
      <c r="W389" s="273"/>
    </row>
    <row r="390" spans="17:23">
      <c r="Q390" s="273"/>
      <c r="R390" s="273"/>
      <c r="S390" s="273"/>
      <c r="T390" s="273"/>
      <c r="U390" s="273"/>
      <c r="V390" s="273"/>
      <c r="W390" s="273"/>
    </row>
    <row r="391" spans="17:23">
      <c r="Q391" s="273"/>
      <c r="R391" s="273"/>
      <c r="S391" s="273"/>
      <c r="T391" s="273"/>
      <c r="U391" s="273"/>
      <c r="V391" s="273"/>
      <c r="W391" s="273"/>
    </row>
    <row r="392" spans="17:23">
      <c r="Q392" s="273"/>
      <c r="R392" s="273"/>
      <c r="S392" s="273"/>
      <c r="T392" s="273"/>
      <c r="U392" s="273"/>
      <c r="V392" s="273"/>
      <c r="W392" s="273"/>
    </row>
    <row r="393" spans="17:23">
      <c r="Q393" s="273"/>
      <c r="R393" s="273"/>
      <c r="S393" s="273"/>
      <c r="T393" s="273"/>
      <c r="U393" s="273"/>
      <c r="V393" s="273"/>
      <c r="W393" s="273"/>
    </row>
    <row r="394" spans="17:23">
      <c r="Q394" s="273"/>
      <c r="R394" s="273"/>
      <c r="S394" s="273"/>
      <c r="T394" s="273"/>
      <c r="U394" s="273"/>
      <c r="V394" s="273"/>
      <c r="W394" s="273"/>
    </row>
    <row r="395" spans="17:23">
      <c r="Q395" s="273"/>
      <c r="R395" s="273"/>
      <c r="S395" s="273"/>
      <c r="T395" s="273"/>
      <c r="U395" s="273"/>
      <c r="V395" s="273"/>
      <c r="W395" s="273"/>
    </row>
    <row r="396" spans="17:23">
      <c r="Q396" s="273"/>
      <c r="R396" s="273"/>
      <c r="S396" s="273"/>
      <c r="T396" s="273"/>
      <c r="U396" s="273"/>
      <c r="V396" s="273"/>
      <c r="W396" s="273"/>
    </row>
    <row r="397" spans="17:23">
      <c r="Q397" s="273"/>
      <c r="R397" s="273"/>
      <c r="S397" s="273"/>
      <c r="T397" s="273"/>
      <c r="U397" s="273"/>
      <c r="V397" s="273"/>
      <c r="W397" s="273"/>
    </row>
    <row r="398" spans="17:23">
      <c r="Q398" s="273"/>
      <c r="R398" s="273"/>
      <c r="S398" s="273"/>
      <c r="T398" s="273"/>
      <c r="U398" s="273"/>
      <c r="V398" s="273"/>
      <c r="W398" s="273"/>
    </row>
    <row r="399" spans="17:23">
      <c r="Q399" s="273"/>
      <c r="R399" s="273"/>
      <c r="S399" s="273"/>
      <c r="T399" s="273"/>
      <c r="U399" s="273"/>
      <c r="V399" s="273"/>
      <c r="W399" s="273"/>
    </row>
    <row r="400" spans="17:23">
      <c r="Q400" s="273"/>
      <c r="R400" s="273"/>
      <c r="S400" s="273"/>
      <c r="T400" s="273"/>
      <c r="U400" s="273"/>
      <c r="V400" s="273"/>
      <c r="W400" s="273"/>
    </row>
    <row r="401" spans="17:23">
      <c r="Q401" s="273"/>
      <c r="R401" s="273"/>
      <c r="S401" s="273"/>
      <c r="T401" s="273"/>
      <c r="U401" s="273"/>
      <c r="V401" s="273"/>
      <c r="W401" s="273"/>
    </row>
    <row r="402" spans="17:23">
      <c r="Q402" s="273"/>
      <c r="R402" s="273"/>
      <c r="S402" s="273"/>
      <c r="T402" s="273"/>
      <c r="U402" s="273"/>
      <c r="V402" s="273"/>
      <c r="W402" s="273"/>
    </row>
    <row r="403" spans="17:23">
      <c r="Q403" s="273"/>
      <c r="R403" s="273"/>
      <c r="S403" s="273"/>
      <c r="T403" s="273"/>
      <c r="U403" s="273"/>
      <c r="V403" s="273"/>
      <c r="W403" s="273"/>
    </row>
    <row r="404" spans="17:23">
      <c r="Q404" s="273"/>
      <c r="R404" s="273"/>
      <c r="S404" s="273"/>
      <c r="T404" s="273"/>
      <c r="U404" s="273"/>
      <c r="V404" s="273"/>
      <c r="W404" s="273"/>
    </row>
    <row r="405" spans="17:23">
      <c r="Q405" s="273"/>
      <c r="R405" s="273"/>
      <c r="S405" s="273"/>
      <c r="T405" s="273"/>
      <c r="U405" s="273"/>
      <c r="V405" s="273"/>
      <c r="W405" s="273"/>
    </row>
    <row r="406" spans="17:23">
      <c r="Q406" s="273"/>
      <c r="R406" s="273"/>
      <c r="S406" s="273"/>
      <c r="T406" s="273"/>
      <c r="U406" s="273"/>
      <c r="V406" s="273"/>
      <c r="W406" s="273"/>
    </row>
    <row r="407" spans="17:23">
      <c r="Q407" s="273"/>
      <c r="R407" s="273"/>
      <c r="S407" s="273"/>
      <c r="T407" s="273"/>
      <c r="U407" s="273"/>
      <c r="V407" s="273"/>
      <c r="W407" s="273"/>
    </row>
    <row r="408" spans="17:23">
      <c r="Q408" s="273"/>
      <c r="R408" s="273"/>
      <c r="S408" s="273"/>
      <c r="T408" s="273"/>
      <c r="U408" s="273"/>
      <c r="V408" s="273"/>
      <c r="W408" s="273"/>
    </row>
    <row r="409" spans="17:23">
      <c r="Q409" s="273"/>
      <c r="R409" s="273"/>
      <c r="S409" s="273"/>
      <c r="T409" s="273"/>
      <c r="U409" s="273"/>
      <c r="V409" s="273"/>
      <c r="W409" s="273"/>
    </row>
    <row r="410" spans="17:23">
      <c r="Q410" s="273"/>
      <c r="R410" s="273"/>
      <c r="S410" s="273"/>
      <c r="T410" s="273"/>
      <c r="U410" s="273"/>
      <c r="V410" s="273"/>
      <c r="W410" s="273"/>
    </row>
    <row r="411" spans="17:23">
      <c r="Q411" s="273"/>
      <c r="R411" s="273"/>
      <c r="S411" s="273"/>
      <c r="T411" s="273"/>
      <c r="U411" s="273"/>
      <c r="V411" s="273"/>
      <c r="W411" s="273"/>
    </row>
    <row r="412" spans="17:23">
      <c r="Q412" s="273"/>
      <c r="R412" s="273"/>
      <c r="S412" s="273"/>
      <c r="T412" s="273"/>
      <c r="U412" s="273"/>
      <c r="V412" s="273"/>
      <c r="W412" s="273"/>
    </row>
    <row r="413" spans="17:23">
      <c r="Q413" s="273"/>
      <c r="R413" s="273"/>
      <c r="S413" s="273"/>
      <c r="T413" s="273"/>
      <c r="U413" s="273"/>
      <c r="V413" s="273"/>
      <c r="W413" s="273"/>
    </row>
    <row r="414" spans="17:23">
      <c r="Q414" s="273"/>
      <c r="R414" s="273"/>
      <c r="S414" s="273"/>
      <c r="T414" s="273"/>
      <c r="U414" s="273"/>
      <c r="V414" s="273"/>
      <c r="W414" s="273"/>
    </row>
    <row r="415" spans="17:23">
      <c r="Q415" s="273"/>
      <c r="R415" s="273"/>
      <c r="S415" s="273"/>
      <c r="T415" s="273"/>
      <c r="U415" s="273"/>
      <c r="V415" s="273"/>
      <c r="W415" s="273"/>
    </row>
    <row r="416" spans="17:23">
      <c r="Q416" s="273"/>
      <c r="R416" s="273"/>
      <c r="S416" s="273"/>
      <c r="T416" s="273"/>
      <c r="U416" s="273"/>
      <c r="V416" s="273"/>
      <c r="W416" s="273"/>
    </row>
    <row r="417" spans="17:23">
      <c r="Q417" s="273"/>
      <c r="R417" s="273"/>
      <c r="S417" s="273"/>
      <c r="T417" s="273"/>
      <c r="U417" s="273"/>
      <c r="V417" s="273"/>
      <c r="W417" s="273"/>
    </row>
    <row r="418" spans="17:23">
      <c r="Q418" s="273"/>
      <c r="R418" s="273"/>
      <c r="S418" s="273"/>
      <c r="T418" s="273"/>
      <c r="U418" s="273"/>
      <c r="V418" s="273"/>
      <c r="W418" s="273"/>
    </row>
    <row r="419" spans="17:23">
      <c r="Q419" s="273"/>
      <c r="R419" s="273"/>
      <c r="S419" s="273"/>
      <c r="T419" s="273"/>
      <c r="U419" s="273"/>
      <c r="V419" s="273"/>
      <c r="W419" s="273"/>
    </row>
    <row r="420" spans="17:23">
      <c r="Q420" s="273"/>
      <c r="R420" s="273"/>
      <c r="S420" s="273"/>
      <c r="T420" s="273"/>
      <c r="U420" s="273"/>
      <c r="V420" s="273"/>
      <c r="W420" s="273"/>
    </row>
    <row r="421" spans="17:23">
      <c r="Q421" s="273"/>
      <c r="R421" s="273"/>
      <c r="S421" s="273"/>
      <c r="T421" s="273"/>
      <c r="U421" s="273"/>
      <c r="V421" s="273"/>
      <c r="W421" s="273"/>
    </row>
    <row r="422" spans="17:23">
      <c r="Q422" s="273"/>
      <c r="R422" s="273"/>
      <c r="S422" s="273"/>
      <c r="T422" s="273"/>
      <c r="U422" s="273"/>
      <c r="V422" s="273"/>
      <c r="W422" s="273"/>
    </row>
    <row r="423" spans="17:23">
      <c r="Q423" s="273"/>
      <c r="R423" s="273"/>
      <c r="S423" s="273"/>
      <c r="T423" s="273"/>
      <c r="U423" s="273"/>
      <c r="V423" s="273"/>
      <c r="W423" s="273"/>
    </row>
    <row r="424" spans="17:23">
      <c r="Q424" s="273"/>
      <c r="R424" s="273"/>
      <c r="S424" s="273"/>
      <c r="T424" s="273"/>
      <c r="U424" s="273"/>
      <c r="V424" s="273"/>
      <c r="W424" s="273"/>
    </row>
    <row r="425" spans="17:23">
      <c r="Q425" s="273"/>
      <c r="R425" s="273"/>
      <c r="S425" s="273"/>
      <c r="T425" s="273"/>
      <c r="U425" s="273"/>
      <c r="V425" s="273"/>
      <c r="W425" s="273"/>
    </row>
    <row r="426" spans="17:23">
      <c r="Q426" s="273"/>
      <c r="R426" s="273"/>
      <c r="S426" s="273"/>
      <c r="T426" s="273"/>
      <c r="U426" s="273"/>
      <c r="V426" s="273"/>
      <c r="W426" s="273"/>
    </row>
    <row r="427" spans="17:23">
      <c r="Q427" s="273"/>
      <c r="R427" s="273"/>
      <c r="S427" s="273"/>
      <c r="T427" s="273"/>
      <c r="U427" s="273"/>
      <c r="V427" s="273"/>
      <c r="W427" s="273"/>
    </row>
    <row r="428" spans="17:23">
      <c r="Q428" s="273"/>
      <c r="R428" s="273"/>
      <c r="S428" s="273"/>
      <c r="T428" s="273"/>
      <c r="U428" s="273"/>
      <c r="V428" s="273"/>
      <c r="W428" s="273"/>
    </row>
    <row r="429" spans="17:23">
      <c r="Q429" s="273"/>
      <c r="R429" s="273"/>
      <c r="S429" s="273"/>
      <c r="T429" s="273"/>
      <c r="U429" s="273"/>
      <c r="V429" s="273"/>
      <c r="W429" s="273"/>
    </row>
    <row r="430" spans="17:23">
      <c r="Q430" s="273"/>
      <c r="R430" s="273"/>
      <c r="S430" s="273"/>
      <c r="T430" s="273"/>
      <c r="U430" s="273"/>
      <c r="V430" s="273"/>
      <c r="W430" s="273"/>
    </row>
    <row r="431" spans="17:23">
      <c r="Q431" s="273"/>
      <c r="R431" s="273"/>
      <c r="S431" s="273"/>
      <c r="T431" s="273"/>
      <c r="U431" s="273"/>
      <c r="V431" s="273"/>
      <c r="W431" s="273"/>
    </row>
    <row r="432" spans="17:23">
      <c r="Q432" s="273"/>
      <c r="R432" s="273"/>
      <c r="S432" s="273"/>
      <c r="T432" s="273"/>
      <c r="U432" s="273"/>
      <c r="V432" s="273"/>
      <c r="W432" s="273"/>
    </row>
    <row r="433" spans="17:23">
      <c r="Q433" s="273"/>
      <c r="R433" s="273"/>
      <c r="S433" s="273"/>
      <c r="T433" s="273"/>
      <c r="U433" s="273"/>
      <c r="V433" s="273"/>
      <c r="W433" s="273"/>
    </row>
    <row r="434" spans="17:23">
      <c r="Q434" s="273"/>
      <c r="R434" s="273"/>
      <c r="S434" s="273"/>
      <c r="T434" s="273"/>
      <c r="U434" s="273"/>
      <c r="V434" s="273"/>
      <c r="W434" s="273"/>
    </row>
    <row r="435" spans="17:23">
      <c r="Q435" s="273"/>
      <c r="R435" s="273"/>
      <c r="S435" s="273"/>
      <c r="T435" s="273"/>
      <c r="U435" s="273"/>
      <c r="V435" s="273"/>
      <c r="W435" s="273"/>
    </row>
    <row r="436" spans="17:23">
      <c r="Q436" s="273"/>
      <c r="R436" s="273"/>
      <c r="S436" s="273"/>
      <c r="T436" s="273"/>
      <c r="U436" s="273"/>
      <c r="V436" s="273"/>
      <c r="W436" s="273"/>
    </row>
    <row r="437" spans="17:23">
      <c r="Q437" s="273"/>
      <c r="R437" s="273"/>
      <c r="S437" s="273"/>
      <c r="T437" s="273"/>
      <c r="U437" s="273"/>
      <c r="V437" s="273"/>
      <c r="W437" s="273"/>
    </row>
    <row r="438" spans="17:23">
      <c r="Q438" s="273"/>
      <c r="R438" s="273"/>
      <c r="S438" s="273"/>
      <c r="T438" s="273"/>
      <c r="U438" s="273"/>
      <c r="V438" s="273"/>
      <c r="W438" s="273"/>
    </row>
    <row r="439" spans="17:23">
      <c r="Q439" s="273"/>
      <c r="R439" s="273"/>
      <c r="S439" s="273"/>
      <c r="T439" s="273"/>
      <c r="U439" s="273"/>
      <c r="V439" s="273"/>
      <c r="W439" s="273"/>
    </row>
    <row r="440" spans="17:23">
      <c r="Q440" s="273"/>
      <c r="R440" s="273"/>
      <c r="S440" s="273"/>
      <c r="T440" s="273"/>
      <c r="U440" s="273"/>
      <c r="V440" s="273"/>
      <c r="W440" s="273"/>
    </row>
    <row r="441" spans="17:23">
      <c r="Q441" s="273"/>
      <c r="R441" s="273"/>
      <c r="S441" s="273"/>
      <c r="T441" s="273"/>
      <c r="U441" s="273"/>
      <c r="V441" s="273"/>
      <c r="W441" s="273"/>
    </row>
    <row r="442" spans="17:23">
      <c r="Q442" s="273"/>
      <c r="R442" s="273"/>
      <c r="S442" s="273"/>
      <c r="T442" s="273"/>
      <c r="U442" s="273"/>
      <c r="V442" s="273"/>
      <c r="W442" s="273"/>
    </row>
    <row r="443" spans="17:23">
      <c r="Q443" s="273"/>
      <c r="R443" s="273"/>
      <c r="S443" s="273"/>
      <c r="T443" s="273"/>
      <c r="U443" s="273"/>
      <c r="V443" s="273"/>
      <c r="W443" s="273"/>
    </row>
    <row r="444" spans="17:23">
      <c r="Q444" s="273"/>
      <c r="R444" s="273"/>
      <c r="S444" s="273"/>
      <c r="T444" s="273"/>
      <c r="U444" s="273"/>
      <c r="V444" s="273"/>
      <c r="W444" s="273"/>
    </row>
    <row r="445" spans="17:23">
      <c r="Q445" s="273"/>
      <c r="R445" s="273"/>
      <c r="S445" s="273"/>
      <c r="T445" s="273"/>
      <c r="U445" s="273"/>
      <c r="V445" s="273"/>
      <c r="W445" s="273"/>
    </row>
    <row r="446" spans="17:23">
      <c r="Q446" s="273"/>
      <c r="R446" s="273"/>
      <c r="S446" s="273"/>
      <c r="T446" s="273"/>
      <c r="U446" s="273"/>
      <c r="V446" s="273"/>
      <c r="W446" s="273"/>
    </row>
    <row r="447" spans="17:23">
      <c r="Q447" s="273"/>
      <c r="R447" s="273"/>
      <c r="S447" s="273"/>
      <c r="T447" s="273"/>
      <c r="U447" s="273"/>
      <c r="V447" s="273"/>
      <c r="W447" s="273"/>
    </row>
    <row r="448" spans="17:23">
      <c r="Q448" s="273"/>
      <c r="R448" s="273"/>
      <c r="S448" s="273"/>
      <c r="T448" s="273"/>
      <c r="U448" s="273"/>
      <c r="V448" s="273"/>
      <c r="W448" s="273"/>
    </row>
    <row r="449" spans="17:23">
      <c r="Q449" s="273"/>
      <c r="R449" s="273"/>
      <c r="S449" s="273"/>
      <c r="T449" s="273"/>
      <c r="U449" s="273"/>
      <c r="V449" s="273"/>
      <c r="W449" s="273"/>
    </row>
    <row r="450" spans="17:23">
      <c r="Q450" s="273"/>
      <c r="R450" s="273"/>
      <c r="S450" s="273"/>
      <c r="T450" s="273"/>
      <c r="U450" s="273"/>
      <c r="V450" s="273"/>
      <c r="W450" s="273"/>
    </row>
    <row r="451" spans="17:23">
      <c r="Q451" s="273"/>
      <c r="R451" s="273"/>
      <c r="S451" s="273"/>
      <c r="T451" s="273"/>
      <c r="U451" s="273"/>
      <c r="V451" s="273"/>
      <c r="W451" s="273"/>
    </row>
    <row r="452" spans="17:23">
      <c r="Q452" s="273"/>
      <c r="R452" s="273"/>
      <c r="S452" s="273"/>
      <c r="T452" s="273"/>
      <c r="U452" s="273"/>
      <c r="V452" s="273"/>
      <c r="W452" s="273"/>
    </row>
    <row r="453" spans="17:23">
      <c r="Q453" s="273"/>
      <c r="R453" s="273"/>
      <c r="S453" s="273"/>
      <c r="T453" s="273"/>
      <c r="U453" s="273"/>
      <c r="V453" s="273"/>
      <c r="W453" s="273"/>
    </row>
    <row r="454" spans="17:23">
      <c r="Q454" s="273"/>
      <c r="R454" s="273"/>
      <c r="S454" s="273"/>
      <c r="T454" s="273"/>
      <c r="U454" s="273"/>
      <c r="V454" s="273"/>
      <c r="W454" s="273"/>
    </row>
    <row r="455" spans="17:23">
      <c r="Q455" s="273"/>
      <c r="R455" s="273"/>
      <c r="S455" s="273"/>
      <c r="T455" s="273"/>
      <c r="U455" s="273"/>
      <c r="V455" s="273"/>
      <c r="W455" s="273"/>
    </row>
    <row r="456" spans="17:23">
      <c r="Q456" s="273"/>
      <c r="R456" s="273"/>
      <c r="S456" s="273"/>
      <c r="T456" s="273"/>
      <c r="U456" s="273"/>
      <c r="V456" s="273"/>
      <c r="W456" s="273"/>
    </row>
    <row r="457" spans="17:23">
      <c r="Q457" s="273"/>
      <c r="R457" s="273"/>
      <c r="S457" s="273"/>
      <c r="T457" s="273"/>
      <c r="U457" s="273"/>
      <c r="V457" s="273"/>
      <c r="W457" s="273"/>
    </row>
    <row r="458" spans="17:23">
      <c r="Q458" s="273"/>
      <c r="R458" s="273"/>
      <c r="S458" s="273"/>
      <c r="T458" s="273"/>
      <c r="U458" s="273"/>
      <c r="V458" s="273"/>
      <c r="W458" s="273"/>
    </row>
    <row r="459" spans="17:23">
      <c r="Q459" s="273"/>
      <c r="R459" s="273"/>
      <c r="S459" s="273"/>
      <c r="T459" s="273"/>
      <c r="U459" s="273"/>
      <c r="V459" s="273"/>
      <c r="W459" s="273"/>
    </row>
    <row r="460" spans="17:23">
      <c r="Q460" s="273"/>
      <c r="R460" s="273"/>
      <c r="S460" s="273"/>
      <c r="T460" s="273"/>
      <c r="U460" s="273"/>
      <c r="V460" s="273"/>
      <c r="W460" s="273"/>
    </row>
    <row r="461" spans="17:23">
      <c r="Q461" s="273"/>
      <c r="R461" s="273"/>
      <c r="S461" s="273"/>
      <c r="T461" s="273"/>
      <c r="U461" s="273"/>
      <c r="V461" s="273"/>
      <c r="W461" s="273"/>
    </row>
    <row r="462" spans="17:23">
      <c r="Q462" s="273"/>
      <c r="R462" s="273"/>
      <c r="S462" s="273"/>
      <c r="T462" s="273"/>
      <c r="U462" s="273"/>
      <c r="V462" s="273"/>
      <c r="W462" s="273"/>
    </row>
    <row r="463" spans="17:23">
      <c r="Q463" s="273"/>
      <c r="R463" s="273"/>
      <c r="S463" s="273"/>
      <c r="T463" s="273"/>
      <c r="U463" s="273"/>
      <c r="V463" s="273"/>
      <c r="W463" s="273"/>
    </row>
    <row r="464" spans="17:23">
      <c r="Q464" s="273"/>
      <c r="R464" s="273"/>
      <c r="S464" s="273"/>
      <c r="T464" s="273"/>
      <c r="U464" s="273"/>
      <c r="V464" s="273"/>
      <c r="W464" s="273"/>
    </row>
    <row r="465" spans="17:23">
      <c r="Q465" s="273"/>
      <c r="R465" s="273"/>
      <c r="S465" s="273"/>
      <c r="T465" s="273"/>
      <c r="U465" s="273"/>
      <c r="V465" s="273"/>
      <c r="W465" s="273"/>
    </row>
    <row r="466" spans="17:23">
      <c r="Q466" s="273"/>
      <c r="R466" s="273"/>
      <c r="S466" s="273"/>
      <c r="T466" s="273"/>
      <c r="U466" s="273"/>
      <c r="V466" s="273"/>
      <c r="W466" s="273"/>
    </row>
    <row r="467" spans="17:23">
      <c r="Q467" s="273"/>
      <c r="R467" s="273"/>
      <c r="S467" s="273"/>
      <c r="T467" s="273"/>
      <c r="U467" s="273"/>
      <c r="V467" s="273"/>
      <c r="W467" s="273"/>
    </row>
    <row r="468" spans="17:23">
      <c r="Q468" s="273"/>
      <c r="R468" s="273"/>
      <c r="S468" s="273"/>
      <c r="T468" s="273"/>
      <c r="U468" s="273"/>
      <c r="V468" s="273"/>
      <c r="W468" s="273"/>
    </row>
    <row r="469" spans="17:23">
      <c r="Q469" s="273"/>
      <c r="R469" s="273"/>
      <c r="S469" s="273"/>
      <c r="T469" s="273"/>
      <c r="U469" s="273"/>
      <c r="V469" s="273"/>
      <c r="W469" s="273"/>
    </row>
    <row r="470" spans="17:23">
      <c r="Q470" s="273"/>
      <c r="R470" s="273"/>
      <c r="S470" s="273"/>
      <c r="T470" s="273"/>
      <c r="U470" s="273"/>
      <c r="V470" s="273"/>
      <c r="W470" s="273"/>
    </row>
    <row r="471" spans="17:23">
      <c r="Q471" s="273"/>
      <c r="R471" s="273"/>
      <c r="S471" s="273"/>
      <c r="T471" s="273"/>
      <c r="U471" s="273"/>
      <c r="V471" s="273"/>
      <c r="W471" s="273"/>
    </row>
    <row r="472" spans="17:23">
      <c r="Q472" s="273"/>
      <c r="R472" s="273"/>
      <c r="S472" s="273"/>
      <c r="T472" s="273"/>
      <c r="U472" s="273"/>
      <c r="V472" s="273"/>
      <c r="W472" s="273"/>
    </row>
    <row r="473" spans="17:23">
      <c r="Q473" s="273"/>
      <c r="R473" s="273"/>
      <c r="S473" s="273"/>
      <c r="T473" s="273"/>
      <c r="U473" s="273"/>
      <c r="V473" s="273"/>
      <c r="W473" s="273"/>
    </row>
    <row r="474" spans="17:23">
      <c r="Q474" s="273"/>
      <c r="R474" s="273"/>
      <c r="S474" s="273"/>
      <c r="T474" s="273"/>
      <c r="U474" s="273"/>
      <c r="V474" s="273"/>
      <c r="W474" s="273"/>
    </row>
    <row r="475" spans="17:23">
      <c r="Q475" s="273"/>
      <c r="R475" s="273"/>
      <c r="S475" s="273"/>
      <c r="T475" s="273"/>
      <c r="U475" s="273"/>
      <c r="V475" s="273"/>
      <c r="W475" s="273"/>
    </row>
    <row r="476" spans="17:23">
      <c r="Q476" s="273"/>
      <c r="R476" s="273"/>
      <c r="S476" s="273"/>
      <c r="T476" s="273"/>
      <c r="U476" s="273"/>
      <c r="V476" s="273"/>
      <c r="W476" s="273"/>
    </row>
    <row r="477" spans="17:23">
      <c r="Q477" s="273"/>
      <c r="R477" s="273"/>
      <c r="S477" s="273"/>
      <c r="T477" s="273"/>
      <c r="U477" s="273"/>
      <c r="V477" s="273"/>
      <c r="W477" s="273"/>
    </row>
    <row r="478" spans="17:23">
      <c r="Q478" s="273"/>
      <c r="R478" s="273"/>
      <c r="S478" s="273"/>
      <c r="T478" s="273"/>
      <c r="U478" s="273"/>
      <c r="V478" s="273"/>
      <c r="W478" s="273"/>
    </row>
    <row r="479" spans="17:23">
      <c r="Q479" s="273"/>
      <c r="R479" s="273"/>
      <c r="S479" s="273"/>
      <c r="T479" s="273"/>
      <c r="U479" s="273"/>
      <c r="V479" s="273"/>
      <c r="W479" s="273"/>
    </row>
    <row r="480" spans="17:23">
      <c r="Q480" s="273"/>
      <c r="R480" s="273"/>
      <c r="S480" s="273"/>
      <c r="T480" s="273"/>
      <c r="U480" s="273"/>
      <c r="V480" s="273"/>
      <c r="W480" s="273"/>
    </row>
    <row r="481" spans="17:23">
      <c r="Q481" s="273"/>
      <c r="R481" s="273"/>
      <c r="S481" s="273"/>
      <c r="T481" s="273"/>
      <c r="U481" s="273"/>
      <c r="V481" s="273"/>
      <c r="W481" s="273"/>
    </row>
    <row r="482" spans="17:23">
      <c r="Q482" s="273"/>
      <c r="R482" s="273"/>
      <c r="S482" s="273"/>
      <c r="T482" s="273"/>
      <c r="U482" s="273"/>
      <c r="V482" s="273"/>
      <c r="W482" s="273"/>
    </row>
    <row r="483" spans="17:23">
      <c r="Q483" s="273"/>
      <c r="R483" s="273"/>
      <c r="S483" s="273"/>
      <c r="T483" s="273"/>
      <c r="U483" s="273"/>
      <c r="V483" s="273"/>
      <c r="W483" s="273"/>
    </row>
    <row r="484" spans="17:23">
      <c r="Q484" s="273"/>
      <c r="R484" s="273"/>
      <c r="S484" s="273"/>
      <c r="T484" s="273"/>
      <c r="U484" s="273"/>
      <c r="V484" s="273"/>
      <c r="W484" s="273"/>
    </row>
    <row r="485" spans="17:23">
      <c r="Q485" s="273"/>
      <c r="R485" s="273"/>
      <c r="S485" s="273"/>
      <c r="T485" s="273"/>
      <c r="U485" s="273"/>
      <c r="V485" s="273"/>
      <c r="W485" s="273"/>
    </row>
    <row r="486" spans="17:23">
      <c r="Q486" s="273"/>
      <c r="R486" s="273"/>
      <c r="S486" s="273"/>
      <c r="T486" s="273"/>
      <c r="U486" s="273"/>
      <c r="V486" s="273"/>
      <c r="W486" s="273"/>
    </row>
    <row r="487" spans="17:23">
      <c r="Q487" s="273"/>
      <c r="R487" s="273"/>
      <c r="S487" s="273"/>
      <c r="T487" s="273"/>
      <c r="U487" s="273"/>
      <c r="V487" s="273"/>
      <c r="W487" s="273"/>
    </row>
    <row r="488" spans="17:23">
      <c r="Q488" s="273"/>
      <c r="R488" s="273"/>
      <c r="S488" s="273"/>
      <c r="T488" s="273"/>
      <c r="U488" s="273"/>
      <c r="V488" s="273"/>
      <c r="W488" s="273"/>
    </row>
    <row r="489" spans="17:23">
      <c r="Q489" s="273"/>
      <c r="R489" s="273"/>
      <c r="S489" s="273"/>
      <c r="T489" s="273"/>
      <c r="U489" s="273"/>
      <c r="V489" s="273"/>
      <c r="W489" s="273"/>
    </row>
    <row r="490" spans="17:23">
      <c r="Q490" s="273"/>
      <c r="R490" s="273"/>
      <c r="S490" s="273"/>
      <c r="T490" s="273"/>
      <c r="U490" s="273"/>
      <c r="V490" s="273"/>
      <c r="W490" s="273"/>
    </row>
    <row r="491" spans="17:23">
      <c r="Q491" s="273"/>
      <c r="R491" s="273"/>
      <c r="S491" s="273"/>
      <c r="T491" s="273"/>
      <c r="U491" s="273"/>
      <c r="V491" s="273"/>
      <c r="W491" s="273"/>
    </row>
    <row r="492" spans="17:23">
      <c r="Q492" s="273"/>
      <c r="R492" s="273"/>
      <c r="S492" s="273"/>
      <c r="T492" s="273"/>
      <c r="U492" s="273"/>
      <c r="V492" s="273"/>
      <c r="W492" s="273"/>
    </row>
    <row r="493" spans="17:23">
      <c r="Q493" s="273"/>
      <c r="R493" s="273"/>
      <c r="S493" s="273"/>
      <c r="T493" s="273"/>
      <c r="U493" s="273"/>
      <c r="V493" s="273"/>
      <c r="W493" s="273"/>
    </row>
    <row r="494" spans="17:23">
      <c r="Q494" s="273"/>
      <c r="R494" s="273"/>
      <c r="S494" s="273"/>
      <c r="T494" s="273"/>
      <c r="U494" s="273"/>
      <c r="V494" s="273"/>
      <c r="W494" s="273"/>
    </row>
    <row r="495" spans="17:23">
      <c r="Q495" s="273"/>
      <c r="R495" s="273"/>
      <c r="S495" s="273"/>
      <c r="T495" s="273"/>
      <c r="U495" s="273"/>
      <c r="V495" s="273"/>
      <c r="W495" s="273"/>
    </row>
    <row r="496" spans="17:23">
      <c r="Q496" s="273"/>
      <c r="R496" s="273"/>
      <c r="S496" s="273"/>
      <c r="T496" s="273"/>
      <c r="U496" s="273"/>
      <c r="V496" s="273"/>
      <c r="W496" s="273"/>
    </row>
    <row r="497" spans="17:23">
      <c r="Q497" s="273"/>
      <c r="R497" s="273"/>
      <c r="S497" s="273"/>
      <c r="T497" s="273"/>
      <c r="U497" s="273"/>
      <c r="V497" s="273"/>
      <c r="W497" s="273"/>
    </row>
    <row r="498" spans="17:23">
      <c r="Q498" s="273"/>
      <c r="R498" s="273"/>
      <c r="S498" s="273"/>
      <c r="T498" s="273"/>
      <c r="U498" s="273"/>
      <c r="V498" s="273"/>
      <c r="W498" s="273"/>
    </row>
    <row r="499" spans="17:23">
      <c r="Q499" s="273"/>
      <c r="R499" s="273"/>
      <c r="S499" s="273"/>
      <c r="T499" s="273"/>
      <c r="U499" s="273"/>
      <c r="V499" s="273"/>
      <c r="W499" s="273"/>
    </row>
    <row r="500" spans="17:23">
      <c r="Q500" s="273"/>
      <c r="R500" s="273"/>
      <c r="S500" s="273"/>
      <c r="T500" s="273"/>
      <c r="U500" s="273"/>
      <c r="V500" s="273"/>
      <c r="W500" s="273"/>
    </row>
    <row r="501" spans="17:23">
      <c r="Q501" s="273"/>
      <c r="R501" s="273"/>
      <c r="S501" s="273"/>
      <c r="T501" s="273"/>
      <c r="U501" s="273"/>
      <c r="V501" s="273"/>
      <c r="W501" s="273"/>
    </row>
    <row r="502" spans="17:23">
      <c r="Q502" s="273"/>
      <c r="R502" s="273"/>
      <c r="S502" s="273"/>
      <c r="T502" s="273"/>
      <c r="U502" s="273"/>
      <c r="V502" s="273"/>
      <c r="W502" s="273"/>
    </row>
    <row r="503" spans="17:23">
      <c r="Q503" s="273"/>
      <c r="R503" s="273"/>
      <c r="S503" s="273"/>
      <c r="T503" s="273"/>
      <c r="U503" s="273"/>
      <c r="V503" s="273"/>
      <c r="W503" s="273"/>
    </row>
    <row r="504" spans="17:23">
      <c r="Q504" s="273"/>
      <c r="R504" s="273"/>
      <c r="S504" s="273"/>
      <c r="T504" s="273"/>
      <c r="U504" s="273"/>
      <c r="V504" s="273"/>
      <c r="W504" s="273"/>
    </row>
    <row r="505" spans="17:23">
      <c r="Q505" s="273"/>
      <c r="R505" s="273"/>
      <c r="S505" s="273"/>
      <c r="T505" s="273"/>
      <c r="U505" s="273"/>
      <c r="V505" s="273"/>
      <c r="W505" s="273"/>
    </row>
    <row r="506" spans="17:23">
      <c r="Q506" s="273"/>
      <c r="R506" s="273"/>
      <c r="S506" s="273"/>
      <c r="T506" s="273"/>
      <c r="U506" s="273"/>
      <c r="V506" s="273"/>
      <c r="W506" s="273"/>
    </row>
    <row r="507" spans="17:23">
      <c r="Q507" s="273"/>
      <c r="R507" s="273"/>
      <c r="S507" s="273"/>
      <c r="T507" s="273"/>
      <c r="U507" s="273"/>
      <c r="V507" s="273"/>
      <c r="W507" s="273"/>
    </row>
    <row r="508" spans="17:23">
      <c r="Q508" s="273"/>
      <c r="R508" s="273"/>
      <c r="S508" s="273"/>
      <c r="T508" s="273"/>
      <c r="U508" s="273"/>
      <c r="V508" s="273"/>
      <c r="W508" s="273"/>
    </row>
    <row r="509" spans="17:23">
      <c r="Q509" s="273"/>
      <c r="R509" s="273"/>
      <c r="S509" s="273"/>
      <c r="T509" s="273"/>
      <c r="U509" s="273"/>
      <c r="V509" s="273"/>
      <c r="W509" s="273"/>
    </row>
    <row r="510" spans="17:23">
      <c r="Q510" s="273"/>
      <c r="R510" s="273"/>
      <c r="S510" s="273"/>
      <c r="T510" s="273"/>
      <c r="U510" s="273"/>
      <c r="V510" s="273"/>
      <c r="W510" s="273"/>
    </row>
    <row r="511" spans="17:23">
      <c r="Q511" s="273"/>
      <c r="R511" s="273"/>
      <c r="S511" s="273"/>
      <c r="T511" s="273"/>
      <c r="U511" s="273"/>
      <c r="V511" s="273"/>
      <c r="W511" s="273"/>
    </row>
    <row r="512" spans="17:23">
      <c r="Q512" s="273"/>
      <c r="R512" s="273"/>
      <c r="S512" s="273"/>
      <c r="T512" s="273"/>
      <c r="U512" s="273"/>
      <c r="V512" s="273"/>
      <c r="W512" s="273"/>
    </row>
    <row r="513" spans="17:23">
      <c r="Q513" s="273"/>
      <c r="R513" s="273"/>
      <c r="S513" s="273"/>
      <c r="T513" s="273"/>
      <c r="U513" s="273"/>
      <c r="V513" s="273"/>
      <c r="W513" s="273"/>
    </row>
    <row r="514" spans="17:23">
      <c r="Q514" s="273"/>
      <c r="R514" s="273"/>
      <c r="S514" s="273"/>
      <c r="T514" s="273"/>
      <c r="U514" s="273"/>
      <c r="V514" s="273"/>
      <c r="W514" s="273"/>
    </row>
    <row r="515" spans="17:23">
      <c r="Q515" s="273"/>
      <c r="R515" s="273"/>
      <c r="S515" s="273"/>
      <c r="T515" s="273"/>
      <c r="U515" s="273"/>
      <c r="V515" s="273"/>
      <c r="W515" s="273"/>
    </row>
    <row r="516" spans="17:23">
      <c r="Q516" s="273"/>
      <c r="R516" s="273"/>
      <c r="S516" s="273"/>
      <c r="T516" s="273"/>
      <c r="U516" s="273"/>
      <c r="V516" s="273"/>
      <c r="W516" s="273"/>
    </row>
    <row r="517" spans="17:23">
      <c r="Q517" s="273"/>
      <c r="R517" s="273"/>
      <c r="S517" s="273"/>
      <c r="T517" s="273"/>
      <c r="U517" s="273"/>
      <c r="V517" s="273"/>
      <c r="W517" s="273"/>
    </row>
    <row r="518" spans="17:23">
      <c r="Q518" s="273"/>
      <c r="R518" s="273"/>
      <c r="S518" s="273"/>
      <c r="T518" s="273"/>
      <c r="U518" s="273"/>
      <c r="V518" s="273"/>
      <c r="W518" s="273"/>
    </row>
    <row r="519" spans="17:23">
      <c r="Q519" s="273"/>
      <c r="R519" s="273"/>
      <c r="S519" s="273"/>
      <c r="T519" s="273"/>
      <c r="U519" s="273"/>
      <c r="V519" s="273"/>
      <c r="W519" s="273"/>
    </row>
    <row r="520" spans="17:23">
      <c r="Q520" s="273"/>
      <c r="R520" s="273"/>
      <c r="S520" s="273"/>
      <c r="T520" s="273"/>
      <c r="U520" s="273"/>
      <c r="V520" s="273"/>
      <c r="W520" s="273"/>
    </row>
    <row r="521" spans="17:23">
      <c r="Q521" s="273"/>
      <c r="R521" s="273"/>
      <c r="S521" s="273"/>
      <c r="T521" s="273"/>
      <c r="U521" s="273"/>
      <c r="V521" s="273"/>
      <c r="W521" s="273"/>
    </row>
    <row r="522" spans="17:23">
      <c r="Q522" s="273"/>
      <c r="R522" s="273"/>
      <c r="S522" s="273"/>
      <c r="T522" s="273"/>
      <c r="U522" s="273"/>
      <c r="V522" s="273"/>
      <c r="W522" s="273"/>
    </row>
    <row r="523" spans="17:23">
      <c r="Q523" s="273"/>
      <c r="R523" s="273"/>
      <c r="S523" s="273"/>
      <c r="T523" s="273"/>
      <c r="U523" s="273"/>
      <c r="V523" s="273"/>
      <c r="W523" s="273"/>
    </row>
    <row r="524" spans="17:23">
      <c r="Q524" s="273"/>
      <c r="R524" s="273"/>
      <c r="S524" s="273"/>
      <c r="T524" s="273"/>
      <c r="U524" s="273"/>
      <c r="V524" s="273"/>
      <c r="W524" s="273"/>
    </row>
    <row r="525" spans="17:23">
      <c r="Q525" s="273"/>
      <c r="R525" s="273"/>
      <c r="S525" s="273"/>
      <c r="T525" s="273"/>
      <c r="U525" s="273"/>
      <c r="V525" s="273"/>
      <c r="W525" s="273"/>
    </row>
    <row r="526" spans="17:23">
      <c r="Q526" s="273"/>
      <c r="R526" s="273"/>
      <c r="S526" s="273"/>
      <c r="T526" s="273"/>
      <c r="U526" s="273"/>
      <c r="V526" s="273"/>
      <c r="W526" s="273"/>
    </row>
    <row r="527" spans="17:23">
      <c r="Q527" s="273"/>
      <c r="R527" s="273"/>
      <c r="S527" s="273"/>
      <c r="T527" s="273"/>
      <c r="U527" s="273"/>
      <c r="V527" s="273"/>
      <c r="W527" s="273"/>
    </row>
    <row r="528" spans="17:23">
      <c r="Q528" s="273"/>
      <c r="R528" s="273"/>
      <c r="S528" s="273"/>
      <c r="T528" s="273"/>
      <c r="U528" s="273"/>
      <c r="V528" s="273"/>
      <c r="W528" s="273"/>
    </row>
    <row r="529" spans="17:23">
      <c r="Q529" s="273"/>
      <c r="R529" s="273"/>
      <c r="S529" s="273"/>
      <c r="T529" s="273"/>
      <c r="U529" s="273"/>
      <c r="V529" s="273"/>
      <c r="W529" s="273"/>
    </row>
    <row r="530" spans="17:23">
      <c r="Q530" s="273"/>
      <c r="R530" s="273"/>
      <c r="S530" s="273"/>
      <c r="T530" s="273"/>
      <c r="U530" s="273"/>
      <c r="V530" s="273"/>
      <c r="W530" s="273"/>
    </row>
    <row r="531" spans="17:23">
      <c r="Q531" s="273"/>
      <c r="R531" s="273"/>
      <c r="S531" s="273"/>
      <c r="T531" s="273"/>
      <c r="U531" s="273"/>
      <c r="V531" s="273"/>
      <c r="W531" s="273"/>
    </row>
    <row r="532" spans="17:23">
      <c r="Q532" s="273"/>
      <c r="R532" s="273"/>
      <c r="S532" s="273"/>
      <c r="T532" s="273"/>
      <c r="U532" s="273"/>
      <c r="V532" s="273"/>
      <c r="W532" s="273"/>
    </row>
    <row r="533" spans="17:23">
      <c r="Q533" s="273"/>
      <c r="R533" s="273"/>
      <c r="S533" s="273"/>
      <c r="T533" s="273"/>
      <c r="U533" s="273"/>
      <c r="V533" s="273"/>
      <c r="W533" s="273"/>
    </row>
    <row r="534" spans="17:23">
      <c r="Q534" s="273"/>
      <c r="R534" s="273"/>
      <c r="S534" s="273"/>
      <c r="T534" s="273"/>
      <c r="U534" s="273"/>
      <c r="V534" s="273"/>
      <c r="W534" s="273"/>
    </row>
    <row r="535" spans="17:23">
      <c r="Q535" s="273"/>
      <c r="R535" s="273"/>
      <c r="S535" s="273"/>
      <c r="T535" s="273"/>
      <c r="U535" s="273"/>
      <c r="V535" s="273"/>
      <c r="W535" s="273"/>
    </row>
    <row r="536" spans="17:23">
      <c r="Q536" s="273"/>
      <c r="R536" s="273"/>
      <c r="S536" s="273"/>
      <c r="T536" s="273"/>
      <c r="U536" s="273"/>
      <c r="V536" s="273"/>
      <c r="W536" s="273"/>
    </row>
    <row r="537" spans="17:23">
      <c r="Q537" s="273"/>
      <c r="R537" s="273"/>
      <c r="S537" s="273"/>
      <c r="T537" s="273"/>
      <c r="U537" s="273"/>
      <c r="V537" s="273"/>
      <c r="W537" s="273"/>
    </row>
    <row r="538" spans="17:23">
      <c r="Q538" s="273"/>
      <c r="R538" s="273"/>
      <c r="S538" s="273"/>
      <c r="T538" s="273"/>
      <c r="U538" s="273"/>
      <c r="V538" s="273"/>
      <c r="W538" s="273"/>
    </row>
    <row r="539" spans="17:23">
      <c r="Q539" s="273"/>
      <c r="R539" s="273"/>
      <c r="S539" s="273"/>
      <c r="T539" s="273"/>
      <c r="U539" s="273"/>
      <c r="V539" s="273"/>
      <c r="W539" s="273"/>
    </row>
    <row r="540" spans="17:23">
      <c r="Q540" s="273"/>
      <c r="R540" s="273"/>
      <c r="S540" s="273"/>
      <c r="T540" s="273"/>
      <c r="U540" s="273"/>
      <c r="V540" s="273"/>
      <c r="W540" s="273"/>
    </row>
    <row r="541" spans="17:23">
      <c r="Q541" s="273"/>
      <c r="R541" s="273"/>
      <c r="S541" s="273"/>
      <c r="T541" s="273"/>
      <c r="U541" s="273"/>
      <c r="V541" s="273"/>
      <c r="W541" s="273"/>
    </row>
    <row r="542" spans="17:23">
      <c r="Q542" s="273"/>
      <c r="R542" s="273"/>
      <c r="S542" s="273"/>
      <c r="T542" s="273"/>
      <c r="U542" s="273"/>
      <c r="V542" s="273"/>
      <c r="W542" s="273"/>
    </row>
    <row r="543" spans="17:23">
      <c r="Q543" s="273"/>
      <c r="R543" s="273"/>
      <c r="S543" s="273"/>
      <c r="T543" s="273"/>
      <c r="U543" s="273"/>
      <c r="V543" s="273"/>
      <c r="W543" s="273"/>
    </row>
    <row r="544" spans="17:23">
      <c r="Q544" s="273"/>
      <c r="R544" s="273"/>
      <c r="S544" s="273"/>
      <c r="T544" s="273"/>
      <c r="U544" s="273"/>
      <c r="V544" s="273"/>
      <c r="W544" s="273"/>
    </row>
    <row r="545" spans="17:23">
      <c r="Q545" s="273"/>
      <c r="R545" s="273"/>
      <c r="S545" s="273"/>
      <c r="T545" s="273"/>
      <c r="U545" s="273"/>
      <c r="V545" s="273"/>
      <c r="W545" s="273"/>
    </row>
    <row r="546" spans="17:23">
      <c r="Q546" s="273"/>
      <c r="R546" s="273"/>
      <c r="S546" s="273"/>
      <c r="T546" s="273"/>
      <c r="U546" s="273"/>
      <c r="V546" s="273"/>
      <c r="W546" s="273"/>
    </row>
    <row r="547" spans="17:23">
      <c r="Q547" s="273"/>
      <c r="R547" s="273"/>
      <c r="S547" s="273"/>
      <c r="T547" s="273"/>
      <c r="U547" s="273"/>
      <c r="V547" s="273"/>
      <c r="W547" s="273"/>
    </row>
    <row r="548" spans="17:23">
      <c r="Q548" s="273"/>
      <c r="R548" s="273"/>
      <c r="S548" s="273"/>
      <c r="T548" s="273"/>
      <c r="U548" s="273"/>
      <c r="V548" s="273"/>
      <c r="W548" s="273"/>
    </row>
    <row r="549" spans="17:23">
      <c r="Q549" s="273"/>
      <c r="R549" s="273"/>
      <c r="S549" s="273"/>
      <c r="T549" s="273"/>
      <c r="U549" s="273"/>
      <c r="V549" s="273"/>
      <c r="W549" s="273"/>
    </row>
    <row r="550" spans="17:23">
      <c r="Q550" s="273"/>
      <c r="R550" s="273"/>
      <c r="S550" s="273"/>
      <c r="T550" s="273"/>
      <c r="U550" s="273"/>
      <c r="V550" s="273"/>
      <c r="W550" s="273"/>
    </row>
    <row r="551" spans="17:23">
      <c r="Q551" s="273"/>
      <c r="R551" s="273"/>
      <c r="S551" s="273"/>
      <c r="T551" s="273"/>
      <c r="U551" s="273"/>
      <c r="V551" s="273"/>
      <c r="W551" s="273"/>
    </row>
    <row r="552" spans="17:23">
      <c r="Q552" s="273"/>
      <c r="R552" s="273"/>
      <c r="S552" s="273"/>
      <c r="T552" s="273"/>
      <c r="U552" s="273"/>
      <c r="V552" s="273"/>
      <c r="W552" s="273"/>
    </row>
    <row r="553" spans="17:23">
      <c r="Q553" s="273"/>
      <c r="R553" s="273"/>
      <c r="S553" s="273"/>
      <c r="T553" s="273"/>
      <c r="U553" s="273"/>
      <c r="V553" s="273"/>
      <c r="W553" s="273"/>
    </row>
    <row r="554" spans="17:23">
      <c r="Q554" s="273"/>
      <c r="R554" s="273"/>
      <c r="S554" s="273"/>
      <c r="T554" s="273"/>
      <c r="U554" s="273"/>
      <c r="V554" s="273"/>
      <c r="W554" s="273"/>
    </row>
    <row r="555" spans="17:23">
      <c r="Q555" s="273"/>
      <c r="R555" s="273"/>
      <c r="S555" s="273"/>
      <c r="T555" s="273"/>
      <c r="U555" s="273"/>
      <c r="V555" s="273"/>
      <c r="W555" s="273"/>
    </row>
    <row r="556" spans="17:23">
      <c r="Q556" s="273"/>
      <c r="R556" s="273"/>
      <c r="S556" s="273"/>
      <c r="T556" s="273"/>
      <c r="U556" s="273"/>
      <c r="V556" s="273"/>
      <c r="W556" s="273"/>
    </row>
    <row r="557" spans="17:23">
      <c r="Q557" s="273"/>
      <c r="R557" s="273"/>
      <c r="S557" s="273"/>
      <c r="T557" s="273"/>
      <c r="U557" s="273"/>
      <c r="V557" s="273"/>
      <c r="W557" s="273"/>
    </row>
    <row r="558" spans="17:23">
      <c r="Q558" s="273"/>
      <c r="R558" s="273"/>
      <c r="S558" s="273"/>
      <c r="T558" s="273"/>
      <c r="U558" s="273"/>
      <c r="V558" s="273"/>
      <c r="W558" s="273"/>
    </row>
    <row r="559" spans="17:23">
      <c r="Q559" s="273"/>
      <c r="R559" s="273"/>
      <c r="S559" s="273"/>
      <c r="T559" s="273"/>
      <c r="U559" s="273"/>
      <c r="V559" s="273"/>
      <c r="W559" s="273"/>
    </row>
    <row r="560" spans="17:23">
      <c r="Q560" s="273"/>
      <c r="R560" s="273"/>
      <c r="S560" s="273"/>
      <c r="T560" s="273"/>
      <c r="U560" s="273"/>
      <c r="V560" s="273"/>
      <c r="W560" s="273"/>
    </row>
    <row r="561" spans="17:23">
      <c r="Q561" s="273"/>
      <c r="R561" s="273"/>
      <c r="S561" s="273"/>
      <c r="T561" s="273"/>
      <c r="U561" s="273"/>
      <c r="V561" s="273"/>
      <c r="W561" s="273"/>
    </row>
    <row r="562" spans="17:23">
      <c r="Q562" s="273"/>
      <c r="R562" s="273"/>
      <c r="S562" s="273"/>
      <c r="T562" s="273"/>
      <c r="U562" s="273"/>
      <c r="V562" s="273"/>
      <c r="W562" s="273"/>
    </row>
    <row r="563" spans="17:23">
      <c r="Q563" s="273"/>
      <c r="R563" s="273"/>
      <c r="S563" s="273"/>
      <c r="T563" s="273"/>
      <c r="U563" s="273"/>
      <c r="V563" s="273"/>
      <c r="W563" s="273"/>
    </row>
    <row r="564" spans="17:23">
      <c r="Q564" s="273"/>
      <c r="R564" s="273"/>
      <c r="S564" s="273"/>
      <c r="T564" s="273"/>
      <c r="U564" s="273"/>
      <c r="V564" s="273"/>
      <c r="W564" s="273"/>
    </row>
    <row r="565" spans="17:23">
      <c r="Q565" s="273"/>
      <c r="R565" s="273"/>
      <c r="S565" s="273"/>
      <c r="T565" s="273"/>
      <c r="U565" s="273"/>
      <c r="V565" s="273"/>
      <c r="W565" s="273"/>
    </row>
    <row r="566" spans="17:23">
      <c r="Q566" s="273"/>
      <c r="R566" s="273"/>
      <c r="S566" s="273"/>
      <c r="T566" s="273"/>
      <c r="U566" s="273"/>
      <c r="V566" s="273"/>
      <c r="W566" s="273"/>
    </row>
    <row r="567" spans="17:23">
      <c r="Q567" s="273"/>
      <c r="R567" s="273"/>
      <c r="S567" s="273"/>
      <c r="T567" s="273"/>
      <c r="U567" s="273"/>
      <c r="V567" s="273"/>
      <c r="W567" s="273"/>
    </row>
    <row r="568" spans="17:23">
      <c r="Q568" s="273"/>
      <c r="R568" s="273"/>
      <c r="S568" s="273"/>
      <c r="T568" s="273"/>
      <c r="U568" s="273"/>
      <c r="V568" s="273"/>
      <c r="W568" s="273"/>
    </row>
    <row r="569" spans="17:23">
      <c r="Q569" s="273"/>
      <c r="R569" s="273"/>
      <c r="S569" s="273"/>
      <c r="T569" s="273"/>
      <c r="U569" s="273"/>
      <c r="V569" s="273"/>
      <c r="W569" s="273"/>
    </row>
    <row r="570" spans="17:23">
      <c r="Q570" s="273"/>
      <c r="R570" s="273"/>
      <c r="S570" s="273"/>
      <c r="T570" s="273"/>
      <c r="U570" s="273"/>
      <c r="V570" s="273"/>
      <c r="W570" s="273"/>
    </row>
    <row r="571" spans="17:23">
      <c r="Q571" s="273"/>
      <c r="R571" s="273"/>
      <c r="S571" s="273"/>
      <c r="T571" s="273"/>
      <c r="U571" s="273"/>
      <c r="V571" s="273"/>
      <c r="W571" s="273"/>
    </row>
    <row r="572" spans="17:23">
      <c r="Q572" s="273"/>
      <c r="R572" s="273"/>
      <c r="S572" s="273"/>
      <c r="T572" s="273"/>
      <c r="U572" s="273"/>
      <c r="V572" s="273"/>
      <c r="W572" s="273"/>
    </row>
    <row r="573" spans="17:23">
      <c r="Q573" s="273"/>
      <c r="R573" s="273"/>
      <c r="S573" s="273"/>
      <c r="T573" s="273"/>
      <c r="U573" s="273"/>
      <c r="V573" s="273"/>
      <c r="W573" s="273"/>
    </row>
    <row r="574" spans="17:23">
      <c r="Q574" s="273"/>
      <c r="R574" s="273"/>
      <c r="S574" s="273"/>
      <c r="T574" s="273"/>
      <c r="U574" s="273"/>
      <c r="V574" s="273"/>
      <c r="W574" s="273"/>
    </row>
    <row r="575" spans="17:23">
      <c r="Q575" s="273"/>
      <c r="R575" s="273"/>
      <c r="S575" s="273"/>
      <c r="T575" s="273"/>
      <c r="U575" s="273"/>
      <c r="V575" s="273"/>
      <c r="W575" s="273"/>
    </row>
    <row r="576" spans="17:23">
      <c r="Q576" s="273"/>
      <c r="R576" s="273"/>
      <c r="S576" s="273"/>
      <c r="T576" s="273"/>
      <c r="U576" s="273"/>
      <c r="V576" s="273"/>
      <c r="W576" s="273"/>
    </row>
    <row r="577" spans="17:23">
      <c r="Q577" s="273"/>
      <c r="R577" s="273"/>
      <c r="S577" s="273"/>
      <c r="T577" s="273"/>
      <c r="U577" s="273"/>
      <c r="V577" s="273"/>
      <c r="W577" s="273"/>
    </row>
    <row r="578" spans="17:23">
      <c r="Q578" s="273"/>
      <c r="R578" s="273"/>
      <c r="S578" s="273"/>
      <c r="T578" s="273"/>
      <c r="U578" s="273"/>
      <c r="V578" s="273"/>
      <c r="W578" s="273"/>
    </row>
    <row r="579" spans="17:23">
      <c r="Q579" s="273"/>
      <c r="R579" s="273"/>
      <c r="S579" s="273"/>
      <c r="T579" s="273"/>
      <c r="U579" s="273"/>
      <c r="V579" s="273"/>
      <c r="W579" s="273"/>
    </row>
    <row r="580" spans="17:23">
      <c r="Q580" s="273"/>
      <c r="R580" s="273"/>
      <c r="S580" s="273"/>
      <c r="T580" s="273"/>
      <c r="U580" s="273"/>
      <c r="V580" s="273"/>
      <c r="W580" s="273"/>
    </row>
    <row r="581" spans="17:23">
      <c r="Q581" s="273"/>
      <c r="R581" s="273"/>
      <c r="S581" s="273"/>
      <c r="T581" s="273"/>
      <c r="U581" s="273"/>
      <c r="V581" s="273"/>
      <c r="W581" s="273"/>
    </row>
    <row r="582" spans="17:23">
      <c r="Q582" s="273"/>
      <c r="R582" s="273"/>
      <c r="S582" s="273"/>
      <c r="T582" s="273"/>
      <c r="U582" s="273"/>
      <c r="V582" s="273"/>
      <c r="W582" s="273"/>
    </row>
    <row r="583" spans="17:23">
      <c r="Q583" s="273"/>
      <c r="R583" s="273"/>
      <c r="S583" s="273"/>
      <c r="T583" s="273"/>
      <c r="U583" s="273"/>
      <c r="V583" s="273"/>
      <c r="W583" s="273"/>
    </row>
    <row r="584" spans="17:23">
      <c r="Q584" s="273"/>
      <c r="R584" s="273"/>
      <c r="S584" s="273"/>
      <c r="T584" s="273"/>
      <c r="U584" s="273"/>
      <c r="V584" s="273"/>
      <c r="W584" s="273"/>
    </row>
    <row r="585" spans="17:23">
      <c r="Q585" s="273"/>
      <c r="R585" s="273"/>
      <c r="S585" s="273"/>
      <c r="T585" s="273"/>
      <c r="U585" s="273"/>
      <c r="V585" s="273"/>
      <c r="W585" s="273"/>
    </row>
    <row r="586" spans="17:23">
      <c r="Q586" s="273"/>
      <c r="R586" s="273"/>
      <c r="S586" s="273"/>
      <c r="T586" s="273"/>
      <c r="U586" s="273"/>
      <c r="V586" s="273"/>
      <c r="W586" s="273"/>
    </row>
    <row r="587" spans="17:23">
      <c r="Q587" s="273"/>
      <c r="R587" s="273"/>
      <c r="S587" s="273"/>
      <c r="T587" s="273"/>
      <c r="U587" s="273"/>
      <c r="V587" s="273"/>
      <c r="W587" s="273"/>
    </row>
    <row r="588" spans="17:23">
      <c r="Q588" s="273"/>
      <c r="R588" s="273"/>
      <c r="S588" s="273"/>
      <c r="T588" s="273"/>
      <c r="U588" s="273"/>
      <c r="V588" s="273"/>
      <c r="W588" s="273"/>
    </row>
    <row r="589" spans="17:23">
      <c r="Q589" s="273"/>
      <c r="R589" s="273"/>
      <c r="S589" s="273"/>
      <c r="T589" s="273"/>
      <c r="U589" s="273"/>
      <c r="V589" s="273"/>
      <c r="W589" s="273"/>
    </row>
    <row r="590" spans="17:23">
      <c r="Q590" s="273"/>
      <c r="R590" s="273"/>
      <c r="S590" s="273"/>
      <c r="T590" s="273"/>
      <c r="U590" s="273"/>
      <c r="V590" s="273"/>
      <c r="W590" s="273"/>
    </row>
    <row r="591" spans="17:23">
      <c r="Q591" s="273"/>
      <c r="R591" s="273"/>
      <c r="S591" s="273"/>
      <c r="T591" s="273"/>
      <c r="U591" s="273"/>
      <c r="V591" s="273"/>
      <c r="W591" s="273"/>
    </row>
    <row r="592" spans="17:23">
      <c r="Q592" s="273"/>
      <c r="R592" s="273"/>
      <c r="S592" s="273"/>
      <c r="T592" s="273"/>
      <c r="U592" s="273"/>
      <c r="V592" s="273"/>
      <c r="W592" s="273"/>
    </row>
    <row r="593" spans="17:23">
      <c r="Q593" s="273"/>
      <c r="R593" s="273"/>
      <c r="S593" s="273"/>
      <c r="T593" s="273"/>
      <c r="U593" s="273"/>
      <c r="V593" s="273"/>
      <c r="W593" s="273"/>
    </row>
    <row r="594" spans="17:23">
      <c r="Q594" s="273"/>
      <c r="R594" s="273"/>
      <c r="S594" s="273"/>
      <c r="T594" s="273"/>
      <c r="U594" s="273"/>
      <c r="V594" s="273"/>
      <c r="W594" s="273"/>
    </row>
    <row r="595" spans="17:23">
      <c r="Q595" s="273"/>
      <c r="R595" s="273"/>
      <c r="S595" s="273"/>
      <c r="T595" s="273"/>
      <c r="U595" s="273"/>
      <c r="V595" s="273"/>
      <c r="W595" s="273"/>
    </row>
    <row r="596" spans="17:23">
      <c r="Q596" s="273"/>
      <c r="R596" s="273"/>
      <c r="S596" s="273"/>
      <c r="T596" s="273"/>
      <c r="U596" s="273"/>
      <c r="V596" s="273"/>
      <c r="W596" s="273"/>
    </row>
    <row r="597" spans="17:23">
      <c r="Q597" s="273"/>
      <c r="R597" s="273"/>
      <c r="S597" s="273"/>
      <c r="T597" s="273"/>
      <c r="U597" s="273"/>
      <c r="V597" s="273"/>
      <c r="W597" s="273"/>
    </row>
    <row r="598" spans="17:23">
      <c r="Q598" s="273"/>
      <c r="R598" s="273"/>
      <c r="S598" s="273"/>
      <c r="T598" s="273"/>
      <c r="U598" s="273"/>
      <c r="V598" s="273"/>
      <c r="W598" s="273"/>
    </row>
    <row r="599" spans="17:23">
      <c r="Q599" s="273"/>
      <c r="R599" s="273"/>
      <c r="S599" s="273"/>
      <c r="T599" s="273"/>
      <c r="U599" s="273"/>
      <c r="V599" s="273"/>
      <c r="W599" s="273"/>
    </row>
    <row r="600" spans="17:23">
      <c r="Q600" s="273"/>
      <c r="R600" s="273"/>
      <c r="S600" s="273"/>
      <c r="T600" s="273"/>
      <c r="U600" s="273"/>
      <c r="V600" s="273"/>
      <c r="W600" s="273"/>
    </row>
    <row r="601" spans="17:23">
      <c r="Q601" s="273"/>
      <c r="R601" s="273"/>
      <c r="S601" s="273"/>
      <c r="T601" s="273"/>
      <c r="U601" s="273"/>
      <c r="V601" s="273"/>
      <c r="W601" s="273"/>
    </row>
    <row r="602" spans="17:23">
      <c r="Q602" s="273"/>
      <c r="R602" s="273"/>
      <c r="S602" s="273"/>
      <c r="T602" s="273"/>
      <c r="U602" s="273"/>
      <c r="V602" s="273"/>
      <c r="W602" s="273"/>
    </row>
    <row r="603" spans="17:23">
      <c r="Q603" s="273"/>
      <c r="R603" s="273"/>
      <c r="S603" s="273"/>
      <c r="T603" s="273"/>
      <c r="U603" s="273"/>
      <c r="V603" s="273"/>
      <c r="W603" s="273"/>
    </row>
    <row r="604" spans="17:23">
      <c r="Q604" s="273"/>
      <c r="R604" s="273"/>
      <c r="S604" s="273"/>
      <c r="T604" s="273"/>
      <c r="U604" s="273"/>
      <c r="V604" s="273"/>
      <c r="W604" s="273"/>
    </row>
    <row r="605" spans="17:23">
      <c r="Q605" s="273"/>
      <c r="R605" s="273"/>
      <c r="S605" s="273"/>
      <c r="T605" s="273"/>
      <c r="U605" s="273"/>
      <c r="V605" s="273"/>
      <c r="W605" s="273"/>
    </row>
    <row r="606" spans="17:23">
      <c r="Q606" s="273"/>
      <c r="R606" s="273"/>
      <c r="S606" s="273"/>
      <c r="T606" s="273"/>
      <c r="U606" s="273"/>
      <c r="V606" s="273"/>
      <c r="W606" s="273"/>
    </row>
    <row r="607" spans="17:23">
      <c r="Q607" s="273"/>
      <c r="R607" s="273"/>
      <c r="S607" s="273"/>
      <c r="T607" s="273"/>
      <c r="U607" s="273"/>
      <c r="V607" s="273"/>
      <c r="W607" s="273"/>
    </row>
    <row r="608" spans="17:23">
      <c r="Q608" s="273"/>
      <c r="R608" s="273"/>
      <c r="S608" s="273"/>
      <c r="T608" s="273"/>
      <c r="U608" s="273"/>
      <c r="V608" s="273"/>
      <c r="W608" s="273"/>
    </row>
    <row r="609" spans="17:23">
      <c r="Q609" s="273"/>
      <c r="R609" s="273"/>
      <c r="S609" s="273"/>
      <c r="T609" s="273"/>
      <c r="U609" s="273"/>
      <c r="V609" s="273"/>
      <c r="W609" s="273"/>
    </row>
    <row r="610" spans="17:23">
      <c r="Q610" s="273"/>
      <c r="R610" s="273"/>
      <c r="S610" s="273"/>
      <c r="T610" s="273"/>
      <c r="U610" s="273"/>
      <c r="V610" s="273"/>
      <c r="W610" s="273"/>
    </row>
    <row r="611" spans="17:23">
      <c r="Q611" s="273"/>
      <c r="R611" s="273"/>
      <c r="S611" s="273"/>
      <c r="T611" s="273"/>
      <c r="U611" s="273"/>
      <c r="V611" s="273"/>
      <c r="W611" s="273"/>
    </row>
    <row r="612" spans="17:23">
      <c r="Q612" s="273"/>
      <c r="R612" s="273"/>
      <c r="S612" s="273"/>
      <c r="T612" s="273"/>
      <c r="U612" s="273"/>
      <c r="V612" s="273"/>
      <c r="W612" s="273"/>
    </row>
    <row r="613" spans="17:23">
      <c r="Q613" s="273"/>
      <c r="R613" s="273"/>
      <c r="S613" s="273"/>
      <c r="T613" s="273"/>
      <c r="U613" s="273"/>
      <c r="V613" s="273"/>
      <c r="W613" s="273"/>
    </row>
    <row r="614" spans="17:23">
      <c r="Q614" s="273"/>
      <c r="R614" s="273"/>
      <c r="S614" s="273"/>
      <c r="T614" s="273"/>
      <c r="U614" s="273"/>
      <c r="V614" s="273"/>
      <c r="W614" s="273"/>
    </row>
    <row r="615" spans="17:23">
      <c r="Q615" s="273"/>
      <c r="R615" s="273"/>
      <c r="S615" s="273"/>
      <c r="T615" s="273"/>
      <c r="U615" s="273"/>
      <c r="V615" s="273"/>
      <c r="W615" s="273"/>
    </row>
    <row r="616" spans="17:23">
      <c r="Q616" s="273"/>
      <c r="R616" s="273"/>
      <c r="S616" s="273"/>
      <c r="T616" s="273"/>
      <c r="U616" s="273"/>
      <c r="V616" s="273"/>
      <c r="W616" s="273"/>
    </row>
    <row r="617" spans="17:23">
      <c r="Q617" s="273"/>
      <c r="R617" s="273"/>
      <c r="S617" s="273"/>
      <c r="T617" s="273"/>
      <c r="U617" s="273"/>
      <c r="V617" s="273"/>
      <c r="W617" s="273"/>
    </row>
    <row r="618" spans="17:23">
      <c r="Q618" s="273"/>
      <c r="R618" s="273"/>
      <c r="S618" s="273"/>
      <c r="T618" s="273"/>
      <c r="U618" s="273"/>
      <c r="V618" s="273"/>
      <c r="W618" s="273"/>
    </row>
    <row r="619" spans="17:23">
      <c r="Q619" s="273"/>
      <c r="R619" s="273"/>
      <c r="S619" s="273"/>
      <c r="T619" s="273"/>
      <c r="U619" s="273"/>
      <c r="V619" s="273"/>
      <c r="W619" s="273"/>
    </row>
    <row r="620" spans="17:23">
      <c r="Q620" s="273"/>
      <c r="R620" s="273"/>
      <c r="S620" s="273"/>
      <c r="T620" s="273"/>
      <c r="U620" s="273"/>
      <c r="V620" s="273"/>
      <c r="W620" s="273"/>
    </row>
    <row r="621" spans="17:23">
      <c r="Q621" s="273"/>
      <c r="R621" s="273"/>
      <c r="S621" s="273"/>
      <c r="T621" s="273"/>
      <c r="U621" s="273"/>
      <c r="V621" s="273"/>
      <c r="W621" s="273"/>
    </row>
    <row r="622" spans="17:23">
      <c r="Q622" s="273"/>
      <c r="R622" s="273"/>
      <c r="S622" s="273"/>
      <c r="T622" s="273"/>
      <c r="U622" s="273"/>
      <c r="V622" s="273"/>
      <c r="W622" s="273"/>
    </row>
    <row r="623" spans="17:23">
      <c r="Q623" s="273"/>
      <c r="R623" s="273"/>
      <c r="S623" s="273"/>
      <c r="T623" s="273"/>
      <c r="U623" s="273"/>
      <c r="V623" s="273"/>
      <c r="W623" s="273"/>
    </row>
    <row r="624" spans="17:23">
      <c r="Q624" s="273"/>
      <c r="R624" s="273"/>
      <c r="S624" s="273"/>
      <c r="T624" s="273"/>
      <c r="U624" s="273"/>
      <c r="V624" s="273"/>
      <c r="W624" s="273"/>
    </row>
    <row r="625" spans="17:23">
      <c r="Q625" s="273"/>
      <c r="R625" s="273"/>
      <c r="S625" s="273"/>
      <c r="T625" s="273"/>
      <c r="U625" s="273"/>
      <c r="V625" s="273"/>
      <c r="W625" s="273"/>
    </row>
    <row r="626" spans="17:23">
      <c r="Q626" s="273"/>
      <c r="R626" s="273"/>
      <c r="S626" s="273"/>
      <c r="T626" s="273"/>
      <c r="U626" s="273"/>
      <c r="V626" s="273"/>
      <c r="W626" s="273"/>
    </row>
    <row r="627" spans="17:23">
      <c r="Q627" s="273"/>
      <c r="R627" s="273"/>
      <c r="S627" s="273"/>
      <c r="T627" s="273"/>
      <c r="U627" s="273"/>
      <c r="V627" s="273"/>
      <c r="W627" s="273"/>
    </row>
    <row r="628" spans="17:23">
      <c r="Q628" s="273"/>
      <c r="R628" s="273"/>
      <c r="S628" s="273"/>
      <c r="T628" s="273"/>
      <c r="U628" s="273"/>
      <c r="V628" s="273"/>
      <c r="W628" s="273"/>
    </row>
    <row r="629" spans="17:23">
      <c r="Q629" s="273"/>
      <c r="R629" s="273"/>
      <c r="S629" s="273"/>
      <c r="T629" s="273"/>
      <c r="U629" s="273"/>
      <c r="V629" s="273"/>
      <c r="W629" s="273"/>
    </row>
    <row r="630" spans="17:23">
      <c r="Q630" s="273"/>
      <c r="R630" s="273"/>
      <c r="S630" s="273"/>
      <c r="T630" s="273"/>
      <c r="U630" s="273"/>
      <c r="V630" s="273"/>
      <c r="W630" s="273"/>
    </row>
    <row r="631" spans="17:23">
      <c r="Q631" s="273"/>
      <c r="R631" s="273"/>
      <c r="S631" s="273"/>
      <c r="T631" s="273"/>
      <c r="U631" s="273"/>
      <c r="V631" s="273"/>
      <c r="W631" s="273"/>
    </row>
    <row r="632" spans="17:23">
      <c r="Q632" s="273"/>
      <c r="R632" s="273"/>
      <c r="S632" s="273"/>
      <c r="T632" s="273"/>
      <c r="U632" s="273"/>
      <c r="V632" s="273"/>
      <c r="W632" s="273"/>
    </row>
    <row r="633" spans="17:23">
      <c r="Q633" s="273"/>
      <c r="R633" s="273"/>
      <c r="S633" s="273"/>
      <c r="T633" s="273"/>
      <c r="U633" s="273"/>
      <c r="V633" s="273"/>
      <c r="W633" s="273"/>
    </row>
    <row r="634" spans="17:23">
      <c r="Q634" s="273"/>
      <c r="R634" s="273"/>
      <c r="S634" s="273"/>
      <c r="T634" s="273"/>
      <c r="U634" s="273"/>
      <c r="V634" s="273"/>
      <c r="W634" s="273"/>
    </row>
    <row r="635" spans="17:23">
      <c r="Q635" s="273"/>
      <c r="R635" s="273"/>
      <c r="S635" s="273"/>
      <c r="T635" s="273"/>
      <c r="U635" s="273"/>
      <c r="V635" s="273"/>
      <c r="W635" s="273"/>
    </row>
    <row r="636" spans="17:23">
      <c r="Q636" s="273"/>
      <c r="R636" s="273"/>
      <c r="S636" s="273"/>
      <c r="T636" s="273"/>
      <c r="U636" s="273"/>
      <c r="V636" s="273"/>
      <c r="W636" s="273"/>
    </row>
    <row r="637" spans="17:23">
      <c r="Q637" s="273"/>
      <c r="R637" s="273"/>
      <c r="S637" s="273"/>
      <c r="T637" s="273"/>
      <c r="U637" s="273"/>
      <c r="V637" s="273"/>
      <c r="W637" s="273"/>
    </row>
    <row r="638" spans="17:23">
      <c r="Q638" s="273"/>
      <c r="R638" s="273"/>
      <c r="S638" s="273"/>
      <c r="T638" s="273"/>
      <c r="U638" s="273"/>
      <c r="V638" s="273"/>
      <c r="W638" s="273"/>
    </row>
    <row r="639" spans="17:23">
      <c r="Q639" s="273"/>
      <c r="R639" s="273"/>
      <c r="S639" s="273"/>
      <c r="T639" s="273"/>
      <c r="U639" s="273"/>
      <c r="V639" s="273"/>
      <c r="W639" s="273"/>
    </row>
    <row r="640" spans="17:23">
      <c r="Q640" s="273"/>
      <c r="R640" s="273"/>
      <c r="S640" s="273"/>
      <c r="T640" s="273"/>
      <c r="U640" s="273"/>
      <c r="V640" s="273"/>
      <c r="W640" s="273"/>
    </row>
    <row r="641" spans="17:23">
      <c r="Q641" s="273"/>
      <c r="R641" s="273"/>
      <c r="S641" s="273"/>
      <c r="T641" s="273"/>
      <c r="U641" s="273"/>
      <c r="V641" s="273"/>
      <c r="W641" s="273"/>
    </row>
    <row r="642" spans="17:23">
      <c r="Q642" s="273"/>
      <c r="R642" s="273"/>
      <c r="S642" s="273"/>
      <c r="T642" s="273"/>
      <c r="U642" s="273"/>
      <c r="V642" s="273"/>
      <c r="W642" s="273"/>
    </row>
    <row r="643" spans="17:23">
      <c r="Q643" s="273"/>
      <c r="R643" s="273"/>
      <c r="S643" s="273"/>
      <c r="T643" s="273"/>
      <c r="U643" s="273"/>
      <c r="V643" s="273"/>
      <c r="W643" s="273"/>
    </row>
    <row r="644" spans="17:23">
      <c r="Q644" s="273"/>
      <c r="R644" s="273"/>
      <c r="S644" s="273"/>
      <c r="T644" s="273"/>
      <c r="U644" s="273"/>
      <c r="V644" s="273"/>
      <c r="W644" s="273"/>
    </row>
    <row r="645" spans="17:23">
      <c r="Q645" s="273"/>
      <c r="R645" s="273"/>
      <c r="S645" s="273"/>
      <c r="T645" s="273"/>
      <c r="U645" s="273"/>
      <c r="V645" s="273"/>
      <c r="W645" s="273"/>
    </row>
    <row r="646" spans="17:23">
      <c r="Q646" s="273"/>
      <c r="R646" s="273"/>
      <c r="S646" s="273"/>
      <c r="T646" s="273"/>
      <c r="U646" s="273"/>
      <c r="V646" s="273"/>
      <c r="W646" s="273"/>
    </row>
    <row r="647" spans="17:23">
      <c r="Q647" s="273"/>
      <c r="R647" s="273"/>
      <c r="S647" s="273"/>
      <c r="T647" s="273"/>
      <c r="U647" s="273"/>
      <c r="V647" s="273"/>
      <c r="W647" s="273"/>
    </row>
    <row r="648" spans="17:23">
      <c r="Q648" s="273"/>
      <c r="R648" s="273"/>
      <c r="S648" s="273"/>
      <c r="T648" s="273"/>
      <c r="U648" s="273"/>
      <c r="V648" s="273"/>
      <c r="W648" s="273"/>
    </row>
    <row r="649" spans="17:23">
      <c r="Q649" s="273"/>
      <c r="R649" s="273"/>
      <c r="S649" s="273"/>
      <c r="T649" s="273"/>
      <c r="U649" s="273"/>
      <c r="V649" s="273"/>
      <c r="W649" s="273"/>
    </row>
    <row r="650" spans="17:23">
      <c r="Q650" s="273"/>
      <c r="R650" s="273"/>
      <c r="S650" s="273"/>
      <c r="T650" s="273"/>
      <c r="U650" s="273"/>
      <c r="V650" s="273"/>
      <c r="W650" s="273"/>
    </row>
    <row r="651" spans="17:23">
      <c r="Q651" s="273"/>
      <c r="R651" s="273"/>
      <c r="S651" s="273"/>
      <c r="T651" s="273"/>
      <c r="U651" s="273"/>
      <c r="V651" s="273"/>
      <c r="W651" s="273"/>
    </row>
    <row r="652" spans="17:23">
      <c r="Q652" s="273"/>
      <c r="R652" s="273"/>
      <c r="S652" s="273"/>
      <c r="T652" s="273"/>
      <c r="U652" s="273"/>
      <c r="V652" s="273"/>
      <c r="W652" s="273"/>
    </row>
    <row r="653" spans="17:23">
      <c r="Q653" s="273"/>
      <c r="R653" s="273"/>
      <c r="S653" s="273"/>
      <c r="T653" s="273"/>
      <c r="U653" s="273"/>
      <c r="V653" s="273"/>
      <c r="W653" s="273"/>
    </row>
    <row r="654" spans="17:23">
      <c r="Q654" s="273"/>
      <c r="R654" s="273"/>
      <c r="S654" s="273"/>
      <c r="T654" s="273"/>
      <c r="U654" s="273"/>
      <c r="V654" s="273"/>
      <c r="W654" s="273"/>
    </row>
    <row r="655" spans="17:23">
      <c r="Q655" s="273"/>
      <c r="R655" s="273"/>
      <c r="S655" s="273"/>
      <c r="T655" s="273"/>
      <c r="U655" s="273"/>
      <c r="V655" s="273"/>
      <c r="W655" s="273"/>
    </row>
    <row r="656" spans="17:23">
      <c r="Q656" s="273"/>
      <c r="R656" s="273"/>
      <c r="S656" s="273"/>
      <c r="T656" s="273"/>
      <c r="U656" s="273"/>
      <c r="V656" s="273"/>
      <c r="W656" s="273"/>
    </row>
    <row r="657" spans="17:23">
      <c r="Q657" s="273"/>
      <c r="R657" s="273"/>
      <c r="S657" s="273"/>
      <c r="T657" s="273"/>
      <c r="U657" s="273"/>
      <c r="V657" s="273"/>
      <c r="W657" s="273"/>
    </row>
    <row r="658" spans="17:23">
      <c r="Q658" s="273"/>
      <c r="R658" s="273"/>
      <c r="S658" s="273"/>
      <c r="T658" s="273"/>
      <c r="U658" s="273"/>
      <c r="V658" s="273"/>
      <c r="W658" s="273"/>
    </row>
    <row r="659" spans="17:23">
      <c r="Q659" s="273"/>
      <c r="R659" s="273"/>
      <c r="S659" s="273"/>
      <c r="T659" s="273"/>
      <c r="U659" s="273"/>
      <c r="V659" s="273"/>
      <c r="W659" s="273"/>
    </row>
    <row r="660" spans="17:23">
      <c r="Q660" s="273"/>
      <c r="R660" s="273"/>
      <c r="S660" s="273"/>
      <c r="T660" s="273"/>
      <c r="U660" s="273"/>
      <c r="V660" s="273"/>
      <c r="W660" s="273"/>
    </row>
    <row r="661" spans="17:23">
      <c r="Q661" s="273"/>
      <c r="R661" s="273"/>
      <c r="S661" s="273"/>
      <c r="T661" s="273"/>
      <c r="U661" s="273"/>
      <c r="V661" s="273"/>
      <c r="W661" s="273"/>
    </row>
    <row r="662" spans="17:23">
      <c r="Q662" s="273"/>
      <c r="R662" s="273"/>
      <c r="S662" s="273"/>
      <c r="T662" s="273"/>
      <c r="U662" s="273"/>
      <c r="V662" s="273"/>
      <c r="W662" s="273"/>
    </row>
    <row r="663" spans="17:23">
      <c r="Q663" s="273"/>
      <c r="R663" s="273"/>
      <c r="S663" s="273"/>
      <c r="T663" s="273"/>
      <c r="U663" s="273"/>
      <c r="V663" s="273"/>
      <c r="W663" s="273"/>
    </row>
    <row r="664" spans="17:23">
      <c r="Q664" s="273"/>
      <c r="R664" s="273"/>
      <c r="S664" s="273"/>
      <c r="T664" s="273"/>
      <c r="U664" s="273"/>
      <c r="V664" s="273"/>
      <c r="W664" s="273"/>
    </row>
    <row r="665" spans="17:23">
      <c r="Q665" s="273"/>
      <c r="R665" s="273"/>
      <c r="S665" s="273"/>
      <c r="T665" s="273"/>
      <c r="U665" s="273"/>
      <c r="V665" s="273"/>
      <c r="W665" s="273"/>
    </row>
    <row r="666" spans="17:23">
      <c r="Q666" s="273"/>
      <c r="R666" s="273"/>
      <c r="S666" s="273"/>
      <c r="T666" s="273"/>
      <c r="U666" s="273"/>
      <c r="V666" s="273"/>
      <c r="W666" s="273"/>
    </row>
    <row r="667" spans="17:23">
      <c r="Q667" s="273"/>
      <c r="R667" s="273"/>
      <c r="S667" s="273"/>
      <c r="T667" s="273"/>
      <c r="U667" s="273"/>
      <c r="V667" s="273"/>
      <c r="W667" s="273"/>
    </row>
    <row r="668" spans="17:23">
      <c r="Q668" s="273"/>
      <c r="R668" s="273"/>
      <c r="S668" s="273"/>
      <c r="T668" s="273"/>
      <c r="U668" s="273"/>
      <c r="V668" s="273"/>
      <c r="W668" s="273"/>
    </row>
    <row r="669" spans="17:23">
      <c r="Q669" s="273"/>
      <c r="R669" s="273"/>
      <c r="S669" s="273"/>
      <c r="T669" s="273"/>
      <c r="U669" s="273"/>
      <c r="V669" s="273"/>
      <c r="W669" s="273"/>
    </row>
    <row r="670" spans="17:23">
      <c r="Q670" s="273"/>
      <c r="R670" s="273"/>
      <c r="S670" s="273"/>
      <c r="T670" s="273"/>
      <c r="U670" s="273"/>
      <c r="V670" s="273"/>
      <c r="W670" s="273"/>
    </row>
    <row r="671" spans="17:23">
      <c r="Q671" s="273"/>
      <c r="R671" s="273"/>
      <c r="S671" s="273"/>
      <c r="T671" s="273"/>
      <c r="U671" s="273"/>
      <c r="V671" s="273"/>
      <c r="W671" s="273"/>
    </row>
    <row r="672" spans="17:23">
      <c r="Q672" s="273"/>
      <c r="R672" s="273"/>
      <c r="S672" s="273"/>
      <c r="T672" s="273"/>
      <c r="U672" s="273"/>
      <c r="V672" s="273"/>
      <c r="W672" s="273"/>
    </row>
    <row r="673" spans="17:23">
      <c r="Q673" s="273"/>
      <c r="R673" s="273"/>
      <c r="S673" s="273"/>
      <c r="T673" s="273"/>
      <c r="U673" s="273"/>
      <c r="V673" s="273"/>
      <c r="W673" s="273"/>
    </row>
    <row r="674" spans="17:23">
      <c r="Q674" s="273"/>
      <c r="R674" s="273"/>
      <c r="S674" s="273"/>
      <c r="T674" s="273"/>
      <c r="U674" s="273"/>
      <c r="V674" s="273"/>
      <c r="W674" s="273"/>
    </row>
    <row r="675" spans="17:23">
      <c r="Q675" s="273"/>
      <c r="R675" s="273"/>
      <c r="S675" s="273"/>
      <c r="T675" s="273"/>
      <c r="U675" s="273"/>
      <c r="V675" s="273"/>
      <c r="W675" s="273"/>
    </row>
    <row r="676" spans="17:23">
      <c r="Q676" s="273"/>
      <c r="R676" s="273"/>
      <c r="S676" s="273"/>
      <c r="T676" s="273"/>
      <c r="U676" s="273"/>
      <c r="V676" s="273"/>
      <c r="W676" s="273"/>
    </row>
    <row r="677" spans="17:23">
      <c r="Q677" s="273"/>
      <c r="R677" s="273"/>
      <c r="S677" s="273"/>
      <c r="T677" s="273"/>
      <c r="U677" s="273"/>
      <c r="V677" s="273"/>
      <c r="W677" s="273"/>
    </row>
    <row r="678" spans="17:23">
      <c r="Q678" s="273"/>
      <c r="R678" s="273"/>
      <c r="S678" s="273"/>
      <c r="T678" s="273"/>
      <c r="U678" s="273"/>
      <c r="V678" s="273"/>
      <c r="W678" s="273"/>
    </row>
    <row r="679" spans="17:23">
      <c r="Q679" s="273"/>
      <c r="R679" s="273"/>
      <c r="S679" s="273"/>
      <c r="T679" s="273"/>
      <c r="U679" s="273"/>
      <c r="V679" s="273"/>
      <c r="W679" s="273"/>
    </row>
    <row r="680" spans="17:23">
      <c r="Q680" s="273"/>
      <c r="R680" s="273"/>
      <c r="S680" s="273"/>
      <c r="T680" s="273"/>
      <c r="U680" s="273"/>
      <c r="V680" s="273"/>
      <c r="W680" s="273"/>
    </row>
    <row r="681" spans="17:23">
      <c r="Q681" s="273"/>
      <c r="R681" s="273"/>
      <c r="S681" s="273"/>
      <c r="T681" s="273"/>
      <c r="U681" s="273"/>
      <c r="V681" s="273"/>
      <c r="W681" s="273"/>
    </row>
    <row r="682" spans="17:23">
      <c r="Q682" s="273"/>
      <c r="R682" s="273"/>
      <c r="S682" s="273"/>
      <c r="T682" s="273"/>
      <c r="U682" s="273"/>
      <c r="V682" s="273"/>
      <c r="W682" s="273"/>
    </row>
    <row r="683" spans="17:23">
      <c r="Q683" s="273"/>
      <c r="R683" s="273"/>
      <c r="S683" s="273"/>
      <c r="T683" s="273"/>
      <c r="U683" s="273"/>
      <c r="V683" s="273"/>
      <c r="W683" s="273"/>
    </row>
    <row r="684" spans="17:23">
      <c r="Q684" s="273"/>
      <c r="R684" s="273"/>
      <c r="S684" s="273"/>
      <c r="T684" s="273"/>
      <c r="U684" s="273"/>
      <c r="V684" s="273"/>
      <c r="W684" s="273"/>
    </row>
    <row r="685" spans="17:23">
      <c r="Q685" s="273"/>
      <c r="R685" s="273"/>
      <c r="S685" s="273"/>
      <c r="T685" s="273"/>
      <c r="U685" s="273"/>
      <c r="V685" s="273"/>
      <c r="W685" s="273"/>
    </row>
    <row r="686" spans="17:23">
      <c r="Q686" s="273"/>
      <c r="R686" s="273"/>
      <c r="S686" s="273"/>
      <c r="T686" s="273"/>
      <c r="U686" s="273"/>
      <c r="V686" s="273"/>
      <c r="W686" s="273"/>
    </row>
    <row r="687" spans="17:23">
      <c r="Q687" s="273"/>
      <c r="R687" s="273"/>
      <c r="S687" s="273"/>
      <c r="T687" s="273"/>
      <c r="U687" s="273"/>
      <c r="V687" s="273"/>
      <c r="W687" s="273"/>
    </row>
    <row r="688" spans="17:23">
      <c r="Q688" s="273"/>
      <c r="R688" s="273"/>
      <c r="S688" s="273"/>
      <c r="T688" s="273"/>
      <c r="U688" s="273"/>
      <c r="V688" s="273"/>
      <c r="W688" s="273"/>
    </row>
    <row r="689" spans="17:23">
      <c r="Q689" s="273"/>
      <c r="R689" s="273"/>
      <c r="S689" s="273"/>
      <c r="T689" s="273"/>
      <c r="U689" s="273"/>
      <c r="V689" s="273"/>
      <c r="W689" s="273"/>
    </row>
    <row r="690" spans="17:23">
      <c r="Q690" s="273"/>
      <c r="R690" s="273"/>
      <c r="S690" s="273"/>
      <c r="T690" s="273"/>
      <c r="U690" s="273"/>
      <c r="V690" s="273"/>
      <c r="W690" s="273"/>
    </row>
    <row r="691" spans="17:23">
      <c r="Q691" s="273"/>
      <c r="R691" s="273"/>
      <c r="S691" s="273"/>
      <c r="T691" s="273"/>
      <c r="U691" s="273"/>
      <c r="V691" s="273"/>
      <c r="W691" s="273"/>
    </row>
    <row r="692" spans="17:23">
      <c r="Q692" s="273"/>
      <c r="R692" s="273"/>
      <c r="S692" s="273"/>
      <c r="T692" s="273"/>
      <c r="U692" s="273"/>
      <c r="V692" s="273"/>
      <c r="W692" s="273"/>
    </row>
    <row r="693" spans="17:23">
      <c r="Q693" s="273"/>
      <c r="R693" s="273"/>
      <c r="S693" s="273"/>
      <c r="T693" s="273"/>
      <c r="U693" s="273"/>
      <c r="V693" s="273"/>
      <c r="W693" s="273"/>
    </row>
    <row r="694" spans="17:23">
      <c r="Q694" s="273"/>
      <c r="R694" s="273"/>
      <c r="S694" s="273"/>
      <c r="T694" s="273"/>
      <c r="U694" s="273"/>
      <c r="V694" s="273"/>
      <c r="W694" s="273"/>
    </row>
    <row r="695" spans="17:23">
      <c r="Q695" s="273"/>
      <c r="R695" s="273"/>
      <c r="S695" s="273"/>
      <c r="T695" s="273"/>
      <c r="U695" s="273"/>
      <c r="V695" s="273"/>
      <c r="W695" s="273"/>
    </row>
    <row r="696" spans="17:23">
      <c r="Q696" s="273"/>
      <c r="R696" s="273"/>
      <c r="S696" s="273"/>
      <c r="T696" s="273"/>
      <c r="U696" s="273"/>
      <c r="V696" s="273"/>
      <c r="W696" s="273"/>
    </row>
    <row r="697" spans="17:23">
      <c r="Q697" s="273"/>
      <c r="R697" s="273"/>
      <c r="S697" s="273"/>
      <c r="T697" s="273"/>
      <c r="U697" s="273"/>
      <c r="V697" s="273"/>
      <c r="W697" s="273"/>
    </row>
    <row r="698" spans="17:23">
      <c r="Q698" s="273"/>
      <c r="R698" s="273"/>
      <c r="S698" s="273"/>
      <c r="T698" s="273"/>
      <c r="U698" s="273"/>
      <c r="V698" s="273"/>
      <c r="W698" s="273"/>
    </row>
    <row r="699" spans="17:23">
      <c r="Q699" s="273"/>
      <c r="R699" s="273"/>
      <c r="S699" s="273"/>
      <c r="T699" s="273"/>
      <c r="U699" s="273"/>
      <c r="V699" s="273"/>
      <c r="W699" s="273"/>
    </row>
    <row r="700" spans="17:23">
      <c r="Q700" s="273"/>
      <c r="R700" s="273"/>
      <c r="S700" s="273"/>
      <c r="T700" s="273"/>
      <c r="U700" s="273"/>
      <c r="V700" s="273"/>
      <c r="W700" s="273"/>
    </row>
    <row r="701" spans="17:23">
      <c r="Q701" s="273"/>
      <c r="R701" s="273"/>
      <c r="S701" s="273"/>
      <c r="T701" s="273"/>
      <c r="U701" s="273"/>
      <c r="V701" s="273"/>
      <c r="W701" s="273"/>
    </row>
    <row r="702" spans="17:23">
      <c r="Q702" s="273"/>
      <c r="R702" s="273"/>
      <c r="S702" s="273"/>
      <c r="T702" s="273"/>
      <c r="U702" s="273"/>
      <c r="V702" s="273"/>
      <c r="W702" s="273"/>
    </row>
    <row r="703" spans="17:23">
      <c r="Q703" s="273"/>
      <c r="R703" s="273"/>
      <c r="S703" s="273"/>
      <c r="T703" s="273"/>
      <c r="U703" s="273"/>
      <c r="V703" s="273"/>
      <c r="W703" s="273"/>
    </row>
    <row r="704" spans="17:23">
      <c r="Q704" s="273"/>
      <c r="R704" s="273"/>
      <c r="S704" s="273"/>
      <c r="T704" s="273"/>
      <c r="U704" s="273"/>
      <c r="V704" s="273"/>
      <c r="W704" s="273"/>
    </row>
    <row r="705" spans="17:23">
      <c r="Q705" s="273"/>
      <c r="R705" s="273"/>
      <c r="S705" s="273"/>
      <c r="T705" s="273"/>
      <c r="U705" s="273"/>
      <c r="V705" s="273"/>
      <c r="W705" s="273"/>
    </row>
    <row r="706" spans="17:23">
      <c r="Q706" s="273"/>
      <c r="R706" s="273"/>
      <c r="S706" s="273"/>
      <c r="T706" s="273"/>
      <c r="U706" s="273"/>
      <c r="V706" s="273"/>
      <c r="W706" s="273"/>
    </row>
    <row r="707" spans="17:23">
      <c r="Q707" s="273"/>
      <c r="R707" s="273"/>
      <c r="S707" s="273"/>
      <c r="T707" s="273"/>
      <c r="U707" s="273"/>
      <c r="V707" s="273"/>
      <c r="W707" s="273"/>
    </row>
    <row r="708" spans="17:23">
      <c r="Q708" s="273"/>
      <c r="R708" s="273"/>
      <c r="S708" s="273"/>
      <c r="T708" s="273"/>
      <c r="U708" s="273"/>
      <c r="V708" s="273"/>
      <c r="W708" s="273"/>
    </row>
    <row r="709" spans="17:23">
      <c r="Q709" s="273"/>
      <c r="R709" s="273"/>
      <c r="S709" s="273"/>
      <c r="T709" s="273"/>
      <c r="U709" s="273"/>
      <c r="V709" s="273"/>
      <c r="W709" s="273"/>
    </row>
    <row r="710" spans="17:23">
      <c r="Q710" s="273"/>
      <c r="R710" s="273"/>
      <c r="S710" s="273"/>
      <c r="T710" s="273"/>
      <c r="U710" s="273"/>
      <c r="V710" s="273"/>
      <c r="W710" s="273"/>
    </row>
    <row r="711" spans="17:23">
      <c r="Q711" s="273"/>
      <c r="R711" s="273"/>
      <c r="S711" s="273"/>
      <c r="T711" s="273"/>
      <c r="U711" s="273"/>
      <c r="V711" s="273"/>
      <c r="W711" s="273"/>
    </row>
    <row r="712" spans="17:23">
      <c r="Q712" s="273"/>
      <c r="R712" s="273"/>
      <c r="S712" s="273"/>
      <c r="T712" s="273"/>
      <c r="U712" s="273"/>
      <c r="V712" s="273"/>
      <c r="W712" s="273"/>
    </row>
    <row r="713" spans="17:23">
      <c r="Q713" s="273"/>
      <c r="R713" s="273"/>
      <c r="S713" s="273"/>
      <c r="T713" s="273"/>
      <c r="U713" s="273"/>
      <c r="V713" s="273"/>
      <c r="W713" s="273"/>
    </row>
    <row r="714" spans="17:23">
      <c r="Q714" s="273"/>
      <c r="R714" s="273"/>
      <c r="S714" s="273"/>
      <c r="T714" s="273"/>
      <c r="U714" s="273"/>
      <c r="V714" s="273"/>
      <c r="W714" s="273"/>
    </row>
    <row r="715" spans="17:23">
      <c r="Q715" s="273"/>
      <c r="R715" s="273"/>
      <c r="S715" s="273"/>
      <c r="T715" s="273"/>
      <c r="U715" s="273"/>
      <c r="V715" s="273"/>
      <c r="W715" s="273"/>
    </row>
    <row r="716" spans="17:23">
      <c r="Q716" s="273"/>
      <c r="R716" s="273"/>
      <c r="S716" s="273"/>
      <c r="T716" s="273"/>
      <c r="U716" s="273"/>
      <c r="V716" s="273"/>
      <c r="W716" s="273"/>
    </row>
    <row r="717" spans="17:23">
      <c r="Q717" s="273"/>
      <c r="R717" s="273"/>
      <c r="S717" s="273"/>
      <c r="T717" s="273"/>
      <c r="U717" s="273"/>
      <c r="V717" s="273"/>
      <c r="W717" s="273"/>
    </row>
    <row r="718" spans="17:23">
      <c r="Q718" s="273"/>
      <c r="R718" s="273"/>
      <c r="S718" s="273"/>
      <c r="T718" s="273"/>
      <c r="U718" s="273"/>
      <c r="V718" s="273"/>
      <c r="W718" s="273"/>
    </row>
    <row r="719" spans="17:23">
      <c r="Q719" s="273"/>
      <c r="R719" s="273"/>
      <c r="S719" s="273"/>
      <c r="T719" s="273"/>
      <c r="U719" s="273"/>
      <c r="V719" s="273"/>
      <c r="W719" s="273"/>
    </row>
    <row r="720" spans="17:23">
      <c r="Q720" s="273"/>
      <c r="R720" s="273"/>
      <c r="S720" s="273"/>
      <c r="T720" s="273"/>
      <c r="U720" s="273"/>
      <c r="V720" s="273"/>
      <c r="W720" s="273"/>
    </row>
    <row r="721" spans="17:23">
      <c r="Q721" s="273"/>
      <c r="R721" s="273"/>
      <c r="S721" s="273"/>
      <c r="T721" s="273"/>
      <c r="U721" s="273"/>
      <c r="V721" s="273"/>
      <c r="W721" s="273"/>
    </row>
    <row r="722" spans="17:23">
      <c r="Q722" s="273"/>
      <c r="R722" s="273"/>
      <c r="S722" s="273"/>
      <c r="T722" s="273"/>
      <c r="U722" s="273"/>
      <c r="V722" s="273"/>
      <c r="W722" s="273"/>
    </row>
    <row r="723" spans="17:23">
      <c r="Q723" s="273"/>
      <c r="R723" s="273"/>
      <c r="S723" s="273"/>
      <c r="T723" s="273"/>
      <c r="U723" s="273"/>
      <c r="V723" s="273"/>
      <c r="W723" s="273"/>
    </row>
    <row r="724" spans="17:23">
      <c r="Q724" s="273"/>
      <c r="R724" s="273"/>
      <c r="S724" s="273"/>
      <c r="T724" s="273"/>
      <c r="U724" s="273"/>
      <c r="V724" s="273"/>
      <c r="W724" s="273"/>
    </row>
    <row r="725" spans="17:23">
      <c r="Q725" s="273"/>
      <c r="R725" s="273"/>
      <c r="S725" s="273"/>
      <c r="T725" s="273"/>
      <c r="U725" s="273"/>
      <c r="V725" s="273"/>
      <c r="W725" s="273"/>
    </row>
    <row r="726" spans="17:23">
      <c r="Q726" s="273"/>
      <c r="R726" s="273"/>
      <c r="S726" s="273"/>
      <c r="T726" s="273"/>
      <c r="U726" s="273"/>
      <c r="V726" s="273"/>
      <c r="W726" s="273"/>
    </row>
    <row r="727" spans="17:23">
      <c r="Q727" s="273"/>
      <c r="R727" s="273"/>
      <c r="S727" s="273"/>
      <c r="T727" s="273"/>
      <c r="U727" s="273"/>
      <c r="V727" s="273"/>
      <c r="W727" s="273"/>
    </row>
    <row r="728" spans="17:23">
      <c r="Q728" s="273"/>
      <c r="R728" s="273"/>
      <c r="S728" s="273"/>
      <c r="T728" s="273"/>
      <c r="U728" s="273"/>
      <c r="V728" s="273"/>
      <c r="W728" s="273"/>
    </row>
    <row r="729" spans="17:23">
      <c r="Q729" s="273"/>
      <c r="R729" s="273"/>
      <c r="S729" s="273"/>
      <c r="T729" s="273"/>
      <c r="U729" s="273"/>
      <c r="V729" s="273"/>
      <c r="W729" s="273"/>
    </row>
    <row r="730" spans="17:23">
      <c r="Q730" s="273"/>
      <c r="R730" s="273"/>
      <c r="S730" s="273"/>
      <c r="T730" s="273"/>
      <c r="U730" s="273"/>
      <c r="V730" s="273"/>
      <c r="W730" s="273"/>
    </row>
    <row r="731" spans="17:23">
      <c r="Q731" s="273"/>
      <c r="R731" s="273"/>
      <c r="S731" s="273"/>
      <c r="T731" s="273"/>
      <c r="U731" s="273"/>
      <c r="V731" s="273"/>
      <c r="W731" s="273"/>
    </row>
    <row r="732" spans="17:23">
      <c r="Q732" s="273"/>
      <c r="R732" s="273"/>
      <c r="S732" s="273"/>
      <c r="T732" s="273"/>
      <c r="U732" s="273"/>
      <c r="V732" s="273"/>
      <c r="W732" s="273"/>
    </row>
    <row r="733" spans="17:23">
      <c r="Q733" s="273"/>
      <c r="R733" s="273"/>
      <c r="S733" s="273"/>
      <c r="T733" s="273"/>
      <c r="U733" s="273"/>
      <c r="V733" s="273"/>
      <c r="W733" s="273"/>
    </row>
    <row r="734" spans="17:23">
      <c r="Q734" s="273"/>
      <c r="R734" s="273"/>
      <c r="S734" s="273"/>
      <c r="T734" s="273"/>
      <c r="U734" s="273"/>
      <c r="V734" s="273"/>
      <c r="W734" s="273"/>
    </row>
    <row r="735" spans="17:23">
      <c r="Q735" s="273"/>
      <c r="R735" s="273"/>
      <c r="S735" s="273"/>
      <c r="T735" s="273"/>
      <c r="U735" s="273"/>
      <c r="V735" s="273"/>
      <c r="W735" s="273"/>
    </row>
    <row r="736" spans="17:23">
      <c r="Q736" s="273"/>
      <c r="R736" s="273"/>
      <c r="S736" s="273"/>
      <c r="T736" s="273"/>
      <c r="U736" s="273"/>
      <c r="V736" s="273"/>
      <c r="W736" s="273"/>
    </row>
    <row r="737" spans="17:23">
      <c r="Q737" s="273"/>
      <c r="R737" s="273"/>
      <c r="S737" s="273"/>
      <c r="T737" s="273"/>
      <c r="U737" s="273"/>
      <c r="V737" s="273"/>
      <c r="W737" s="273"/>
    </row>
    <row r="738" spans="17:23">
      <c r="Q738" s="273"/>
      <c r="R738" s="273"/>
      <c r="S738" s="273"/>
      <c r="T738" s="273"/>
      <c r="U738" s="273"/>
      <c r="V738" s="273"/>
      <c r="W738" s="273"/>
    </row>
    <row r="739" spans="17:23">
      <c r="Q739" s="273"/>
      <c r="R739" s="273"/>
      <c r="S739" s="273"/>
      <c r="T739" s="273"/>
      <c r="U739" s="273"/>
      <c r="V739" s="273"/>
      <c r="W739" s="273"/>
    </row>
    <row r="740" spans="17:23">
      <c r="Q740" s="273"/>
      <c r="R740" s="273"/>
      <c r="S740" s="273"/>
      <c r="T740" s="273"/>
      <c r="U740" s="273"/>
      <c r="V740" s="273"/>
      <c r="W740" s="273"/>
    </row>
    <row r="741" spans="17:23">
      <c r="Q741" s="273"/>
      <c r="R741" s="273"/>
      <c r="S741" s="273"/>
      <c r="T741" s="273"/>
      <c r="U741" s="273"/>
      <c r="V741" s="273"/>
      <c r="W741" s="273"/>
    </row>
    <row r="742" spans="17:23">
      <c r="Q742" s="273"/>
      <c r="R742" s="273"/>
      <c r="S742" s="273"/>
      <c r="T742" s="273"/>
      <c r="U742" s="273"/>
      <c r="V742" s="273"/>
      <c r="W742" s="273"/>
    </row>
    <row r="743" spans="17:23">
      <c r="Q743" s="273"/>
      <c r="R743" s="273"/>
      <c r="S743" s="273"/>
      <c r="T743" s="273"/>
      <c r="U743" s="273"/>
      <c r="V743" s="273"/>
      <c r="W743" s="273"/>
    </row>
    <row r="744" spans="17:23">
      <c r="Q744" s="273"/>
      <c r="R744" s="273"/>
      <c r="S744" s="273"/>
      <c r="T744" s="273"/>
      <c r="U744" s="273"/>
      <c r="V744" s="273"/>
      <c r="W744" s="273"/>
    </row>
    <row r="745" spans="17:23">
      <c r="Q745" s="273"/>
      <c r="R745" s="273"/>
      <c r="S745" s="273"/>
      <c r="T745" s="273"/>
      <c r="U745" s="273"/>
      <c r="V745" s="273"/>
      <c r="W745" s="273"/>
    </row>
    <row r="746" spans="17:23">
      <c r="Q746" s="273"/>
      <c r="R746" s="273"/>
      <c r="S746" s="273"/>
      <c r="T746" s="273"/>
      <c r="U746" s="273"/>
      <c r="V746" s="273"/>
      <c r="W746" s="273"/>
    </row>
    <row r="747" spans="17:23">
      <c r="Q747" s="273"/>
      <c r="R747" s="273"/>
      <c r="S747" s="273"/>
      <c r="T747" s="273"/>
      <c r="U747" s="273"/>
      <c r="V747" s="273"/>
      <c r="W747" s="273"/>
    </row>
    <row r="748" spans="17:23">
      <c r="Q748" s="273"/>
      <c r="R748" s="273"/>
      <c r="S748" s="273"/>
      <c r="T748" s="273"/>
      <c r="U748" s="273"/>
      <c r="V748" s="273"/>
      <c r="W748" s="273"/>
    </row>
    <row r="749" spans="17:23">
      <c r="Q749" s="273"/>
      <c r="R749" s="273"/>
      <c r="S749" s="273"/>
      <c r="T749" s="273"/>
      <c r="U749" s="273"/>
      <c r="V749" s="273"/>
      <c r="W749" s="273"/>
    </row>
    <row r="750" spans="17:23">
      <c r="Q750" s="273"/>
      <c r="R750" s="273"/>
      <c r="S750" s="273"/>
      <c r="T750" s="273"/>
      <c r="U750" s="273"/>
      <c r="V750" s="273"/>
      <c r="W750" s="273"/>
    </row>
    <row r="751" spans="17:23">
      <c r="Q751" s="273"/>
      <c r="R751" s="273"/>
      <c r="S751" s="273"/>
      <c r="T751" s="273"/>
      <c r="U751" s="273"/>
      <c r="V751" s="273"/>
      <c r="W751" s="273"/>
    </row>
    <row r="752" spans="17:23">
      <c r="Q752" s="273"/>
      <c r="R752" s="273"/>
      <c r="S752" s="273"/>
      <c r="T752" s="273"/>
      <c r="U752" s="273"/>
      <c r="V752" s="273"/>
      <c r="W752" s="273"/>
    </row>
    <row r="753" spans="17:23">
      <c r="Q753" s="273"/>
      <c r="R753" s="273"/>
      <c r="S753" s="273"/>
      <c r="T753" s="273"/>
      <c r="U753" s="273"/>
      <c r="V753" s="273"/>
      <c r="W753" s="273"/>
    </row>
    <row r="754" spans="17:23">
      <c r="Q754" s="273"/>
      <c r="R754" s="273"/>
      <c r="S754" s="273"/>
      <c r="T754" s="273"/>
      <c r="U754" s="273"/>
      <c r="V754" s="273"/>
      <c r="W754" s="273"/>
    </row>
    <row r="755" spans="17:23">
      <c r="Q755" s="273"/>
      <c r="R755" s="273"/>
      <c r="S755" s="273"/>
      <c r="T755" s="273"/>
      <c r="U755" s="273"/>
      <c r="V755" s="273"/>
      <c r="W755" s="273"/>
    </row>
    <row r="756" spans="17:23">
      <c r="Q756" s="273"/>
      <c r="R756" s="273"/>
      <c r="S756" s="273"/>
      <c r="T756" s="273"/>
      <c r="U756" s="273"/>
      <c r="V756" s="273"/>
      <c r="W756" s="273"/>
    </row>
    <row r="757" spans="17:23">
      <c r="Q757" s="273"/>
      <c r="R757" s="273"/>
      <c r="S757" s="273"/>
      <c r="T757" s="273"/>
      <c r="U757" s="273"/>
      <c r="V757" s="273"/>
      <c r="W757" s="273"/>
    </row>
    <row r="758" spans="17:23">
      <c r="Q758" s="273"/>
      <c r="R758" s="273"/>
      <c r="S758" s="273"/>
      <c r="T758" s="273"/>
      <c r="U758" s="273"/>
      <c r="V758" s="273"/>
      <c r="W758" s="273"/>
    </row>
    <row r="759" spans="17:23">
      <c r="Q759" s="273"/>
      <c r="R759" s="273"/>
      <c r="S759" s="273"/>
      <c r="T759" s="273"/>
      <c r="U759" s="273"/>
      <c r="V759" s="273"/>
      <c r="W759" s="273"/>
    </row>
    <row r="760" spans="17:23">
      <c r="Q760" s="273"/>
      <c r="R760" s="273"/>
      <c r="S760" s="273"/>
      <c r="T760" s="273"/>
      <c r="U760" s="273"/>
      <c r="V760" s="273"/>
      <c r="W760" s="273"/>
    </row>
    <row r="761" spans="17:23">
      <c r="Q761" s="273"/>
      <c r="R761" s="273"/>
      <c r="S761" s="273"/>
      <c r="T761" s="273"/>
      <c r="U761" s="273"/>
      <c r="V761" s="273"/>
      <c r="W761" s="273"/>
    </row>
    <row r="762" spans="17:23">
      <c r="Q762" s="273"/>
      <c r="R762" s="273"/>
      <c r="S762" s="273"/>
      <c r="T762" s="273"/>
      <c r="U762" s="273"/>
      <c r="V762" s="273"/>
      <c r="W762" s="273"/>
    </row>
    <row r="763" spans="17:23">
      <c r="Q763" s="273"/>
      <c r="R763" s="273"/>
      <c r="S763" s="273"/>
      <c r="T763" s="273"/>
      <c r="U763" s="273"/>
      <c r="V763" s="273"/>
      <c r="W763" s="273"/>
    </row>
    <row r="764" spans="17:23">
      <c r="Q764" s="273"/>
      <c r="R764" s="273"/>
      <c r="S764" s="273"/>
      <c r="T764" s="273"/>
      <c r="U764" s="273"/>
      <c r="V764" s="273"/>
      <c r="W764" s="273"/>
    </row>
    <row r="765" spans="17:23">
      <c r="Q765" s="273"/>
      <c r="R765" s="273"/>
      <c r="S765" s="273"/>
      <c r="T765" s="273"/>
      <c r="U765" s="273"/>
      <c r="V765" s="273"/>
      <c r="W765" s="273"/>
    </row>
    <row r="766" spans="17:23">
      <c r="Q766" s="273"/>
      <c r="R766" s="273"/>
      <c r="S766" s="273"/>
      <c r="T766" s="273"/>
      <c r="U766" s="273"/>
      <c r="V766" s="273"/>
      <c r="W766" s="273"/>
    </row>
    <row r="767" spans="17:23">
      <c r="Q767" s="273"/>
      <c r="R767" s="273"/>
      <c r="S767" s="273"/>
      <c r="T767" s="273"/>
      <c r="U767" s="273"/>
      <c r="V767" s="273"/>
      <c r="W767" s="273"/>
    </row>
    <row r="768" spans="17:23">
      <c r="Q768" s="273"/>
      <c r="R768" s="273"/>
      <c r="S768" s="273"/>
      <c r="T768" s="273"/>
      <c r="U768" s="273"/>
      <c r="V768" s="273"/>
      <c r="W768" s="273"/>
    </row>
    <row r="769" spans="17:23">
      <c r="Q769" s="273"/>
      <c r="R769" s="273"/>
      <c r="S769" s="273"/>
      <c r="T769" s="273"/>
      <c r="U769" s="273"/>
      <c r="V769" s="273"/>
      <c r="W769" s="273"/>
    </row>
    <row r="770" spans="17:23">
      <c r="Q770" s="273"/>
      <c r="R770" s="273"/>
      <c r="S770" s="273"/>
      <c r="T770" s="273"/>
      <c r="U770" s="273"/>
      <c r="V770" s="273"/>
      <c r="W770" s="273"/>
    </row>
    <row r="771" spans="17:23">
      <c r="Q771" s="273"/>
      <c r="R771" s="273"/>
      <c r="S771" s="273"/>
      <c r="T771" s="273"/>
      <c r="U771" s="273"/>
      <c r="V771" s="273"/>
      <c r="W771" s="273"/>
    </row>
    <row r="772" spans="17:23">
      <c r="Q772" s="273"/>
      <c r="R772" s="273"/>
      <c r="S772" s="273"/>
      <c r="T772" s="273"/>
      <c r="U772" s="273"/>
      <c r="V772" s="273"/>
      <c r="W772" s="273"/>
    </row>
    <row r="773" spans="17:23">
      <c r="Q773" s="273"/>
      <c r="R773" s="273"/>
      <c r="S773" s="273"/>
      <c r="T773" s="273"/>
      <c r="U773" s="273"/>
      <c r="V773" s="273"/>
      <c r="W773" s="273"/>
    </row>
    <row r="774" spans="17:23">
      <c r="Q774" s="273"/>
      <c r="R774" s="273"/>
      <c r="S774" s="273"/>
      <c r="T774" s="273"/>
      <c r="U774" s="273"/>
      <c r="V774" s="273"/>
      <c r="W774" s="273"/>
    </row>
    <row r="775" spans="17:23">
      <c r="Q775" s="273"/>
      <c r="R775" s="273"/>
      <c r="S775" s="273"/>
      <c r="T775" s="273"/>
      <c r="U775" s="273"/>
      <c r="V775" s="273"/>
      <c r="W775" s="273"/>
    </row>
    <row r="776" spans="17:23">
      <c r="Q776" s="273"/>
      <c r="R776" s="273"/>
      <c r="S776" s="273"/>
      <c r="T776" s="273"/>
      <c r="U776" s="273"/>
      <c r="V776" s="273"/>
      <c r="W776" s="273"/>
    </row>
    <row r="777" spans="17:23">
      <c r="Q777" s="273"/>
      <c r="R777" s="273"/>
      <c r="S777" s="273"/>
      <c r="T777" s="273"/>
      <c r="U777" s="273"/>
      <c r="V777" s="273"/>
      <c r="W777" s="273"/>
    </row>
    <row r="778" spans="17:23">
      <c r="Q778" s="273"/>
      <c r="R778" s="273"/>
      <c r="S778" s="273"/>
      <c r="T778" s="273"/>
      <c r="U778" s="273"/>
      <c r="V778" s="273"/>
      <c r="W778" s="273"/>
    </row>
    <row r="779" spans="17:23">
      <c r="Q779" s="273"/>
      <c r="R779" s="273"/>
      <c r="S779" s="273"/>
      <c r="T779" s="273"/>
      <c r="U779" s="273"/>
      <c r="V779" s="273"/>
      <c r="W779" s="273"/>
    </row>
    <row r="780" spans="17:23">
      <c r="Q780" s="273"/>
      <c r="R780" s="273"/>
      <c r="S780" s="273"/>
      <c r="T780" s="273"/>
      <c r="U780" s="273"/>
      <c r="V780" s="273"/>
      <c r="W780" s="273"/>
    </row>
    <row r="781" spans="17:23">
      <c r="Q781" s="273"/>
      <c r="R781" s="273"/>
      <c r="S781" s="273"/>
      <c r="T781" s="273"/>
      <c r="U781" s="273"/>
      <c r="V781" s="273"/>
      <c r="W781" s="273"/>
    </row>
    <row r="782" spans="17:23">
      <c r="Q782" s="273"/>
      <c r="R782" s="273"/>
      <c r="S782" s="273"/>
      <c r="T782" s="273"/>
      <c r="U782" s="273"/>
      <c r="V782" s="273"/>
      <c r="W782" s="273"/>
    </row>
    <row r="783" spans="17:23">
      <c r="Q783" s="273"/>
      <c r="R783" s="273"/>
      <c r="S783" s="273"/>
      <c r="T783" s="273"/>
      <c r="U783" s="273"/>
      <c r="V783" s="273"/>
      <c r="W783" s="273"/>
    </row>
    <row r="784" spans="17:23">
      <c r="Q784" s="273"/>
      <c r="R784" s="273"/>
      <c r="S784" s="273"/>
      <c r="T784" s="273"/>
      <c r="U784" s="273"/>
      <c r="V784" s="273"/>
      <c r="W784" s="273"/>
    </row>
    <row r="785" spans="17:23">
      <c r="Q785" s="273"/>
      <c r="R785" s="273"/>
      <c r="S785" s="273"/>
      <c r="T785" s="273"/>
      <c r="U785" s="273"/>
      <c r="V785" s="273"/>
      <c r="W785" s="273"/>
    </row>
    <row r="786" spans="17:23">
      <c r="Q786" s="273"/>
      <c r="R786" s="273"/>
      <c r="S786" s="273"/>
      <c r="T786" s="273"/>
      <c r="U786" s="273"/>
      <c r="V786" s="273"/>
      <c r="W786" s="273"/>
    </row>
    <row r="787" spans="17:23">
      <c r="Q787" s="273"/>
      <c r="R787" s="273"/>
      <c r="S787" s="273"/>
      <c r="T787" s="273"/>
      <c r="U787" s="273"/>
      <c r="V787" s="273"/>
      <c r="W787" s="273"/>
    </row>
    <row r="788" spans="17:23">
      <c r="Q788" s="273"/>
      <c r="R788" s="273"/>
      <c r="S788" s="273"/>
      <c r="T788" s="273"/>
      <c r="U788" s="273"/>
      <c r="V788" s="273"/>
      <c r="W788" s="273"/>
    </row>
    <row r="789" spans="17:23">
      <c r="Q789" s="273"/>
      <c r="R789" s="273"/>
      <c r="S789" s="273"/>
      <c r="T789" s="273"/>
      <c r="U789" s="273"/>
      <c r="V789" s="273"/>
      <c r="W789" s="273"/>
    </row>
    <row r="790" spans="17:23">
      <c r="Q790" s="273"/>
      <c r="R790" s="273"/>
      <c r="S790" s="273"/>
      <c r="T790" s="273"/>
      <c r="U790" s="273"/>
      <c r="V790" s="273"/>
      <c r="W790" s="273"/>
    </row>
    <row r="791" spans="17:23">
      <c r="Q791" s="273"/>
      <c r="R791" s="273"/>
      <c r="S791" s="273"/>
      <c r="T791" s="273"/>
      <c r="U791" s="273"/>
      <c r="V791" s="273"/>
      <c r="W791" s="273"/>
    </row>
    <row r="792" spans="17:23">
      <c r="Q792" s="273"/>
      <c r="R792" s="273"/>
      <c r="S792" s="273"/>
      <c r="T792" s="273"/>
      <c r="U792" s="273"/>
      <c r="V792" s="273"/>
      <c r="W792" s="273"/>
    </row>
    <row r="793" spans="17:23">
      <c r="Q793" s="273"/>
      <c r="R793" s="273"/>
      <c r="S793" s="273"/>
      <c r="T793" s="273"/>
      <c r="U793" s="273"/>
      <c r="V793" s="273"/>
      <c r="W793" s="273"/>
    </row>
    <row r="794" spans="17:23">
      <c r="Q794" s="273"/>
      <c r="R794" s="273"/>
      <c r="S794" s="273"/>
      <c r="T794" s="273"/>
      <c r="U794" s="273"/>
      <c r="V794" s="273"/>
      <c r="W794" s="273"/>
    </row>
    <row r="795" spans="17:23">
      <c r="Q795" s="273"/>
      <c r="R795" s="273"/>
      <c r="S795" s="273"/>
      <c r="T795" s="273"/>
      <c r="U795" s="273"/>
      <c r="V795" s="273"/>
      <c r="W795" s="273"/>
    </row>
    <row r="796" spans="17:23">
      <c r="Q796" s="273"/>
      <c r="R796" s="273"/>
      <c r="S796" s="273"/>
      <c r="T796" s="273"/>
      <c r="U796" s="273"/>
      <c r="V796" s="273"/>
      <c r="W796" s="273"/>
    </row>
  </sheetData>
  <sheetProtection autoFilter="0"/>
  <mergeCells count="43">
    <mergeCell ref="D60:Z60"/>
    <mergeCell ref="D6:D10"/>
    <mergeCell ref="D59:Z59"/>
    <mergeCell ref="D58:Z58"/>
    <mergeCell ref="D56:Z56"/>
    <mergeCell ref="K6:L6"/>
    <mergeCell ref="U6:U10"/>
    <mergeCell ref="D57:Z57"/>
    <mergeCell ref="A54:X54"/>
    <mergeCell ref="Y6:Y10"/>
    <mergeCell ref="Q6:R6"/>
    <mergeCell ref="AK59:AM59"/>
    <mergeCell ref="AI6:AI10"/>
    <mergeCell ref="V6:V10"/>
    <mergeCell ref="AE7:AF7"/>
    <mergeCell ref="AD8:AD10"/>
    <mergeCell ref="Z6:Z10"/>
    <mergeCell ref="AE8:AE10"/>
    <mergeCell ref="AG8:AG10"/>
    <mergeCell ref="X6:X10"/>
    <mergeCell ref="W6:W10"/>
    <mergeCell ref="AC8:AC10"/>
    <mergeCell ref="AA7:AB7"/>
    <mergeCell ref="AG7:AH7"/>
    <mergeCell ref="AC7:AD7"/>
    <mergeCell ref="AB8:AB10"/>
    <mergeCell ref="AH8:AH10"/>
    <mergeCell ref="A1:AI1"/>
    <mergeCell ref="A3:AI3"/>
    <mergeCell ref="A4:AI4"/>
    <mergeCell ref="E5:U5"/>
    <mergeCell ref="A6:A10"/>
    <mergeCell ref="AF8:AF10"/>
    <mergeCell ref="B6:B10"/>
    <mergeCell ref="AA8:AA10"/>
    <mergeCell ref="O6:P6"/>
    <mergeCell ref="G6:H6"/>
    <mergeCell ref="E6:F6"/>
    <mergeCell ref="C6:C10"/>
    <mergeCell ref="M6:N6"/>
    <mergeCell ref="I6:J6"/>
    <mergeCell ref="S6:T6"/>
    <mergeCell ref="AA6:AH6"/>
  </mergeCells>
  <phoneticPr fontId="77" type="noConversion"/>
  <printOptions horizontalCentered="1" verticalCentered="1"/>
  <pageMargins left="0.39370078740157483" right="0.39370078740157483" top="0.39370078740157483" bottom="0.39370078740157483" header="0" footer="0.39370078740157483"/>
  <pageSetup scale="48" fitToHeight="3" orientation="portrait" horizontalDpi="1200" verticalDpi="1200" r:id="rId1"/>
  <headerFooter alignWithMargins="0">
    <oddFooter>&amp;R&amp;P/&amp;N</oddFooter>
  </headerFooter>
  <rowBreaks count="2" manualBreakCount="2">
    <brk id="57" min="2" max="38" man="1"/>
    <brk id="82" min="2" max="36" man="1"/>
  </rowBreaks>
  <colBreaks count="1" manualBreakCount="1">
    <brk id="23" max="83"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D84"/>
  <sheetViews>
    <sheetView showGridLines="0" topLeftCell="A35" zoomScale="60" zoomScaleNormal="60" workbookViewId="0">
      <selection activeCell="G46" sqref="G46:G47"/>
    </sheetView>
  </sheetViews>
  <sheetFormatPr baseColWidth="10" defaultColWidth="12" defaultRowHeight="12.75"/>
  <cols>
    <col min="1" max="1" width="7.83203125" style="290" customWidth="1"/>
    <col min="2" max="2" width="47.33203125" style="288" customWidth="1"/>
    <col min="3" max="3" width="22" style="290" customWidth="1"/>
    <col min="4" max="4" width="26.83203125" style="290" customWidth="1"/>
    <col min="5" max="5" width="21.6640625" style="288" customWidth="1"/>
    <col min="6" max="6" width="13.83203125" style="290" customWidth="1"/>
    <col min="7" max="7" width="27.1640625" style="290" customWidth="1"/>
    <col min="8" max="8" width="22.83203125" style="290" customWidth="1"/>
    <col min="9" max="10" width="22.83203125" style="291" customWidth="1"/>
    <col min="11" max="11" width="20.33203125" style="290" customWidth="1"/>
    <col min="12" max="12" width="19.33203125" style="290" customWidth="1"/>
    <col min="13" max="13" width="31.1640625" style="288" customWidth="1"/>
    <col min="14" max="14" width="20.83203125" style="288" customWidth="1"/>
    <col min="15" max="15" width="4" style="288" customWidth="1"/>
    <col min="16" max="16" width="13.33203125" style="288" customWidth="1"/>
    <col min="17" max="21" width="14.33203125" style="288" customWidth="1"/>
    <col min="22" max="23" width="16.1640625" style="288" customWidth="1"/>
    <col min="24" max="24" width="3.33203125" style="288" customWidth="1"/>
    <col min="25" max="29" width="14.33203125" style="288" customWidth="1"/>
    <col min="30" max="30" width="15.83203125" style="288" customWidth="1"/>
    <col min="31" max="32" width="13.33203125" style="288" customWidth="1"/>
    <col min="33" max="33" width="7.1640625" style="288" customWidth="1"/>
    <col min="34" max="41" width="13.33203125" style="288" customWidth="1"/>
    <col min="42" max="42" width="3.33203125" style="288" customWidth="1"/>
    <col min="43" max="46" width="14.33203125" style="288" customWidth="1"/>
    <col min="47" max="47" width="13.1640625" style="290" customWidth="1"/>
    <col min="48" max="48" width="18.83203125" style="288" customWidth="1"/>
    <col min="49" max="50" width="17.33203125" style="288" customWidth="1"/>
    <col min="51" max="51" width="4.6640625" style="288" customWidth="1"/>
    <col min="52" max="59" width="17.33203125" style="288" customWidth="1"/>
    <col min="60" max="60" width="5" style="288" customWidth="1"/>
    <col min="61" max="61" width="3.1640625" style="288" customWidth="1"/>
    <col min="62" max="62" width="24" style="288" customWidth="1"/>
    <col min="63" max="63" width="2.83203125" style="288" customWidth="1"/>
    <col min="64" max="66" width="14" style="288" customWidth="1"/>
    <col min="67" max="67" width="13.33203125" style="288" customWidth="1"/>
    <col min="68" max="68" width="14.33203125" style="288" customWidth="1"/>
    <col min="69" max="69" width="15.1640625" style="288" customWidth="1"/>
    <col min="70" max="71" width="12" style="288" customWidth="1"/>
    <col min="72" max="72" width="3.33203125" style="288" customWidth="1"/>
    <col min="73" max="73" width="27.1640625" style="288" customWidth="1"/>
    <col min="74" max="74" width="6.83203125" style="288" customWidth="1"/>
    <col min="75" max="82" width="12" style="288"/>
    <col min="83" max="83" width="4.6640625" style="288" customWidth="1"/>
    <col min="84" max="16384" width="12" style="288"/>
  </cols>
  <sheetData>
    <row r="1" spans="1:82" ht="61.5" customHeight="1">
      <c r="A1" s="1160" t="s">
        <v>372</v>
      </c>
      <c r="B1" s="1160"/>
      <c r="C1" s="1160"/>
      <c r="D1" s="1160"/>
      <c r="E1" s="1160"/>
      <c r="F1" s="1160"/>
      <c r="G1" s="1160"/>
      <c r="H1" s="1160"/>
      <c r="I1" s="1160"/>
      <c r="J1" s="1160"/>
      <c r="K1" s="1160"/>
      <c r="L1" s="1160"/>
      <c r="M1" s="1160"/>
      <c r="N1" s="1160"/>
      <c r="O1" s="1160"/>
      <c r="P1" s="1160"/>
      <c r="Q1" s="1160"/>
      <c r="R1" s="1160"/>
      <c r="S1" s="1160"/>
      <c r="T1" s="1160"/>
      <c r="U1" s="1160"/>
      <c r="V1" s="1160"/>
      <c r="W1" s="1160"/>
      <c r="X1" s="1160"/>
      <c r="Y1" s="1160"/>
      <c r="Z1" s="1160"/>
      <c r="AA1" s="1160"/>
      <c r="AB1" s="1160"/>
      <c r="AC1" s="1160"/>
      <c r="AD1" s="1160"/>
      <c r="AE1" s="1160"/>
      <c r="AF1" s="1160"/>
      <c r="AG1" s="1160"/>
      <c r="AH1" s="1160"/>
      <c r="AI1" s="1160"/>
      <c r="AJ1" s="1160"/>
      <c r="AK1" s="1160"/>
      <c r="AL1" s="1160"/>
      <c r="AM1" s="1160"/>
      <c r="AN1" s="1160"/>
      <c r="AO1" s="1160"/>
      <c r="AP1" s="1160"/>
      <c r="AQ1" s="1160"/>
      <c r="AR1" s="1160"/>
      <c r="AS1" s="1160"/>
      <c r="AT1" s="1160"/>
      <c r="AU1" s="1160"/>
      <c r="AV1" s="1160"/>
      <c r="AW1" s="1160"/>
      <c r="AX1" s="1160"/>
      <c r="AY1" s="1160"/>
      <c r="AZ1" s="1160"/>
      <c r="BA1" s="1160"/>
      <c r="BB1" s="1160"/>
      <c r="BC1" s="1160"/>
      <c r="BD1" s="1160"/>
      <c r="BE1" s="1160"/>
      <c r="BF1" s="1160"/>
      <c r="BG1" s="1160"/>
      <c r="BH1" s="1160"/>
      <c r="BI1" s="1160"/>
      <c r="BJ1" s="1160"/>
      <c r="BK1" s="1160"/>
      <c r="BL1" s="1160"/>
      <c r="BM1" s="1160"/>
      <c r="BN1" s="1160"/>
      <c r="BO1" s="1160"/>
      <c r="BP1" s="1160"/>
      <c r="BQ1" s="1160"/>
      <c r="BR1" s="1160"/>
      <c r="BS1" s="1160"/>
      <c r="BT1" s="1160"/>
    </row>
    <row r="2" spans="1:82" ht="8.25" hidden="1" customHeight="1">
      <c r="A2" s="289"/>
      <c r="O2" s="292"/>
      <c r="P2" s="1141" t="s">
        <v>43</v>
      </c>
      <c r="Q2" s="1141"/>
      <c r="R2" s="1141"/>
      <c r="S2" s="1141"/>
      <c r="T2" s="1141"/>
      <c r="U2" s="1141"/>
      <c r="V2" s="1141"/>
      <c r="W2" s="1141"/>
      <c r="X2" s="1141"/>
      <c r="Y2" s="1141"/>
      <c r="Z2" s="1141"/>
      <c r="AA2" s="1141"/>
      <c r="AB2" s="1141"/>
      <c r="AC2" s="1141"/>
      <c r="AD2" s="1141"/>
      <c r="AE2" s="1141"/>
      <c r="AF2" s="1141"/>
      <c r="AG2" s="1141"/>
      <c r="AH2" s="1141"/>
      <c r="AI2" s="1141"/>
      <c r="AJ2" s="1141"/>
      <c r="AK2" s="1141"/>
      <c r="AL2" s="1141"/>
      <c r="AM2" s="1141"/>
      <c r="AN2" s="1141"/>
      <c r="AO2" s="1141"/>
      <c r="AP2" s="1141"/>
      <c r="AQ2" s="1141"/>
      <c r="AR2" s="1141"/>
      <c r="AS2" s="1141"/>
      <c r="AT2" s="1141"/>
      <c r="AU2" s="1141"/>
      <c r="AV2" s="1141"/>
      <c r="AW2" s="1141"/>
      <c r="AX2" s="1141"/>
      <c r="AY2" s="1141"/>
      <c r="AZ2" s="1141"/>
      <c r="BA2" s="1141"/>
      <c r="BB2" s="1141"/>
      <c r="BC2" s="1141"/>
      <c r="BD2" s="1141"/>
      <c r="BE2" s="1141"/>
      <c r="BF2" s="1141"/>
      <c r="BG2" s="1141"/>
      <c r="BH2" s="1141"/>
      <c r="BI2" s="1141"/>
      <c r="BJ2" s="1141"/>
      <c r="BK2" s="1141"/>
      <c r="BL2" s="1141"/>
      <c r="BM2" s="1141"/>
      <c r="BN2" s="1141"/>
      <c r="BO2" s="1141"/>
      <c r="BP2" s="1141"/>
      <c r="BQ2" s="1141"/>
      <c r="BR2" s="1141"/>
      <c r="BS2" s="1141"/>
    </row>
    <row r="3" spans="1:82" s="294" customFormat="1" ht="40.5" customHeight="1">
      <c r="A3" s="1153" t="s">
        <v>172</v>
      </c>
      <c r="B3" s="1153" t="s">
        <v>173</v>
      </c>
      <c r="C3" s="1153" t="s">
        <v>174</v>
      </c>
      <c r="D3" s="1153" t="s">
        <v>356</v>
      </c>
      <c r="E3" s="1153" t="s">
        <v>179</v>
      </c>
      <c r="F3" s="1153" t="s">
        <v>175</v>
      </c>
      <c r="G3" s="1153" t="s">
        <v>357</v>
      </c>
      <c r="H3" s="1139" t="s">
        <v>627</v>
      </c>
      <c r="I3" s="1159" t="s">
        <v>598</v>
      </c>
      <c r="J3" s="1159" t="s">
        <v>826</v>
      </c>
      <c r="K3" s="1153" t="s">
        <v>290</v>
      </c>
      <c r="L3" s="1153" t="s">
        <v>358</v>
      </c>
      <c r="M3" s="1153" t="s">
        <v>621</v>
      </c>
      <c r="N3" s="1153" t="s">
        <v>660</v>
      </c>
      <c r="O3" s="293"/>
      <c r="P3" s="1155" t="s">
        <v>176</v>
      </c>
      <c r="Q3" s="1155"/>
      <c r="R3" s="1155"/>
      <c r="S3" s="1155"/>
      <c r="T3" s="1155"/>
      <c r="U3" s="1155"/>
      <c r="V3" s="1155"/>
      <c r="W3" s="1155"/>
      <c r="X3" s="311"/>
      <c r="Y3" s="1155" t="s">
        <v>600</v>
      </c>
      <c r="Z3" s="1155"/>
      <c r="AA3" s="1155"/>
      <c r="AB3" s="1155"/>
      <c r="AC3" s="1155"/>
      <c r="AD3" s="1155"/>
      <c r="AE3" s="1155"/>
      <c r="AF3" s="1155"/>
      <c r="AG3" s="311"/>
      <c r="AH3" s="1155" t="s">
        <v>601</v>
      </c>
      <c r="AI3" s="1155"/>
      <c r="AJ3" s="1155"/>
      <c r="AK3" s="1155"/>
      <c r="AL3" s="1155"/>
      <c r="AM3" s="1155"/>
      <c r="AN3" s="1155"/>
      <c r="AO3" s="1155"/>
      <c r="AP3" s="311"/>
      <c r="AQ3" s="1155" t="s">
        <v>291</v>
      </c>
      <c r="AR3" s="1155"/>
      <c r="AS3" s="1155"/>
      <c r="AT3" s="1155"/>
      <c r="AU3" s="1155"/>
      <c r="AV3" s="1155"/>
      <c r="AW3" s="1155"/>
      <c r="AX3" s="1155"/>
      <c r="AY3" s="311"/>
      <c r="AZ3" s="1155" t="s">
        <v>292</v>
      </c>
      <c r="BA3" s="1155"/>
      <c r="BB3" s="1155"/>
      <c r="BC3" s="1155"/>
      <c r="BD3" s="1155"/>
      <c r="BE3" s="1155"/>
      <c r="BF3" s="1155"/>
      <c r="BG3" s="1155"/>
      <c r="BH3" s="311"/>
      <c r="BI3" s="311"/>
      <c r="BJ3" s="1153" t="s">
        <v>177</v>
      </c>
      <c r="BK3" s="311"/>
      <c r="BL3" s="1155" t="s">
        <v>178</v>
      </c>
      <c r="BM3" s="1155"/>
      <c r="BN3" s="1155"/>
      <c r="BO3" s="1155"/>
      <c r="BP3" s="1155"/>
      <c r="BQ3" s="1155"/>
      <c r="BR3" s="1155"/>
      <c r="BS3" s="1155"/>
      <c r="BT3" s="293"/>
      <c r="BU3" s="310" t="s">
        <v>622</v>
      </c>
      <c r="BW3" s="1155" t="s">
        <v>623</v>
      </c>
      <c r="BX3" s="1155"/>
      <c r="BY3" s="1155"/>
      <c r="BZ3" s="1155"/>
      <c r="CA3" s="1155"/>
      <c r="CB3" s="1155"/>
      <c r="CC3" s="1155"/>
      <c r="CD3" s="1155"/>
    </row>
    <row r="4" spans="1:82" s="295" customFormat="1" ht="64.5" customHeight="1">
      <c r="A4" s="1153"/>
      <c r="B4" s="1153"/>
      <c r="C4" s="1153"/>
      <c r="D4" s="1153"/>
      <c r="E4" s="1153"/>
      <c r="F4" s="1153"/>
      <c r="G4" s="1153"/>
      <c r="H4" s="1140"/>
      <c r="I4" s="1159"/>
      <c r="J4" s="1159"/>
      <c r="K4" s="1153"/>
      <c r="L4" s="1153"/>
      <c r="M4" s="1153"/>
      <c r="N4" s="1153"/>
      <c r="O4" s="293"/>
      <c r="P4" s="310" t="s">
        <v>585</v>
      </c>
      <c r="Q4" s="312" t="s">
        <v>832</v>
      </c>
      <c r="R4" s="313" t="s">
        <v>586</v>
      </c>
      <c r="S4" s="314" t="s">
        <v>587</v>
      </c>
      <c r="T4" s="315" t="s">
        <v>588</v>
      </c>
      <c r="U4" s="316" t="s">
        <v>589</v>
      </c>
      <c r="V4" s="316" t="s">
        <v>590</v>
      </c>
      <c r="W4" s="316" t="s">
        <v>591</v>
      </c>
      <c r="X4" s="311"/>
      <c r="Y4" s="310" t="s">
        <v>585</v>
      </c>
      <c r="Z4" s="312" t="s">
        <v>57</v>
      </c>
      <c r="AA4" s="313" t="s">
        <v>586</v>
      </c>
      <c r="AB4" s="314" t="s">
        <v>587</v>
      </c>
      <c r="AC4" s="315" t="s">
        <v>588</v>
      </c>
      <c r="AD4" s="316" t="s">
        <v>589</v>
      </c>
      <c r="AE4" s="316" t="s">
        <v>590</v>
      </c>
      <c r="AF4" s="316" t="s">
        <v>591</v>
      </c>
      <c r="AG4" s="311"/>
      <c r="AH4" s="310" t="s">
        <v>585</v>
      </c>
      <c r="AI4" s="312" t="s">
        <v>57</v>
      </c>
      <c r="AJ4" s="313" t="s">
        <v>586</v>
      </c>
      <c r="AK4" s="314" t="s">
        <v>587</v>
      </c>
      <c r="AL4" s="315" t="s">
        <v>588</v>
      </c>
      <c r="AM4" s="316" t="s">
        <v>589</v>
      </c>
      <c r="AN4" s="316" t="s">
        <v>590</v>
      </c>
      <c r="AO4" s="316" t="s">
        <v>591</v>
      </c>
      <c r="AP4" s="311"/>
      <c r="AQ4" s="310" t="s">
        <v>585</v>
      </c>
      <c r="AR4" s="312" t="s">
        <v>57</v>
      </c>
      <c r="AS4" s="313" t="s">
        <v>586</v>
      </c>
      <c r="AT4" s="314" t="s">
        <v>587</v>
      </c>
      <c r="AU4" s="315" t="s">
        <v>588</v>
      </c>
      <c r="AV4" s="316" t="s">
        <v>589</v>
      </c>
      <c r="AW4" s="316" t="s">
        <v>590</v>
      </c>
      <c r="AX4" s="316" t="s">
        <v>591</v>
      </c>
      <c r="AY4" s="311"/>
      <c r="AZ4" s="310" t="s">
        <v>585</v>
      </c>
      <c r="BA4" s="312" t="s">
        <v>57</v>
      </c>
      <c r="BB4" s="313" t="s">
        <v>586</v>
      </c>
      <c r="BC4" s="314" t="s">
        <v>587</v>
      </c>
      <c r="BD4" s="315" t="s">
        <v>588</v>
      </c>
      <c r="BE4" s="316" t="s">
        <v>589</v>
      </c>
      <c r="BF4" s="316" t="s">
        <v>590</v>
      </c>
      <c r="BG4" s="316" t="s">
        <v>591</v>
      </c>
      <c r="BH4" s="311"/>
      <c r="BI4" s="311"/>
      <c r="BJ4" s="1153"/>
      <c r="BK4" s="311"/>
      <c r="BL4" s="310" t="s">
        <v>585</v>
      </c>
      <c r="BM4" s="312" t="s">
        <v>57</v>
      </c>
      <c r="BN4" s="313" t="s">
        <v>586</v>
      </c>
      <c r="BO4" s="314" t="s">
        <v>587</v>
      </c>
      <c r="BP4" s="315" t="s">
        <v>588</v>
      </c>
      <c r="BQ4" s="316" t="s">
        <v>589</v>
      </c>
      <c r="BR4" s="316" t="s">
        <v>590</v>
      </c>
      <c r="BS4" s="316" t="s">
        <v>591</v>
      </c>
      <c r="BT4" s="293"/>
      <c r="BU4" s="310" t="s">
        <v>585</v>
      </c>
      <c r="BW4" s="310" t="s">
        <v>585</v>
      </c>
      <c r="BX4" s="312" t="s">
        <v>57</v>
      </c>
      <c r="BY4" s="313" t="s">
        <v>586</v>
      </c>
      <c r="BZ4" s="314" t="s">
        <v>587</v>
      </c>
      <c r="CA4" s="315" t="s">
        <v>588</v>
      </c>
      <c r="CB4" s="316" t="s">
        <v>589</v>
      </c>
      <c r="CC4" s="316" t="s">
        <v>590</v>
      </c>
      <c r="CD4" s="316" t="s">
        <v>591</v>
      </c>
    </row>
    <row r="5" spans="1:82" s="295" customFormat="1" ht="28.5" customHeight="1">
      <c r="A5" s="308"/>
      <c r="B5" s="308"/>
      <c r="C5" s="308"/>
      <c r="D5" s="308"/>
      <c r="E5" s="308"/>
      <c r="F5" s="308"/>
      <c r="G5" s="308"/>
      <c r="H5" s="308"/>
      <c r="I5" s="309"/>
      <c r="J5" s="309"/>
      <c r="K5" s="308"/>
      <c r="L5" s="308"/>
      <c r="M5" s="308"/>
      <c r="N5" s="308"/>
      <c r="O5" s="293"/>
      <c r="P5" s="42" t="s">
        <v>180</v>
      </c>
      <c r="Q5" s="42" t="s">
        <v>181</v>
      </c>
      <c r="R5" s="42" t="s">
        <v>182</v>
      </c>
      <c r="S5" s="42" t="s">
        <v>183</v>
      </c>
      <c r="T5" s="42" t="s">
        <v>184</v>
      </c>
      <c r="U5" s="42" t="s">
        <v>185</v>
      </c>
      <c r="V5" s="42" t="s">
        <v>305</v>
      </c>
      <c r="W5" s="42" t="s">
        <v>334</v>
      </c>
      <c r="X5" s="317"/>
      <c r="Y5" s="42" t="s">
        <v>180</v>
      </c>
      <c r="Z5" s="42" t="s">
        <v>181</v>
      </c>
      <c r="AA5" s="42" t="s">
        <v>182</v>
      </c>
      <c r="AB5" s="42" t="s">
        <v>183</v>
      </c>
      <c r="AC5" s="42" t="s">
        <v>184</v>
      </c>
      <c r="AD5" s="42" t="s">
        <v>185</v>
      </c>
      <c r="AE5" s="42" t="s">
        <v>305</v>
      </c>
      <c r="AF5" s="42" t="s">
        <v>334</v>
      </c>
      <c r="AG5" s="318"/>
      <c r="AH5" s="42" t="s">
        <v>180</v>
      </c>
      <c r="AI5" s="42" t="s">
        <v>181</v>
      </c>
      <c r="AJ5" s="42" t="s">
        <v>182</v>
      </c>
      <c r="AK5" s="42" t="s">
        <v>183</v>
      </c>
      <c r="AL5" s="42" t="s">
        <v>184</v>
      </c>
      <c r="AM5" s="42" t="s">
        <v>185</v>
      </c>
      <c r="AN5" s="42" t="s">
        <v>305</v>
      </c>
      <c r="AO5" s="42" t="s">
        <v>334</v>
      </c>
      <c r="AP5" s="317"/>
      <c r="AQ5" s="42" t="s">
        <v>180</v>
      </c>
      <c r="AR5" s="42" t="s">
        <v>181</v>
      </c>
      <c r="AS5" s="42" t="s">
        <v>182</v>
      </c>
      <c r="AT5" s="42" t="s">
        <v>183</v>
      </c>
      <c r="AU5" s="42" t="s">
        <v>184</v>
      </c>
      <c r="AV5" s="42" t="s">
        <v>185</v>
      </c>
      <c r="AW5" s="42" t="s">
        <v>305</v>
      </c>
      <c r="AX5" s="42" t="s">
        <v>334</v>
      </c>
      <c r="AY5" s="318"/>
      <c r="AZ5" s="42" t="s">
        <v>180</v>
      </c>
      <c r="BA5" s="42" t="s">
        <v>181</v>
      </c>
      <c r="BB5" s="42" t="s">
        <v>182</v>
      </c>
      <c r="BC5" s="42" t="s">
        <v>183</v>
      </c>
      <c r="BD5" s="42" t="s">
        <v>184</v>
      </c>
      <c r="BE5" s="42" t="s">
        <v>185</v>
      </c>
      <c r="BF5" s="42" t="s">
        <v>305</v>
      </c>
      <c r="BG5" s="42" t="s">
        <v>334</v>
      </c>
      <c r="BH5" s="318"/>
      <c r="BI5" s="317"/>
      <c r="BJ5" s="308" t="s">
        <v>186</v>
      </c>
      <c r="BK5" s="317"/>
      <c r="BL5" s="42" t="s">
        <v>180</v>
      </c>
      <c r="BM5" s="42" t="s">
        <v>181</v>
      </c>
      <c r="BN5" s="42" t="s">
        <v>182</v>
      </c>
      <c r="BO5" s="42" t="s">
        <v>183</v>
      </c>
      <c r="BP5" s="42" t="s">
        <v>184</v>
      </c>
      <c r="BQ5" s="42" t="s">
        <v>185</v>
      </c>
      <c r="BR5" s="42" t="s">
        <v>305</v>
      </c>
      <c r="BS5" s="42" t="s">
        <v>334</v>
      </c>
      <c r="BT5" s="296"/>
      <c r="BU5" s="42" t="s">
        <v>180</v>
      </c>
      <c r="BW5" s="42" t="s">
        <v>180</v>
      </c>
      <c r="BX5" s="42" t="s">
        <v>181</v>
      </c>
      <c r="BY5" s="42" t="s">
        <v>182</v>
      </c>
      <c r="BZ5" s="42" t="s">
        <v>183</v>
      </c>
      <c r="CA5" s="42" t="s">
        <v>184</v>
      </c>
      <c r="CB5" s="42" t="s">
        <v>185</v>
      </c>
      <c r="CC5" s="42" t="s">
        <v>305</v>
      </c>
      <c r="CD5" s="42" t="s">
        <v>334</v>
      </c>
    </row>
    <row r="6" spans="1:82" s="295" customFormat="1" ht="51" customHeight="1">
      <c r="A6" s="751">
        <v>1</v>
      </c>
      <c r="B6" s="884" t="s">
        <v>835</v>
      </c>
      <c r="C6" s="884" t="s">
        <v>491</v>
      </c>
      <c r="D6" s="919" t="s">
        <v>879</v>
      </c>
      <c r="E6" s="920">
        <v>1</v>
      </c>
      <c r="F6" s="922">
        <v>5</v>
      </c>
      <c r="G6" s="923" t="s">
        <v>882</v>
      </c>
      <c r="H6" s="887" t="s">
        <v>833</v>
      </c>
      <c r="I6" s="924">
        <v>20</v>
      </c>
      <c r="J6" s="924">
        <v>20</v>
      </c>
      <c r="K6" s="923">
        <v>4</v>
      </c>
      <c r="L6" s="923" t="s">
        <v>833</v>
      </c>
      <c r="M6" s="749" t="s">
        <v>884</v>
      </c>
      <c r="N6" s="918">
        <v>6</v>
      </c>
      <c r="O6" s="293"/>
      <c r="P6" s="319" t="str">
        <f>IF(F6&lt;=9,IF(F6&gt;=1,"X",""),"")</f>
        <v>X</v>
      </c>
      <c r="Q6" s="320" t="str">
        <f>IF(F6&gt;=10,IF(F6&lt;=15,"X",""),"")</f>
        <v/>
      </c>
      <c r="R6" s="320" t="str">
        <f t="shared" ref="R6" si="0">IF(F6&gt;15,IF(F6&lt;=20,"X",""),"")</f>
        <v/>
      </c>
      <c r="S6" s="320" t="str">
        <f t="shared" ref="S6" si="1">IF(F6&gt;20,IF(F6&lt;=30,"X",""),"")</f>
        <v/>
      </c>
      <c r="T6" s="320" t="str">
        <f t="shared" ref="T6" si="2">IF(F6&gt;30,IF(F6&lt;=40,"X",""),"")</f>
        <v/>
      </c>
      <c r="U6" s="320" t="str">
        <f t="shared" ref="U6" si="3">IF(F6&gt;40,IF(F6&lt;=50,"X",""),"")</f>
        <v/>
      </c>
      <c r="V6" s="320" t="str">
        <f t="shared" ref="V6" si="4">IF(F6&gt;50,IF(F6&lt;=70,"X",""),"")</f>
        <v/>
      </c>
      <c r="W6" s="320" t="str">
        <f t="shared" ref="W6" si="5">IF(F6&gt;70,IF(F6&lt;=100,"X",""),"")</f>
        <v/>
      </c>
      <c r="X6" s="321"/>
      <c r="Y6" s="320">
        <f>IF(P6="X",$I6,"")</f>
        <v>20</v>
      </c>
      <c r="Z6" s="320" t="str">
        <f t="shared" ref="Z6:AF6" si="6">IF(Q6="X",$I6,"")</f>
        <v/>
      </c>
      <c r="AA6" s="320" t="str">
        <f t="shared" si="6"/>
        <v/>
      </c>
      <c r="AB6" s="320" t="str">
        <f t="shared" si="6"/>
        <v/>
      </c>
      <c r="AC6" s="320" t="str">
        <f t="shared" si="6"/>
        <v/>
      </c>
      <c r="AD6" s="320" t="str">
        <f t="shared" si="6"/>
        <v/>
      </c>
      <c r="AE6" s="320" t="str">
        <f t="shared" si="6"/>
        <v/>
      </c>
      <c r="AF6" s="320" t="str">
        <f t="shared" si="6"/>
        <v/>
      </c>
      <c r="AG6" s="321"/>
      <c r="AH6" s="320">
        <f>IF(P6="X",$J6,"")</f>
        <v>20</v>
      </c>
      <c r="AI6" s="320" t="str">
        <f t="shared" ref="AI6:AO6" si="7">IF(Q6="X",$J6,"")</f>
        <v/>
      </c>
      <c r="AJ6" s="320" t="str">
        <f t="shared" si="7"/>
        <v/>
      </c>
      <c r="AK6" s="320" t="str">
        <f t="shared" si="7"/>
        <v/>
      </c>
      <c r="AL6" s="320" t="str">
        <f t="shared" si="7"/>
        <v/>
      </c>
      <c r="AM6" s="320" t="str">
        <f t="shared" si="7"/>
        <v/>
      </c>
      <c r="AN6" s="320" t="str">
        <f t="shared" si="7"/>
        <v/>
      </c>
      <c r="AO6" s="320" t="str">
        <f t="shared" si="7"/>
        <v/>
      </c>
      <c r="AP6" s="321"/>
      <c r="AQ6" s="320" t="str">
        <f>IF(AND(P6="X",$BJ6="F"),$K6,"")</f>
        <v/>
      </c>
      <c r="AR6" s="320" t="str">
        <f t="shared" ref="AR6:AX6" si="8">IF(AND(Q6="X",$BJ6="F"),$K6,"")</f>
        <v/>
      </c>
      <c r="AS6" s="320" t="str">
        <f t="shared" si="8"/>
        <v/>
      </c>
      <c r="AT6" s="320" t="str">
        <f t="shared" si="8"/>
        <v/>
      </c>
      <c r="AU6" s="320" t="str">
        <f t="shared" si="8"/>
        <v/>
      </c>
      <c r="AV6" s="320" t="str">
        <f t="shared" si="8"/>
        <v/>
      </c>
      <c r="AW6" s="320" t="str">
        <f t="shared" si="8"/>
        <v/>
      </c>
      <c r="AX6" s="320" t="str">
        <f t="shared" si="8"/>
        <v/>
      </c>
      <c r="AY6" s="321"/>
      <c r="AZ6" s="320">
        <f>IF(AND(P6="X",$BJ6="P"),$K6,"")</f>
        <v>4</v>
      </c>
      <c r="BA6" s="320" t="str">
        <f t="shared" ref="BA6:BG6" si="9">IF(AND(Q6="X",$BJ6="P"),$K6,"")</f>
        <v/>
      </c>
      <c r="BB6" s="320" t="str">
        <f t="shared" si="9"/>
        <v/>
      </c>
      <c r="BC6" s="320" t="str">
        <f t="shared" si="9"/>
        <v/>
      </c>
      <c r="BD6" s="320" t="str">
        <f t="shared" si="9"/>
        <v/>
      </c>
      <c r="BE6" s="320" t="str">
        <f t="shared" si="9"/>
        <v/>
      </c>
      <c r="BF6" s="320" t="str">
        <f t="shared" si="9"/>
        <v/>
      </c>
      <c r="BG6" s="320" t="str">
        <f t="shared" si="9"/>
        <v/>
      </c>
      <c r="BH6" s="321"/>
      <c r="BI6" s="322"/>
      <c r="BJ6" s="323" t="str">
        <f>IF(L6="","",IF(L6="SI","P","F"))</f>
        <v>P</v>
      </c>
      <c r="BK6" s="321"/>
      <c r="BL6" s="320" t="str">
        <f t="shared" ref="BL6:BS6" si="10">IF(P6="X",$BJ6,"")</f>
        <v>P</v>
      </c>
      <c r="BM6" s="320" t="str">
        <f t="shared" si="10"/>
        <v/>
      </c>
      <c r="BN6" s="320" t="str">
        <f t="shared" si="10"/>
        <v/>
      </c>
      <c r="BO6" s="320" t="str">
        <f t="shared" si="10"/>
        <v/>
      </c>
      <c r="BP6" s="320" t="str">
        <f t="shared" si="10"/>
        <v/>
      </c>
      <c r="BQ6" s="320" t="str">
        <f t="shared" si="10"/>
        <v/>
      </c>
      <c r="BR6" s="320" t="str">
        <f t="shared" si="10"/>
        <v/>
      </c>
      <c r="BS6" s="320" t="str">
        <f t="shared" si="10"/>
        <v/>
      </c>
      <c r="BT6" s="298"/>
      <c r="BU6" s="320">
        <f t="shared" ref="BU6:BU55" si="11">IF(H6="SI",E6,"")</f>
        <v>1</v>
      </c>
      <c r="BW6" s="320" t="str">
        <f t="shared" ref="BW6" si="12">IF(H6="NO",IF(F6&lt;=9,"X",""),"")</f>
        <v/>
      </c>
      <c r="BX6" s="320" t="b">
        <f t="shared" ref="BX6" si="13">IF(H6="NO",IF(F6&gt;=10,IF(F6&lt;=15,"X",""),""))</f>
        <v>0</v>
      </c>
      <c r="BY6" s="320" t="b">
        <f t="shared" ref="BY6" si="14">IF(H6="NO",IF(F6&gt;=16,IF(F6&lt;=20,"X",""),""))</f>
        <v>0</v>
      </c>
      <c r="BZ6" s="320" t="b">
        <f t="shared" ref="BZ6" si="15">IF(H6="NO",IF(F6&gt;=21,IF(F6&lt;=30,"X",""),""))</f>
        <v>0</v>
      </c>
      <c r="CA6" s="320" t="b">
        <f t="shared" ref="CA6" si="16">IF(H6="NO",IF(F6&gt;=31,IF(F6&lt;=40,"X",""),""))</f>
        <v>0</v>
      </c>
      <c r="CB6" s="320" t="b">
        <f t="shared" ref="CB6" si="17">IF(H6="NO",IF(F6&gt;=41,IF(F6&lt;=50,"X",""),""))</f>
        <v>0</v>
      </c>
      <c r="CC6" s="320" t="b">
        <f t="shared" ref="CC6" si="18">IF(H6="NO",IF(F6&gt;=51,IF(F6&lt;=70,"X",""),""))</f>
        <v>0</v>
      </c>
      <c r="CD6" s="320" t="b">
        <f t="shared" ref="CD6" si="19">IF(H6="NO",IF(F6&gt;=71,IF(F6&lt;=90,"X",""),""))</f>
        <v>0</v>
      </c>
    </row>
    <row r="7" spans="1:82" s="295" customFormat="1" ht="24" customHeight="1">
      <c r="A7" s="751">
        <v>2</v>
      </c>
      <c r="B7" s="884" t="s">
        <v>836</v>
      </c>
      <c r="C7" s="884" t="s">
        <v>491</v>
      </c>
      <c r="D7" s="919" t="s">
        <v>879</v>
      </c>
      <c r="E7" s="921">
        <v>1</v>
      </c>
      <c r="F7" s="922">
        <v>3</v>
      </c>
      <c r="G7" s="923" t="s">
        <v>882</v>
      </c>
      <c r="H7" s="887" t="s">
        <v>833</v>
      </c>
      <c r="I7" s="924">
        <v>20</v>
      </c>
      <c r="J7" s="924">
        <v>25</v>
      </c>
      <c r="K7" s="923">
        <v>4</v>
      </c>
      <c r="L7" s="923" t="s">
        <v>833</v>
      </c>
      <c r="M7" s="749" t="s">
        <v>884</v>
      </c>
      <c r="N7" s="918">
        <v>6</v>
      </c>
      <c r="O7" s="293"/>
      <c r="P7" s="319" t="str">
        <f t="shared" ref="P7:P55" si="20">IF(F7&lt;=9,IF(F7&gt;=1,"X",""),"")</f>
        <v>X</v>
      </c>
      <c r="Q7" s="320" t="str">
        <f t="shared" ref="Q7:Q55" si="21">IF(F7&gt;=10,IF(F7&lt;=15,"X",""),"")</f>
        <v/>
      </c>
      <c r="R7" s="320" t="str">
        <f t="shared" ref="R7:R55" si="22">IF(F7&gt;15,IF(F7&lt;=20,"X",""),"")</f>
        <v/>
      </c>
      <c r="S7" s="320" t="str">
        <f t="shared" ref="S7:S55" si="23">IF(F7&gt;20,IF(F7&lt;=30,"X",""),"")</f>
        <v/>
      </c>
      <c r="T7" s="320" t="str">
        <f t="shared" ref="T7:T55" si="24">IF(F7&gt;30,IF(F7&lt;=40,"X",""),"")</f>
        <v/>
      </c>
      <c r="U7" s="320" t="str">
        <f t="shared" ref="U7:U55" si="25">IF(F7&gt;40,IF(F7&lt;=50,"X",""),"")</f>
        <v/>
      </c>
      <c r="V7" s="320" t="str">
        <f t="shared" ref="V7:V55" si="26">IF(F7&gt;50,IF(F7&lt;=70,"X",""),"")</f>
        <v/>
      </c>
      <c r="W7" s="320" t="str">
        <f t="shared" ref="W7:W55" si="27">IF(F7&gt;70,IF(F7&lt;=100,"X",""),"")</f>
        <v/>
      </c>
      <c r="X7" s="321"/>
      <c r="Y7" s="320">
        <f>IF(P7="X",$I7,"")</f>
        <v>20</v>
      </c>
      <c r="Z7" s="320" t="str">
        <f t="shared" ref="Z7:Z55" si="28">IF(Q7="X",$I7,"")</f>
        <v/>
      </c>
      <c r="AA7" s="320" t="str">
        <f t="shared" ref="AA7:AA55" si="29">IF(R7="X",$I7,"")</f>
        <v/>
      </c>
      <c r="AB7" s="320" t="str">
        <f t="shared" ref="AB7:AB55" si="30">IF(S7="X",$I7,"")</f>
        <v/>
      </c>
      <c r="AC7" s="320" t="str">
        <f t="shared" ref="AC7:AC55" si="31">IF(T7="X",$I7,"")</f>
        <v/>
      </c>
      <c r="AD7" s="320" t="str">
        <f t="shared" ref="AD7:AD55" si="32">IF(U7="X",$I7,"")</f>
        <v/>
      </c>
      <c r="AE7" s="320" t="str">
        <f t="shared" ref="AE7:AE55" si="33">IF(V7="X",$I7,"")</f>
        <v/>
      </c>
      <c r="AF7" s="320" t="str">
        <f t="shared" ref="AF7:AF55" si="34">IF(W7="X",$I7,"")</f>
        <v/>
      </c>
      <c r="AG7" s="321"/>
      <c r="AH7" s="320">
        <f t="shared" ref="AH7:AH55" si="35">IF(P7="X",$J7,"")</f>
        <v>25</v>
      </c>
      <c r="AI7" s="320" t="str">
        <f t="shared" ref="AI7:AI55" si="36">IF(Q7="X",$J7,"")</f>
        <v/>
      </c>
      <c r="AJ7" s="320" t="str">
        <f t="shared" ref="AJ7:AJ55" si="37">IF(R7="X",$J7,"")</f>
        <v/>
      </c>
      <c r="AK7" s="320" t="str">
        <f t="shared" ref="AK7:AK55" si="38">IF(S7="X",$J7,"")</f>
        <v/>
      </c>
      <c r="AL7" s="320" t="str">
        <f t="shared" ref="AL7:AL55" si="39">IF(T7="X",$J7,"")</f>
        <v/>
      </c>
      <c r="AM7" s="320" t="str">
        <f t="shared" ref="AM7:AM55" si="40">IF(U7="X",$J7,"")</f>
        <v/>
      </c>
      <c r="AN7" s="320" t="str">
        <f t="shared" ref="AN7:AN55" si="41">IF(V7="X",$J7,"")</f>
        <v/>
      </c>
      <c r="AO7" s="320" t="str">
        <f t="shared" ref="AO7:AO55" si="42">IF(W7="X",$J7,"")</f>
        <v/>
      </c>
      <c r="AP7" s="321"/>
      <c r="AQ7" s="320" t="str">
        <f t="shared" ref="AQ7:AQ55" si="43">IF(AND(P7="X",$BJ7="F"),$K7,"")</f>
        <v/>
      </c>
      <c r="AR7" s="320" t="str">
        <f t="shared" ref="AR7:AR55" si="44">IF(AND(Q7="X",$BJ7="F"),$K7,"")</f>
        <v/>
      </c>
      <c r="AS7" s="320" t="str">
        <f t="shared" ref="AS7:AS55" si="45">IF(AND(R7="X",$BJ7="F"),$K7,"")</f>
        <v/>
      </c>
      <c r="AT7" s="320" t="str">
        <f t="shared" ref="AT7:AT55" si="46">IF(AND(S7="X",$BJ7="F"),$K7,"")</f>
        <v/>
      </c>
      <c r="AU7" s="320" t="str">
        <f t="shared" ref="AU7:AU55" si="47">IF(AND(T7="X",$BJ7="F"),$K7,"")</f>
        <v/>
      </c>
      <c r="AV7" s="320" t="str">
        <f t="shared" ref="AV7:AV55" si="48">IF(AND(U7="X",$BJ7="F"),$K7,"")</f>
        <v/>
      </c>
      <c r="AW7" s="320" t="str">
        <f t="shared" ref="AW7:AW55" si="49">IF(AND(V7="X",$BJ7="F"),$K7,"")</f>
        <v/>
      </c>
      <c r="AX7" s="320" t="str">
        <f t="shared" ref="AX7:AX55" si="50">IF(AND(W7="X",$BJ7="F"),$K7,"")</f>
        <v/>
      </c>
      <c r="AY7" s="321"/>
      <c r="AZ7" s="320">
        <f>IF(AND(P7="X",$BJ7="P"),$K7,"")</f>
        <v>4</v>
      </c>
      <c r="BA7" s="320" t="str">
        <f t="shared" ref="BA7:BA55" si="51">IF(AND(Q7="X",$BJ7="P"),$K7,"")</f>
        <v/>
      </c>
      <c r="BB7" s="320" t="str">
        <f t="shared" ref="BB7:BB55" si="52">IF(AND(R7="X",$BJ7="P"),$K7,"")</f>
        <v/>
      </c>
      <c r="BC7" s="320" t="str">
        <f t="shared" ref="BC7:BC55" si="53">IF(AND(S7="X",$BJ7="P"),$K7,"")</f>
        <v/>
      </c>
      <c r="BD7" s="320" t="str">
        <f t="shared" ref="BD7:BD55" si="54">IF(AND(T7="X",$BJ7="P"),$K7,"")</f>
        <v/>
      </c>
      <c r="BE7" s="320" t="str">
        <f t="shared" ref="BE7:BE55" si="55">IF(AND(U7="X",$BJ7="P"),$K7,"")</f>
        <v/>
      </c>
      <c r="BF7" s="320" t="str">
        <f t="shared" ref="BF7:BF55" si="56">IF(AND(V7="X",$BJ7="P"),$K7,"")</f>
        <v/>
      </c>
      <c r="BG7" s="320" t="str">
        <f t="shared" ref="BG7:BG55" si="57">IF(AND(W7="X",$BJ7="P"),$K7,"")</f>
        <v/>
      </c>
      <c r="BH7" s="321"/>
      <c r="BI7" s="322"/>
      <c r="BJ7" s="323" t="str">
        <f t="shared" ref="BJ7:BJ55" si="58">IF(L7="","",IF(L7="SI","P","F"))</f>
        <v>P</v>
      </c>
      <c r="BK7" s="321"/>
      <c r="BL7" s="320" t="str">
        <f t="shared" ref="BL7:BL55" si="59">IF(P7="X",$BJ7,"")</f>
        <v>P</v>
      </c>
      <c r="BM7" s="320" t="str">
        <f t="shared" ref="BM7:BM55" si="60">IF(Q7="X",$BJ7,"")</f>
        <v/>
      </c>
      <c r="BN7" s="320" t="str">
        <f t="shared" ref="BN7:BN55" si="61">IF(R7="X",$BJ7,"")</f>
        <v/>
      </c>
      <c r="BO7" s="320" t="str">
        <f t="shared" ref="BO7:BO55" si="62">IF(S7="X",$BJ7,"")</f>
        <v/>
      </c>
      <c r="BP7" s="320" t="str">
        <f t="shared" ref="BP7:BP55" si="63">IF(T7="X",$BJ7,"")</f>
        <v/>
      </c>
      <c r="BQ7" s="320" t="str">
        <f t="shared" ref="BQ7:BQ55" si="64">IF(U7="X",$BJ7,"")</f>
        <v/>
      </c>
      <c r="BR7" s="320" t="str">
        <f t="shared" ref="BR7:BR55" si="65">IF(V7="X",$BJ7,"")</f>
        <v/>
      </c>
      <c r="BS7" s="320" t="str">
        <f t="shared" ref="BS7:BS55" si="66">IF(W7="X",$BJ7,"")</f>
        <v/>
      </c>
      <c r="BT7" s="298"/>
      <c r="BU7" s="320">
        <f t="shared" si="11"/>
        <v>1</v>
      </c>
      <c r="BW7" s="320" t="str">
        <f t="shared" ref="BW7:BW55" si="67">IF(H7="NO",IF(F7&lt;=9,"X",""),"")</f>
        <v/>
      </c>
      <c r="BX7" s="320" t="b">
        <f t="shared" ref="BX7:BX55" si="68">IF(H7="NO",IF(F7&gt;=10,IF(F7&lt;=15,"X",""),""))</f>
        <v>0</v>
      </c>
      <c r="BY7" s="320" t="b">
        <f t="shared" ref="BY7:BY55" si="69">IF(H7="NO",IF(F7&gt;=16,IF(F7&lt;=20,"X",""),""))</f>
        <v>0</v>
      </c>
      <c r="BZ7" s="320" t="b">
        <f t="shared" ref="BZ7:BZ55" si="70">IF(H7="NO",IF(F7&gt;=21,IF(F7&lt;=30,"X",""),""))</f>
        <v>0</v>
      </c>
      <c r="CA7" s="320" t="b">
        <f t="shared" ref="CA7:CA55" si="71">IF(H7="NO",IF(F7&gt;=31,IF(F7&lt;=40,"X",""),""))</f>
        <v>0</v>
      </c>
      <c r="CB7" s="320" t="b">
        <f t="shared" ref="CB7:CB55" si="72">IF(H7="NO",IF(F7&gt;=41,IF(F7&lt;=50,"X",""),""))</f>
        <v>0</v>
      </c>
      <c r="CC7" s="320" t="b">
        <f t="shared" ref="CC7:CC55" si="73">IF(H7="NO",IF(F7&gt;=51,IF(F7&lt;=70,"X",""),""))</f>
        <v>0</v>
      </c>
      <c r="CD7" s="320" t="b">
        <f t="shared" ref="CD7:CD55" si="74">IF(H7="NO",IF(F7&gt;=71,IF(F7&lt;=90,"X",""),""))</f>
        <v>0</v>
      </c>
    </row>
    <row r="8" spans="1:82" s="295" customFormat="1" ht="24" customHeight="1">
      <c r="A8" s="751">
        <v>3</v>
      </c>
      <c r="B8" s="884" t="s">
        <v>837</v>
      </c>
      <c r="C8" s="884" t="s">
        <v>491</v>
      </c>
      <c r="D8" s="919" t="s">
        <v>879</v>
      </c>
      <c r="E8" s="921">
        <v>1</v>
      </c>
      <c r="F8" s="922">
        <v>3</v>
      </c>
      <c r="G8" s="923" t="s">
        <v>882</v>
      </c>
      <c r="H8" s="887" t="s">
        <v>833</v>
      </c>
      <c r="I8" s="924">
        <v>18</v>
      </c>
      <c r="J8" s="924">
        <v>24</v>
      </c>
      <c r="K8" s="923">
        <v>4</v>
      </c>
      <c r="L8" s="923" t="s">
        <v>833</v>
      </c>
      <c r="M8" s="749" t="s">
        <v>884</v>
      </c>
      <c r="N8" s="918">
        <v>6</v>
      </c>
      <c r="O8" s="293"/>
      <c r="P8" s="319" t="str">
        <f t="shared" si="20"/>
        <v>X</v>
      </c>
      <c r="Q8" s="320" t="str">
        <f t="shared" si="21"/>
        <v/>
      </c>
      <c r="R8" s="320" t="str">
        <f t="shared" si="22"/>
        <v/>
      </c>
      <c r="S8" s="320" t="str">
        <f t="shared" si="23"/>
        <v/>
      </c>
      <c r="T8" s="320" t="str">
        <f t="shared" si="24"/>
        <v/>
      </c>
      <c r="U8" s="320" t="str">
        <f t="shared" si="25"/>
        <v/>
      </c>
      <c r="V8" s="320" t="str">
        <f t="shared" si="26"/>
        <v/>
      </c>
      <c r="W8" s="320" t="str">
        <f t="shared" si="27"/>
        <v/>
      </c>
      <c r="X8" s="321"/>
      <c r="Y8" s="320">
        <f>IF(P8="X",$I8,"")</f>
        <v>18</v>
      </c>
      <c r="Z8" s="320" t="str">
        <f t="shared" si="28"/>
        <v/>
      </c>
      <c r="AA8" s="320" t="str">
        <f t="shared" si="29"/>
        <v/>
      </c>
      <c r="AB8" s="320" t="str">
        <f t="shared" si="30"/>
        <v/>
      </c>
      <c r="AC8" s="320" t="str">
        <f t="shared" si="31"/>
        <v/>
      </c>
      <c r="AD8" s="320" t="str">
        <f t="shared" si="32"/>
        <v/>
      </c>
      <c r="AE8" s="320" t="str">
        <f t="shared" si="33"/>
        <v/>
      </c>
      <c r="AF8" s="320" t="str">
        <f t="shared" si="34"/>
        <v/>
      </c>
      <c r="AG8" s="321"/>
      <c r="AH8" s="320">
        <f t="shared" si="35"/>
        <v>24</v>
      </c>
      <c r="AI8" s="320" t="str">
        <f t="shared" si="36"/>
        <v/>
      </c>
      <c r="AJ8" s="320" t="str">
        <f t="shared" si="37"/>
        <v/>
      </c>
      <c r="AK8" s="320" t="str">
        <f t="shared" si="38"/>
        <v/>
      </c>
      <c r="AL8" s="320" t="str">
        <f t="shared" si="39"/>
        <v/>
      </c>
      <c r="AM8" s="320" t="str">
        <f t="shared" si="40"/>
        <v/>
      </c>
      <c r="AN8" s="320" t="str">
        <f t="shared" si="41"/>
        <v/>
      </c>
      <c r="AO8" s="320" t="str">
        <f t="shared" si="42"/>
        <v/>
      </c>
      <c r="AP8" s="321"/>
      <c r="AQ8" s="320" t="str">
        <f t="shared" si="43"/>
        <v/>
      </c>
      <c r="AR8" s="320" t="str">
        <f t="shared" si="44"/>
        <v/>
      </c>
      <c r="AS8" s="320" t="str">
        <f t="shared" si="45"/>
        <v/>
      </c>
      <c r="AT8" s="320" t="str">
        <f t="shared" si="46"/>
        <v/>
      </c>
      <c r="AU8" s="320" t="str">
        <f t="shared" si="47"/>
        <v/>
      </c>
      <c r="AV8" s="320" t="str">
        <f t="shared" si="48"/>
        <v/>
      </c>
      <c r="AW8" s="320" t="str">
        <f t="shared" si="49"/>
        <v/>
      </c>
      <c r="AX8" s="320" t="str">
        <f t="shared" si="50"/>
        <v/>
      </c>
      <c r="AY8" s="321"/>
      <c r="AZ8" s="320">
        <f t="shared" ref="AZ8:AZ55" si="75">IF(AND(P8="X",$BJ8="P"),$K8,"")</f>
        <v>4</v>
      </c>
      <c r="BA8" s="320" t="str">
        <f t="shared" si="51"/>
        <v/>
      </c>
      <c r="BB8" s="320" t="str">
        <f t="shared" si="52"/>
        <v/>
      </c>
      <c r="BC8" s="320" t="str">
        <f t="shared" si="53"/>
        <v/>
      </c>
      <c r="BD8" s="320" t="str">
        <f t="shared" si="54"/>
        <v/>
      </c>
      <c r="BE8" s="320" t="str">
        <f t="shared" si="55"/>
        <v/>
      </c>
      <c r="BF8" s="320" t="str">
        <f t="shared" si="56"/>
        <v/>
      </c>
      <c r="BG8" s="320" t="str">
        <f t="shared" si="57"/>
        <v/>
      </c>
      <c r="BH8" s="321"/>
      <c r="BI8" s="322"/>
      <c r="BJ8" s="323" t="str">
        <f t="shared" si="58"/>
        <v>P</v>
      </c>
      <c r="BK8" s="321"/>
      <c r="BL8" s="320" t="str">
        <f t="shared" si="59"/>
        <v>P</v>
      </c>
      <c r="BM8" s="320" t="str">
        <f t="shared" si="60"/>
        <v/>
      </c>
      <c r="BN8" s="320" t="str">
        <f t="shared" si="61"/>
        <v/>
      </c>
      <c r="BO8" s="320" t="str">
        <f t="shared" si="62"/>
        <v/>
      </c>
      <c r="BP8" s="320" t="str">
        <f t="shared" si="63"/>
        <v/>
      </c>
      <c r="BQ8" s="320" t="str">
        <f t="shared" si="64"/>
        <v/>
      </c>
      <c r="BR8" s="320" t="str">
        <f t="shared" si="65"/>
        <v/>
      </c>
      <c r="BS8" s="320" t="str">
        <f t="shared" si="66"/>
        <v/>
      </c>
      <c r="BT8" s="298"/>
      <c r="BU8" s="320">
        <f t="shared" si="11"/>
        <v>1</v>
      </c>
      <c r="BW8" s="320" t="str">
        <f t="shared" si="67"/>
        <v/>
      </c>
      <c r="BX8" s="320" t="b">
        <f t="shared" si="68"/>
        <v>0</v>
      </c>
      <c r="BY8" s="320" t="b">
        <f t="shared" si="69"/>
        <v>0</v>
      </c>
      <c r="BZ8" s="320" t="b">
        <f t="shared" si="70"/>
        <v>0</v>
      </c>
      <c r="CA8" s="320" t="b">
        <f t="shared" si="71"/>
        <v>0</v>
      </c>
      <c r="CB8" s="320" t="b">
        <f t="shared" si="72"/>
        <v>0</v>
      </c>
      <c r="CC8" s="320" t="b">
        <f t="shared" si="73"/>
        <v>0</v>
      </c>
      <c r="CD8" s="320" t="b">
        <f t="shared" si="74"/>
        <v>0</v>
      </c>
    </row>
    <row r="9" spans="1:82" s="295" customFormat="1" ht="24" customHeight="1">
      <c r="A9" s="751">
        <v>4</v>
      </c>
      <c r="B9" s="884" t="s">
        <v>838</v>
      </c>
      <c r="C9" s="884" t="s">
        <v>491</v>
      </c>
      <c r="D9" s="919" t="s">
        <v>879</v>
      </c>
      <c r="E9" s="921">
        <v>1</v>
      </c>
      <c r="F9" s="922">
        <v>3</v>
      </c>
      <c r="G9" s="923" t="s">
        <v>882</v>
      </c>
      <c r="H9" s="887" t="s">
        <v>833</v>
      </c>
      <c r="I9" s="924">
        <v>15</v>
      </c>
      <c r="J9" s="924">
        <v>24</v>
      </c>
      <c r="K9" s="923">
        <v>4</v>
      </c>
      <c r="L9" s="923" t="s">
        <v>833</v>
      </c>
      <c r="M9" s="749" t="s">
        <v>884</v>
      </c>
      <c r="N9" s="918">
        <v>6</v>
      </c>
      <c r="O9" s="293"/>
      <c r="P9" s="319" t="str">
        <f t="shared" si="20"/>
        <v>X</v>
      </c>
      <c r="Q9" s="320" t="str">
        <f t="shared" si="21"/>
        <v/>
      </c>
      <c r="R9" s="320" t="str">
        <f t="shared" si="22"/>
        <v/>
      </c>
      <c r="S9" s="320" t="str">
        <f t="shared" si="23"/>
        <v/>
      </c>
      <c r="T9" s="320" t="str">
        <f t="shared" si="24"/>
        <v/>
      </c>
      <c r="U9" s="320" t="str">
        <f t="shared" si="25"/>
        <v/>
      </c>
      <c r="V9" s="320" t="str">
        <f t="shared" si="26"/>
        <v/>
      </c>
      <c r="W9" s="320" t="str">
        <f t="shared" si="27"/>
        <v/>
      </c>
      <c r="X9" s="321"/>
      <c r="Y9" s="320">
        <f t="shared" ref="Y9:Y55" si="76">IF(P9="X",$I9,"")</f>
        <v>15</v>
      </c>
      <c r="Z9" s="320" t="str">
        <f t="shared" si="28"/>
        <v/>
      </c>
      <c r="AA9" s="320" t="str">
        <f t="shared" si="29"/>
        <v/>
      </c>
      <c r="AB9" s="320" t="str">
        <f t="shared" si="30"/>
        <v/>
      </c>
      <c r="AC9" s="320" t="str">
        <f t="shared" si="31"/>
        <v/>
      </c>
      <c r="AD9" s="320" t="str">
        <f t="shared" si="32"/>
        <v/>
      </c>
      <c r="AE9" s="320" t="str">
        <f t="shared" si="33"/>
        <v/>
      </c>
      <c r="AF9" s="320" t="str">
        <f t="shared" si="34"/>
        <v/>
      </c>
      <c r="AG9" s="321"/>
      <c r="AH9" s="320">
        <f t="shared" si="35"/>
        <v>24</v>
      </c>
      <c r="AI9" s="320" t="str">
        <f t="shared" si="36"/>
        <v/>
      </c>
      <c r="AJ9" s="320" t="str">
        <f t="shared" si="37"/>
        <v/>
      </c>
      <c r="AK9" s="320" t="str">
        <f t="shared" si="38"/>
        <v/>
      </c>
      <c r="AL9" s="320" t="str">
        <f t="shared" si="39"/>
        <v/>
      </c>
      <c r="AM9" s="320" t="str">
        <f t="shared" si="40"/>
        <v/>
      </c>
      <c r="AN9" s="320" t="str">
        <f t="shared" si="41"/>
        <v/>
      </c>
      <c r="AO9" s="320" t="str">
        <f t="shared" si="42"/>
        <v/>
      </c>
      <c r="AP9" s="321"/>
      <c r="AQ9" s="320" t="str">
        <f t="shared" si="43"/>
        <v/>
      </c>
      <c r="AR9" s="320" t="str">
        <f t="shared" si="44"/>
        <v/>
      </c>
      <c r="AS9" s="320" t="str">
        <f t="shared" si="45"/>
        <v/>
      </c>
      <c r="AT9" s="320" t="str">
        <f t="shared" si="46"/>
        <v/>
      </c>
      <c r="AU9" s="320" t="str">
        <f t="shared" si="47"/>
        <v/>
      </c>
      <c r="AV9" s="320" t="str">
        <f t="shared" si="48"/>
        <v/>
      </c>
      <c r="AW9" s="320" t="str">
        <f t="shared" si="49"/>
        <v/>
      </c>
      <c r="AX9" s="320" t="str">
        <f t="shared" si="50"/>
        <v/>
      </c>
      <c r="AY9" s="321"/>
      <c r="AZ9" s="320">
        <f t="shared" si="75"/>
        <v>4</v>
      </c>
      <c r="BA9" s="320" t="str">
        <f t="shared" si="51"/>
        <v/>
      </c>
      <c r="BB9" s="320" t="str">
        <f t="shared" si="52"/>
        <v/>
      </c>
      <c r="BC9" s="320" t="str">
        <f t="shared" si="53"/>
        <v/>
      </c>
      <c r="BD9" s="320" t="str">
        <f t="shared" si="54"/>
        <v/>
      </c>
      <c r="BE9" s="320" t="str">
        <f t="shared" si="55"/>
        <v/>
      </c>
      <c r="BF9" s="320" t="str">
        <f t="shared" si="56"/>
        <v/>
      </c>
      <c r="BG9" s="320" t="str">
        <f t="shared" si="57"/>
        <v/>
      </c>
      <c r="BH9" s="321"/>
      <c r="BI9" s="322"/>
      <c r="BJ9" s="323" t="str">
        <f t="shared" si="58"/>
        <v>P</v>
      </c>
      <c r="BK9" s="321"/>
      <c r="BL9" s="320" t="str">
        <f t="shared" si="59"/>
        <v>P</v>
      </c>
      <c r="BM9" s="320" t="str">
        <f t="shared" si="60"/>
        <v/>
      </c>
      <c r="BN9" s="320" t="str">
        <f t="shared" si="61"/>
        <v/>
      </c>
      <c r="BO9" s="320" t="str">
        <f t="shared" si="62"/>
        <v/>
      </c>
      <c r="BP9" s="320" t="str">
        <f t="shared" si="63"/>
        <v/>
      </c>
      <c r="BQ9" s="320" t="str">
        <f t="shared" si="64"/>
        <v/>
      </c>
      <c r="BR9" s="320" t="str">
        <f t="shared" si="65"/>
        <v/>
      </c>
      <c r="BS9" s="320" t="str">
        <f t="shared" si="66"/>
        <v/>
      </c>
      <c r="BT9" s="298"/>
      <c r="BU9" s="320">
        <f t="shared" si="11"/>
        <v>1</v>
      </c>
      <c r="BW9" s="320" t="str">
        <f t="shared" si="67"/>
        <v/>
      </c>
      <c r="BX9" s="320" t="b">
        <f t="shared" si="68"/>
        <v>0</v>
      </c>
      <c r="BY9" s="320" t="b">
        <f t="shared" si="69"/>
        <v>0</v>
      </c>
      <c r="BZ9" s="320" t="b">
        <f t="shared" si="70"/>
        <v>0</v>
      </c>
      <c r="CA9" s="320" t="b">
        <f t="shared" si="71"/>
        <v>0</v>
      </c>
      <c r="CB9" s="320" t="b">
        <f t="shared" si="72"/>
        <v>0</v>
      </c>
      <c r="CC9" s="320" t="b">
        <f t="shared" si="73"/>
        <v>0</v>
      </c>
      <c r="CD9" s="320" t="b">
        <f t="shared" si="74"/>
        <v>0</v>
      </c>
    </row>
    <row r="10" spans="1:82" s="295" customFormat="1" ht="24" customHeight="1">
      <c r="A10" s="751">
        <v>5</v>
      </c>
      <c r="B10" s="884" t="s">
        <v>839</v>
      </c>
      <c r="C10" s="884" t="s">
        <v>491</v>
      </c>
      <c r="D10" s="919" t="s">
        <v>879</v>
      </c>
      <c r="E10" s="921">
        <v>1</v>
      </c>
      <c r="F10" s="922">
        <v>3</v>
      </c>
      <c r="G10" s="923" t="s">
        <v>882</v>
      </c>
      <c r="H10" s="887" t="s">
        <v>833</v>
      </c>
      <c r="I10" s="924">
        <v>14</v>
      </c>
      <c r="J10" s="924">
        <v>14</v>
      </c>
      <c r="K10" s="923">
        <v>4</v>
      </c>
      <c r="L10" s="923" t="s">
        <v>833</v>
      </c>
      <c r="M10" s="749" t="s">
        <v>884</v>
      </c>
      <c r="N10" s="918">
        <v>6</v>
      </c>
      <c r="O10" s="293"/>
      <c r="P10" s="319" t="str">
        <f t="shared" si="20"/>
        <v>X</v>
      </c>
      <c r="Q10" s="320" t="str">
        <f t="shared" si="21"/>
        <v/>
      </c>
      <c r="R10" s="320" t="str">
        <f t="shared" si="22"/>
        <v/>
      </c>
      <c r="S10" s="320" t="str">
        <f t="shared" si="23"/>
        <v/>
      </c>
      <c r="T10" s="320" t="str">
        <f t="shared" si="24"/>
        <v/>
      </c>
      <c r="U10" s="320" t="str">
        <f t="shared" si="25"/>
        <v/>
      </c>
      <c r="V10" s="320" t="str">
        <f t="shared" si="26"/>
        <v/>
      </c>
      <c r="W10" s="320" t="str">
        <f t="shared" si="27"/>
        <v/>
      </c>
      <c r="X10" s="321"/>
      <c r="Y10" s="320">
        <f t="shared" si="76"/>
        <v>14</v>
      </c>
      <c r="Z10" s="320" t="str">
        <f t="shared" si="28"/>
        <v/>
      </c>
      <c r="AA10" s="320" t="str">
        <f t="shared" si="29"/>
        <v/>
      </c>
      <c r="AB10" s="320" t="str">
        <f t="shared" si="30"/>
        <v/>
      </c>
      <c r="AC10" s="320" t="str">
        <f t="shared" si="31"/>
        <v/>
      </c>
      <c r="AD10" s="320" t="str">
        <f t="shared" si="32"/>
        <v/>
      </c>
      <c r="AE10" s="320" t="str">
        <f t="shared" si="33"/>
        <v/>
      </c>
      <c r="AF10" s="320" t="str">
        <f t="shared" si="34"/>
        <v/>
      </c>
      <c r="AG10" s="321"/>
      <c r="AH10" s="320">
        <f t="shared" si="35"/>
        <v>14</v>
      </c>
      <c r="AI10" s="320" t="str">
        <f t="shared" si="36"/>
        <v/>
      </c>
      <c r="AJ10" s="320" t="str">
        <f t="shared" si="37"/>
        <v/>
      </c>
      <c r="AK10" s="320" t="str">
        <f t="shared" si="38"/>
        <v/>
      </c>
      <c r="AL10" s="320" t="str">
        <f t="shared" si="39"/>
        <v/>
      </c>
      <c r="AM10" s="320" t="str">
        <f t="shared" si="40"/>
        <v/>
      </c>
      <c r="AN10" s="320" t="str">
        <f t="shared" si="41"/>
        <v/>
      </c>
      <c r="AO10" s="320" t="str">
        <f t="shared" si="42"/>
        <v/>
      </c>
      <c r="AP10" s="321"/>
      <c r="AQ10" s="320" t="str">
        <f t="shared" si="43"/>
        <v/>
      </c>
      <c r="AR10" s="320" t="str">
        <f t="shared" si="44"/>
        <v/>
      </c>
      <c r="AS10" s="320" t="str">
        <f t="shared" si="45"/>
        <v/>
      </c>
      <c r="AT10" s="320" t="str">
        <f t="shared" si="46"/>
        <v/>
      </c>
      <c r="AU10" s="320" t="str">
        <f t="shared" si="47"/>
        <v/>
      </c>
      <c r="AV10" s="320" t="str">
        <f t="shared" si="48"/>
        <v/>
      </c>
      <c r="AW10" s="320" t="str">
        <f t="shared" si="49"/>
        <v/>
      </c>
      <c r="AX10" s="320" t="str">
        <f t="shared" si="50"/>
        <v/>
      </c>
      <c r="AY10" s="321"/>
      <c r="AZ10" s="320">
        <f t="shared" si="75"/>
        <v>4</v>
      </c>
      <c r="BA10" s="320" t="str">
        <f t="shared" si="51"/>
        <v/>
      </c>
      <c r="BB10" s="320" t="str">
        <f t="shared" si="52"/>
        <v/>
      </c>
      <c r="BC10" s="320" t="str">
        <f t="shared" si="53"/>
        <v/>
      </c>
      <c r="BD10" s="320" t="str">
        <f t="shared" si="54"/>
        <v/>
      </c>
      <c r="BE10" s="320" t="str">
        <f t="shared" si="55"/>
        <v/>
      </c>
      <c r="BF10" s="320" t="str">
        <f t="shared" si="56"/>
        <v/>
      </c>
      <c r="BG10" s="320" t="str">
        <f t="shared" si="57"/>
        <v/>
      </c>
      <c r="BH10" s="321"/>
      <c r="BI10" s="322"/>
      <c r="BJ10" s="323" t="str">
        <f t="shared" si="58"/>
        <v>P</v>
      </c>
      <c r="BK10" s="321"/>
      <c r="BL10" s="320" t="str">
        <f t="shared" si="59"/>
        <v>P</v>
      </c>
      <c r="BM10" s="320" t="str">
        <f t="shared" si="60"/>
        <v/>
      </c>
      <c r="BN10" s="320" t="str">
        <f t="shared" si="61"/>
        <v/>
      </c>
      <c r="BO10" s="320" t="str">
        <f t="shared" si="62"/>
        <v/>
      </c>
      <c r="BP10" s="320" t="str">
        <f t="shared" si="63"/>
        <v/>
      </c>
      <c r="BQ10" s="320" t="str">
        <f t="shared" si="64"/>
        <v/>
      </c>
      <c r="BR10" s="320" t="str">
        <f t="shared" si="65"/>
        <v/>
      </c>
      <c r="BS10" s="320" t="str">
        <f t="shared" si="66"/>
        <v/>
      </c>
      <c r="BT10" s="298"/>
      <c r="BU10" s="320">
        <f t="shared" si="11"/>
        <v>1</v>
      </c>
      <c r="BW10" s="320" t="str">
        <f t="shared" si="67"/>
        <v/>
      </c>
      <c r="BX10" s="320" t="b">
        <f t="shared" si="68"/>
        <v>0</v>
      </c>
      <c r="BY10" s="320" t="b">
        <f t="shared" si="69"/>
        <v>0</v>
      </c>
      <c r="BZ10" s="320" t="b">
        <f t="shared" si="70"/>
        <v>0</v>
      </c>
      <c r="CA10" s="320" t="b">
        <f t="shared" si="71"/>
        <v>0</v>
      </c>
      <c r="CB10" s="320" t="b">
        <f t="shared" si="72"/>
        <v>0</v>
      </c>
      <c r="CC10" s="320" t="b">
        <f t="shared" si="73"/>
        <v>0</v>
      </c>
      <c r="CD10" s="320" t="b">
        <f t="shared" si="74"/>
        <v>0</v>
      </c>
    </row>
    <row r="11" spans="1:82" s="295" customFormat="1" ht="24" customHeight="1">
      <c r="A11" s="751">
        <v>6</v>
      </c>
      <c r="B11" s="884" t="s">
        <v>840</v>
      </c>
      <c r="C11" s="884" t="s">
        <v>491</v>
      </c>
      <c r="D11" s="919" t="s">
        <v>879</v>
      </c>
      <c r="E11" s="921">
        <v>1</v>
      </c>
      <c r="F11" s="922">
        <v>3</v>
      </c>
      <c r="G11" s="923" t="s">
        <v>882</v>
      </c>
      <c r="H11" s="887" t="s">
        <v>833</v>
      </c>
      <c r="I11" s="924">
        <v>15</v>
      </c>
      <c r="J11" s="924">
        <v>15</v>
      </c>
      <c r="K11" s="923">
        <v>4</v>
      </c>
      <c r="L11" s="923" t="s">
        <v>833</v>
      </c>
      <c r="M11" s="749" t="s">
        <v>884</v>
      </c>
      <c r="N11" s="918">
        <v>6</v>
      </c>
      <c r="O11" s="293"/>
      <c r="P11" s="319" t="str">
        <f t="shared" si="20"/>
        <v>X</v>
      </c>
      <c r="Q11" s="320" t="str">
        <f t="shared" si="21"/>
        <v/>
      </c>
      <c r="R11" s="320" t="str">
        <f t="shared" si="22"/>
        <v/>
      </c>
      <c r="S11" s="320" t="str">
        <f t="shared" si="23"/>
        <v/>
      </c>
      <c r="T11" s="320" t="str">
        <f t="shared" si="24"/>
        <v/>
      </c>
      <c r="U11" s="320" t="str">
        <f t="shared" si="25"/>
        <v/>
      </c>
      <c r="V11" s="320" t="str">
        <f t="shared" si="26"/>
        <v/>
      </c>
      <c r="W11" s="320" t="str">
        <f t="shared" si="27"/>
        <v/>
      </c>
      <c r="X11" s="321"/>
      <c r="Y11" s="320">
        <f t="shared" si="76"/>
        <v>15</v>
      </c>
      <c r="Z11" s="320" t="str">
        <f t="shared" si="28"/>
        <v/>
      </c>
      <c r="AA11" s="320" t="str">
        <f t="shared" si="29"/>
        <v/>
      </c>
      <c r="AB11" s="320" t="str">
        <f t="shared" si="30"/>
        <v/>
      </c>
      <c r="AC11" s="320" t="str">
        <f t="shared" si="31"/>
        <v/>
      </c>
      <c r="AD11" s="320" t="str">
        <f t="shared" si="32"/>
        <v/>
      </c>
      <c r="AE11" s="320" t="str">
        <f t="shared" si="33"/>
        <v/>
      </c>
      <c r="AF11" s="320" t="str">
        <f t="shared" si="34"/>
        <v/>
      </c>
      <c r="AG11" s="321"/>
      <c r="AH11" s="320">
        <f t="shared" si="35"/>
        <v>15</v>
      </c>
      <c r="AI11" s="320" t="str">
        <f t="shared" si="36"/>
        <v/>
      </c>
      <c r="AJ11" s="320" t="str">
        <f t="shared" si="37"/>
        <v/>
      </c>
      <c r="AK11" s="320" t="str">
        <f t="shared" si="38"/>
        <v/>
      </c>
      <c r="AL11" s="320" t="str">
        <f t="shared" si="39"/>
        <v/>
      </c>
      <c r="AM11" s="320" t="str">
        <f t="shared" si="40"/>
        <v/>
      </c>
      <c r="AN11" s="320" t="str">
        <f t="shared" si="41"/>
        <v/>
      </c>
      <c r="AO11" s="320" t="str">
        <f t="shared" si="42"/>
        <v/>
      </c>
      <c r="AP11" s="321"/>
      <c r="AQ11" s="320" t="str">
        <f t="shared" si="43"/>
        <v/>
      </c>
      <c r="AR11" s="320" t="str">
        <f t="shared" si="44"/>
        <v/>
      </c>
      <c r="AS11" s="320" t="str">
        <f t="shared" si="45"/>
        <v/>
      </c>
      <c r="AT11" s="320" t="str">
        <f t="shared" si="46"/>
        <v/>
      </c>
      <c r="AU11" s="320" t="str">
        <f t="shared" si="47"/>
        <v/>
      </c>
      <c r="AV11" s="320" t="str">
        <f t="shared" si="48"/>
        <v/>
      </c>
      <c r="AW11" s="320" t="str">
        <f t="shared" si="49"/>
        <v/>
      </c>
      <c r="AX11" s="320" t="str">
        <f t="shared" si="50"/>
        <v/>
      </c>
      <c r="AY11" s="321"/>
      <c r="AZ11" s="320">
        <f t="shared" si="75"/>
        <v>4</v>
      </c>
      <c r="BA11" s="320" t="str">
        <f t="shared" si="51"/>
        <v/>
      </c>
      <c r="BB11" s="320" t="str">
        <f t="shared" si="52"/>
        <v/>
      </c>
      <c r="BC11" s="320" t="str">
        <f t="shared" si="53"/>
        <v/>
      </c>
      <c r="BD11" s="320" t="str">
        <f t="shared" si="54"/>
        <v/>
      </c>
      <c r="BE11" s="320" t="str">
        <f t="shared" si="55"/>
        <v/>
      </c>
      <c r="BF11" s="320" t="str">
        <f t="shared" si="56"/>
        <v/>
      </c>
      <c r="BG11" s="320" t="str">
        <f t="shared" si="57"/>
        <v/>
      </c>
      <c r="BH11" s="321"/>
      <c r="BI11" s="322"/>
      <c r="BJ11" s="323" t="str">
        <f t="shared" si="58"/>
        <v>P</v>
      </c>
      <c r="BK11" s="321"/>
      <c r="BL11" s="320" t="str">
        <f t="shared" si="59"/>
        <v>P</v>
      </c>
      <c r="BM11" s="320" t="str">
        <f t="shared" si="60"/>
        <v/>
      </c>
      <c r="BN11" s="320" t="str">
        <f t="shared" si="61"/>
        <v/>
      </c>
      <c r="BO11" s="320" t="str">
        <f t="shared" si="62"/>
        <v/>
      </c>
      <c r="BP11" s="320" t="str">
        <f t="shared" si="63"/>
        <v/>
      </c>
      <c r="BQ11" s="320" t="str">
        <f t="shared" si="64"/>
        <v/>
      </c>
      <c r="BR11" s="320" t="str">
        <f t="shared" si="65"/>
        <v/>
      </c>
      <c r="BS11" s="320" t="str">
        <f t="shared" si="66"/>
        <v/>
      </c>
      <c r="BT11" s="298"/>
      <c r="BU11" s="320">
        <f t="shared" si="11"/>
        <v>1</v>
      </c>
      <c r="BW11" s="320" t="str">
        <f t="shared" si="67"/>
        <v/>
      </c>
      <c r="BX11" s="320" t="b">
        <f t="shared" si="68"/>
        <v>0</v>
      </c>
      <c r="BY11" s="320" t="b">
        <f t="shared" si="69"/>
        <v>0</v>
      </c>
      <c r="BZ11" s="320" t="b">
        <f t="shared" si="70"/>
        <v>0</v>
      </c>
      <c r="CA11" s="320" t="b">
        <f t="shared" si="71"/>
        <v>0</v>
      </c>
      <c r="CB11" s="320" t="b">
        <f t="shared" si="72"/>
        <v>0</v>
      </c>
      <c r="CC11" s="320" t="b">
        <f t="shared" si="73"/>
        <v>0</v>
      </c>
      <c r="CD11" s="320" t="b">
        <f t="shared" si="74"/>
        <v>0</v>
      </c>
    </row>
    <row r="12" spans="1:82" s="295" customFormat="1" ht="24" customHeight="1">
      <c r="A12" s="751">
        <v>7</v>
      </c>
      <c r="B12" s="884" t="s">
        <v>841</v>
      </c>
      <c r="C12" s="884" t="s">
        <v>491</v>
      </c>
      <c r="D12" s="919" t="s">
        <v>879</v>
      </c>
      <c r="E12" s="921">
        <v>1</v>
      </c>
      <c r="F12" s="922">
        <v>3</v>
      </c>
      <c r="G12" s="923" t="s">
        <v>882</v>
      </c>
      <c r="H12" s="887" t="s">
        <v>833</v>
      </c>
      <c r="I12" s="924">
        <v>14</v>
      </c>
      <c r="J12" s="924">
        <v>14</v>
      </c>
      <c r="K12" s="923">
        <v>4</v>
      </c>
      <c r="L12" s="923" t="s">
        <v>833</v>
      </c>
      <c r="M12" s="749" t="s">
        <v>884</v>
      </c>
      <c r="N12" s="918">
        <v>6</v>
      </c>
      <c r="O12" s="293"/>
      <c r="P12" s="319" t="str">
        <f t="shared" si="20"/>
        <v>X</v>
      </c>
      <c r="Q12" s="320" t="str">
        <f t="shared" si="21"/>
        <v/>
      </c>
      <c r="R12" s="320" t="str">
        <f t="shared" si="22"/>
        <v/>
      </c>
      <c r="S12" s="320" t="str">
        <f t="shared" si="23"/>
        <v/>
      </c>
      <c r="T12" s="320" t="str">
        <f t="shared" si="24"/>
        <v/>
      </c>
      <c r="U12" s="320" t="str">
        <f t="shared" si="25"/>
        <v/>
      </c>
      <c r="V12" s="320" t="str">
        <f t="shared" si="26"/>
        <v/>
      </c>
      <c r="W12" s="320" t="str">
        <f t="shared" si="27"/>
        <v/>
      </c>
      <c r="X12" s="321"/>
      <c r="Y12" s="320">
        <f t="shared" si="76"/>
        <v>14</v>
      </c>
      <c r="Z12" s="320" t="str">
        <f t="shared" si="28"/>
        <v/>
      </c>
      <c r="AA12" s="320" t="str">
        <f t="shared" si="29"/>
        <v/>
      </c>
      <c r="AB12" s="320" t="str">
        <f t="shared" si="30"/>
        <v/>
      </c>
      <c r="AC12" s="320" t="str">
        <f t="shared" si="31"/>
        <v/>
      </c>
      <c r="AD12" s="320" t="str">
        <f t="shared" si="32"/>
        <v/>
      </c>
      <c r="AE12" s="320" t="str">
        <f t="shared" si="33"/>
        <v/>
      </c>
      <c r="AF12" s="320" t="str">
        <f t="shared" si="34"/>
        <v/>
      </c>
      <c r="AG12" s="321"/>
      <c r="AH12" s="320">
        <f t="shared" si="35"/>
        <v>14</v>
      </c>
      <c r="AI12" s="320" t="str">
        <f t="shared" si="36"/>
        <v/>
      </c>
      <c r="AJ12" s="320" t="str">
        <f t="shared" si="37"/>
        <v/>
      </c>
      <c r="AK12" s="320" t="str">
        <f t="shared" si="38"/>
        <v/>
      </c>
      <c r="AL12" s="320" t="str">
        <f t="shared" si="39"/>
        <v/>
      </c>
      <c r="AM12" s="320" t="str">
        <f t="shared" si="40"/>
        <v/>
      </c>
      <c r="AN12" s="320" t="str">
        <f t="shared" si="41"/>
        <v/>
      </c>
      <c r="AO12" s="320" t="str">
        <f t="shared" si="42"/>
        <v/>
      </c>
      <c r="AP12" s="321"/>
      <c r="AQ12" s="320" t="str">
        <f t="shared" si="43"/>
        <v/>
      </c>
      <c r="AR12" s="320" t="str">
        <f t="shared" si="44"/>
        <v/>
      </c>
      <c r="AS12" s="320" t="str">
        <f t="shared" si="45"/>
        <v/>
      </c>
      <c r="AT12" s="320" t="str">
        <f t="shared" si="46"/>
        <v/>
      </c>
      <c r="AU12" s="320" t="str">
        <f t="shared" si="47"/>
        <v/>
      </c>
      <c r="AV12" s="320" t="str">
        <f t="shared" si="48"/>
        <v/>
      </c>
      <c r="AW12" s="320" t="str">
        <f t="shared" si="49"/>
        <v/>
      </c>
      <c r="AX12" s="320" t="str">
        <f t="shared" si="50"/>
        <v/>
      </c>
      <c r="AY12" s="321"/>
      <c r="AZ12" s="320">
        <f t="shared" si="75"/>
        <v>4</v>
      </c>
      <c r="BA12" s="320" t="str">
        <f t="shared" si="51"/>
        <v/>
      </c>
      <c r="BB12" s="320" t="str">
        <f t="shared" si="52"/>
        <v/>
      </c>
      <c r="BC12" s="320" t="str">
        <f t="shared" si="53"/>
        <v/>
      </c>
      <c r="BD12" s="320" t="str">
        <f t="shared" si="54"/>
        <v/>
      </c>
      <c r="BE12" s="320" t="str">
        <f t="shared" si="55"/>
        <v/>
      </c>
      <c r="BF12" s="320" t="str">
        <f t="shared" si="56"/>
        <v/>
      </c>
      <c r="BG12" s="320" t="str">
        <f t="shared" si="57"/>
        <v/>
      </c>
      <c r="BH12" s="321"/>
      <c r="BI12" s="322"/>
      <c r="BJ12" s="323" t="str">
        <f t="shared" si="58"/>
        <v>P</v>
      </c>
      <c r="BK12" s="321"/>
      <c r="BL12" s="320" t="str">
        <f t="shared" si="59"/>
        <v>P</v>
      </c>
      <c r="BM12" s="320" t="str">
        <f t="shared" si="60"/>
        <v/>
      </c>
      <c r="BN12" s="320" t="str">
        <f t="shared" si="61"/>
        <v/>
      </c>
      <c r="BO12" s="320" t="str">
        <f t="shared" si="62"/>
        <v/>
      </c>
      <c r="BP12" s="320" t="str">
        <f t="shared" si="63"/>
        <v/>
      </c>
      <c r="BQ12" s="320" t="str">
        <f t="shared" si="64"/>
        <v/>
      </c>
      <c r="BR12" s="320" t="str">
        <f t="shared" si="65"/>
        <v/>
      </c>
      <c r="BS12" s="320" t="str">
        <f t="shared" si="66"/>
        <v/>
      </c>
      <c r="BT12" s="298"/>
      <c r="BU12" s="320">
        <f t="shared" si="11"/>
        <v>1</v>
      </c>
      <c r="BW12" s="320" t="str">
        <f t="shared" si="67"/>
        <v/>
      </c>
      <c r="BX12" s="320" t="b">
        <f t="shared" si="68"/>
        <v>0</v>
      </c>
      <c r="BY12" s="320" t="b">
        <f t="shared" si="69"/>
        <v>0</v>
      </c>
      <c r="BZ12" s="320" t="b">
        <f t="shared" si="70"/>
        <v>0</v>
      </c>
      <c r="CA12" s="320" t="b">
        <f t="shared" si="71"/>
        <v>0</v>
      </c>
      <c r="CB12" s="320" t="b">
        <f t="shared" si="72"/>
        <v>0</v>
      </c>
      <c r="CC12" s="320" t="b">
        <f t="shared" si="73"/>
        <v>0</v>
      </c>
      <c r="CD12" s="320" t="b">
        <f t="shared" si="74"/>
        <v>0</v>
      </c>
    </row>
    <row r="13" spans="1:82" s="295" customFormat="1" ht="24" customHeight="1">
      <c r="A13" s="751">
        <v>8</v>
      </c>
      <c r="B13" s="884" t="s">
        <v>842</v>
      </c>
      <c r="C13" s="884" t="s">
        <v>491</v>
      </c>
      <c r="D13" s="919" t="s">
        <v>879</v>
      </c>
      <c r="E13" s="921">
        <v>1</v>
      </c>
      <c r="F13" s="922">
        <v>4</v>
      </c>
      <c r="G13" s="923" t="s">
        <v>882</v>
      </c>
      <c r="H13" s="887" t="s">
        <v>833</v>
      </c>
      <c r="I13" s="924">
        <v>15</v>
      </c>
      <c r="J13" s="924">
        <v>20</v>
      </c>
      <c r="K13" s="923">
        <v>4</v>
      </c>
      <c r="L13" s="923" t="s">
        <v>833</v>
      </c>
      <c r="M13" s="749" t="s">
        <v>884</v>
      </c>
      <c r="N13" s="918">
        <v>6</v>
      </c>
      <c r="O13" s="293"/>
      <c r="P13" s="319" t="str">
        <f t="shared" si="20"/>
        <v>X</v>
      </c>
      <c r="Q13" s="320" t="str">
        <f t="shared" si="21"/>
        <v/>
      </c>
      <c r="R13" s="320" t="str">
        <f t="shared" si="22"/>
        <v/>
      </c>
      <c r="S13" s="320" t="str">
        <f t="shared" si="23"/>
        <v/>
      </c>
      <c r="T13" s="320" t="str">
        <f t="shared" si="24"/>
        <v/>
      </c>
      <c r="U13" s="320" t="str">
        <f t="shared" si="25"/>
        <v/>
      </c>
      <c r="V13" s="320" t="str">
        <f t="shared" si="26"/>
        <v/>
      </c>
      <c r="W13" s="320" t="str">
        <f t="shared" si="27"/>
        <v/>
      </c>
      <c r="X13" s="321"/>
      <c r="Y13" s="320">
        <f t="shared" si="76"/>
        <v>15</v>
      </c>
      <c r="Z13" s="320" t="str">
        <f t="shared" si="28"/>
        <v/>
      </c>
      <c r="AA13" s="320" t="str">
        <f t="shared" si="29"/>
        <v/>
      </c>
      <c r="AB13" s="320" t="str">
        <f t="shared" si="30"/>
        <v/>
      </c>
      <c r="AC13" s="320" t="str">
        <f t="shared" si="31"/>
        <v/>
      </c>
      <c r="AD13" s="320" t="str">
        <f t="shared" si="32"/>
        <v/>
      </c>
      <c r="AE13" s="320" t="str">
        <f t="shared" si="33"/>
        <v/>
      </c>
      <c r="AF13" s="320" t="str">
        <f t="shared" si="34"/>
        <v/>
      </c>
      <c r="AG13" s="321"/>
      <c r="AH13" s="320">
        <f t="shared" si="35"/>
        <v>20</v>
      </c>
      <c r="AI13" s="320" t="str">
        <f t="shared" si="36"/>
        <v/>
      </c>
      <c r="AJ13" s="320" t="str">
        <f t="shared" si="37"/>
        <v/>
      </c>
      <c r="AK13" s="320" t="str">
        <f t="shared" si="38"/>
        <v/>
      </c>
      <c r="AL13" s="320" t="str">
        <f t="shared" si="39"/>
        <v/>
      </c>
      <c r="AM13" s="320" t="str">
        <f t="shared" si="40"/>
        <v/>
      </c>
      <c r="AN13" s="320" t="str">
        <f t="shared" si="41"/>
        <v/>
      </c>
      <c r="AO13" s="320" t="str">
        <f t="shared" si="42"/>
        <v/>
      </c>
      <c r="AP13" s="321"/>
      <c r="AQ13" s="320" t="str">
        <f t="shared" si="43"/>
        <v/>
      </c>
      <c r="AR13" s="320" t="str">
        <f t="shared" si="44"/>
        <v/>
      </c>
      <c r="AS13" s="320" t="str">
        <f t="shared" si="45"/>
        <v/>
      </c>
      <c r="AT13" s="320" t="str">
        <f t="shared" si="46"/>
        <v/>
      </c>
      <c r="AU13" s="320" t="str">
        <f t="shared" si="47"/>
        <v/>
      </c>
      <c r="AV13" s="320" t="str">
        <f t="shared" si="48"/>
        <v/>
      </c>
      <c r="AW13" s="320" t="str">
        <f t="shared" si="49"/>
        <v/>
      </c>
      <c r="AX13" s="320" t="str">
        <f t="shared" si="50"/>
        <v/>
      </c>
      <c r="AY13" s="321"/>
      <c r="AZ13" s="320">
        <f t="shared" si="75"/>
        <v>4</v>
      </c>
      <c r="BA13" s="320" t="str">
        <f t="shared" si="51"/>
        <v/>
      </c>
      <c r="BB13" s="320" t="str">
        <f t="shared" si="52"/>
        <v/>
      </c>
      <c r="BC13" s="320" t="str">
        <f t="shared" si="53"/>
        <v/>
      </c>
      <c r="BD13" s="320" t="str">
        <f t="shared" si="54"/>
        <v/>
      </c>
      <c r="BE13" s="320" t="str">
        <f t="shared" si="55"/>
        <v/>
      </c>
      <c r="BF13" s="320" t="str">
        <f t="shared" si="56"/>
        <v/>
      </c>
      <c r="BG13" s="320" t="str">
        <f t="shared" si="57"/>
        <v/>
      </c>
      <c r="BH13" s="321"/>
      <c r="BI13" s="322"/>
      <c r="BJ13" s="323" t="str">
        <f t="shared" si="58"/>
        <v>P</v>
      </c>
      <c r="BK13" s="321"/>
      <c r="BL13" s="320" t="str">
        <f t="shared" si="59"/>
        <v>P</v>
      </c>
      <c r="BM13" s="320" t="str">
        <f t="shared" si="60"/>
        <v/>
      </c>
      <c r="BN13" s="320" t="str">
        <f t="shared" si="61"/>
        <v/>
      </c>
      <c r="BO13" s="320" t="str">
        <f t="shared" si="62"/>
        <v/>
      </c>
      <c r="BP13" s="320" t="str">
        <f t="shared" si="63"/>
        <v/>
      </c>
      <c r="BQ13" s="320" t="str">
        <f t="shared" si="64"/>
        <v/>
      </c>
      <c r="BR13" s="320" t="str">
        <f t="shared" si="65"/>
        <v/>
      </c>
      <c r="BS13" s="320" t="str">
        <f t="shared" si="66"/>
        <v/>
      </c>
      <c r="BT13" s="298"/>
      <c r="BU13" s="320">
        <f t="shared" si="11"/>
        <v>1</v>
      </c>
      <c r="BW13" s="320" t="str">
        <f t="shared" si="67"/>
        <v/>
      </c>
      <c r="BX13" s="320" t="b">
        <f t="shared" si="68"/>
        <v>0</v>
      </c>
      <c r="BY13" s="320" t="b">
        <f t="shared" si="69"/>
        <v>0</v>
      </c>
      <c r="BZ13" s="320" t="b">
        <f t="shared" si="70"/>
        <v>0</v>
      </c>
      <c r="CA13" s="320" t="b">
        <f t="shared" si="71"/>
        <v>0</v>
      </c>
      <c r="CB13" s="320" t="b">
        <f t="shared" si="72"/>
        <v>0</v>
      </c>
      <c r="CC13" s="320" t="b">
        <f t="shared" si="73"/>
        <v>0</v>
      </c>
      <c r="CD13" s="320" t="b">
        <f t="shared" si="74"/>
        <v>0</v>
      </c>
    </row>
    <row r="14" spans="1:82" s="295" customFormat="1" ht="24" customHeight="1">
      <c r="A14" s="751">
        <v>9</v>
      </c>
      <c r="B14" s="925" t="s">
        <v>843</v>
      </c>
      <c r="C14" s="925" t="s">
        <v>491</v>
      </c>
      <c r="D14" s="926" t="s">
        <v>879</v>
      </c>
      <c r="E14" s="927">
        <v>2</v>
      </c>
      <c r="F14" s="928">
        <v>5</v>
      </c>
      <c r="G14" s="929" t="s">
        <v>882</v>
      </c>
      <c r="H14" s="887" t="s">
        <v>833</v>
      </c>
      <c r="I14" s="930">
        <v>25</v>
      </c>
      <c r="J14" s="930">
        <v>25</v>
      </c>
      <c r="K14" s="929">
        <v>4</v>
      </c>
      <c r="L14" s="929" t="s">
        <v>833</v>
      </c>
      <c r="M14" s="749" t="s">
        <v>884</v>
      </c>
      <c r="N14" s="918">
        <v>6</v>
      </c>
      <c r="O14" s="293"/>
      <c r="P14" s="319" t="str">
        <f t="shared" si="20"/>
        <v>X</v>
      </c>
      <c r="Q14" s="320" t="str">
        <f t="shared" si="21"/>
        <v/>
      </c>
      <c r="R14" s="320" t="str">
        <f t="shared" si="22"/>
        <v/>
      </c>
      <c r="S14" s="320" t="str">
        <f t="shared" si="23"/>
        <v/>
      </c>
      <c r="T14" s="320" t="str">
        <f t="shared" si="24"/>
        <v/>
      </c>
      <c r="U14" s="320" t="str">
        <f t="shared" si="25"/>
        <v/>
      </c>
      <c r="V14" s="320" t="str">
        <f t="shared" si="26"/>
        <v/>
      </c>
      <c r="W14" s="320" t="str">
        <f t="shared" si="27"/>
        <v/>
      </c>
      <c r="X14" s="321"/>
      <c r="Y14" s="320">
        <f t="shared" si="76"/>
        <v>25</v>
      </c>
      <c r="Z14" s="320" t="str">
        <f t="shared" si="28"/>
        <v/>
      </c>
      <c r="AA14" s="320" t="str">
        <f t="shared" si="29"/>
        <v/>
      </c>
      <c r="AB14" s="320" t="str">
        <f t="shared" si="30"/>
        <v/>
      </c>
      <c r="AC14" s="320" t="str">
        <f t="shared" si="31"/>
        <v/>
      </c>
      <c r="AD14" s="320" t="str">
        <f t="shared" si="32"/>
        <v/>
      </c>
      <c r="AE14" s="320" t="str">
        <f t="shared" si="33"/>
        <v/>
      </c>
      <c r="AF14" s="320" t="str">
        <f t="shared" si="34"/>
        <v/>
      </c>
      <c r="AG14" s="321"/>
      <c r="AH14" s="320">
        <f t="shared" si="35"/>
        <v>25</v>
      </c>
      <c r="AI14" s="320" t="str">
        <f t="shared" si="36"/>
        <v/>
      </c>
      <c r="AJ14" s="320" t="str">
        <f t="shared" si="37"/>
        <v/>
      </c>
      <c r="AK14" s="320" t="str">
        <f t="shared" si="38"/>
        <v/>
      </c>
      <c r="AL14" s="320" t="str">
        <f t="shared" si="39"/>
        <v/>
      </c>
      <c r="AM14" s="320" t="str">
        <f t="shared" si="40"/>
        <v/>
      </c>
      <c r="AN14" s="320" t="str">
        <f t="shared" si="41"/>
        <v/>
      </c>
      <c r="AO14" s="320" t="str">
        <f t="shared" si="42"/>
        <v/>
      </c>
      <c r="AP14" s="321"/>
      <c r="AQ14" s="320" t="str">
        <f t="shared" si="43"/>
        <v/>
      </c>
      <c r="AR14" s="320" t="str">
        <f t="shared" si="44"/>
        <v/>
      </c>
      <c r="AS14" s="320" t="str">
        <f t="shared" si="45"/>
        <v/>
      </c>
      <c r="AT14" s="320" t="str">
        <f t="shared" si="46"/>
        <v/>
      </c>
      <c r="AU14" s="320" t="str">
        <f t="shared" si="47"/>
        <v/>
      </c>
      <c r="AV14" s="320" t="str">
        <f t="shared" si="48"/>
        <v/>
      </c>
      <c r="AW14" s="320" t="str">
        <f t="shared" si="49"/>
        <v/>
      </c>
      <c r="AX14" s="320" t="str">
        <f t="shared" si="50"/>
        <v/>
      </c>
      <c r="AY14" s="321"/>
      <c r="AZ14" s="320">
        <f t="shared" si="75"/>
        <v>4</v>
      </c>
      <c r="BA14" s="320" t="str">
        <f t="shared" si="51"/>
        <v/>
      </c>
      <c r="BB14" s="320" t="str">
        <f t="shared" si="52"/>
        <v/>
      </c>
      <c r="BC14" s="320" t="str">
        <f t="shared" si="53"/>
        <v/>
      </c>
      <c r="BD14" s="320" t="str">
        <f t="shared" si="54"/>
        <v/>
      </c>
      <c r="BE14" s="320" t="str">
        <f t="shared" si="55"/>
        <v/>
      </c>
      <c r="BF14" s="320" t="str">
        <f t="shared" si="56"/>
        <v/>
      </c>
      <c r="BG14" s="320" t="str">
        <f t="shared" si="57"/>
        <v/>
      </c>
      <c r="BH14" s="321"/>
      <c r="BI14" s="322"/>
      <c r="BJ14" s="323" t="str">
        <f t="shared" si="58"/>
        <v>P</v>
      </c>
      <c r="BK14" s="321"/>
      <c r="BL14" s="320" t="str">
        <f t="shared" si="59"/>
        <v>P</v>
      </c>
      <c r="BM14" s="320" t="str">
        <f t="shared" si="60"/>
        <v/>
      </c>
      <c r="BN14" s="320" t="str">
        <f t="shared" si="61"/>
        <v/>
      </c>
      <c r="BO14" s="320" t="str">
        <f t="shared" si="62"/>
        <v/>
      </c>
      <c r="BP14" s="320" t="str">
        <f t="shared" si="63"/>
        <v/>
      </c>
      <c r="BQ14" s="320" t="str">
        <f t="shared" si="64"/>
        <v/>
      </c>
      <c r="BR14" s="320" t="str">
        <f t="shared" si="65"/>
        <v/>
      </c>
      <c r="BS14" s="320" t="str">
        <f t="shared" si="66"/>
        <v/>
      </c>
      <c r="BT14" s="298"/>
      <c r="BU14" s="320">
        <f t="shared" si="11"/>
        <v>2</v>
      </c>
      <c r="BW14" s="320" t="str">
        <f t="shared" si="67"/>
        <v/>
      </c>
      <c r="BX14" s="320" t="b">
        <f t="shared" si="68"/>
        <v>0</v>
      </c>
      <c r="BY14" s="320" t="b">
        <f t="shared" si="69"/>
        <v>0</v>
      </c>
      <c r="BZ14" s="320" t="b">
        <f t="shared" si="70"/>
        <v>0</v>
      </c>
      <c r="CA14" s="320" t="b">
        <f t="shared" si="71"/>
        <v>0</v>
      </c>
      <c r="CB14" s="320" t="b">
        <f t="shared" si="72"/>
        <v>0</v>
      </c>
      <c r="CC14" s="320" t="b">
        <f t="shared" si="73"/>
        <v>0</v>
      </c>
      <c r="CD14" s="320" t="b">
        <f t="shared" si="74"/>
        <v>0</v>
      </c>
    </row>
    <row r="15" spans="1:82" s="295" customFormat="1" ht="24" customHeight="1">
      <c r="A15" s="751">
        <v>10</v>
      </c>
      <c r="B15" s="884" t="s">
        <v>844</v>
      </c>
      <c r="C15" s="884" t="s">
        <v>491</v>
      </c>
      <c r="D15" s="919" t="s">
        <v>879</v>
      </c>
      <c r="E15" s="921">
        <v>1</v>
      </c>
      <c r="F15" s="922">
        <v>3</v>
      </c>
      <c r="G15" s="923" t="s">
        <v>882</v>
      </c>
      <c r="H15" s="887" t="s">
        <v>833</v>
      </c>
      <c r="I15" s="924">
        <v>23</v>
      </c>
      <c r="J15" s="924">
        <v>23</v>
      </c>
      <c r="K15" s="923">
        <v>4</v>
      </c>
      <c r="L15" s="923" t="s">
        <v>833</v>
      </c>
      <c r="M15" s="749" t="s">
        <v>884</v>
      </c>
      <c r="N15" s="918">
        <v>6</v>
      </c>
      <c r="O15" s="293"/>
      <c r="P15" s="319" t="str">
        <f t="shared" si="20"/>
        <v>X</v>
      </c>
      <c r="Q15" s="320" t="str">
        <f t="shared" si="21"/>
        <v/>
      </c>
      <c r="R15" s="320" t="str">
        <f t="shared" si="22"/>
        <v/>
      </c>
      <c r="S15" s="320" t="str">
        <f t="shared" si="23"/>
        <v/>
      </c>
      <c r="T15" s="320" t="str">
        <f t="shared" si="24"/>
        <v/>
      </c>
      <c r="U15" s="320" t="str">
        <f t="shared" si="25"/>
        <v/>
      </c>
      <c r="V15" s="320" t="str">
        <f t="shared" si="26"/>
        <v/>
      </c>
      <c r="W15" s="320" t="str">
        <f t="shared" si="27"/>
        <v/>
      </c>
      <c r="X15" s="321"/>
      <c r="Y15" s="320">
        <f t="shared" si="76"/>
        <v>23</v>
      </c>
      <c r="Z15" s="320" t="str">
        <f t="shared" si="28"/>
        <v/>
      </c>
      <c r="AA15" s="320" t="str">
        <f t="shared" si="29"/>
        <v/>
      </c>
      <c r="AB15" s="320" t="str">
        <f t="shared" si="30"/>
        <v/>
      </c>
      <c r="AC15" s="320" t="str">
        <f t="shared" si="31"/>
        <v/>
      </c>
      <c r="AD15" s="320" t="str">
        <f t="shared" si="32"/>
        <v/>
      </c>
      <c r="AE15" s="320" t="str">
        <f t="shared" si="33"/>
        <v/>
      </c>
      <c r="AF15" s="320" t="str">
        <f t="shared" si="34"/>
        <v/>
      </c>
      <c r="AG15" s="321"/>
      <c r="AH15" s="320">
        <f t="shared" si="35"/>
        <v>23</v>
      </c>
      <c r="AI15" s="320" t="str">
        <f t="shared" si="36"/>
        <v/>
      </c>
      <c r="AJ15" s="320" t="str">
        <f t="shared" si="37"/>
        <v/>
      </c>
      <c r="AK15" s="320" t="str">
        <f t="shared" si="38"/>
        <v/>
      </c>
      <c r="AL15" s="320" t="str">
        <f t="shared" si="39"/>
        <v/>
      </c>
      <c r="AM15" s="320" t="str">
        <f t="shared" si="40"/>
        <v/>
      </c>
      <c r="AN15" s="320" t="str">
        <f t="shared" si="41"/>
        <v/>
      </c>
      <c r="AO15" s="320" t="str">
        <f t="shared" si="42"/>
        <v/>
      </c>
      <c r="AP15" s="321"/>
      <c r="AQ15" s="320" t="str">
        <f t="shared" si="43"/>
        <v/>
      </c>
      <c r="AR15" s="320" t="str">
        <f t="shared" si="44"/>
        <v/>
      </c>
      <c r="AS15" s="320" t="str">
        <f t="shared" si="45"/>
        <v/>
      </c>
      <c r="AT15" s="320" t="str">
        <f t="shared" si="46"/>
        <v/>
      </c>
      <c r="AU15" s="320" t="str">
        <f t="shared" si="47"/>
        <v/>
      </c>
      <c r="AV15" s="320" t="str">
        <f t="shared" si="48"/>
        <v/>
      </c>
      <c r="AW15" s="320" t="str">
        <f t="shared" si="49"/>
        <v/>
      </c>
      <c r="AX15" s="320" t="str">
        <f t="shared" si="50"/>
        <v/>
      </c>
      <c r="AY15" s="321"/>
      <c r="AZ15" s="320">
        <f t="shared" si="75"/>
        <v>4</v>
      </c>
      <c r="BA15" s="320" t="str">
        <f t="shared" si="51"/>
        <v/>
      </c>
      <c r="BB15" s="320" t="str">
        <f t="shared" si="52"/>
        <v/>
      </c>
      <c r="BC15" s="320" t="str">
        <f t="shared" si="53"/>
        <v/>
      </c>
      <c r="BD15" s="320" t="str">
        <f t="shared" si="54"/>
        <v/>
      </c>
      <c r="BE15" s="320" t="str">
        <f t="shared" si="55"/>
        <v/>
      </c>
      <c r="BF15" s="320" t="str">
        <f t="shared" si="56"/>
        <v/>
      </c>
      <c r="BG15" s="320" t="str">
        <f t="shared" si="57"/>
        <v/>
      </c>
      <c r="BH15" s="321"/>
      <c r="BI15" s="322"/>
      <c r="BJ15" s="323" t="str">
        <f t="shared" si="58"/>
        <v>P</v>
      </c>
      <c r="BK15" s="321"/>
      <c r="BL15" s="320" t="str">
        <f t="shared" si="59"/>
        <v>P</v>
      </c>
      <c r="BM15" s="320" t="str">
        <f t="shared" si="60"/>
        <v/>
      </c>
      <c r="BN15" s="320" t="str">
        <f t="shared" si="61"/>
        <v/>
      </c>
      <c r="BO15" s="320" t="str">
        <f t="shared" si="62"/>
        <v/>
      </c>
      <c r="BP15" s="320" t="str">
        <f t="shared" si="63"/>
        <v/>
      </c>
      <c r="BQ15" s="320" t="str">
        <f t="shared" si="64"/>
        <v/>
      </c>
      <c r="BR15" s="320" t="str">
        <f t="shared" si="65"/>
        <v/>
      </c>
      <c r="BS15" s="320" t="str">
        <f t="shared" si="66"/>
        <v/>
      </c>
      <c r="BT15" s="298"/>
      <c r="BU15" s="320">
        <f t="shared" si="11"/>
        <v>1</v>
      </c>
      <c r="BW15" s="320" t="str">
        <f t="shared" si="67"/>
        <v/>
      </c>
      <c r="BX15" s="320" t="b">
        <f t="shared" si="68"/>
        <v>0</v>
      </c>
      <c r="BY15" s="320" t="b">
        <f t="shared" si="69"/>
        <v>0</v>
      </c>
      <c r="BZ15" s="320" t="b">
        <f t="shared" si="70"/>
        <v>0</v>
      </c>
      <c r="CA15" s="320" t="b">
        <f t="shared" si="71"/>
        <v>0</v>
      </c>
      <c r="CB15" s="320" t="b">
        <f t="shared" si="72"/>
        <v>0</v>
      </c>
      <c r="CC15" s="320" t="b">
        <f t="shared" si="73"/>
        <v>0</v>
      </c>
      <c r="CD15" s="320" t="b">
        <f t="shared" si="74"/>
        <v>0</v>
      </c>
    </row>
    <row r="16" spans="1:82" s="295" customFormat="1" ht="24" customHeight="1">
      <c r="A16" s="751">
        <v>11</v>
      </c>
      <c r="B16" s="884" t="s">
        <v>845</v>
      </c>
      <c r="C16" s="884" t="s">
        <v>491</v>
      </c>
      <c r="D16" s="919" t="s">
        <v>879</v>
      </c>
      <c r="E16" s="921">
        <v>1</v>
      </c>
      <c r="F16" s="922">
        <v>3</v>
      </c>
      <c r="G16" s="923" t="s">
        <v>882</v>
      </c>
      <c r="H16" s="887" t="s">
        <v>833</v>
      </c>
      <c r="I16" s="924">
        <v>15</v>
      </c>
      <c r="J16" s="924">
        <v>15</v>
      </c>
      <c r="K16" s="923">
        <v>4</v>
      </c>
      <c r="L16" s="923" t="s">
        <v>833</v>
      </c>
      <c r="M16" s="749" t="s">
        <v>884</v>
      </c>
      <c r="N16" s="918">
        <v>6</v>
      </c>
      <c r="O16" s="293"/>
      <c r="P16" s="319" t="str">
        <f t="shared" si="20"/>
        <v>X</v>
      </c>
      <c r="Q16" s="320" t="str">
        <f t="shared" si="21"/>
        <v/>
      </c>
      <c r="R16" s="320" t="str">
        <f t="shared" si="22"/>
        <v/>
      </c>
      <c r="S16" s="320" t="str">
        <f t="shared" si="23"/>
        <v/>
      </c>
      <c r="T16" s="320" t="str">
        <f t="shared" si="24"/>
        <v/>
      </c>
      <c r="U16" s="320" t="str">
        <f t="shared" si="25"/>
        <v/>
      </c>
      <c r="V16" s="320" t="str">
        <f t="shared" si="26"/>
        <v/>
      </c>
      <c r="W16" s="320" t="str">
        <f t="shared" si="27"/>
        <v/>
      </c>
      <c r="X16" s="321"/>
      <c r="Y16" s="320">
        <f t="shared" si="76"/>
        <v>15</v>
      </c>
      <c r="Z16" s="320" t="str">
        <f t="shared" si="28"/>
        <v/>
      </c>
      <c r="AA16" s="320" t="str">
        <f t="shared" si="29"/>
        <v/>
      </c>
      <c r="AB16" s="320" t="str">
        <f t="shared" si="30"/>
        <v/>
      </c>
      <c r="AC16" s="320" t="str">
        <f t="shared" si="31"/>
        <v/>
      </c>
      <c r="AD16" s="320" t="str">
        <f t="shared" si="32"/>
        <v/>
      </c>
      <c r="AE16" s="320" t="str">
        <f t="shared" si="33"/>
        <v/>
      </c>
      <c r="AF16" s="320" t="str">
        <f t="shared" si="34"/>
        <v/>
      </c>
      <c r="AG16" s="321"/>
      <c r="AH16" s="320">
        <f t="shared" si="35"/>
        <v>15</v>
      </c>
      <c r="AI16" s="320" t="str">
        <f t="shared" si="36"/>
        <v/>
      </c>
      <c r="AJ16" s="320" t="str">
        <f t="shared" si="37"/>
        <v/>
      </c>
      <c r="AK16" s="320" t="str">
        <f t="shared" si="38"/>
        <v/>
      </c>
      <c r="AL16" s="320" t="str">
        <f t="shared" si="39"/>
        <v/>
      </c>
      <c r="AM16" s="320" t="str">
        <f t="shared" si="40"/>
        <v/>
      </c>
      <c r="AN16" s="320" t="str">
        <f t="shared" si="41"/>
        <v/>
      </c>
      <c r="AO16" s="320" t="str">
        <f t="shared" si="42"/>
        <v/>
      </c>
      <c r="AP16" s="321"/>
      <c r="AQ16" s="320" t="str">
        <f t="shared" si="43"/>
        <v/>
      </c>
      <c r="AR16" s="320" t="str">
        <f t="shared" si="44"/>
        <v/>
      </c>
      <c r="AS16" s="320" t="str">
        <f t="shared" si="45"/>
        <v/>
      </c>
      <c r="AT16" s="320" t="str">
        <f t="shared" si="46"/>
        <v/>
      </c>
      <c r="AU16" s="320" t="str">
        <f t="shared" si="47"/>
        <v/>
      </c>
      <c r="AV16" s="320" t="str">
        <f t="shared" si="48"/>
        <v/>
      </c>
      <c r="AW16" s="320" t="str">
        <f t="shared" si="49"/>
        <v/>
      </c>
      <c r="AX16" s="320" t="str">
        <f t="shared" si="50"/>
        <v/>
      </c>
      <c r="AY16" s="321"/>
      <c r="AZ16" s="320">
        <f t="shared" si="75"/>
        <v>4</v>
      </c>
      <c r="BA16" s="320" t="str">
        <f t="shared" si="51"/>
        <v/>
      </c>
      <c r="BB16" s="320" t="str">
        <f t="shared" si="52"/>
        <v/>
      </c>
      <c r="BC16" s="320" t="str">
        <f t="shared" si="53"/>
        <v/>
      </c>
      <c r="BD16" s="320" t="str">
        <f t="shared" si="54"/>
        <v/>
      </c>
      <c r="BE16" s="320" t="str">
        <f t="shared" si="55"/>
        <v/>
      </c>
      <c r="BF16" s="320" t="str">
        <f t="shared" si="56"/>
        <v/>
      </c>
      <c r="BG16" s="320" t="str">
        <f t="shared" si="57"/>
        <v/>
      </c>
      <c r="BH16" s="321"/>
      <c r="BI16" s="322"/>
      <c r="BJ16" s="323" t="str">
        <f t="shared" si="58"/>
        <v>P</v>
      </c>
      <c r="BK16" s="321"/>
      <c r="BL16" s="320" t="str">
        <f t="shared" si="59"/>
        <v>P</v>
      </c>
      <c r="BM16" s="320" t="str">
        <f t="shared" si="60"/>
        <v/>
      </c>
      <c r="BN16" s="320" t="str">
        <f t="shared" si="61"/>
        <v/>
      </c>
      <c r="BO16" s="320" t="str">
        <f t="shared" si="62"/>
        <v/>
      </c>
      <c r="BP16" s="320" t="str">
        <f t="shared" si="63"/>
        <v/>
      </c>
      <c r="BQ16" s="320" t="str">
        <f t="shared" si="64"/>
        <v/>
      </c>
      <c r="BR16" s="320" t="str">
        <f t="shared" si="65"/>
        <v/>
      </c>
      <c r="BS16" s="320" t="str">
        <f t="shared" si="66"/>
        <v/>
      </c>
      <c r="BT16" s="298"/>
      <c r="BU16" s="320">
        <f t="shared" si="11"/>
        <v>1</v>
      </c>
      <c r="BW16" s="320" t="str">
        <f t="shared" si="67"/>
        <v/>
      </c>
      <c r="BX16" s="320" t="b">
        <f t="shared" si="68"/>
        <v>0</v>
      </c>
      <c r="BY16" s="320" t="b">
        <f t="shared" si="69"/>
        <v>0</v>
      </c>
      <c r="BZ16" s="320" t="b">
        <f t="shared" si="70"/>
        <v>0</v>
      </c>
      <c r="CA16" s="320" t="b">
        <f t="shared" si="71"/>
        <v>0</v>
      </c>
      <c r="CB16" s="320" t="b">
        <f t="shared" si="72"/>
        <v>0</v>
      </c>
      <c r="CC16" s="320" t="b">
        <f t="shared" si="73"/>
        <v>0</v>
      </c>
      <c r="CD16" s="320" t="b">
        <f t="shared" si="74"/>
        <v>0</v>
      </c>
    </row>
    <row r="17" spans="1:82" s="295" customFormat="1" ht="24" customHeight="1">
      <c r="A17" s="751">
        <v>12</v>
      </c>
      <c r="B17" s="884" t="s">
        <v>846</v>
      </c>
      <c r="C17" s="884" t="s">
        <v>491</v>
      </c>
      <c r="D17" s="919" t="s">
        <v>879</v>
      </c>
      <c r="E17" s="921">
        <v>1</v>
      </c>
      <c r="F17" s="922">
        <v>15</v>
      </c>
      <c r="G17" s="923" t="s">
        <v>882</v>
      </c>
      <c r="H17" s="887" t="s">
        <v>833</v>
      </c>
      <c r="I17" s="924">
        <v>25</v>
      </c>
      <c r="J17" s="924">
        <v>25</v>
      </c>
      <c r="K17" s="923">
        <v>4</v>
      </c>
      <c r="L17" s="923" t="s">
        <v>833</v>
      </c>
      <c r="M17" s="749" t="s">
        <v>884</v>
      </c>
      <c r="N17" s="918">
        <v>6</v>
      </c>
      <c r="O17" s="293"/>
      <c r="P17" s="319" t="str">
        <f t="shared" si="20"/>
        <v/>
      </c>
      <c r="Q17" s="320" t="str">
        <f t="shared" si="21"/>
        <v>X</v>
      </c>
      <c r="R17" s="320" t="str">
        <f t="shared" si="22"/>
        <v/>
      </c>
      <c r="S17" s="320" t="str">
        <f t="shared" si="23"/>
        <v/>
      </c>
      <c r="T17" s="320" t="str">
        <f t="shared" si="24"/>
        <v/>
      </c>
      <c r="U17" s="320" t="str">
        <f t="shared" si="25"/>
        <v/>
      </c>
      <c r="V17" s="320" t="str">
        <f t="shared" si="26"/>
        <v/>
      </c>
      <c r="W17" s="320" t="str">
        <f t="shared" si="27"/>
        <v/>
      </c>
      <c r="X17" s="321"/>
      <c r="Y17" s="320" t="str">
        <f t="shared" si="76"/>
        <v/>
      </c>
      <c r="Z17" s="320">
        <f t="shared" si="28"/>
        <v>25</v>
      </c>
      <c r="AA17" s="320" t="str">
        <f t="shared" si="29"/>
        <v/>
      </c>
      <c r="AB17" s="320" t="str">
        <f t="shared" si="30"/>
        <v/>
      </c>
      <c r="AC17" s="320" t="str">
        <f t="shared" si="31"/>
        <v/>
      </c>
      <c r="AD17" s="320" t="str">
        <f t="shared" si="32"/>
        <v/>
      </c>
      <c r="AE17" s="320" t="str">
        <f t="shared" si="33"/>
        <v/>
      </c>
      <c r="AF17" s="320" t="str">
        <f t="shared" si="34"/>
        <v/>
      </c>
      <c r="AG17" s="321"/>
      <c r="AH17" s="320" t="str">
        <f t="shared" si="35"/>
        <v/>
      </c>
      <c r="AI17" s="320">
        <f t="shared" si="36"/>
        <v>25</v>
      </c>
      <c r="AJ17" s="320" t="str">
        <f t="shared" si="37"/>
        <v/>
      </c>
      <c r="AK17" s="320" t="str">
        <f t="shared" si="38"/>
        <v/>
      </c>
      <c r="AL17" s="320" t="str">
        <f t="shared" si="39"/>
        <v/>
      </c>
      <c r="AM17" s="320" t="str">
        <f t="shared" si="40"/>
        <v/>
      </c>
      <c r="AN17" s="320" t="str">
        <f t="shared" si="41"/>
        <v/>
      </c>
      <c r="AO17" s="320" t="str">
        <f t="shared" si="42"/>
        <v/>
      </c>
      <c r="AP17" s="321"/>
      <c r="AQ17" s="320" t="str">
        <f t="shared" si="43"/>
        <v/>
      </c>
      <c r="AR17" s="320" t="str">
        <f t="shared" si="44"/>
        <v/>
      </c>
      <c r="AS17" s="320" t="str">
        <f t="shared" si="45"/>
        <v/>
      </c>
      <c r="AT17" s="320" t="str">
        <f t="shared" si="46"/>
        <v/>
      </c>
      <c r="AU17" s="320" t="str">
        <f t="shared" si="47"/>
        <v/>
      </c>
      <c r="AV17" s="320" t="str">
        <f t="shared" si="48"/>
        <v/>
      </c>
      <c r="AW17" s="320" t="str">
        <f t="shared" si="49"/>
        <v/>
      </c>
      <c r="AX17" s="320" t="str">
        <f t="shared" si="50"/>
        <v/>
      </c>
      <c r="AY17" s="321"/>
      <c r="AZ17" s="320" t="str">
        <f t="shared" si="75"/>
        <v/>
      </c>
      <c r="BA17" s="320">
        <f t="shared" si="51"/>
        <v>4</v>
      </c>
      <c r="BB17" s="320" t="str">
        <f t="shared" si="52"/>
        <v/>
      </c>
      <c r="BC17" s="320" t="str">
        <f t="shared" si="53"/>
        <v/>
      </c>
      <c r="BD17" s="320" t="str">
        <f t="shared" si="54"/>
        <v/>
      </c>
      <c r="BE17" s="320" t="str">
        <f t="shared" si="55"/>
        <v/>
      </c>
      <c r="BF17" s="320" t="str">
        <f t="shared" si="56"/>
        <v/>
      </c>
      <c r="BG17" s="320" t="str">
        <f t="shared" si="57"/>
        <v/>
      </c>
      <c r="BH17" s="321"/>
      <c r="BI17" s="322"/>
      <c r="BJ17" s="323" t="str">
        <f t="shared" si="58"/>
        <v>P</v>
      </c>
      <c r="BK17" s="321"/>
      <c r="BL17" s="320" t="str">
        <f t="shared" si="59"/>
        <v/>
      </c>
      <c r="BM17" s="320" t="str">
        <f t="shared" si="60"/>
        <v>P</v>
      </c>
      <c r="BN17" s="320" t="str">
        <f t="shared" si="61"/>
        <v/>
      </c>
      <c r="BO17" s="320" t="str">
        <f t="shared" si="62"/>
        <v/>
      </c>
      <c r="BP17" s="320" t="str">
        <f t="shared" si="63"/>
        <v/>
      </c>
      <c r="BQ17" s="320" t="str">
        <f t="shared" si="64"/>
        <v/>
      </c>
      <c r="BR17" s="320" t="str">
        <f t="shared" si="65"/>
        <v/>
      </c>
      <c r="BS17" s="320" t="str">
        <f t="shared" si="66"/>
        <v/>
      </c>
      <c r="BT17" s="298"/>
      <c r="BU17" s="320">
        <f t="shared" si="11"/>
        <v>1</v>
      </c>
      <c r="BW17" s="320" t="str">
        <f t="shared" si="67"/>
        <v/>
      </c>
      <c r="BX17" s="320" t="b">
        <f t="shared" si="68"/>
        <v>0</v>
      </c>
      <c r="BY17" s="320" t="b">
        <f t="shared" si="69"/>
        <v>0</v>
      </c>
      <c r="BZ17" s="320" t="b">
        <f t="shared" si="70"/>
        <v>0</v>
      </c>
      <c r="CA17" s="320" t="b">
        <f t="shared" si="71"/>
        <v>0</v>
      </c>
      <c r="CB17" s="320" t="b">
        <f t="shared" si="72"/>
        <v>0</v>
      </c>
      <c r="CC17" s="320" t="b">
        <f t="shared" si="73"/>
        <v>0</v>
      </c>
      <c r="CD17" s="320" t="b">
        <f t="shared" si="74"/>
        <v>0</v>
      </c>
    </row>
    <row r="18" spans="1:82" s="295" customFormat="1" ht="24" customHeight="1">
      <c r="A18" s="751">
        <v>13</v>
      </c>
      <c r="B18" s="884" t="s">
        <v>847</v>
      </c>
      <c r="C18" s="884" t="s">
        <v>491</v>
      </c>
      <c r="D18" s="919" t="s">
        <v>879</v>
      </c>
      <c r="E18" s="921">
        <v>2</v>
      </c>
      <c r="F18" s="922">
        <v>6</v>
      </c>
      <c r="G18" s="923" t="s">
        <v>882</v>
      </c>
      <c r="H18" s="887" t="s">
        <v>833</v>
      </c>
      <c r="I18" s="924">
        <v>6</v>
      </c>
      <c r="J18" s="924">
        <v>6</v>
      </c>
      <c r="K18" s="923">
        <v>4</v>
      </c>
      <c r="L18" s="923" t="s">
        <v>833</v>
      </c>
      <c r="M18" s="749" t="s">
        <v>884</v>
      </c>
      <c r="N18" s="918">
        <v>6</v>
      </c>
      <c r="O18" s="293"/>
      <c r="P18" s="319" t="str">
        <f t="shared" si="20"/>
        <v>X</v>
      </c>
      <c r="Q18" s="320" t="str">
        <f t="shared" si="21"/>
        <v/>
      </c>
      <c r="R18" s="320" t="str">
        <f t="shared" si="22"/>
        <v/>
      </c>
      <c r="S18" s="320" t="str">
        <f t="shared" si="23"/>
        <v/>
      </c>
      <c r="T18" s="320" t="str">
        <f t="shared" si="24"/>
        <v/>
      </c>
      <c r="U18" s="320" t="str">
        <f t="shared" si="25"/>
        <v/>
      </c>
      <c r="V18" s="320" t="str">
        <f t="shared" si="26"/>
        <v/>
      </c>
      <c r="W18" s="320" t="str">
        <f t="shared" si="27"/>
        <v/>
      </c>
      <c r="X18" s="321"/>
      <c r="Y18" s="320">
        <f t="shared" si="76"/>
        <v>6</v>
      </c>
      <c r="Z18" s="320" t="str">
        <f t="shared" si="28"/>
        <v/>
      </c>
      <c r="AA18" s="320" t="str">
        <f t="shared" si="29"/>
        <v/>
      </c>
      <c r="AB18" s="320" t="str">
        <f t="shared" si="30"/>
        <v/>
      </c>
      <c r="AC18" s="320" t="str">
        <f t="shared" si="31"/>
        <v/>
      </c>
      <c r="AD18" s="320" t="str">
        <f t="shared" si="32"/>
        <v/>
      </c>
      <c r="AE18" s="320" t="str">
        <f t="shared" si="33"/>
        <v/>
      </c>
      <c r="AF18" s="320" t="str">
        <f t="shared" si="34"/>
        <v/>
      </c>
      <c r="AG18" s="321"/>
      <c r="AH18" s="320">
        <f t="shared" si="35"/>
        <v>6</v>
      </c>
      <c r="AI18" s="320" t="str">
        <f t="shared" si="36"/>
        <v/>
      </c>
      <c r="AJ18" s="320" t="str">
        <f t="shared" si="37"/>
        <v/>
      </c>
      <c r="AK18" s="320" t="str">
        <f t="shared" si="38"/>
        <v/>
      </c>
      <c r="AL18" s="320" t="str">
        <f t="shared" si="39"/>
        <v/>
      </c>
      <c r="AM18" s="320" t="str">
        <f t="shared" si="40"/>
        <v/>
      </c>
      <c r="AN18" s="320" t="str">
        <f t="shared" si="41"/>
        <v/>
      </c>
      <c r="AO18" s="320" t="str">
        <f t="shared" si="42"/>
        <v/>
      </c>
      <c r="AP18" s="321"/>
      <c r="AQ18" s="320" t="str">
        <f t="shared" si="43"/>
        <v/>
      </c>
      <c r="AR18" s="320" t="str">
        <f t="shared" si="44"/>
        <v/>
      </c>
      <c r="AS18" s="320" t="str">
        <f t="shared" si="45"/>
        <v/>
      </c>
      <c r="AT18" s="320" t="str">
        <f t="shared" si="46"/>
        <v/>
      </c>
      <c r="AU18" s="320" t="str">
        <f t="shared" si="47"/>
        <v/>
      </c>
      <c r="AV18" s="320" t="str">
        <f t="shared" si="48"/>
        <v/>
      </c>
      <c r="AW18" s="320" t="str">
        <f t="shared" si="49"/>
        <v/>
      </c>
      <c r="AX18" s="320" t="str">
        <f t="shared" si="50"/>
        <v/>
      </c>
      <c r="AY18" s="321"/>
      <c r="AZ18" s="320">
        <f t="shared" si="75"/>
        <v>4</v>
      </c>
      <c r="BA18" s="320" t="str">
        <f t="shared" si="51"/>
        <v/>
      </c>
      <c r="BB18" s="320" t="str">
        <f t="shared" si="52"/>
        <v/>
      </c>
      <c r="BC18" s="320" t="str">
        <f t="shared" si="53"/>
        <v/>
      </c>
      <c r="BD18" s="320" t="str">
        <f t="shared" si="54"/>
        <v/>
      </c>
      <c r="BE18" s="320" t="str">
        <f t="shared" si="55"/>
        <v/>
      </c>
      <c r="BF18" s="320" t="str">
        <f t="shared" si="56"/>
        <v/>
      </c>
      <c r="BG18" s="320" t="str">
        <f t="shared" si="57"/>
        <v/>
      </c>
      <c r="BH18" s="321"/>
      <c r="BI18" s="322"/>
      <c r="BJ18" s="323" t="str">
        <f t="shared" si="58"/>
        <v>P</v>
      </c>
      <c r="BK18" s="321"/>
      <c r="BL18" s="320" t="str">
        <f t="shared" si="59"/>
        <v>P</v>
      </c>
      <c r="BM18" s="320" t="str">
        <f t="shared" si="60"/>
        <v/>
      </c>
      <c r="BN18" s="320" t="str">
        <f t="shared" si="61"/>
        <v/>
      </c>
      <c r="BO18" s="320" t="str">
        <f t="shared" si="62"/>
        <v/>
      </c>
      <c r="BP18" s="320" t="str">
        <f t="shared" si="63"/>
        <v/>
      </c>
      <c r="BQ18" s="320" t="str">
        <f t="shared" si="64"/>
        <v/>
      </c>
      <c r="BR18" s="320" t="str">
        <f t="shared" si="65"/>
        <v/>
      </c>
      <c r="BS18" s="320" t="str">
        <f t="shared" si="66"/>
        <v/>
      </c>
      <c r="BT18" s="298"/>
      <c r="BU18" s="320">
        <f t="shared" si="11"/>
        <v>2</v>
      </c>
      <c r="BW18" s="320" t="str">
        <f t="shared" si="67"/>
        <v/>
      </c>
      <c r="BX18" s="320" t="b">
        <f t="shared" si="68"/>
        <v>0</v>
      </c>
      <c r="BY18" s="320" t="b">
        <f t="shared" si="69"/>
        <v>0</v>
      </c>
      <c r="BZ18" s="320" t="b">
        <f t="shared" si="70"/>
        <v>0</v>
      </c>
      <c r="CA18" s="320" t="b">
        <f t="shared" si="71"/>
        <v>0</v>
      </c>
      <c r="CB18" s="320" t="b">
        <f t="shared" si="72"/>
        <v>0</v>
      </c>
      <c r="CC18" s="320" t="b">
        <f t="shared" si="73"/>
        <v>0</v>
      </c>
      <c r="CD18" s="320" t="b">
        <f t="shared" si="74"/>
        <v>0</v>
      </c>
    </row>
    <row r="19" spans="1:82" s="295" customFormat="1" ht="24" customHeight="1">
      <c r="A19" s="751">
        <v>14</v>
      </c>
      <c r="B19" s="884" t="s">
        <v>848</v>
      </c>
      <c r="C19" s="884" t="s">
        <v>491</v>
      </c>
      <c r="D19" s="919" t="s">
        <v>879</v>
      </c>
      <c r="E19" s="921">
        <v>1</v>
      </c>
      <c r="F19" s="922">
        <v>6</v>
      </c>
      <c r="G19" s="923" t="s">
        <v>882</v>
      </c>
      <c r="H19" s="887" t="s">
        <v>833</v>
      </c>
      <c r="I19" s="924">
        <v>17</v>
      </c>
      <c r="J19" s="924">
        <v>17</v>
      </c>
      <c r="K19" s="923">
        <v>4</v>
      </c>
      <c r="L19" s="923" t="s">
        <v>833</v>
      </c>
      <c r="M19" s="749" t="s">
        <v>884</v>
      </c>
      <c r="N19" s="918">
        <v>6</v>
      </c>
      <c r="O19" s="293"/>
      <c r="P19" s="319" t="str">
        <f t="shared" si="20"/>
        <v>X</v>
      </c>
      <c r="Q19" s="320" t="str">
        <f t="shared" si="21"/>
        <v/>
      </c>
      <c r="R19" s="320" t="str">
        <f t="shared" si="22"/>
        <v/>
      </c>
      <c r="S19" s="320" t="str">
        <f t="shared" si="23"/>
        <v/>
      </c>
      <c r="T19" s="320" t="str">
        <f t="shared" si="24"/>
        <v/>
      </c>
      <c r="U19" s="320" t="str">
        <f t="shared" si="25"/>
        <v/>
      </c>
      <c r="V19" s="320" t="str">
        <f t="shared" si="26"/>
        <v/>
      </c>
      <c r="W19" s="320" t="str">
        <f t="shared" si="27"/>
        <v/>
      </c>
      <c r="X19" s="321"/>
      <c r="Y19" s="320">
        <f t="shared" si="76"/>
        <v>17</v>
      </c>
      <c r="Z19" s="320" t="str">
        <f t="shared" si="28"/>
        <v/>
      </c>
      <c r="AA19" s="320" t="str">
        <f t="shared" si="29"/>
        <v/>
      </c>
      <c r="AB19" s="320" t="str">
        <f t="shared" si="30"/>
        <v/>
      </c>
      <c r="AC19" s="320" t="str">
        <f t="shared" si="31"/>
        <v/>
      </c>
      <c r="AD19" s="320" t="str">
        <f t="shared" si="32"/>
        <v/>
      </c>
      <c r="AE19" s="320" t="str">
        <f t="shared" si="33"/>
        <v/>
      </c>
      <c r="AF19" s="320" t="str">
        <f t="shared" si="34"/>
        <v/>
      </c>
      <c r="AG19" s="321"/>
      <c r="AH19" s="320">
        <f t="shared" si="35"/>
        <v>17</v>
      </c>
      <c r="AI19" s="320" t="str">
        <f t="shared" si="36"/>
        <v/>
      </c>
      <c r="AJ19" s="320" t="str">
        <f t="shared" si="37"/>
        <v/>
      </c>
      <c r="AK19" s="320" t="str">
        <f t="shared" si="38"/>
        <v/>
      </c>
      <c r="AL19" s="320" t="str">
        <f t="shared" si="39"/>
        <v/>
      </c>
      <c r="AM19" s="320" t="str">
        <f t="shared" si="40"/>
        <v/>
      </c>
      <c r="AN19" s="320" t="str">
        <f t="shared" si="41"/>
        <v/>
      </c>
      <c r="AO19" s="320" t="str">
        <f t="shared" si="42"/>
        <v/>
      </c>
      <c r="AP19" s="321"/>
      <c r="AQ19" s="320" t="str">
        <f t="shared" si="43"/>
        <v/>
      </c>
      <c r="AR19" s="320" t="str">
        <f t="shared" si="44"/>
        <v/>
      </c>
      <c r="AS19" s="320" t="str">
        <f t="shared" si="45"/>
        <v/>
      </c>
      <c r="AT19" s="320" t="str">
        <f t="shared" si="46"/>
        <v/>
      </c>
      <c r="AU19" s="320" t="str">
        <f t="shared" si="47"/>
        <v/>
      </c>
      <c r="AV19" s="320" t="str">
        <f t="shared" si="48"/>
        <v/>
      </c>
      <c r="AW19" s="320" t="str">
        <f t="shared" si="49"/>
        <v/>
      </c>
      <c r="AX19" s="320" t="str">
        <f t="shared" si="50"/>
        <v/>
      </c>
      <c r="AY19" s="321"/>
      <c r="AZ19" s="320">
        <f t="shared" si="75"/>
        <v>4</v>
      </c>
      <c r="BA19" s="320" t="str">
        <f t="shared" si="51"/>
        <v/>
      </c>
      <c r="BB19" s="320" t="str">
        <f t="shared" si="52"/>
        <v/>
      </c>
      <c r="BC19" s="320" t="str">
        <f t="shared" si="53"/>
        <v/>
      </c>
      <c r="BD19" s="320" t="str">
        <f t="shared" si="54"/>
        <v/>
      </c>
      <c r="BE19" s="320" t="str">
        <f t="shared" si="55"/>
        <v/>
      </c>
      <c r="BF19" s="320" t="str">
        <f t="shared" si="56"/>
        <v/>
      </c>
      <c r="BG19" s="320" t="str">
        <f t="shared" si="57"/>
        <v/>
      </c>
      <c r="BH19" s="321"/>
      <c r="BI19" s="322"/>
      <c r="BJ19" s="323" t="str">
        <f t="shared" si="58"/>
        <v>P</v>
      </c>
      <c r="BK19" s="321"/>
      <c r="BL19" s="320" t="str">
        <f t="shared" si="59"/>
        <v>P</v>
      </c>
      <c r="BM19" s="320" t="str">
        <f t="shared" si="60"/>
        <v/>
      </c>
      <c r="BN19" s="320" t="str">
        <f t="shared" si="61"/>
        <v/>
      </c>
      <c r="BO19" s="320" t="str">
        <f t="shared" si="62"/>
        <v/>
      </c>
      <c r="BP19" s="320" t="str">
        <f t="shared" si="63"/>
        <v/>
      </c>
      <c r="BQ19" s="320" t="str">
        <f t="shared" si="64"/>
        <v/>
      </c>
      <c r="BR19" s="320" t="str">
        <f t="shared" si="65"/>
        <v/>
      </c>
      <c r="BS19" s="320" t="str">
        <f t="shared" si="66"/>
        <v/>
      </c>
      <c r="BT19" s="298"/>
      <c r="BU19" s="320">
        <f t="shared" si="11"/>
        <v>1</v>
      </c>
      <c r="BW19" s="320" t="str">
        <f t="shared" si="67"/>
        <v/>
      </c>
      <c r="BX19" s="320" t="b">
        <f t="shared" si="68"/>
        <v>0</v>
      </c>
      <c r="BY19" s="320" t="b">
        <f t="shared" si="69"/>
        <v>0</v>
      </c>
      <c r="BZ19" s="320" t="b">
        <f t="shared" si="70"/>
        <v>0</v>
      </c>
      <c r="CA19" s="320" t="b">
        <f t="shared" si="71"/>
        <v>0</v>
      </c>
      <c r="CB19" s="320" t="b">
        <f t="shared" si="72"/>
        <v>0</v>
      </c>
      <c r="CC19" s="320" t="b">
        <f t="shared" si="73"/>
        <v>0</v>
      </c>
      <c r="CD19" s="320" t="b">
        <f t="shared" si="74"/>
        <v>0</v>
      </c>
    </row>
    <row r="20" spans="1:82" s="295" customFormat="1" ht="24" customHeight="1">
      <c r="A20" s="751">
        <v>15</v>
      </c>
      <c r="B20" s="884" t="s">
        <v>849</v>
      </c>
      <c r="C20" s="884" t="s">
        <v>491</v>
      </c>
      <c r="D20" s="919" t="s">
        <v>879</v>
      </c>
      <c r="E20" s="921">
        <v>1</v>
      </c>
      <c r="F20" s="922">
        <v>3</v>
      </c>
      <c r="G20" s="923" t="s">
        <v>882</v>
      </c>
      <c r="H20" s="887" t="s">
        <v>833</v>
      </c>
      <c r="I20" s="924">
        <v>16</v>
      </c>
      <c r="J20" s="924">
        <v>16</v>
      </c>
      <c r="K20" s="923">
        <v>4</v>
      </c>
      <c r="L20" s="923" t="s">
        <v>833</v>
      </c>
      <c r="M20" s="749" t="s">
        <v>884</v>
      </c>
      <c r="N20" s="918">
        <v>6</v>
      </c>
      <c r="O20" s="293"/>
      <c r="P20" s="319" t="str">
        <f t="shared" si="20"/>
        <v>X</v>
      </c>
      <c r="Q20" s="320" t="str">
        <f t="shared" si="21"/>
        <v/>
      </c>
      <c r="R20" s="320" t="str">
        <f t="shared" si="22"/>
        <v/>
      </c>
      <c r="S20" s="320" t="str">
        <f t="shared" si="23"/>
        <v/>
      </c>
      <c r="T20" s="320" t="str">
        <f t="shared" si="24"/>
        <v/>
      </c>
      <c r="U20" s="320" t="str">
        <f t="shared" si="25"/>
        <v/>
      </c>
      <c r="V20" s="320" t="str">
        <f t="shared" si="26"/>
        <v/>
      </c>
      <c r="W20" s="320" t="str">
        <f t="shared" si="27"/>
        <v/>
      </c>
      <c r="X20" s="321"/>
      <c r="Y20" s="320">
        <f t="shared" si="76"/>
        <v>16</v>
      </c>
      <c r="Z20" s="320" t="str">
        <f t="shared" si="28"/>
        <v/>
      </c>
      <c r="AA20" s="320" t="str">
        <f t="shared" si="29"/>
        <v/>
      </c>
      <c r="AB20" s="320" t="str">
        <f t="shared" si="30"/>
        <v/>
      </c>
      <c r="AC20" s="320" t="str">
        <f t="shared" si="31"/>
        <v/>
      </c>
      <c r="AD20" s="320" t="str">
        <f t="shared" si="32"/>
        <v/>
      </c>
      <c r="AE20" s="320" t="str">
        <f t="shared" si="33"/>
        <v/>
      </c>
      <c r="AF20" s="320" t="str">
        <f t="shared" si="34"/>
        <v/>
      </c>
      <c r="AG20" s="321"/>
      <c r="AH20" s="320">
        <f t="shared" si="35"/>
        <v>16</v>
      </c>
      <c r="AI20" s="320" t="str">
        <f t="shared" si="36"/>
        <v/>
      </c>
      <c r="AJ20" s="320" t="str">
        <f t="shared" si="37"/>
        <v/>
      </c>
      <c r="AK20" s="320" t="str">
        <f t="shared" si="38"/>
        <v/>
      </c>
      <c r="AL20" s="320" t="str">
        <f t="shared" si="39"/>
        <v/>
      </c>
      <c r="AM20" s="320" t="str">
        <f t="shared" si="40"/>
        <v/>
      </c>
      <c r="AN20" s="320" t="str">
        <f t="shared" si="41"/>
        <v/>
      </c>
      <c r="AO20" s="320" t="str">
        <f t="shared" si="42"/>
        <v/>
      </c>
      <c r="AP20" s="321"/>
      <c r="AQ20" s="320" t="str">
        <f t="shared" si="43"/>
        <v/>
      </c>
      <c r="AR20" s="320" t="str">
        <f t="shared" si="44"/>
        <v/>
      </c>
      <c r="AS20" s="320" t="str">
        <f t="shared" si="45"/>
        <v/>
      </c>
      <c r="AT20" s="320" t="str">
        <f t="shared" si="46"/>
        <v/>
      </c>
      <c r="AU20" s="320" t="str">
        <f t="shared" si="47"/>
        <v/>
      </c>
      <c r="AV20" s="320" t="str">
        <f t="shared" si="48"/>
        <v/>
      </c>
      <c r="AW20" s="320" t="str">
        <f t="shared" si="49"/>
        <v/>
      </c>
      <c r="AX20" s="320" t="str">
        <f t="shared" si="50"/>
        <v/>
      </c>
      <c r="AY20" s="321"/>
      <c r="AZ20" s="320">
        <f t="shared" si="75"/>
        <v>4</v>
      </c>
      <c r="BA20" s="320" t="str">
        <f t="shared" si="51"/>
        <v/>
      </c>
      <c r="BB20" s="320" t="str">
        <f t="shared" si="52"/>
        <v/>
      </c>
      <c r="BC20" s="320" t="str">
        <f t="shared" si="53"/>
        <v/>
      </c>
      <c r="BD20" s="320" t="str">
        <f t="shared" si="54"/>
        <v/>
      </c>
      <c r="BE20" s="320" t="str">
        <f t="shared" si="55"/>
        <v/>
      </c>
      <c r="BF20" s="320" t="str">
        <f t="shared" si="56"/>
        <v/>
      </c>
      <c r="BG20" s="320" t="str">
        <f t="shared" si="57"/>
        <v/>
      </c>
      <c r="BH20" s="321"/>
      <c r="BI20" s="322"/>
      <c r="BJ20" s="323" t="str">
        <f t="shared" si="58"/>
        <v>P</v>
      </c>
      <c r="BK20" s="321"/>
      <c r="BL20" s="320" t="str">
        <f t="shared" si="59"/>
        <v>P</v>
      </c>
      <c r="BM20" s="320" t="str">
        <f t="shared" si="60"/>
        <v/>
      </c>
      <c r="BN20" s="320" t="str">
        <f t="shared" si="61"/>
        <v/>
      </c>
      <c r="BO20" s="320" t="str">
        <f t="shared" si="62"/>
        <v/>
      </c>
      <c r="BP20" s="320" t="str">
        <f t="shared" si="63"/>
        <v/>
      </c>
      <c r="BQ20" s="320" t="str">
        <f t="shared" si="64"/>
        <v/>
      </c>
      <c r="BR20" s="320" t="str">
        <f t="shared" si="65"/>
        <v/>
      </c>
      <c r="BS20" s="320" t="str">
        <f t="shared" si="66"/>
        <v/>
      </c>
      <c r="BT20" s="298"/>
      <c r="BU20" s="320">
        <f t="shared" si="11"/>
        <v>1</v>
      </c>
      <c r="BW20" s="320" t="str">
        <f t="shared" si="67"/>
        <v/>
      </c>
      <c r="BX20" s="320" t="b">
        <f t="shared" si="68"/>
        <v>0</v>
      </c>
      <c r="BY20" s="320" t="b">
        <f t="shared" si="69"/>
        <v>0</v>
      </c>
      <c r="BZ20" s="320" t="b">
        <f t="shared" si="70"/>
        <v>0</v>
      </c>
      <c r="CA20" s="320" t="b">
        <f t="shared" si="71"/>
        <v>0</v>
      </c>
      <c r="CB20" s="320" t="b">
        <f t="shared" si="72"/>
        <v>0</v>
      </c>
      <c r="CC20" s="320" t="b">
        <f t="shared" si="73"/>
        <v>0</v>
      </c>
      <c r="CD20" s="320" t="b">
        <f t="shared" si="74"/>
        <v>0</v>
      </c>
    </row>
    <row r="21" spans="1:82" s="295" customFormat="1" ht="24" customHeight="1">
      <c r="A21" s="751">
        <v>16</v>
      </c>
      <c r="B21" s="884" t="s">
        <v>850</v>
      </c>
      <c r="C21" s="884" t="s">
        <v>491</v>
      </c>
      <c r="D21" s="919" t="s">
        <v>879</v>
      </c>
      <c r="E21" s="921">
        <v>1</v>
      </c>
      <c r="F21" s="922">
        <v>4</v>
      </c>
      <c r="G21" s="923" t="s">
        <v>882</v>
      </c>
      <c r="H21" s="887" t="s">
        <v>833</v>
      </c>
      <c r="I21" s="924">
        <v>10</v>
      </c>
      <c r="J21" s="924">
        <v>10</v>
      </c>
      <c r="K21" s="923">
        <v>4</v>
      </c>
      <c r="L21" s="923" t="s">
        <v>833</v>
      </c>
      <c r="M21" s="749" t="s">
        <v>884</v>
      </c>
      <c r="N21" s="918">
        <v>6</v>
      </c>
      <c r="O21" s="293"/>
      <c r="P21" s="319" t="str">
        <f t="shared" si="20"/>
        <v>X</v>
      </c>
      <c r="Q21" s="320" t="str">
        <f t="shared" si="21"/>
        <v/>
      </c>
      <c r="R21" s="320" t="str">
        <f t="shared" si="22"/>
        <v/>
      </c>
      <c r="S21" s="320" t="str">
        <f t="shared" si="23"/>
        <v/>
      </c>
      <c r="T21" s="320" t="str">
        <f t="shared" si="24"/>
        <v/>
      </c>
      <c r="U21" s="320" t="str">
        <f t="shared" si="25"/>
        <v/>
      </c>
      <c r="V21" s="320" t="str">
        <f t="shared" si="26"/>
        <v/>
      </c>
      <c r="W21" s="320" t="str">
        <f t="shared" si="27"/>
        <v/>
      </c>
      <c r="X21" s="321"/>
      <c r="Y21" s="320">
        <f t="shared" si="76"/>
        <v>10</v>
      </c>
      <c r="Z21" s="320" t="str">
        <f t="shared" si="28"/>
        <v/>
      </c>
      <c r="AA21" s="320" t="str">
        <f t="shared" si="29"/>
        <v/>
      </c>
      <c r="AB21" s="320" t="str">
        <f t="shared" si="30"/>
        <v/>
      </c>
      <c r="AC21" s="320" t="str">
        <f t="shared" si="31"/>
        <v/>
      </c>
      <c r="AD21" s="320" t="str">
        <f t="shared" si="32"/>
        <v/>
      </c>
      <c r="AE21" s="320" t="str">
        <f t="shared" si="33"/>
        <v/>
      </c>
      <c r="AF21" s="320" t="str">
        <f t="shared" si="34"/>
        <v/>
      </c>
      <c r="AG21" s="321"/>
      <c r="AH21" s="320">
        <f t="shared" si="35"/>
        <v>10</v>
      </c>
      <c r="AI21" s="320" t="str">
        <f t="shared" si="36"/>
        <v/>
      </c>
      <c r="AJ21" s="320" t="str">
        <f t="shared" si="37"/>
        <v/>
      </c>
      <c r="AK21" s="320" t="str">
        <f t="shared" si="38"/>
        <v/>
      </c>
      <c r="AL21" s="320" t="str">
        <f t="shared" si="39"/>
        <v/>
      </c>
      <c r="AM21" s="320" t="str">
        <f t="shared" si="40"/>
        <v/>
      </c>
      <c r="AN21" s="320" t="str">
        <f t="shared" si="41"/>
        <v/>
      </c>
      <c r="AO21" s="320" t="str">
        <f t="shared" si="42"/>
        <v/>
      </c>
      <c r="AP21" s="321"/>
      <c r="AQ21" s="320" t="str">
        <f t="shared" si="43"/>
        <v/>
      </c>
      <c r="AR21" s="320" t="str">
        <f t="shared" si="44"/>
        <v/>
      </c>
      <c r="AS21" s="320" t="str">
        <f t="shared" si="45"/>
        <v/>
      </c>
      <c r="AT21" s="320" t="str">
        <f t="shared" si="46"/>
        <v/>
      </c>
      <c r="AU21" s="320" t="str">
        <f t="shared" si="47"/>
        <v/>
      </c>
      <c r="AV21" s="320" t="str">
        <f t="shared" si="48"/>
        <v/>
      </c>
      <c r="AW21" s="320" t="str">
        <f t="shared" si="49"/>
        <v/>
      </c>
      <c r="AX21" s="320" t="str">
        <f t="shared" si="50"/>
        <v/>
      </c>
      <c r="AY21" s="321"/>
      <c r="AZ21" s="320">
        <f t="shared" si="75"/>
        <v>4</v>
      </c>
      <c r="BA21" s="320" t="str">
        <f t="shared" si="51"/>
        <v/>
      </c>
      <c r="BB21" s="320" t="str">
        <f t="shared" si="52"/>
        <v/>
      </c>
      <c r="BC21" s="320" t="str">
        <f t="shared" si="53"/>
        <v/>
      </c>
      <c r="BD21" s="320" t="str">
        <f t="shared" si="54"/>
        <v/>
      </c>
      <c r="BE21" s="320" t="str">
        <f t="shared" si="55"/>
        <v/>
      </c>
      <c r="BF21" s="320" t="str">
        <f t="shared" si="56"/>
        <v/>
      </c>
      <c r="BG21" s="320" t="str">
        <f t="shared" si="57"/>
        <v/>
      </c>
      <c r="BH21" s="321"/>
      <c r="BI21" s="322"/>
      <c r="BJ21" s="323" t="str">
        <f t="shared" si="58"/>
        <v>P</v>
      </c>
      <c r="BK21" s="321"/>
      <c r="BL21" s="320" t="str">
        <f t="shared" si="59"/>
        <v>P</v>
      </c>
      <c r="BM21" s="320" t="str">
        <f t="shared" si="60"/>
        <v/>
      </c>
      <c r="BN21" s="320" t="str">
        <f t="shared" si="61"/>
        <v/>
      </c>
      <c r="BO21" s="320" t="str">
        <f t="shared" si="62"/>
        <v/>
      </c>
      <c r="BP21" s="320" t="str">
        <f t="shared" si="63"/>
        <v/>
      </c>
      <c r="BQ21" s="320" t="str">
        <f t="shared" si="64"/>
        <v/>
      </c>
      <c r="BR21" s="320" t="str">
        <f t="shared" si="65"/>
        <v/>
      </c>
      <c r="BS21" s="320" t="str">
        <f t="shared" si="66"/>
        <v/>
      </c>
      <c r="BT21" s="298"/>
      <c r="BU21" s="320">
        <f t="shared" si="11"/>
        <v>1</v>
      </c>
      <c r="BW21" s="320" t="str">
        <f t="shared" si="67"/>
        <v/>
      </c>
      <c r="BX21" s="320" t="b">
        <f t="shared" si="68"/>
        <v>0</v>
      </c>
      <c r="BY21" s="320" t="b">
        <f t="shared" si="69"/>
        <v>0</v>
      </c>
      <c r="BZ21" s="320" t="b">
        <f t="shared" si="70"/>
        <v>0</v>
      </c>
      <c r="CA21" s="320" t="b">
        <f t="shared" si="71"/>
        <v>0</v>
      </c>
      <c r="CB21" s="320" t="b">
        <f t="shared" si="72"/>
        <v>0</v>
      </c>
      <c r="CC21" s="320" t="b">
        <f t="shared" si="73"/>
        <v>0</v>
      </c>
      <c r="CD21" s="320" t="b">
        <f t="shared" si="74"/>
        <v>0</v>
      </c>
    </row>
    <row r="22" spans="1:82" s="295" customFormat="1" ht="24" customHeight="1">
      <c r="A22" s="751">
        <v>17</v>
      </c>
      <c r="B22" s="884" t="s">
        <v>851</v>
      </c>
      <c r="C22" s="884" t="s">
        <v>491</v>
      </c>
      <c r="D22" s="919" t="s">
        <v>879</v>
      </c>
      <c r="E22" s="921">
        <v>1</v>
      </c>
      <c r="F22" s="922">
        <v>3</v>
      </c>
      <c r="G22" s="923" t="s">
        <v>882</v>
      </c>
      <c r="H22" s="887" t="s">
        <v>833</v>
      </c>
      <c r="I22" s="924">
        <v>21</v>
      </c>
      <c r="J22" s="924">
        <v>21</v>
      </c>
      <c r="K22" s="923">
        <v>4</v>
      </c>
      <c r="L22" s="923" t="s">
        <v>833</v>
      </c>
      <c r="M22" s="749" t="s">
        <v>884</v>
      </c>
      <c r="N22" s="918">
        <v>6</v>
      </c>
      <c r="O22" s="293"/>
      <c r="P22" s="319" t="str">
        <f t="shared" si="20"/>
        <v>X</v>
      </c>
      <c r="Q22" s="320" t="str">
        <f t="shared" si="21"/>
        <v/>
      </c>
      <c r="R22" s="320" t="str">
        <f t="shared" si="22"/>
        <v/>
      </c>
      <c r="S22" s="320" t="str">
        <f t="shared" si="23"/>
        <v/>
      </c>
      <c r="T22" s="320" t="str">
        <f t="shared" si="24"/>
        <v/>
      </c>
      <c r="U22" s="320" t="str">
        <f t="shared" si="25"/>
        <v/>
      </c>
      <c r="V22" s="320" t="str">
        <f t="shared" si="26"/>
        <v/>
      </c>
      <c r="W22" s="320" t="str">
        <f t="shared" si="27"/>
        <v/>
      </c>
      <c r="X22" s="321"/>
      <c r="Y22" s="320">
        <f t="shared" si="76"/>
        <v>21</v>
      </c>
      <c r="Z22" s="320" t="str">
        <f t="shared" si="28"/>
        <v/>
      </c>
      <c r="AA22" s="320" t="str">
        <f t="shared" si="29"/>
        <v/>
      </c>
      <c r="AB22" s="320" t="str">
        <f t="shared" si="30"/>
        <v/>
      </c>
      <c r="AC22" s="320" t="str">
        <f t="shared" si="31"/>
        <v/>
      </c>
      <c r="AD22" s="320" t="str">
        <f t="shared" si="32"/>
        <v/>
      </c>
      <c r="AE22" s="320" t="str">
        <f t="shared" si="33"/>
        <v/>
      </c>
      <c r="AF22" s="320" t="str">
        <f t="shared" si="34"/>
        <v/>
      </c>
      <c r="AG22" s="321"/>
      <c r="AH22" s="320">
        <f t="shared" si="35"/>
        <v>21</v>
      </c>
      <c r="AI22" s="320" t="str">
        <f t="shared" si="36"/>
        <v/>
      </c>
      <c r="AJ22" s="320" t="str">
        <f t="shared" si="37"/>
        <v/>
      </c>
      <c r="AK22" s="320" t="str">
        <f t="shared" si="38"/>
        <v/>
      </c>
      <c r="AL22" s="320" t="str">
        <f t="shared" si="39"/>
        <v/>
      </c>
      <c r="AM22" s="320" t="str">
        <f t="shared" si="40"/>
        <v/>
      </c>
      <c r="AN22" s="320" t="str">
        <f t="shared" si="41"/>
        <v/>
      </c>
      <c r="AO22" s="320" t="str">
        <f t="shared" si="42"/>
        <v/>
      </c>
      <c r="AP22" s="321"/>
      <c r="AQ22" s="320" t="str">
        <f t="shared" si="43"/>
        <v/>
      </c>
      <c r="AR22" s="320" t="str">
        <f t="shared" si="44"/>
        <v/>
      </c>
      <c r="AS22" s="320" t="str">
        <f t="shared" si="45"/>
        <v/>
      </c>
      <c r="AT22" s="320" t="str">
        <f t="shared" si="46"/>
        <v/>
      </c>
      <c r="AU22" s="320" t="str">
        <f t="shared" si="47"/>
        <v/>
      </c>
      <c r="AV22" s="320" t="str">
        <f t="shared" si="48"/>
        <v/>
      </c>
      <c r="AW22" s="320" t="str">
        <f t="shared" si="49"/>
        <v/>
      </c>
      <c r="AX22" s="320" t="str">
        <f t="shared" si="50"/>
        <v/>
      </c>
      <c r="AY22" s="321"/>
      <c r="AZ22" s="320">
        <f t="shared" si="75"/>
        <v>4</v>
      </c>
      <c r="BA22" s="320" t="str">
        <f t="shared" si="51"/>
        <v/>
      </c>
      <c r="BB22" s="320" t="str">
        <f t="shared" si="52"/>
        <v/>
      </c>
      <c r="BC22" s="320" t="str">
        <f t="shared" si="53"/>
        <v/>
      </c>
      <c r="BD22" s="320" t="str">
        <f t="shared" si="54"/>
        <v/>
      </c>
      <c r="BE22" s="320" t="str">
        <f t="shared" si="55"/>
        <v/>
      </c>
      <c r="BF22" s="320" t="str">
        <f t="shared" si="56"/>
        <v/>
      </c>
      <c r="BG22" s="320" t="str">
        <f t="shared" si="57"/>
        <v/>
      </c>
      <c r="BH22" s="321"/>
      <c r="BI22" s="322"/>
      <c r="BJ22" s="323" t="str">
        <f t="shared" si="58"/>
        <v>P</v>
      </c>
      <c r="BK22" s="321"/>
      <c r="BL22" s="320" t="str">
        <f t="shared" si="59"/>
        <v>P</v>
      </c>
      <c r="BM22" s="320" t="str">
        <f t="shared" si="60"/>
        <v/>
      </c>
      <c r="BN22" s="320" t="str">
        <f t="shared" si="61"/>
        <v/>
      </c>
      <c r="BO22" s="320" t="str">
        <f t="shared" si="62"/>
        <v/>
      </c>
      <c r="BP22" s="320" t="str">
        <f t="shared" si="63"/>
        <v/>
      </c>
      <c r="BQ22" s="320" t="str">
        <f t="shared" si="64"/>
        <v/>
      </c>
      <c r="BR22" s="320" t="str">
        <f t="shared" si="65"/>
        <v/>
      </c>
      <c r="BS22" s="320" t="str">
        <f t="shared" si="66"/>
        <v/>
      </c>
      <c r="BT22" s="298"/>
      <c r="BU22" s="320">
        <f t="shared" si="11"/>
        <v>1</v>
      </c>
      <c r="BW22" s="320" t="str">
        <f t="shared" si="67"/>
        <v/>
      </c>
      <c r="BX22" s="320" t="b">
        <f t="shared" si="68"/>
        <v>0</v>
      </c>
      <c r="BY22" s="320" t="b">
        <f t="shared" si="69"/>
        <v>0</v>
      </c>
      <c r="BZ22" s="320" t="b">
        <f t="shared" si="70"/>
        <v>0</v>
      </c>
      <c r="CA22" s="320" t="b">
        <f t="shared" si="71"/>
        <v>0</v>
      </c>
      <c r="CB22" s="320" t="b">
        <f t="shared" si="72"/>
        <v>0</v>
      </c>
      <c r="CC22" s="320" t="b">
        <f t="shared" si="73"/>
        <v>0</v>
      </c>
      <c r="CD22" s="320" t="b">
        <f t="shared" si="74"/>
        <v>0</v>
      </c>
    </row>
    <row r="23" spans="1:82" s="295" customFormat="1" ht="24" customHeight="1">
      <c r="A23" s="751">
        <v>18</v>
      </c>
      <c r="B23" s="884" t="s">
        <v>852</v>
      </c>
      <c r="C23" s="884" t="s">
        <v>491</v>
      </c>
      <c r="D23" s="919" t="s">
        <v>879</v>
      </c>
      <c r="E23" s="921">
        <v>1</v>
      </c>
      <c r="F23" s="922">
        <v>5</v>
      </c>
      <c r="G23" s="923" t="s">
        <v>882</v>
      </c>
      <c r="H23" s="887" t="s">
        <v>833</v>
      </c>
      <c r="I23" s="924">
        <v>15</v>
      </c>
      <c r="J23" s="924">
        <v>15</v>
      </c>
      <c r="K23" s="923">
        <v>4</v>
      </c>
      <c r="L23" s="923" t="s">
        <v>833</v>
      </c>
      <c r="M23" s="749" t="s">
        <v>884</v>
      </c>
      <c r="N23" s="918">
        <v>6</v>
      </c>
      <c r="O23" s="293"/>
      <c r="P23" s="319" t="str">
        <f t="shared" si="20"/>
        <v>X</v>
      </c>
      <c r="Q23" s="320" t="str">
        <f t="shared" si="21"/>
        <v/>
      </c>
      <c r="R23" s="320" t="str">
        <f t="shared" si="22"/>
        <v/>
      </c>
      <c r="S23" s="320" t="str">
        <f t="shared" si="23"/>
        <v/>
      </c>
      <c r="T23" s="320" t="str">
        <f t="shared" si="24"/>
        <v/>
      </c>
      <c r="U23" s="320" t="str">
        <f t="shared" si="25"/>
        <v/>
      </c>
      <c r="V23" s="320" t="str">
        <f t="shared" si="26"/>
        <v/>
      </c>
      <c r="W23" s="320" t="str">
        <f t="shared" si="27"/>
        <v/>
      </c>
      <c r="X23" s="321"/>
      <c r="Y23" s="320">
        <f t="shared" si="76"/>
        <v>15</v>
      </c>
      <c r="Z23" s="320" t="str">
        <f t="shared" si="28"/>
        <v/>
      </c>
      <c r="AA23" s="320" t="str">
        <f t="shared" si="29"/>
        <v/>
      </c>
      <c r="AB23" s="320" t="str">
        <f t="shared" si="30"/>
        <v/>
      </c>
      <c r="AC23" s="320" t="str">
        <f t="shared" si="31"/>
        <v/>
      </c>
      <c r="AD23" s="320" t="str">
        <f t="shared" si="32"/>
        <v/>
      </c>
      <c r="AE23" s="320" t="str">
        <f t="shared" si="33"/>
        <v/>
      </c>
      <c r="AF23" s="320" t="str">
        <f t="shared" si="34"/>
        <v/>
      </c>
      <c r="AG23" s="321"/>
      <c r="AH23" s="320">
        <f t="shared" si="35"/>
        <v>15</v>
      </c>
      <c r="AI23" s="320" t="str">
        <f t="shared" si="36"/>
        <v/>
      </c>
      <c r="AJ23" s="320" t="str">
        <f t="shared" si="37"/>
        <v/>
      </c>
      <c r="AK23" s="320" t="str">
        <f t="shared" si="38"/>
        <v/>
      </c>
      <c r="AL23" s="320" t="str">
        <f t="shared" si="39"/>
        <v/>
      </c>
      <c r="AM23" s="320" t="str">
        <f t="shared" si="40"/>
        <v/>
      </c>
      <c r="AN23" s="320" t="str">
        <f t="shared" si="41"/>
        <v/>
      </c>
      <c r="AO23" s="320" t="str">
        <f t="shared" si="42"/>
        <v/>
      </c>
      <c r="AP23" s="321"/>
      <c r="AQ23" s="320" t="str">
        <f t="shared" si="43"/>
        <v/>
      </c>
      <c r="AR23" s="320" t="str">
        <f t="shared" si="44"/>
        <v/>
      </c>
      <c r="AS23" s="320" t="str">
        <f t="shared" si="45"/>
        <v/>
      </c>
      <c r="AT23" s="320" t="str">
        <f t="shared" si="46"/>
        <v/>
      </c>
      <c r="AU23" s="320" t="str">
        <f t="shared" si="47"/>
        <v/>
      </c>
      <c r="AV23" s="320" t="str">
        <f t="shared" si="48"/>
        <v/>
      </c>
      <c r="AW23" s="320" t="str">
        <f t="shared" si="49"/>
        <v/>
      </c>
      <c r="AX23" s="320" t="str">
        <f t="shared" si="50"/>
        <v/>
      </c>
      <c r="AY23" s="321"/>
      <c r="AZ23" s="320">
        <f t="shared" si="75"/>
        <v>4</v>
      </c>
      <c r="BA23" s="320" t="str">
        <f t="shared" si="51"/>
        <v/>
      </c>
      <c r="BB23" s="320" t="str">
        <f t="shared" si="52"/>
        <v/>
      </c>
      <c r="BC23" s="320" t="str">
        <f t="shared" si="53"/>
        <v/>
      </c>
      <c r="BD23" s="320" t="str">
        <f t="shared" si="54"/>
        <v/>
      </c>
      <c r="BE23" s="320" t="str">
        <f t="shared" si="55"/>
        <v/>
      </c>
      <c r="BF23" s="320" t="str">
        <f t="shared" si="56"/>
        <v/>
      </c>
      <c r="BG23" s="320" t="str">
        <f t="shared" si="57"/>
        <v/>
      </c>
      <c r="BH23" s="321"/>
      <c r="BI23" s="322"/>
      <c r="BJ23" s="323" t="str">
        <f t="shared" si="58"/>
        <v>P</v>
      </c>
      <c r="BK23" s="321"/>
      <c r="BL23" s="320" t="str">
        <f t="shared" si="59"/>
        <v>P</v>
      </c>
      <c r="BM23" s="320" t="str">
        <f t="shared" si="60"/>
        <v/>
      </c>
      <c r="BN23" s="320" t="str">
        <f t="shared" si="61"/>
        <v/>
      </c>
      <c r="BO23" s="320" t="str">
        <f t="shared" si="62"/>
        <v/>
      </c>
      <c r="BP23" s="320" t="str">
        <f t="shared" si="63"/>
        <v/>
      </c>
      <c r="BQ23" s="320" t="str">
        <f t="shared" si="64"/>
        <v/>
      </c>
      <c r="BR23" s="320" t="str">
        <f t="shared" si="65"/>
        <v/>
      </c>
      <c r="BS23" s="320" t="str">
        <f t="shared" si="66"/>
        <v/>
      </c>
      <c r="BT23" s="298"/>
      <c r="BU23" s="320">
        <f t="shared" si="11"/>
        <v>1</v>
      </c>
      <c r="BW23" s="320" t="str">
        <f t="shared" si="67"/>
        <v/>
      </c>
      <c r="BX23" s="320" t="b">
        <f t="shared" si="68"/>
        <v>0</v>
      </c>
      <c r="BY23" s="320" t="b">
        <f t="shared" si="69"/>
        <v>0</v>
      </c>
      <c r="BZ23" s="320" t="b">
        <f t="shared" si="70"/>
        <v>0</v>
      </c>
      <c r="CA23" s="320" t="b">
        <f t="shared" si="71"/>
        <v>0</v>
      </c>
      <c r="CB23" s="320" t="b">
        <f t="shared" si="72"/>
        <v>0</v>
      </c>
      <c r="CC23" s="320" t="b">
        <f t="shared" si="73"/>
        <v>0</v>
      </c>
      <c r="CD23" s="320" t="b">
        <f t="shared" si="74"/>
        <v>0</v>
      </c>
    </row>
    <row r="24" spans="1:82" s="295" customFormat="1" ht="24" customHeight="1">
      <c r="A24" s="751">
        <v>19</v>
      </c>
      <c r="B24" s="884" t="s">
        <v>853</v>
      </c>
      <c r="C24" s="884" t="s">
        <v>491</v>
      </c>
      <c r="D24" s="919" t="s">
        <v>879</v>
      </c>
      <c r="E24" s="921">
        <v>1</v>
      </c>
      <c r="F24" s="922">
        <v>3</v>
      </c>
      <c r="G24" s="923" t="s">
        <v>882</v>
      </c>
      <c r="H24" s="887" t="s">
        <v>833</v>
      </c>
      <c r="I24" s="924">
        <v>25</v>
      </c>
      <c r="J24" s="924">
        <v>25</v>
      </c>
      <c r="K24" s="923">
        <v>4</v>
      </c>
      <c r="L24" s="923" t="s">
        <v>833</v>
      </c>
      <c r="M24" s="749" t="s">
        <v>884</v>
      </c>
      <c r="N24" s="918">
        <v>6</v>
      </c>
      <c r="O24" s="293"/>
      <c r="P24" s="319" t="str">
        <f t="shared" si="20"/>
        <v>X</v>
      </c>
      <c r="Q24" s="320" t="str">
        <f t="shared" si="21"/>
        <v/>
      </c>
      <c r="R24" s="320" t="str">
        <f t="shared" si="22"/>
        <v/>
      </c>
      <c r="S24" s="320" t="str">
        <f t="shared" si="23"/>
        <v/>
      </c>
      <c r="T24" s="320" t="str">
        <f t="shared" si="24"/>
        <v/>
      </c>
      <c r="U24" s="320" t="str">
        <f t="shared" si="25"/>
        <v/>
      </c>
      <c r="V24" s="320" t="str">
        <f t="shared" si="26"/>
        <v/>
      </c>
      <c r="W24" s="320" t="str">
        <f t="shared" si="27"/>
        <v/>
      </c>
      <c r="X24" s="321"/>
      <c r="Y24" s="320">
        <f t="shared" si="76"/>
        <v>25</v>
      </c>
      <c r="Z24" s="320" t="str">
        <f t="shared" si="28"/>
        <v/>
      </c>
      <c r="AA24" s="320" t="str">
        <f t="shared" si="29"/>
        <v/>
      </c>
      <c r="AB24" s="320" t="str">
        <f t="shared" si="30"/>
        <v/>
      </c>
      <c r="AC24" s="320" t="str">
        <f t="shared" si="31"/>
        <v/>
      </c>
      <c r="AD24" s="320" t="str">
        <f t="shared" si="32"/>
        <v/>
      </c>
      <c r="AE24" s="320" t="str">
        <f t="shared" si="33"/>
        <v/>
      </c>
      <c r="AF24" s="320" t="str">
        <f t="shared" si="34"/>
        <v/>
      </c>
      <c r="AG24" s="321"/>
      <c r="AH24" s="320">
        <f t="shared" si="35"/>
        <v>25</v>
      </c>
      <c r="AI24" s="320" t="str">
        <f t="shared" si="36"/>
        <v/>
      </c>
      <c r="AJ24" s="320" t="str">
        <f t="shared" si="37"/>
        <v/>
      </c>
      <c r="AK24" s="320" t="str">
        <f t="shared" si="38"/>
        <v/>
      </c>
      <c r="AL24" s="320" t="str">
        <f t="shared" si="39"/>
        <v/>
      </c>
      <c r="AM24" s="320" t="str">
        <f t="shared" si="40"/>
        <v/>
      </c>
      <c r="AN24" s="320" t="str">
        <f t="shared" si="41"/>
        <v/>
      </c>
      <c r="AO24" s="320" t="str">
        <f t="shared" si="42"/>
        <v/>
      </c>
      <c r="AP24" s="321"/>
      <c r="AQ24" s="320" t="str">
        <f t="shared" si="43"/>
        <v/>
      </c>
      <c r="AR24" s="320" t="str">
        <f t="shared" si="44"/>
        <v/>
      </c>
      <c r="AS24" s="320" t="str">
        <f t="shared" si="45"/>
        <v/>
      </c>
      <c r="AT24" s="320" t="str">
        <f t="shared" si="46"/>
        <v/>
      </c>
      <c r="AU24" s="320" t="str">
        <f t="shared" si="47"/>
        <v/>
      </c>
      <c r="AV24" s="320" t="str">
        <f t="shared" si="48"/>
        <v/>
      </c>
      <c r="AW24" s="320" t="str">
        <f t="shared" si="49"/>
        <v/>
      </c>
      <c r="AX24" s="320" t="str">
        <f t="shared" si="50"/>
        <v/>
      </c>
      <c r="AY24" s="321"/>
      <c r="AZ24" s="320">
        <f t="shared" si="75"/>
        <v>4</v>
      </c>
      <c r="BA24" s="320" t="str">
        <f t="shared" si="51"/>
        <v/>
      </c>
      <c r="BB24" s="320" t="str">
        <f t="shared" si="52"/>
        <v/>
      </c>
      <c r="BC24" s="320" t="str">
        <f t="shared" si="53"/>
        <v/>
      </c>
      <c r="BD24" s="320" t="str">
        <f t="shared" si="54"/>
        <v/>
      </c>
      <c r="BE24" s="320" t="str">
        <f t="shared" si="55"/>
        <v/>
      </c>
      <c r="BF24" s="320" t="str">
        <f t="shared" si="56"/>
        <v/>
      </c>
      <c r="BG24" s="320" t="str">
        <f t="shared" si="57"/>
        <v/>
      </c>
      <c r="BH24" s="321"/>
      <c r="BI24" s="322"/>
      <c r="BJ24" s="323" t="str">
        <f t="shared" si="58"/>
        <v>P</v>
      </c>
      <c r="BK24" s="321"/>
      <c r="BL24" s="320" t="str">
        <f t="shared" si="59"/>
        <v>P</v>
      </c>
      <c r="BM24" s="320" t="str">
        <f t="shared" si="60"/>
        <v/>
      </c>
      <c r="BN24" s="320" t="str">
        <f t="shared" si="61"/>
        <v/>
      </c>
      <c r="BO24" s="320" t="str">
        <f t="shared" si="62"/>
        <v/>
      </c>
      <c r="BP24" s="320" t="str">
        <f t="shared" si="63"/>
        <v/>
      </c>
      <c r="BQ24" s="320" t="str">
        <f t="shared" si="64"/>
        <v/>
      </c>
      <c r="BR24" s="320" t="str">
        <f t="shared" si="65"/>
        <v/>
      </c>
      <c r="BS24" s="320" t="str">
        <f t="shared" si="66"/>
        <v/>
      </c>
      <c r="BT24" s="298"/>
      <c r="BU24" s="320">
        <f t="shared" si="11"/>
        <v>1</v>
      </c>
      <c r="BW24" s="320" t="str">
        <f t="shared" si="67"/>
        <v/>
      </c>
      <c r="BX24" s="320" t="b">
        <f t="shared" si="68"/>
        <v>0</v>
      </c>
      <c r="BY24" s="320" t="b">
        <f t="shared" si="69"/>
        <v>0</v>
      </c>
      <c r="BZ24" s="320" t="b">
        <f t="shared" si="70"/>
        <v>0</v>
      </c>
      <c r="CA24" s="320" t="b">
        <f t="shared" si="71"/>
        <v>0</v>
      </c>
      <c r="CB24" s="320" t="b">
        <f t="shared" si="72"/>
        <v>0</v>
      </c>
      <c r="CC24" s="320" t="b">
        <f t="shared" si="73"/>
        <v>0</v>
      </c>
      <c r="CD24" s="320" t="b">
        <f t="shared" si="74"/>
        <v>0</v>
      </c>
    </row>
    <row r="25" spans="1:82" s="295" customFormat="1" ht="24" customHeight="1">
      <c r="A25" s="751">
        <v>20</v>
      </c>
      <c r="B25" s="884" t="s">
        <v>854</v>
      </c>
      <c r="C25" s="884" t="s">
        <v>491</v>
      </c>
      <c r="D25" s="919" t="s">
        <v>879</v>
      </c>
      <c r="E25" s="921">
        <v>1</v>
      </c>
      <c r="F25" s="922">
        <v>5</v>
      </c>
      <c r="G25" s="923" t="s">
        <v>882</v>
      </c>
      <c r="H25" s="887" t="s">
        <v>833</v>
      </c>
      <c r="I25" s="924">
        <v>12</v>
      </c>
      <c r="J25" s="924">
        <v>12</v>
      </c>
      <c r="K25" s="923">
        <v>4</v>
      </c>
      <c r="L25" s="923" t="s">
        <v>833</v>
      </c>
      <c r="M25" s="749" t="s">
        <v>884</v>
      </c>
      <c r="N25" s="918">
        <v>6</v>
      </c>
      <c r="O25" s="293"/>
      <c r="P25" s="319" t="str">
        <f t="shared" si="20"/>
        <v>X</v>
      </c>
      <c r="Q25" s="320" t="str">
        <f t="shared" si="21"/>
        <v/>
      </c>
      <c r="R25" s="320" t="str">
        <f t="shared" si="22"/>
        <v/>
      </c>
      <c r="S25" s="320" t="str">
        <f t="shared" si="23"/>
        <v/>
      </c>
      <c r="T25" s="320" t="str">
        <f t="shared" si="24"/>
        <v/>
      </c>
      <c r="U25" s="320" t="str">
        <f t="shared" si="25"/>
        <v/>
      </c>
      <c r="V25" s="320" t="str">
        <f t="shared" si="26"/>
        <v/>
      </c>
      <c r="W25" s="320" t="str">
        <f t="shared" si="27"/>
        <v/>
      </c>
      <c r="X25" s="321"/>
      <c r="Y25" s="320">
        <f t="shared" si="76"/>
        <v>12</v>
      </c>
      <c r="Z25" s="320" t="str">
        <f t="shared" si="28"/>
        <v/>
      </c>
      <c r="AA25" s="320" t="str">
        <f t="shared" si="29"/>
        <v/>
      </c>
      <c r="AB25" s="320" t="str">
        <f t="shared" si="30"/>
        <v/>
      </c>
      <c r="AC25" s="320" t="str">
        <f t="shared" si="31"/>
        <v/>
      </c>
      <c r="AD25" s="320" t="str">
        <f t="shared" si="32"/>
        <v/>
      </c>
      <c r="AE25" s="320" t="str">
        <f t="shared" si="33"/>
        <v/>
      </c>
      <c r="AF25" s="320" t="str">
        <f t="shared" si="34"/>
        <v/>
      </c>
      <c r="AG25" s="321"/>
      <c r="AH25" s="320">
        <f t="shared" si="35"/>
        <v>12</v>
      </c>
      <c r="AI25" s="320" t="str">
        <f t="shared" si="36"/>
        <v/>
      </c>
      <c r="AJ25" s="320" t="str">
        <f t="shared" si="37"/>
        <v/>
      </c>
      <c r="AK25" s="320" t="str">
        <f t="shared" si="38"/>
        <v/>
      </c>
      <c r="AL25" s="320" t="str">
        <f t="shared" si="39"/>
        <v/>
      </c>
      <c r="AM25" s="320" t="str">
        <f t="shared" si="40"/>
        <v/>
      </c>
      <c r="AN25" s="320" t="str">
        <f t="shared" si="41"/>
        <v/>
      </c>
      <c r="AO25" s="320" t="str">
        <f t="shared" si="42"/>
        <v/>
      </c>
      <c r="AP25" s="321"/>
      <c r="AQ25" s="320" t="str">
        <f t="shared" si="43"/>
        <v/>
      </c>
      <c r="AR25" s="320" t="str">
        <f t="shared" si="44"/>
        <v/>
      </c>
      <c r="AS25" s="320" t="str">
        <f t="shared" si="45"/>
        <v/>
      </c>
      <c r="AT25" s="320" t="str">
        <f t="shared" si="46"/>
        <v/>
      </c>
      <c r="AU25" s="320" t="str">
        <f t="shared" si="47"/>
        <v/>
      </c>
      <c r="AV25" s="320" t="str">
        <f t="shared" si="48"/>
        <v/>
      </c>
      <c r="AW25" s="320" t="str">
        <f t="shared" si="49"/>
        <v/>
      </c>
      <c r="AX25" s="320" t="str">
        <f t="shared" si="50"/>
        <v/>
      </c>
      <c r="AY25" s="321"/>
      <c r="AZ25" s="320">
        <f t="shared" si="75"/>
        <v>4</v>
      </c>
      <c r="BA25" s="320" t="str">
        <f t="shared" si="51"/>
        <v/>
      </c>
      <c r="BB25" s="320" t="str">
        <f t="shared" si="52"/>
        <v/>
      </c>
      <c r="BC25" s="320" t="str">
        <f t="shared" si="53"/>
        <v/>
      </c>
      <c r="BD25" s="320" t="str">
        <f t="shared" si="54"/>
        <v/>
      </c>
      <c r="BE25" s="320" t="str">
        <f t="shared" si="55"/>
        <v/>
      </c>
      <c r="BF25" s="320" t="str">
        <f t="shared" si="56"/>
        <v/>
      </c>
      <c r="BG25" s="320" t="str">
        <f t="shared" si="57"/>
        <v/>
      </c>
      <c r="BH25" s="321"/>
      <c r="BI25" s="322"/>
      <c r="BJ25" s="323" t="str">
        <f t="shared" si="58"/>
        <v>P</v>
      </c>
      <c r="BK25" s="321"/>
      <c r="BL25" s="320" t="str">
        <f t="shared" si="59"/>
        <v>P</v>
      </c>
      <c r="BM25" s="320" t="str">
        <f t="shared" si="60"/>
        <v/>
      </c>
      <c r="BN25" s="320" t="str">
        <f t="shared" si="61"/>
        <v/>
      </c>
      <c r="BO25" s="320" t="str">
        <f t="shared" si="62"/>
        <v/>
      </c>
      <c r="BP25" s="320" t="str">
        <f t="shared" si="63"/>
        <v/>
      </c>
      <c r="BQ25" s="320" t="str">
        <f t="shared" si="64"/>
        <v/>
      </c>
      <c r="BR25" s="320" t="str">
        <f t="shared" si="65"/>
        <v/>
      </c>
      <c r="BS25" s="320" t="str">
        <f t="shared" si="66"/>
        <v/>
      </c>
      <c r="BT25" s="298"/>
      <c r="BU25" s="320">
        <f t="shared" si="11"/>
        <v>1</v>
      </c>
      <c r="BW25" s="320" t="str">
        <f t="shared" si="67"/>
        <v/>
      </c>
      <c r="BX25" s="320" t="b">
        <f t="shared" si="68"/>
        <v>0</v>
      </c>
      <c r="BY25" s="320" t="b">
        <f t="shared" si="69"/>
        <v>0</v>
      </c>
      <c r="BZ25" s="320" t="b">
        <f t="shared" si="70"/>
        <v>0</v>
      </c>
      <c r="CA25" s="320" t="b">
        <f t="shared" si="71"/>
        <v>0</v>
      </c>
      <c r="CB25" s="320" t="b">
        <f t="shared" si="72"/>
        <v>0</v>
      </c>
      <c r="CC25" s="320" t="b">
        <f t="shared" si="73"/>
        <v>0</v>
      </c>
      <c r="CD25" s="320" t="b">
        <f t="shared" si="74"/>
        <v>0</v>
      </c>
    </row>
    <row r="26" spans="1:82" s="295" customFormat="1" ht="24" customHeight="1">
      <c r="A26" s="751">
        <v>21</v>
      </c>
      <c r="B26" s="884" t="s">
        <v>855</v>
      </c>
      <c r="C26" s="884" t="s">
        <v>491</v>
      </c>
      <c r="D26" s="919" t="s">
        <v>879</v>
      </c>
      <c r="E26" s="921">
        <v>1</v>
      </c>
      <c r="F26" s="922">
        <v>4</v>
      </c>
      <c r="G26" s="923" t="s">
        <v>882</v>
      </c>
      <c r="H26" s="887" t="s">
        <v>833</v>
      </c>
      <c r="I26" s="924">
        <v>15</v>
      </c>
      <c r="J26" s="924">
        <v>15</v>
      </c>
      <c r="K26" s="923">
        <v>4</v>
      </c>
      <c r="L26" s="923" t="s">
        <v>833</v>
      </c>
      <c r="M26" s="749" t="s">
        <v>884</v>
      </c>
      <c r="N26" s="918">
        <v>6</v>
      </c>
      <c r="O26" s="293"/>
      <c r="P26" s="319" t="str">
        <f t="shared" si="20"/>
        <v>X</v>
      </c>
      <c r="Q26" s="320" t="str">
        <f t="shared" si="21"/>
        <v/>
      </c>
      <c r="R26" s="320" t="str">
        <f t="shared" si="22"/>
        <v/>
      </c>
      <c r="S26" s="320" t="str">
        <f t="shared" si="23"/>
        <v/>
      </c>
      <c r="T26" s="320" t="str">
        <f t="shared" si="24"/>
        <v/>
      </c>
      <c r="U26" s="320" t="str">
        <f t="shared" si="25"/>
        <v/>
      </c>
      <c r="V26" s="320" t="str">
        <f t="shared" si="26"/>
        <v/>
      </c>
      <c r="W26" s="320" t="str">
        <f t="shared" si="27"/>
        <v/>
      </c>
      <c r="X26" s="321"/>
      <c r="Y26" s="320">
        <f t="shared" si="76"/>
        <v>15</v>
      </c>
      <c r="Z26" s="320" t="str">
        <f t="shared" si="28"/>
        <v/>
      </c>
      <c r="AA26" s="320" t="str">
        <f t="shared" si="29"/>
        <v/>
      </c>
      <c r="AB26" s="320" t="str">
        <f t="shared" si="30"/>
        <v/>
      </c>
      <c r="AC26" s="320" t="str">
        <f t="shared" si="31"/>
        <v/>
      </c>
      <c r="AD26" s="320" t="str">
        <f t="shared" si="32"/>
        <v/>
      </c>
      <c r="AE26" s="320" t="str">
        <f t="shared" si="33"/>
        <v/>
      </c>
      <c r="AF26" s="320" t="str">
        <f t="shared" si="34"/>
        <v/>
      </c>
      <c r="AG26" s="321"/>
      <c r="AH26" s="320">
        <f t="shared" si="35"/>
        <v>15</v>
      </c>
      <c r="AI26" s="320" t="str">
        <f t="shared" si="36"/>
        <v/>
      </c>
      <c r="AJ26" s="320" t="str">
        <f t="shared" si="37"/>
        <v/>
      </c>
      <c r="AK26" s="320" t="str">
        <f t="shared" si="38"/>
        <v/>
      </c>
      <c r="AL26" s="320" t="str">
        <f t="shared" si="39"/>
        <v/>
      </c>
      <c r="AM26" s="320" t="str">
        <f t="shared" si="40"/>
        <v/>
      </c>
      <c r="AN26" s="320" t="str">
        <f t="shared" si="41"/>
        <v/>
      </c>
      <c r="AO26" s="320" t="str">
        <f t="shared" si="42"/>
        <v/>
      </c>
      <c r="AP26" s="321"/>
      <c r="AQ26" s="320" t="str">
        <f t="shared" si="43"/>
        <v/>
      </c>
      <c r="AR26" s="320" t="str">
        <f t="shared" si="44"/>
        <v/>
      </c>
      <c r="AS26" s="320" t="str">
        <f t="shared" si="45"/>
        <v/>
      </c>
      <c r="AT26" s="320" t="str">
        <f t="shared" si="46"/>
        <v/>
      </c>
      <c r="AU26" s="320" t="str">
        <f t="shared" si="47"/>
        <v/>
      </c>
      <c r="AV26" s="320" t="str">
        <f t="shared" si="48"/>
        <v/>
      </c>
      <c r="AW26" s="320" t="str">
        <f t="shared" si="49"/>
        <v/>
      </c>
      <c r="AX26" s="320" t="str">
        <f t="shared" si="50"/>
        <v/>
      </c>
      <c r="AY26" s="321"/>
      <c r="AZ26" s="320">
        <f t="shared" si="75"/>
        <v>4</v>
      </c>
      <c r="BA26" s="320" t="str">
        <f t="shared" si="51"/>
        <v/>
      </c>
      <c r="BB26" s="320" t="str">
        <f t="shared" si="52"/>
        <v/>
      </c>
      <c r="BC26" s="320" t="str">
        <f t="shared" si="53"/>
        <v/>
      </c>
      <c r="BD26" s="320" t="str">
        <f t="shared" si="54"/>
        <v/>
      </c>
      <c r="BE26" s="320" t="str">
        <f t="shared" si="55"/>
        <v/>
      </c>
      <c r="BF26" s="320" t="str">
        <f t="shared" si="56"/>
        <v/>
      </c>
      <c r="BG26" s="320" t="str">
        <f t="shared" si="57"/>
        <v/>
      </c>
      <c r="BH26" s="321"/>
      <c r="BI26" s="322"/>
      <c r="BJ26" s="323" t="str">
        <f t="shared" si="58"/>
        <v>P</v>
      </c>
      <c r="BK26" s="321"/>
      <c r="BL26" s="320" t="str">
        <f t="shared" si="59"/>
        <v>P</v>
      </c>
      <c r="BM26" s="320" t="str">
        <f t="shared" si="60"/>
        <v/>
      </c>
      <c r="BN26" s="320" t="str">
        <f t="shared" si="61"/>
        <v/>
      </c>
      <c r="BO26" s="320" t="str">
        <f t="shared" si="62"/>
        <v/>
      </c>
      <c r="BP26" s="320" t="str">
        <f t="shared" si="63"/>
        <v/>
      </c>
      <c r="BQ26" s="320" t="str">
        <f t="shared" si="64"/>
        <v/>
      </c>
      <c r="BR26" s="320" t="str">
        <f t="shared" si="65"/>
        <v/>
      </c>
      <c r="BS26" s="320" t="str">
        <f t="shared" si="66"/>
        <v/>
      </c>
      <c r="BT26" s="298"/>
      <c r="BU26" s="320">
        <f t="shared" si="11"/>
        <v>1</v>
      </c>
      <c r="BW26" s="320" t="str">
        <f t="shared" si="67"/>
        <v/>
      </c>
      <c r="BX26" s="320" t="b">
        <f t="shared" si="68"/>
        <v>0</v>
      </c>
      <c r="BY26" s="320" t="b">
        <f t="shared" si="69"/>
        <v>0</v>
      </c>
      <c r="BZ26" s="320" t="b">
        <f t="shared" si="70"/>
        <v>0</v>
      </c>
      <c r="CA26" s="320" t="b">
        <f t="shared" si="71"/>
        <v>0</v>
      </c>
      <c r="CB26" s="320" t="b">
        <f t="shared" si="72"/>
        <v>0</v>
      </c>
      <c r="CC26" s="320" t="b">
        <f t="shared" si="73"/>
        <v>0</v>
      </c>
      <c r="CD26" s="320" t="b">
        <f t="shared" si="74"/>
        <v>0</v>
      </c>
    </row>
    <row r="27" spans="1:82" s="295" customFormat="1" ht="24" customHeight="1">
      <c r="A27" s="751">
        <v>22</v>
      </c>
      <c r="B27" s="884" t="s">
        <v>856</v>
      </c>
      <c r="C27" s="884" t="s">
        <v>491</v>
      </c>
      <c r="D27" s="919" t="s">
        <v>879</v>
      </c>
      <c r="E27" s="921">
        <v>1</v>
      </c>
      <c r="F27" s="922">
        <v>4</v>
      </c>
      <c r="G27" s="923" t="s">
        <v>882</v>
      </c>
      <c r="H27" s="887" t="s">
        <v>833</v>
      </c>
      <c r="I27" s="924">
        <v>12</v>
      </c>
      <c r="J27" s="924">
        <v>12</v>
      </c>
      <c r="K27" s="923">
        <v>4</v>
      </c>
      <c r="L27" s="923" t="s">
        <v>833</v>
      </c>
      <c r="M27" s="749" t="s">
        <v>884</v>
      </c>
      <c r="N27" s="918">
        <v>6</v>
      </c>
      <c r="O27" s="293"/>
      <c r="P27" s="319" t="str">
        <f t="shared" si="20"/>
        <v>X</v>
      </c>
      <c r="Q27" s="320" t="str">
        <f t="shared" si="21"/>
        <v/>
      </c>
      <c r="R27" s="320" t="str">
        <f t="shared" si="22"/>
        <v/>
      </c>
      <c r="S27" s="320" t="str">
        <f t="shared" si="23"/>
        <v/>
      </c>
      <c r="T27" s="320" t="str">
        <f t="shared" si="24"/>
        <v/>
      </c>
      <c r="U27" s="320" t="str">
        <f t="shared" si="25"/>
        <v/>
      </c>
      <c r="V27" s="320" t="str">
        <f t="shared" si="26"/>
        <v/>
      </c>
      <c r="W27" s="320" t="str">
        <f t="shared" si="27"/>
        <v/>
      </c>
      <c r="X27" s="321"/>
      <c r="Y27" s="320">
        <f t="shared" si="76"/>
        <v>12</v>
      </c>
      <c r="Z27" s="320" t="str">
        <f t="shared" si="28"/>
        <v/>
      </c>
      <c r="AA27" s="320" t="str">
        <f t="shared" si="29"/>
        <v/>
      </c>
      <c r="AB27" s="320" t="str">
        <f t="shared" si="30"/>
        <v/>
      </c>
      <c r="AC27" s="320" t="str">
        <f t="shared" si="31"/>
        <v/>
      </c>
      <c r="AD27" s="320" t="str">
        <f t="shared" si="32"/>
        <v/>
      </c>
      <c r="AE27" s="320" t="str">
        <f t="shared" si="33"/>
        <v/>
      </c>
      <c r="AF27" s="320" t="str">
        <f t="shared" si="34"/>
        <v/>
      </c>
      <c r="AG27" s="321"/>
      <c r="AH27" s="320">
        <f t="shared" si="35"/>
        <v>12</v>
      </c>
      <c r="AI27" s="320" t="str">
        <f t="shared" si="36"/>
        <v/>
      </c>
      <c r="AJ27" s="320" t="str">
        <f t="shared" si="37"/>
        <v/>
      </c>
      <c r="AK27" s="320" t="str">
        <f t="shared" si="38"/>
        <v/>
      </c>
      <c r="AL27" s="320" t="str">
        <f t="shared" si="39"/>
        <v/>
      </c>
      <c r="AM27" s="320" t="str">
        <f t="shared" si="40"/>
        <v/>
      </c>
      <c r="AN27" s="320" t="str">
        <f t="shared" si="41"/>
        <v/>
      </c>
      <c r="AO27" s="320" t="str">
        <f t="shared" si="42"/>
        <v/>
      </c>
      <c r="AP27" s="321"/>
      <c r="AQ27" s="320" t="str">
        <f t="shared" si="43"/>
        <v/>
      </c>
      <c r="AR27" s="320" t="str">
        <f t="shared" si="44"/>
        <v/>
      </c>
      <c r="AS27" s="320" t="str">
        <f t="shared" si="45"/>
        <v/>
      </c>
      <c r="AT27" s="320" t="str">
        <f t="shared" si="46"/>
        <v/>
      </c>
      <c r="AU27" s="320" t="str">
        <f t="shared" si="47"/>
        <v/>
      </c>
      <c r="AV27" s="320" t="str">
        <f t="shared" si="48"/>
        <v/>
      </c>
      <c r="AW27" s="320" t="str">
        <f t="shared" si="49"/>
        <v/>
      </c>
      <c r="AX27" s="320" t="str">
        <f t="shared" si="50"/>
        <v/>
      </c>
      <c r="AY27" s="321"/>
      <c r="AZ27" s="320">
        <f t="shared" si="75"/>
        <v>4</v>
      </c>
      <c r="BA27" s="320" t="str">
        <f t="shared" si="51"/>
        <v/>
      </c>
      <c r="BB27" s="320" t="str">
        <f t="shared" si="52"/>
        <v/>
      </c>
      <c r="BC27" s="320" t="str">
        <f t="shared" si="53"/>
        <v/>
      </c>
      <c r="BD27" s="320" t="str">
        <f t="shared" si="54"/>
        <v/>
      </c>
      <c r="BE27" s="320" t="str">
        <f t="shared" si="55"/>
        <v/>
      </c>
      <c r="BF27" s="320" t="str">
        <f t="shared" si="56"/>
        <v/>
      </c>
      <c r="BG27" s="320" t="str">
        <f t="shared" si="57"/>
        <v/>
      </c>
      <c r="BH27" s="321"/>
      <c r="BI27" s="322"/>
      <c r="BJ27" s="323" t="str">
        <f t="shared" si="58"/>
        <v>P</v>
      </c>
      <c r="BK27" s="321"/>
      <c r="BL27" s="320" t="str">
        <f t="shared" si="59"/>
        <v>P</v>
      </c>
      <c r="BM27" s="320" t="str">
        <f t="shared" si="60"/>
        <v/>
      </c>
      <c r="BN27" s="320" t="str">
        <f t="shared" si="61"/>
        <v/>
      </c>
      <c r="BO27" s="320" t="str">
        <f t="shared" si="62"/>
        <v/>
      </c>
      <c r="BP27" s="320" t="str">
        <f t="shared" si="63"/>
        <v/>
      </c>
      <c r="BQ27" s="320" t="str">
        <f t="shared" si="64"/>
        <v/>
      </c>
      <c r="BR27" s="320" t="str">
        <f t="shared" si="65"/>
        <v/>
      </c>
      <c r="BS27" s="320" t="str">
        <f t="shared" si="66"/>
        <v/>
      </c>
      <c r="BT27" s="298"/>
      <c r="BU27" s="320">
        <f t="shared" si="11"/>
        <v>1</v>
      </c>
      <c r="BW27" s="320" t="str">
        <f t="shared" si="67"/>
        <v/>
      </c>
      <c r="BX27" s="320" t="b">
        <f t="shared" si="68"/>
        <v>0</v>
      </c>
      <c r="BY27" s="320" t="b">
        <f t="shared" si="69"/>
        <v>0</v>
      </c>
      <c r="BZ27" s="320" t="b">
        <f t="shared" si="70"/>
        <v>0</v>
      </c>
      <c r="CA27" s="320" t="b">
        <f t="shared" si="71"/>
        <v>0</v>
      </c>
      <c r="CB27" s="320" t="b">
        <f t="shared" si="72"/>
        <v>0</v>
      </c>
      <c r="CC27" s="320" t="b">
        <f t="shared" si="73"/>
        <v>0</v>
      </c>
      <c r="CD27" s="320" t="b">
        <f t="shared" si="74"/>
        <v>0</v>
      </c>
    </row>
    <row r="28" spans="1:82" s="295" customFormat="1" ht="24" customHeight="1">
      <c r="A28" s="751">
        <v>23</v>
      </c>
      <c r="B28" s="884" t="s">
        <v>857</v>
      </c>
      <c r="C28" s="884" t="s">
        <v>491</v>
      </c>
      <c r="D28" s="919" t="s">
        <v>879</v>
      </c>
      <c r="E28" s="921">
        <v>1</v>
      </c>
      <c r="F28" s="922">
        <v>3</v>
      </c>
      <c r="G28" s="923" t="s">
        <v>882</v>
      </c>
      <c r="H28" s="887" t="s">
        <v>833</v>
      </c>
      <c r="I28" s="924">
        <v>25</v>
      </c>
      <c r="J28" s="924">
        <v>25</v>
      </c>
      <c r="K28" s="923">
        <v>4</v>
      </c>
      <c r="L28" s="923" t="s">
        <v>833</v>
      </c>
      <c r="M28" s="749" t="s">
        <v>884</v>
      </c>
      <c r="N28" s="918">
        <v>6</v>
      </c>
      <c r="O28" s="293"/>
      <c r="P28" s="319" t="str">
        <f t="shared" si="20"/>
        <v>X</v>
      </c>
      <c r="Q28" s="320" t="str">
        <f t="shared" si="21"/>
        <v/>
      </c>
      <c r="R28" s="320" t="str">
        <f t="shared" si="22"/>
        <v/>
      </c>
      <c r="S28" s="320" t="str">
        <f t="shared" si="23"/>
        <v/>
      </c>
      <c r="T28" s="320" t="str">
        <f t="shared" si="24"/>
        <v/>
      </c>
      <c r="U28" s="320" t="str">
        <f t="shared" si="25"/>
        <v/>
      </c>
      <c r="V28" s="320" t="str">
        <f t="shared" si="26"/>
        <v/>
      </c>
      <c r="W28" s="320" t="str">
        <f t="shared" si="27"/>
        <v/>
      </c>
      <c r="X28" s="321"/>
      <c r="Y28" s="320">
        <f t="shared" si="76"/>
        <v>25</v>
      </c>
      <c r="Z28" s="320" t="str">
        <f t="shared" si="28"/>
        <v/>
      </c>
      <c r="AA28" s="320" t="str">
        <f t="shared" si="29"/>
        <v/>
      </c>
      <c r="AB28" s="320" t="str">
        <f t="shared" si="30"/>
        <v/>
      </c>
      <c r="AC28" s="320" t="str">
        <f t="shared" si="31"/>
        <v/>
      </c>
      <c r="AD28" s="320" t="str">
        <f t="shared" si="32"/>
        <v/>
      </c>
      <c r="AE28" s="320" t="str">
        <f t="shared" si="33"/>
        <v/>
      </c>
      <c r="AF28" s="320" t="str">
        <f t="shared" si="34"/>
        <v/>
      </c>
      <c r="AG28" s="321"/>
      <c r="AH28" s="320">
        <f t="shared" si="35"/>
        <v>25</v>
      </c>
      <c r="AI28" s="320" t="str">
        <f t="shared" si="36"/>
        <v/>
      </c>
      <c r="AJ28" s="320" t="str">
        <f t="shared" si="37"/>
        <v/>
      </c>
      <c r="AK28" s="320" t="str">
        <f t="shared" si="38"/>
        <v/>
      </c>
      <c r="AL28" s="320" t="str">
        <f t="shared" si="39"/>
        <v/>
      </c>
      <c r="AM28" s="320" t="str">
        <f t="shared" si="40"/>
        <v/>
      </c>
      <c r="AN28" s="320" t="str">
        <f t="shared" si="41"/>
        <v/>
      </c>
      <c r="AO28" s="320" t="str">
        <f t="shared" si="42"/>
        <v/>
      </c>
      <c r="AP28" s="321"/>
      <c r="AQ28" s="320" t="str">
        <f t="shared" si="43"/>
        <v/>
      </c>
      <c r="AR28" s="320" t="str">
        <f t="shared" si="44"/>
        <v/>
      </c>
      <c r="AS28" s="320" t="str">
        <f t="shared" si="45"/>
        <v/>
      </c>
      <c r="AT28" s="320" t="str">
        <f t="shared" si="46"/>
        <v/>
      </c>
      <c r="AU28" s="320" t="str">
        <f t="shared" si="47"/>
        <v/>
      </c>
      <c r="AV28" s="320" t="str">
        <f t="shared" si="48"/>
        <v/>
      </c>
      <c r="AW28" s="320" t="str">
        <f t="shared" si="49"/>
        <v/>
      </c>
      <c r="AX28" s="320" t="str">
        <f t="shared" si="50"/>
        <v/>
      </c>
      <c r="AY28" s="321"/>
      <c r="AZ28" s="320">
        <f t="shared" si="75"/>
        <v>4</v>
      </c>
      <c r="BA28" s="320" t="str">
        <f t="shared" si="51"/>
        <v/>
      </c>
      <c r="BB28" s="320" t="str">
        <f t="shared" si="52"/>
        <v/>
      </c>
      <c r="BC28" s="320" t="str">
        <f t="shared" si="53"/>
        <v/>
      </c>
      <c r="BD28" s="320" t="str">
        <f t="shared" si="54"/>
        <v/>
      </c>
      <c r="BE28" s="320" t="str">
        <f t="shared" si="55"/>
        <v/>
      </c>
      <c r="BF28" s="320" t="str">
        <f t="shared" si="56"/>
        <v/>
      </c>
      <c r="BG28" s="320" t="str">
        <f t="shared" si="57"/>
        <v/>
      </c>
      <c r="BH28" s="321"/>
      <c r="BI28" s="322"/>
      <c r="BJ28" s="323" t="str">
        <f t="shared" si="58"/>
        <v>P</v>
      </c>
      <c r="BK28" s="321"/>
      <c r="BL28" s="320" t="str">
        <f t="shared" si="59"/>
        <v>P</v>
      </c>
      <c r="BM28" s="320" t="str">
        <f t="shared" si="60"/>
        <v/>
      </c>
      <c r="BN28" s="320" t="str">
        <f t="shared" si="61"/>
        <v/>
      </c>
      <c r="BO28" s="320" t="str">
        <f t="shared" si="62"/>
        <v/>
      </c>
      <c r="BP28" s="320" t="str">
        <f t="shared" si="63"/>
        <v/>
      </c>
      <c r="BQ28" s="320" t="str">
        <f t="shared" si="64"/>
        <v/>
      </c>
      <c r="BR28" s="320" t="str">
        <f t="shared" si="65"/>
        <v/>
      </c>
      <c r="BS28" s="320" t="str">
        <f t="shared" si="66"/>
        <v/>
      </c>
      <c r="BT28" s="298"/>
      <c r="BU28" s="320">
        <f t="shared" si="11"/>
        <v>1</v>
      </c>
      <c r="BW28" s="320" t="str">
        <f t="shared" si="67"/>
        <v/>
      </c>
      <c r="BX28" s="320" t="b">
        <f t="shared" si="68"/>
        <v>0</v>
      </c>
      <c r="BY28" s="320" t="b">
        <f t="shared" si="69"/>
        <v>0</v>
      </c>
      <c r="BZ28" s="320" t="b">
        <f t="shared" si="70"/>
        <v>0</v>
      </c>
      <c r="CA28" s="320" t="b">
        <f t="shared" si="71"/>
        <v>0</v>
      </c>
      <c r="CB28" s="320" t="b">
        <f t="shared" si="72"/>
        <v>0</v>
      </c>
      <c r="CC28" s="320" t="b">
        <f t="shared" si="73"/>
        <v>0</v>
      </c>
      <c r="CD28" s="320" t="b">
        <f t="shared" si="74"/>
        <v>0</v>
      </c>
    </row>
    <row r="29" spans="1:82" s="295" customFormat="1" ht="24" customHeight="1">
      <c r="A29" s="751">
        <v>24</v>
      </c>
      <c r="B29" s="884" t="s">
        <v>858</v>
      </c>
      <c r="C29" s="884" t="s">
        <v>491</v>
      </c>
      <c r="D29" s="919" t="s">
        <v>879</v>
      </c>
      <c r="E29" s="921">
        <v>1</v>
      </c>
      <c r="F29" s="922">
        <v>3</v>
      </c>
      <c r="G29" s="923" t="s">
        <v>882</v>
      </c>
      <c r="H29" s="887" t="s">
        <v>833</v>
      </c>
      <c r="I29" s="924">
        <v>6</v>
      </c>
      <c r="J29" s="924">
        <v>6</v>
      </c>
      <c r="K29" s="923">
        <v>2</v>
      </c>
      <c r="L29" s="923" t="s">
        <v>833</v>
      </c>
      <c r="M29" s="749" t="s">
        <v>884</v>
      </c>
      <c r="N29" s="918">
        <v>6</v>
      </c>
      <c r="O29" s="293"/>
      <c r="P29" s="319" t="str">
        <f t="shared" si="20"/>
        <v>X</v>
      </c>
      <c r="Q29" s="320" t="str">
        <f t="shared" si="21"/>
        <v/>
      </c>
      <c r="R29" s="320" t="str">
        <f t="shared" si="22"/>
        <v/>
      </c>
      <c r="S29" s="320" t="str">
        <f t="shared" si="23"/>
        <v/>
      </c>
      <c r="T29" s="320" t="str">
        <f t="shared" si="24"/>
        <v/>
      </c>
      <c r="U29" s="320" t="str">
        <f t="shared" si="25"/>
        <v/>
      </c>
      <c r="V29" s="320" t="str">
        <f t="shared" si="26"/>
        <v/>
      </c>
      <c r="W29" s="320" t="str">
        <f t="shared" si="27"/>
        <v/>
      </c>
      <c r="X29" s="321"/>
      <c r="Y29" s="320">
        <f t="shared" si="76"/>
        <v>6</v>
      </c>
      <c r="Z29" s="320" t="str">
        <f t="shared" si="28"/>
        <v/>
      </c>
      <c r="AA29" s="320" t="str">
        <f t="shared" si="29"/>
        <v/>
      </c>
      <c r="AB29" s="320" t="str">
        <f t="shared" si="30"/>
        <v/>
      </c>
      <c r="AC29" s="320" t="str">
        <f t="shared" si="31"/>
        <v/>
      </c>
      <c r="AD29" s="320" t="str">
        <f t="shared" si="32"/>
        <v/>
      </c>
      <c r="AE29" s="320" t="str">
        <f t="shared" si="33"/>
        <v/>
      </c>
      <c r="AF29" s="320" t="str">
        <f t="shared" si="34"/>
        <v/>
      </c>
      <c r="AG29" s="321"/>
      <c r="AH29" s="320">
        <f t="shared" si="35"/>
        <v>6</v>
      </c>
      <c r="AI29" s="320" t="str">
        <f t="shared" si="36"/>
        <v/>
      </c>
      <c r="AJ29" s="320" t="str">
        <f t="shared" si="37"/>
        <v/>
      </c>
      <c r="AK29" s="320" t="str">
        <f t="shared" si="38"/>
        <v/>
      </c>
      <c r="AL29" s="320" t="str">
        <f t="shared" si="39"/>
        <v/>
      </c>
      <c r="AM29" s="320" t="str">
        <f t="shared" si="40"/>
        <v/>
      </c>
      <c r="AN29" s="320" t="str">
        <f t="shared" si="41"/>
        <v/>
      </c>
      <c r="AO29" s="320" t="str">
        <f t="shared" si="42"/>
        <v/>
      </c>
      <c r="AP29" s="321"/>
      <c r="AQ29" s="320" t="str">
        <f t="shared" si="43"/>
        <v/>
      </c>
      <c r="AR29" s="320" t="str">
        <f t="shared" si="44"/>
        <v/>
      </c>
      <c r="AS29" s="320" t="str">
        <f t="shared" si="45"/>
        <v/>
      </c>
      <c r="AT29" s="320" t="str">
        <f t="shared" si="46"/>
        <v/>
      </c>
      <c r="AU29" s="320" t="str">
        <f t="shared" si="47"/>
        <v/>
      </c>
      <c r="AV29" s="320" t="str">
        <f t="shared" si="48"/>
        <v/>
      </c>
      <c r="AW29" s="320" t="str">
        <f t="shared" si="49"/>
        <v/>
      </c>
      <c r="AX29" s="320" t="str">
        <f t="shared" si="50"/>
        <v/>
      </c>
      <c r="AY29" s="321"/>
      <c r="AZ29" s="320">
        <f t="shared" si="75"/>
        <v>2</v>
      </c>
      <c r="BA29" s="320" t="str">
        <f t="shared" si="51"/>
        <v/>
      </c>
      <c r="BB29" s="320" t="str">
        <f t="shared" si="52"/>
        <v/>
      </c>
      <c r="BC29" s="320" t="str">
        <f t="shared" si="53"/>
        <v/>
      </c>
      <c r="BD29" s="320" t="str">
        <f t="shared" si="54"/>
        <v/>
      </c>
      <c r="BE29" s="320" t="str">
        <f t="shared" si="55"/>
        <v/>
      </c>
      <c r="BF29" s="320" t="str">
        <f t="shared" si="56"/>
        <v/>
      </c>
      <c r="BG29" s="320" t="str">
        <f t="shared" si="57"/>
        <v/>
      </c>
      <c r="BH29" s="321"/>
      <c r="BI29" s="322"/>
      <c r="BJ29" s="323" t="str">
        <f t="shared" si="58"/>
        <v>P</v>
      </c>
      <c r="BK29" s="321"/>
      <c r="BL29" s="320" t="str">
        <f t="shared" si="59"/>
        <v>P</v>
      </c>
      <c r="BM29" s="320" t="str">
        <f t="shared" si="60"/>
        <v/>
      </c>
      <c r="BN29" s="320" t="str">
        <f t="shared" si="61"/>
        <v/>
      </c>
      <c r="BO29" s="320" t="str">
        <f t="shared" si="62"/>
        <v/>
      </c>
      <c r="BP29" s="320" t="str">
        <f t="shared" si="63"/>
        <v/>
      </c>
      <c r="BQ29" s="320" t="str">
        <f t="shared" si="64"/>
        <v/>
      </c>
      <c r="BR29" s="320" t="str">
        <f t="shared" si="65"/>
        <v/>
      </c>
      <c r="BS29" s="320" t="str">
        <f t="shared" si="66"/>
        <v/>
      </c>
      <c r="BT29" s="298"/>
      <c r="BU29" s="320">
        <f t="shared" si="11"/>
        <v>1</v>
      </c>
      <c r="BW29" s="320" t="str">
        <f t="shared" si="67"/>
        <v/>
      </c>
      <c r="BX29" s="320" t="b">
        <f t="shared" si="68"/>
        <v>0</v>
      </c>
      <c r="BY29" s="320" t="b">
        <f t="shared" si="69"/>
        <v>0</v>
      </c>
      <c r="BZ29" s="320" t="b">
        <f t="shared" si="70"/>
        <v>0</v>
      </c>
      <c r="CA29" s="320" t="b">
        <f t="shared" si="71"/>
        <v>0</v>
      </c>
      <c r="CB29" s="320" t="b">
        <f t="shared" si="72"/>
        <v>0</v>
      </c>
      <c r="CC29" s="320" t="b">
        <f t="shared" si="73"/>
        <v>0</v>
      </c>
      <c r="CD29" s="320" t="b">
        <f t="shared" si="74"/>
        <v>0</v>
      </c>
    </row>
    <row r="30" spans="1:82" s="295" customFormat="1" ht="24" customHeight="1">
      <c r="A30" s="751">
        <v>25</v>
      </c>
      <c r="B30" s="884" t="s">
        <v>859</v>
      </c>
      <c r="C30" s="884" t="s">
        <v>491</v>
      </c>
      <c r="D30" s="919" t="s">
        <v>879</v>
      </c>
      <c r="E30" s="921">
        <v>1</v>
      </c>
      <c r="F30" s="922">
        <v>3</v>
      </c>
      <c r="G30" s="923" t="s">
        <v>882</v>
      </c>
      <c r="H30" s="887" t="s">
        <v>833</v>
      </c>
      <c r="I30" s="924">
        <v>12</v>
      </c>
      <c r="J30" s="924">
        <v>12</v>
      </c>
      <c r="K30" s="923">
        <v>4</v>
      </c>
      <c r="L30" s="923" t="s">
        <v>833</v>
      </c>
      <c r="M30" s="749" t="s">
        <v>884</v>
      </c>
      <c r="N30" s="918">
        <v>6</v>
      </c>
      <c r="O30" s="293"/>
      <c r="P30" s="319" t="str">
        <f t="shared" si="20"/>
        <v>X</v>
      </c>
      <c r="Q30" s="320" t="str">
        <f t="shared" si="21"/>
        <v/>
      </c>
      <c r="R30" s="320" t="str">
        <f t="shared" si="22"/>
        <v/>
      </c>
      <c r="S30" s="320" t="str">
        <f t="shared" si="23"/>
        <v/>
      </c>
      <c r="T30" s="320" t="str">
        <f t="shared" si="24"/>
        <v/>
      </c>
      <c r="U30" s="320" t="str">
        <f t="shared" si="25"/>
        <v/>
      </c>
      <c r="V30" s="320" t="str">
        <f t="shared" si="26"/>
        <v/>
      </c>
      <c r="W30" s="320" t="str">
        <f t="shared" si="27"/>
        <v/>
      </c>
      <c r="X30" s="321"/>
      <c r="Y30" s="320">
        <f t="shared" si="76"/>
        <v>12</v>
      </c>
      <c r="Z30" s="320" t="str">
        <f t="shared" si="28"/>
        <v/>
      </c>
      <c r="AA30" s="320" t="str">
        <f t="shared" si="29"/>
        <v/>
      </c>
      <c r="AB30" s="320" t="str">
        <f t="shared" si="30"/>
        <v/>
      </c>
      <c r="AC30" s="320" t="str">
        <f t="shared" si="31"/>
        <v/>
      </c>
      <c r="AD30" s="320" t="str">
        <f t="shared" si="32"/>
        <v/>
      </c>
      <c r="AE30" s="320" t="str">
        <f t="shared" si="33"/>
        <v/>
      </c>
      <c r="AF30" s="320" t="str">
        <f t="shared" si="34"/>
        <v/>
      </c>
      <c r="AG30" s="321"/>
      <c r="AH30" s="320">
        <f t="shared" si="35"/>
        <v>12</v>
      </c>
      <c r="AI30" s="320" t="str">
        <f t="shared" si="36"/>
        <v/>
      </c>
      <c r="AJ30" s="320" t="str">
        <f t="shared" si="37"/>
        <v/>
      </c>
      <c r="AK30" s="320" t="str">
        <f t="shared" si="38"/>
        <v/>
      </c>
      <c r="AL30" s="320" t="str">
        <f t="shared" si="39"/>
        <v/>
      </c>
      <c r="AM30" s="320" t="str">
        <f t="shared" si="40"/>
        <v/>
      </c>
      <c r="AN30" s="320" t="str">
        <f t="shared" si="41"/>
        <v/>
      </c>
      <c r="AO30" s="320" t="str">
        <f t="shared" si="42"/>
        <v/>
      </c>
      <c r="AP30" s="321"/>
      <c r="AQ30" s="320" t="str">
        <f t="shared" si="43"/>
        <v/>
      </c>
      <c r="AR30" s="320" t="str">
        <f t="shared" si="44"/>
        <v/>
      </c>
      <c r="AS30" s="320" t="str">
        <f t="shared" si="45"/>
        <v/>
      </c>
      <c r="AT30" s="320" t="str">
        <f t="shared" si="46"/>
        <v/>
      </c>
      <c r="AU30" s="320" t="str">
        <f t="shared" si="47"/>
        <v/>
      </c>
      <c r="AV30" s="320" t="str">
        <f t="shared" si="48"/>
        <v/>
      </c>
      <c r="AW30" s="320" t="str">
        <f t="shared" si="49"/>
        <v/>
      </c>
      <c r="AX30" s="320" t="str">
        <f t="shared" si="50"/>
        <v/>
      </c>
      <c r="AY30" s="321"/>
      <c r="AZ30" s="320">
        <f t="shared" si="75"/>
        <v>4</v>
      </c>
      <c r="BA30" s="320" t="str">
        <f t="shared" si="51"/>
        <v/>
      </c>
      <c r="BB30" s="320" t="str">
        <f t="shared" si="52"/>
        <v/>
      </c>
      <c r="BC30" s="320" t="str">
        <f t="shared" si="53"/>
        <v/>
      </c>
      <c r="BD30" s="320" t="str">
        <f t="shared" si="54"/>
        <v/>
      </c>
      <c r="BE30" s="320" t="str">
        <f t="shared" si="55"/>
        <v/>
      </c>
      <c r="BF30" s="320" t="str">
        <f t="shared" si="56"/>
        <v/>
      </c>
      <c r="BG30" s="320" t="str">
        <f t="shared" si="57"/>
        <v/>
      </c>
      <c r="BH30" s="321"/>
      <c r="BI30" s="322"/>
      <c r="BJ30" s="323" t="str">
        <f t="shared" si="58"/>
        <v>P</v>
      </c>
      <c r="BK30" s="321"/>
      <c r="BL30" s="320" t="str">
        <f t="shared" si="59"/>
        <v>P</v>
      </c>
      <c r="BM30" s="320" t="str">
        <f t="shared" si="60"/>
        <v/>
      </c>
      <c r="BN30" s="320" t="str">
        <f t="shared" si="61"/>
        <v/>
      </c>
      <c r="BO30" s="320" t="str">
        <f t="shared" si="62"/>
        <v/>
      </c>
      <c r="BP30" s="320" t="str">
        <f t="shared" si="63"/>
        <v/>
      </c>
      <c r="BQ30" s="320" t="str">
        <f t="shared" si="64"/>
        <v/>
      </c>
      <c r="BR30" s="320" t="str">
        <f t="shared" si="65"/>
        <v/>
      </c>
      <c r="BS30" s="320" t="str">
        <f t="shared" si="66"/>
        <v/>
      </c>
      <c r="BT30" s="298"/>
      <c r="BU30" s="320">
        <f t="shared" si="11"/>
        <v>1</v>
      </c>
      <c r="BW30" s="320" t="str">
        <f t="shared" si="67"/>
        <v/>
      </c>
      <c r="BX30" s="320" t="b">
        <f t="shared" si="68"/>
        <v>0</v>
      </c>
      <c r="BY30" s="320" t="b">
        <f t="shared" si="69"/>
        <v>0</v>
      </c>
      <c r="BZ30" s="320" t="b">
        <f t="shared" si="70"/>
        <v>0</v>
      </c>
      <c r="CA30" s="320" t="b">
        <f t="shared" si="71"/>
        <v>0</v>
      </c>
      <c r="CB30" s="320" t="b">
        <f t="shared" si="72"/>
        <v>0</v>
      </c>
      <c r="CC30" s="320" t="b">
        <f t="shared" si="73"/>
        <v>0</v>
      </c>
      <c r="CD30" s="320" t="b">
        <f t="shared" si="74"/>
        <v>0</v>
      </c>
    </row>
    <row r="31" spans="1:82" s="295" customFormat="1" ht="24" customHeight="1">
      <c r="A31" s="751">
        <v>26</v>
      </c>
      <c r="B31" s="884" t="s">
        <v>860</v>
      </c>
      <c r="C31" s="884" t="s">
        <v>491</v>
      </c>
      <c r="D31" s="919" t="s">
        <v>879</v>
      </c>
      <c r="E31" s="921">
        <v>1</v>
      </c>
      <c r="F31" s="922">
        <v>3</v>
      </c>
      <c r="G31" s="923" t="s">
        <v>882</v>
      </c>
      <c r="H31" s="887" t="s">
        <v>833</v>
      </c>
      <c r="I31" s="924">
        <v>16</v>
      </c>
      <c r="J31" s="924">
        <v>16</v>
      </c>
      <c r="K31" s="923">
        <v>4</v>
      </c>
      <c r="L31" s="923" t="s">
        <v>833</v>
      </c>
      <c r="M31" s="749" t="s">
        <v>884</v>
      </c>
      <c r="N31" s="918">
        <v>6</v>
      </c>
      <c r="O31" s="293"/>
      <c r="P31" s="319" t="str">
        <f t="shared" si="20"/>
        <v>X</v>
      </c>
      <c r="Q31" s="320" t="str">
        <f t="shared" si="21"/>
        <v/>
      </c>
      <c r="R31" s="320" t="str">
        <f t="shared" si="22"/>
        <v/>
      </c>
      <c r="S31" s="320" t="str">
        <f t="shared" si="23"/>
        <v/>
      </c>
      <c r="T31" s="320" t="str">
        <f t="shared" si="24"/>
        <v/>
      </c>
      <c r="U31" s="320" t="str">
        <f t="shared" si="25"/>
        <v/>
      </c>
      <c r="V31" s="320" t="str">
        <f t="shared" si="26"/>
        <v/>
      </c>
      <c r="W31" s="320" t="str">
        <f t="shared" si="27"/>
        <v/>
      </c>
      <c r="X31" s="321"/>
      <c r="Y31" s="320">
        <f t="shared" si="76"/>
        <v>16</v>
      </c>
      <c r="Z31" s="320" t="str">
        <f t="shared" si="28"/>
        <v/>
      </c>
      <c r="AA31" s="320" t="str">
        <f t="shared" si="29"/>
        <v/>
      </c>
      <c r="AB31" s="320" t="str">
        <f t="shared" si="30"/>
        <v/>
      </c>
      <c r="AC31" s="320" t="str">
        <f t="shared" si="31"/>
        <v/>
      </c>
      <c r="AD31" s="320" t="str">
        <f t="shared" si="32"/>
        <v/>
      </c>
      <c r="AE31" s="320" t="str">
        <f t="shared" si="33"/>
        <v/>
      </c>
      <c r="AF31" s="320" t="str">
        <f t="shared" si="34"/>
        <v/>
      </c>
      <c r="AG31" s="321"/>
      <c r="AH31" s="320">
        <f t="shared" si="35"/>
        <v>16</v>
      </c>
      <c r="AI31" s="320" t="str">
        <f t="shared" si="36"/>
        <v/>
      </c>
      <c r="AJ31" s="320" t="str">
        <f t="shared" si="37"/>
        <v/>
      </c>
      <c r="AK31" s="320" t="str">
        <f t="shared" si="38"/>
        <v/>
      </c>
      <c r="AL31" s="320" t="str">
        <f t="shared" si="39"/>
        <v/>
      </c>
      <c r="AM31" s="320" t="str">
        <f t="shared" si="40"/>
        <v/>
      </c>
      <c r="AN31" s="320" t="str">
        <f t="shared" si="41"/>
        <v/>
      </c>
      <c r="AO31" s="320" t="str">
        <f t="shared" si="42"/>
        <v/>
      </c>
      <c r="AP31" s="321"/>
      <c r="AQ31" s="320" t="str">
        <f t="shared" si="43"/>
        <v/>
      </c>
      <c r="AR31" s="320" t="str">
        <f t="shared" si="44"/>
        <v/>
      </c>
      <c r="AS31" s="320" t="str">
        <f t="shared" si="45"/>
        <v/>
      </c>
      <c r="AT31" s="320" t="str">
        <f t="shared" si="46"/>
        <v/>
      </c>
      <c r="AU31" s="320" t="str">
        <f t="shared" si="47"/>
        <v/>
      </c>
      <c r="AV31" s="320" t="str">
        <f t="shared" si="48"/>
        <v/>
      </c>
      <c r="AW31" s="320" t="str">
        <f t="shared" si="49"/>
        <v/>
      </c>
      <c r="AX31" s="320" t="str">
        <f t="shared" si="50"/>
        <v/>
      </c>
      <c r="AY31" s="321"/>
      <c r="AZ31" s="320">
        <f t="shared" si="75"/>
        <v>4</v>
      </c>
      <c r="BA31" s="320" t="str">
        <f t="shared" si="51"/>
        <v/>
      </c>
      <c r="BB31" s="320" t="str">
        <f t="shared" si="52"/>
        <v/>
      </c>
      <c r="BC31" s="320" t="str">
        <f t="shared" si="53"/>
        <v/>
      </c>
      <c r="BD31" s="320" t="str">
        <f t="shared" si="54"/>
        <v/>
      </c>
      <c r="BE31" s="320" t="str">
        <f t="shared" si="55"/>
        <v/>
      </c>
      <c r="BF31" s="320" t="str">
        <f t="shared" si="56"/>
        <v/>
      </c>
      <c r="BG31" s="320" t="str">
        <f t="shared" si="57"/>
        <v/>
      </c>
      <c r="BH31" s="321"/>
      <c r="BI31" s="322"/>
      <c r="BJ31" s="323" t="str">
        <f t="shared" si="58"/>
        <v>P</v>
      </c>
      <c r="BK31" s="321"/>
      <c r="BL31" s="320" t="str">
        <f t="shared" si="59"/>
        <v>P</v>
      </c>
      <c r="BM31" s="320" t="str">
        <f t="shared" si="60"/>
        <v/>
      </c>
      <c r="BN31" s="320" t="str">
        <f t="shared" si="61"/>
        <v/>
      </c>
      <c r="BO31" s="320" t="str">
        <f t="shared" si="62"/>
        <v/>
      </c>
      <c r="BP31" s="320" t="str">
        <f t="shared" si="63"/>
        <v/>
      </c>
      <c r="BQ31" s="320" t="str">
        <f t="shared" si="64"/>
        <v/>
      </c>
      <c r="BR31" s="320" t="str">
        <f t="shared" si="65"/>
        <v/>
      </c>
      <c r="BS31" s="320" t="str">
        <f t="shared" si="66"/>
        <v/>
      </c>
      <c r="BT31" s="298"/>
      <c r="BU31" s="320">
        <f t="shared" si="11"/>
        <v>1</v>
      </c>
      <c r="BW31" s="320" t="str">
        <f t="shared" si="67"/>
        <v/>
      </c>
      <c r="BX31" s="320" t="b">
        <f t="shared" si="68"/>
        <v>0</v>
      </c>
      <c r="BY31" s="320" t="b">
        <f t="shared" si="69"/>
        <v>0</v>
      </c>
      <c r="BZ31" s="320" t="b">
        <f t="shared" si="70"/>
        <v>0</v>
      </c>
      <c r="CA31" s="320" t="b">
        <f t="shared" si="71"/>
        <v>0</v>
      </c>
      <c r="CB31" s="320" t="b">
        <f t="shared" si="72"/>
        <v>0</v>
      </c>
      <c r="CC31" s="320" t="b">
        <f t="shared" si="73"/>
        <v>0</v>
      </c>
      <c r="CD31" s="320" t="b">
        <f t="shared" si="74"/>
        <v>0</v>
      </c>
    </row>
    <row r="32" spans="1:82" s="295" customFormat="1" ht="24" customHeight="1">
      <c r="A32" s="751">
        <v>27</v>
      </c>
      <c r="B32" s="884" t="s">
        <v>861</v>
      </c>
      <c r="C32" s="884" t="s">
        <v>491</v>
      </c>
      <c r="D32" s="919" t="s">
        <v>879</v>
      </c>
      <c r="E32" s="921">
        <v>1</v>
      </c>
      <c r="F32" s="922">
        <v>3</v>
      </c>
      <c r="G32" s="923" t="s">
        <v>882</v>
      </c>
      <c r="H32" s="887" t="s">
        <v>833</v>
      </c>
      <c r="I32" s="924">
        <v>12</v>
      </c>
      <c r="J32" s="924">
        <v>12</v>
      </c>
      <c r="K32" s="923">
        <v>4</v>
      </c>
      <c r="L32" s="923" t="s">
        <v>833</v>
      </c>
      <c r="M32" s="749" t="s">
        <v>884</v>
      </c>
      <c r="N32" s="918">
        <v>6</v>
      </c>
      <c r="O32" s="293"/>
      <c r="P32" s="319" t="str">
        <f t="shared" si="20"/>
        <v>X</v>
      </c>
      <c r="Q32" s="320" t="str">
        <f t="shared" si="21"/>
        <v/>
      </c>
      <c r="R32" s="320" t="str">
        <f t="shared" si="22"/>
        <v/>
      </c>
      <c r="S32" s="320" t="str">
        <f t="shared" si="23"/>
        <v/>
      </c>
      <c r="T32" s="320" t="str">
        <f t="shared" si="24"/>
        <v/>
      </c>
      <c r="U32" s="320" t="str">
        <f t="shared" si="25"/>
        <v/>
      </c>
      <c r="V32" s="320" t="str">
        <f t="shared" si="26"/>
        <v/>
      </c>
      <c r="W32" s="320" t="str">
        <f t="shared" si="27"/>
        <v/>
      </c>
      <c r="X32" s="321"/>
      <c r="Y32" s="320">
        <f t="shared" si="76"/>
        <v>12</v>
      </c>
      <c r="Z32" s="320" t="str">
        <f t="shared" si="28"/>
        <v/>
      </c>
      <c r="AA32" s="320" t="str">
        <f t="shared" si="29"/>
        <v/>
      </c>
      <c r="AB32" s="320" t="str">
        <f t="shared" si="30"/>
        <v/>
      </c>
      <c r="AC32" s="320" t="str">
        <f t="shared" si="31"/>
        <v/>
      </c>
      <c r="AD32" s="320" t="str">
        <f t="shared" si="32"/>
        <v/>
      </c>
      <c r="AE32" s="320" t="str">
        <f t="shared" si="33"/>
        <v/>
      </c>
      <c r="AF32" s="320" t="str">
        <f t="shared" si="34"/>
        <v/>
      </c>
      <c r="AG32" s="321"/>
      <c r="AH32" s="320">
        <f t="shared" si="35"/>
        <v>12</v>
      </c>
      <c r="AI32" s="320" t="str">
        <f t="shared" si="36"/>
        <v/>
      </c>
      <c r="AJ32" s="320" t="str">
        <f t="shared" si="37"/>
        <v/>
      </c>
      <c r="AK32" s="320" t="str">
        <f t="shared" si="38"/>
        <v/>
      </c>
      <c r="AL32" s="320" t="str">
        <f t="shared" si="39"/>
        <v/>
      </c>
      <c r="AM32" s="320" t="str">
        <f t="shared" si="40"/>
        <v/>
      </c>
      <c r="AN32" s="320" t="str">
        <f t="shared" si="41"/>
        <v/>
      </c>
      <c r="AO32" s="320" t="str">
        <f t="shared" si="42"/>
        <v/>
      </c>
      <c r="AP32" s="321"/>
      <c r="AQ32" s="320" t="str">
        <f t="shared" si="43"/>
        <v/>
      </c>
      <c r="AR32" s="320" t="str">
        <f t="shared" si="44"/>
        <v/>
      </c>
      <c r="AS32" s="320" t="str">
        <f t="shared" si="45"/>
        <v/>
      </c>
      <c r="AT32" s="320" t="str">
        <f t="shared" si="46"/>
        <v/>
      </c>
      <c r="AU32" s="320" t="str">
        <f t="shared" si="47"/>
        <v/>
      </c>
      <c r="AV32" s="320" t="str">
        <f t="shared" si="48"/>
        <v/>
      </c>
      <c r="AW32" s="320" t="str">
        <f t="shared" si="49"/>
        <v/>
      </c>
      <c r="AX32" s="320" t="str">
        <f t="shared" si="50"/>
        <v/>
      </c>
      <c r="AY32" s="321"/>
      <c r="AZ32" s="320">
        <f t="shared" si="75"/>
        <v>4</v>
      </c>
      <c r="BA32" s="320" t="str">
        <f t="shared" si="51"/>
        <v/>
      </c>
      <c r="BB32" s="320" t="str">
        <f t="shared" si="52"/>
        <v/>
      </c>
      <c r="BC32" s="320" t="str">
        <f t="shared" si="53"/>
        <v/>
      </c>
      <c r="BD32" s="320" t="str">
        <f t="shared" si="54"/>
        <v/>
      </c>
      <c r="BE32" s="320" t="str">
        <f t="shared" si="55"/>
        <v/>
      </c>
      <c r="BF32" s="320" t="str">
        <f t="shared" si="56"/>
        <v/>
      </c>
      <c r="BG32" s="320" t="str">
        <f t="shared" si="57"/>
        <v/>
      </c>
      <c r="BH32" s="321"/>
      <c r="BI32" s="322"/>
      <c r="BJ32" s="323" t="str">
        <f t="shared" si="58"/>
        <v>P</v>
      </c>
      <c r="BK32" s="321"/>
      <c r="BL32" s="320" t="str">
        <f t="shared" si="59"/>
        <v>P</v>
      </c>
      <c r="BM32" s="320" t="str">
        <f t="shared" si="60"/>
        <v/>
      </c>
      <c r="BN32" s="320" t="str">
        <f t="shared" si="61"/>
        <v/>
      </c>
      <c r="BO32" s="320" t="str">
        <f t="shared" si="62"/>
        <v/>
      </c>
      <c r="BP32" s="320" t="str">
        <f t="shared" si="63"/>
        <v/>
      </c>
      <c r="BQ32" s="320" t="str">
        <f t="shared" si="64"/>
        <v/>
      </c>
      <c r="BR32" s="320" t="str">
        <f t="shared" si="65"/>
        <v/>
      </c>
      <c r="BS32" s="320" t="str">
        <f t="shared" si="66"/>
        <v/>
      </c>
      <c r="BT32" s="298"/>
      <c r="BU32" s="320">
        <f t="shared" si="11"/>
        <v>1</v>
      </c>
      <c r="BW32" s="320" t="str">
        <f t="shared" si="67"/>
        <v/>
      </c>
      <c r="BX32" s="320" t="b">
        <f t="shared" si="68"/>
        <v>0</v>
      </c>
      <c r="BY32" s="320" t="b">
        <f t="shared" si="69"/>
        <v>0</v>
      </c>
      <c r="BZ32" s="320" t="b">
        <f t="shared" si="70"/>
        <v>0</v>
      </c>
      <c r="CA32" s="320" t="b">
        <f t="shared" si="71"/>
        <v>0</v>
      </c>
      <c r="CB32" s="320" t="b">
        <f t="shared" si="72"/>
        <v>0</v>
      </c>
      <c r="CC32" s="320" t="b">
        <f t="shared" si="73"/>
        <v>0</v>
      </c>
      <c r="CD32" s="320" t="b">
        <f t="shared" si="74"/>
        <v>0</v>
      </c>
    </row>
    <row r="33" spans="1:82" s="295" customFormat="1" ht="24" customHeight="1">
      <c r="A33" s="751">
        <v>28</v>
      </c>
      <c r="B33" s="884" t="s">
        <v>862</v>
      </c>
      <c r="C33" s="884" t="s">
        <v>491</v>
      </c>
      <c r="D33" s="919" t="s">
        <v>879</v>
      </c>
      <c r="E33" s="921">
        <v>1</v>
      </c>
      <c r="F33" s="922">
        <v>5</v>
      </c>
      <c r="G33" s="923" t="s">
        <v>882</v>
      </c>
      <c r="H33" s="887" t="s">
        <v>833</v>
      </c>
      <c r="I33" s="924">
        <v>10</v>
      </c>
      <c r="J33" s="924">
        <v>10</v>
      </c>
      <c r="K33" s="923">
        <v>4</v>
      </c>
      <c r="L33" s="923" t="s">
        <v>833</v>
      </c>
      <c r="M33" s="749" t="s">
        <v>884</v>
      </c>
      <c r="N33" s="918">
        <v>6</v>
      </c>
      <c r="O33" s="293"/>
      <c r="P33" s="319" t="str">
        <f t="shared" si="20"/>
        <v>X</v>
      </c>
      <c r="Q33" s="320" t="str">
        <f t="shared" si="21"/>
        <v/>
      </c>
      <c r="R33" s="320" t="str">
        <f t="shared" si="22"/>
        <v/>
      </c>
      <c r="S33" s="320" t="str">
        <f t="shared" si="23"/>
        <v/>
      </c>
      <c r="T33" s="320" t="str">
        <f t="shared" si="24"/>
        <v/>
      </c>
      <c r="U33" s="320" t="str">
        <f t="shared" si="25"/>
        <v/>
      </c>
      <c r="V33" s="320" t="str">
        <f t="shared" si="26"/>
        <v/>
      </c>
      <c r="W33" s="320" t="str">
        <f t="shared" si="27"/>
        <v/>
      </c>
      <c r="X33" s="321"/>
      <c r="Y33" s="320">
        <f t="shared" si="76"/>
        <v>10</v>
      </c>
      <c r="Z33" s="320" t="str">
        <f t="shared" si="28"/>
        <v/>
      </c>
      <c r="AA33" s="320" t="str">
        <f t="shared" si="29"/>
        <v/>
      </c>
      <c r="AB33" s="320" t="str">
        <f t="shared" si="30"/>
        <v/>
      </c>
      <c r="AC33" s="320" t="str">
        <f t="shared" si="31"/>
        <v/>
      </c>
      <c r="AD33" s="320" t="str">
        <f t="shared" si="32"/>
        <v/>
      </c>
      <c r="AE33" s="320" t="str">
        <f t="shared" si="33"/>
        <v/>
      </c>
      <c r="AF33" s="320" t="str">
        <f t="shared" si="34"/>
        <v/>
      </c>
      <c r="AG33" s="321"/>
      <c r="AH33" s="320">
        <f t="shared" si="35"/>
        <v>10</v>
      </c>
      <c r="AI33" s="320" t="str">
        <f t="shared" si="36"/>
        <v/>
      </c>
      <c r="AJ33" s="320" t="str">
        <f t="shared" si="37"/>
        <v/>
      </c>
      <c r="AK33" s="320" t="str">
        <f t="shared" si="38"/>
        <v/>
      </c>
      <c r="AL33" s="320" t="str">
        <f t="shared" si="39"/>
        <v/>
      </c>
      <c r="AM33" s="320" t="str">
        <f t="shared" si="40"/>
        <v/>
      </c>
      <c r="AN33" s="320" t="str">
        <f t="shared" si="41"/>
        <v/>
      </c>
      <c r="AO33" s="320" t="str">
        <f t="shared" si="42"/>
        <v/>
      </c>
      <c r="AP33" s="321"/>
      <c r="AQ33" s="320" t="str">
        <f t="shared" si="43"/>
        <v/>
      </c>
      <c r="AR33" s="320" t="str">
        <f t="shared" si="44"/>
        <v/>
      </c>
      <c r="AS33" s="320" t="str">
        <f t="shared" si="45"/>
        <v/>
      </c>
      <c r="AT33" s="320" t="str">
        <f t="shared" si="46"/>
        <v/>
      </c>
      <c r="AU33" s="320" t="str">
        <f t="shared" si="47"/>
        <v/>
      </c>
      <c r="AV33" s="320" t="str">
        <f t="shared" si="48"/>
        <v/>
      </c>
      <c r="AW33" s="320" t="str">
        <f t="shared" si="49"/>
        <v/>
      </c>
      <c r="AX33" s="320" t="str">
        <f t="shared" si="50"/>
        <v/>
      </c>
      <c r="AY33" s="321"/>
      <c r="AZ33" s="320">
        <f t="shared" si="75"/>
        <v>4</v>
      </c>
      <c r="BA33" s="320" t="str">
        <f t="shared" si="51"/>
        <v/>
      </c>
      <c r="BB33" s="320" t="str">
        <f t="shared" si="52"/>
        <v/>
      </c>
      <c r="BC33" s="320" t="str">
        <f t="shared" si="53"/>
        <v/>
      </c>
      <c r="BD33" s="320" t="str">
        <f t="shared" si="54"/>
        <v/>
      </c>
      <c r="BE33" s="320" t="str">
        <f t="shared" si="55"/>
        <v/>
      </c>
      <c r="BF33" s="320" t="str">
        <f t="shared" si="56"/>
        <v/>
      </c>
      <c r="BG33" s="320" t="str">
        <f t="shared" si="57"/>
        <v/>
      </c>
      <c r="BH33" s="321"/>
      <c r="BI33" s="322"/>
      <c r="BJ33" s="323" t="str">
        <f t="shared" si="58"/>
        <v>P</v>
      </c>
      <c r="BK33" s="321"/>
      <c r="BL33" s="320" t="str">
        <f t="shared" si="59"/>
        <v>P</v>
      </c>
      <c r="BM33" s="320" t="str">
        <f t="shared" si="60"/>
        <v/>
      </c>
      <c r="BN33" s="320" t="str">
        <f t="shared" si="61"/>
        <v/>
      </c>
      <c r="BO33" s="320" t="str">
        <f t="shared" si="62"/>
        <v/>
      </c>
      <c r="BP33" s="320" t="str">
        <f t="shared" si="63"/>
        <v/>
      </c>
      <c r="BQ33" s="320" t="str">
        <f t="shared" si="64"/>
        <v/>
      </c>
      <c r="BR33" s="320" t="str">
        <f t="shared" si="65"/>
        <v/>
      </c>
      <c r="BS33" s="320" t="str">
        <f t="shared" si="66"/>
        <v/>
      </c>
      <c r="BT33" s="298"/>
      <c r="BU33" s="320">
        <f t="shared" si="11"/>
        <v>1</v>
      </c>
      <c r="BW33" s="320" t="str">
        <f t="shared" si="67"/>
        <v/>
      </c>
      <c r="BX33" s="320" t="b">
        <f t="shared" si="68"/>
        <v>0</v>
      </c>
      <c r="BY33" s="320" t="b">
        <f t="shared" si="69"/>
        <v>0</v>
      </c>
      <c r="BZ33" s="320" t="b">
        <f t="shared" si="70"/>
        <v>0</v>
      </c>
      <c r="CA33" s="320" t="b">
        <f t="shared" si="71"/>
        <v>0</v>
      </c>
      <c r="CB33" s="320" t="b">
        <f t="shared" si="72"/>
        <v>0</v>
      </c>
      <c r="CC33" s="320" t="b">
        <f t="shared" si="73"/>
        <v>0</v>
      </c>
      <c r="CD33" s="320" t="b">
        <f t="shared" si="74"/>
        <v>0</v>
      </c>
    </row>
    <row r="34" spans="1:82" s="892" customFormat="1" ht="24" customHeight="1">
      <c r="A34" s="751">
        <v>29</v>
      </c>
      <c r="B34" s="884" t="s">
        <v>863</v>
      </c>
      <c r="C34" s="884" t="s">
        <v>491</v>
      </c>
      <c r="D34" s="919" t="s">
        <v>879</v>
      </c>
      <c r="E34" s="921">
        <v>1</v>
      </c>
      <c r="F34" s="922">
        <v>4</v>
      </c>
      <c r="G34" s="923" t="s">
        <v>882</v>
      </c>
      <c r="H34" s="887" t="s">
        <v>833</v>
      </c>
      <c r="I34" s="924">
        <v>16</v>
      </c>
      <c r="J34" s="924">
        <v>16</v>
      </c>
      <c r="K34" s="923">
        <v>4</v>
      </c>
      <c r="L34" s="923" t="s">
        <v>833</v>
      </c>
      <c r="M34" s="749" t="s">
        <v>884</v>
      </c>
      <c r="N34" s="918">
        <v>6</v>
      </c>
      <c r="O34" s="888"/>
      <c r="P34" s="319" t="str">
        <f t="shared" si="20"/>
        <v>X</v>
      </c>
      <c r="Q34" s="320" t="str">
        <f t="shared" si="21"/>
        <v/>
      </c>
      <c r="R34" s="320" t="str">
        <f t="shared" si="22"/>
        <v/>
      </c>
      <c r="S34" s="320" t="str">
        <f t="shared" si="23"/>
        <v/>
      </c>
      <c r="T34" s="320" t="str">
        <f t="shared" si="24"/>
        <v/>
      </c>
      <c r="U34" s="320" t="str">
        <f t="shared" si="25"/>
        <v/>
      </c>
      <c r="V34" s="320" t="str">
        <f t="shared" si="26"/>
        <v/>
      </c>
      <c r="W34" s="320" t="str">
        <f t="shared" si="27"/>
        <v/>
      </c>
      <c r="X34" s="889"/>
      <c r="Y34" s="320">
        <f t="shared" si="76"/>
        <v>16</v>
      </c>
      <c r="Z34" s="320" t="str">
        <f t="shared" si="28"/>
        <v/>
      </c>
      <c r="AA34" s="320" t="str">
        <f t="shared" si="29"/>
        <v/>
      </c>
      <c r="AB34" s="320" t="str">
        <f t="shared" si="30"/>
        <v/>
      </c>
      <c r="AC34" s="320" t="str">
        <f t="shared" si="31"/>
        <v/>
      </c>
      <c r="AD34" s="320" t="str">
        <f t="shared" si="32"/>
        <v/>
      </c>
      <c r="AE34" s="320" t="str">
        <f t="shared" si="33"/>
        <v/>
      </c>
      <c r="AF34" s="320" t="str">
        <f t="shared" si="34"/>
        <v/>
      </c>
      <c r="AG34" s="889"/>
      <c r="AH34" s="320">
        <f t="shared" si="35"/>
        <v>16</v>
      </c>
      <c r="AI34" s="320" t="str">
        <f t="shared" si="36"/>
        <v/>
      </c>
      <c r="AJ34" s="320" t="str">
        <f t="shared" si="37"/>
        <v/>
      </c>
      <c r="AK34" s="320" t="str">
        <f t="shared" si="38"/>
        <v/>
      </c>
      <c r="AL34" s="320" t="str">
        <f t="shared" si="39"/>
        <v/>
      </c>
      <c r="AM34" s="320" t="str">
        <f t="shared" si="40"/>
        <v/>
      </c>
      <c r="AN34" s="320" t="str">
        <f t="shared" si="41"/>
        <v/>
      </c>
      <c r="AO34" s="320" t="str">
        <f t="shared" si="42"/>
        <v/>
      </c>
      <c r="AP34" s="889"/>
      <c r="AQ34" s="320" t="str">
        <f t="shared" si="43"/>
        <v/>
      </c>
      <c r="AR34" s="320" t="str">
        <f t="shared" si="44"/>
        <v/>
      </c>
      <c r="AS34" s="320" t="str">
        <f t="shared" si="45"/>
        <v/>
      </c>
      <c r="AT34" s="320" t="str">
        <f t="shared" si="46"/>
        <v/>
      </c>
      <c r="AU34" s="320" t="str">
        <f t="shared" si="47"/>
        <v/>
      </c>
      <c r="AV34" s="320" t="str">
        <f t="shared" si="48"/>
        <v/>
      </c>
      <c r="AW34" s="320" t="str">
        <f t="shared" si="49"/>
        <v/>
      </c>
      <c r="AX34" s="320" t="str">
        <f t="shared" si="50"/>
        <v/>
      </c>
      <c r="AY34" s="889"/>
      <c r="AZ34" s="320">
        <f t="shared" si="75"/>
        <v>4</v>
      </c>
      <c r="BA34" s="320" t="str">
        <f t="shared" si="51"/>
        <v/>
      </c>
      <c r="BB34" s="320" t="str">
        <f t="shared" si="52"/>
        <v/>
      </c>
      <c r="BC34" s="320" t="str">
        <f t="shared" si="53"/>
        <v/>
      </c>
      <c r="BD34" s="320" t="str">
        <f t="shared" si="54"/>
        <v/>
      </c>
      <c r="BE34" s="320" t="str">
        <f t="shared" si="55"/>
        <v/>
      </c>
      <c r="BF34" s="320" t="str">
        <f t="shared" si="56"/>
        <v/>
      </c>
      <c r="BG34" s="320" t="str">
        <f t="shared" si="57"/>
        <v/>
      </c>
      <c r="BH34" s="889"/>
      <c r="BI34" s="890"/>
      <c r="BJ34" s="323" t="str">
        <f t="shared" si="58"/>
        <v>P</v>
      </c>
      <c r="BK34" s="889"/>
      <c r="BL34" s="320" t="str">
        <f t="shared" si="59"/>
        <v>P</v>
      </c>
      <c r="BM34" s="320" t="str">
        <f t="shared" si="60"/>
        <v/>
      </c>
      <c r="BN34" s="320" t="str">
        <f t="shared" si="61"/>
        <v/>
      </c>
      <c r="BO34" s="320" t="str">
        <f t="shared" si="62"/>
        <v/>
      </c>
      <c r="BP34" s="320" t="str">
        <f t="shared" si="63"/>
        <v/>
      </c>
      <c r="BQ34" s="320" t="str">
        <f t="shared" si="64"/>
        <v/>
      </c>
      <c r="BR34" s="320" t="str">
        <f t="shared" si="65"/>
        <v/>
      </c>
      <c r="BS34" s="320" t="str">
        <f t="shared" si="66"/>
        <v/>
      </c>
      <c r="BT34" s="891"/>
      <c r="BU34" s="320">
        <f t="shared" si="11"/>
        <v>1</v>
      </c>
      <c r="BW34" s="320" t="str">
        <f t="shared" si="67"/>
        <v/>
      </c>
      <c r="BX34" s="320" t="b">
        <f t="shared" si="68"/>
        <v>0</v>
      </c>
      <c r="BY34" s="320" t="b">
        <f t="shared" si="69"/>
        <v>0</v>
      </c>
      <c r="BZ34" s="320" t="b">
        <f t="shared" si="70"/>
        <v>0</v>
      </c>
      <c r="CA34" s="320" t="b">
        <f t="shared" si="71"/>
        <v>0</v>
      </c>
      <c r="CB34" s="320" t="b">
        <f t="shared" si="72"/>
        <v>0</v>
      </c>
      <c r="CC34" s="320" t="b">
        <f t="shared" si="73"/>
        <v>0</v>
      </c>
      <c r="CD34" s="320" t="b">
        <f t="shared" si="74"/>
        <v>0</v>
      </c>
    </row>
    <row r="35" spans="1:82" s="295" customFormat="1" ht="24" customHeight="1">
      <c r="A35" s="751">
        <v>30</v>
      </c>
      <c r="B35" s="884" t="s">
        <v>864</v>
      </c>
      <c r="C35" s="884" t="s">
        <v>491</v>
      </c>
      <c r="D35" s="884" t="s">
        <v>879</v>
      </c>
      <c r="E35" s="884">
        <v>1</v>
      </c>
      <c r="F35" s="884">
        <v>3</v>
      </c>
      <c r="G35" s="884" t="s">
        <v>882</v>
      </c>
      <c r="H35" s="887" t="s">
        <v>833</v>
      </c>
      <c r="I35" s="884">
        <v>7</v>
      </c>
      <c r="J35" s="884">
        <v>7</v>
      </c>
      <c r="K35" s="884">
        <v>3</v>
      </c>
      <c r="L35" s="884" t="s">
        <v>833</v>
      </c>
      <c r="M35" s="749" t="s">
        <v>884</v>
      </c>
      <c r="N35" s="918">
        <v>6</v>
      </c>
      <c r="O35" s="293"/>
      <c r="P35" s="319" t="str">
        <f t="shared" si="20"/>
        <v>X</v>
      </c>
      <c r="Q35" s="320" t="str">
        <f t="shared" si="21"/>
        <v/>
      </c>
      <c r="R35" s="320" t="str">
        <f t="shared" si="22"/>
        <v/>
      </c>
      <c r="S35" s="320" t="str">
        <f t="shared" si="23"/>
        <v/>
      </c>
      <c r="T35" s="320" t="str">
        <f t="shared" si="24"/>
        <v/>
      </c>
      <c r="U35" s="320" t="str">
        <f t="shared" si="25"/>
        <v/>
      </c>
      <c r="V35" s="320" t="str">
        <f t="shared" si="26"/>
        <v/>
      </c>
      <c r="W35" s="320" t="str">
        <f t="shared" si="27"/>
        <v/>
      </c>
      <c r="X35" s="321"/>
      <c r="Y35" s="320">
        <f t="shared" si="76"/>
        <v>7</v>
      </c>
      <c r="Z35" s="320" t="str">
        <f t="shared" si="28"/>
        <v/>
      </c>
      <c r="AA35" s="320" t="str">
        <f t="shared" si="29"/>
        <v/>
      </c>
      <c r="AB35" s="320" t="str">
        <f t="shared" si="30"/>
        <v/>
      </c>
      <c r="AC35" s="320" t="str">
        <f t="shared" si="31"/>
        <v/>
      </c>
      <c r="AD35" s="320" t="str">
        <f t="shared" si="32"/>
        <v/>
      </c>
      <c r="AE35" s="320" t="str">
        <f t="shared" si="33"/>
        <v/>
      </c>
      <c r="AF35" s="320" t="str">
        <f t="shared" si="34"/>
        <v/>
      </c>
      <c r="AG35" s="321"/>
      <c r="AH35" s="320">
        <f t="shared" si="35"/>
        <v>7</v>
      </c>
      <c r="AI35" s="320" t="str">
        <f t="shared" si="36"/>
        <v/>
      </c>
      <c r="AJ35" s="320" t="str">
        <f t="shared" si="37"/>
        <v/>
      </c>
      <c r="AK35" s="320" t="str">
        <f t="shared" si="38"/>
        <v/>
      </c>
      <c r="AL35" s="320" t="str">
        <f t="shared" si="39"/>
        <v/>
      </c>
      <c r="AM35" s="320" t="str">
        <f t="shared" si="40"/>
        <v/>
      </c>
      <c r="AN35" s="320" t="str">
        <f t="shared" si="41"/>
        <v/>
      </c>
      <c r="AO35" s="320" t="str">
        <f t="shared" si="42"/>
        <v/>
      </c>
      <c r="AP35" s="321"/>
      <c r="AQ35" s="320" t="str">
        <f t="shared" si="43"/>
        <v/>
      </c>
      <c r="AR35" s="320" t="str">
        <f t="shared" si="44"/>
        <v/>
      </c>
      <c r="AS35" s="320" t="str">
        <f t="shared" si="45"/>
        <v/>
      </c>
      <c r="AT35" s="320" t="str">
        <f t="shared" si="46"/>
        <v/>
      </c>
      <c r="AU35" s="320" t="str">
        <f t="shared" si="47"/>
        <v/>
      </c>
      <c r="AV35" s="320" t="str">
        <f t="shared" si="48"/>
        <v/>
      </c>
      <c r="AW35" s="320" t="str">
        <f t="shared" si="49"/>
        <v/>
      </c>
      <c r="AX35" s="320" t="str">
        <f t="shared" si="50"/>
        <v/>
      </c>
      <c r="AY35" s="321"/>
      <c r="AZ35" s="320">
        <f t="shared" si="75"/>
        <v>3</v>
      </c>
      <c r="BA35" s="320" t="str">
        <f t="shared" si="51"/>
        <v/>
      </c>
      <c r="BB35" s="320" t="str">
        <f t="shared" si="52"/>
        <v/>
      </c>
      <c r="BC35" s="320" t="str">
        <f t="shared" si="53"/>
        <v/>
      </c>
      <c r="BD35" s="320" t="str">
        <f t="shared" si="54"/>
        <v/>
      </c>
      <c r="BE35" s="320" t="str">
        <f t="shared" si="55"/>
        <v/>
      </c>
      <c r="BF35" s="320" t="str">
        <f t="shared" si="56"/>
        <v/>
      </c>
      <c r="BG35" s="320" t="str">
        <f t="shared" si="57"/>
        <v/>
      </c>
      <c r="BH35" s="321"/>
      <c r="BI35" s="322"/>
      <c r="BJ35" s="323" t="str">
        <f t="shared" si="58"/>
        <v>P</v>
      </c>
      <c r="BK35" s="321"/>
      <c r="BL35" s="320" t="str">
        <f t="shared" si="59"/>
        <v>P</v>
      </c>
      <c r="BM35" s="320" t="str">
        <f t="shared" si="60"/>
        <v/>
      </c>
      <c r="BN35" s="320" t="str">
        <f t="shared" si="61"/>
        <v/>
      </c>
      <c r="BO35" s="320" t="str">
        <f t="shared" si="62"/>
        <v/>
      </c>
      <c r="BP35" s="320" t="str">
        <f t="shared" si="63"/>
        <v/>
      </c>
      <c r="BQ35" s="320" t="str">
        <f t="shared" si="64"/>
        <v/>
      </c>
      <c r="BR35" s="320" t="str">
        <f t="shared" si="65"/>
        <v/>
      </c>
      <c r="BS35" s="320" t="str">
        <f t="shared" si="66"/>
        <v/>
      </c>
      <c r="BT35" s="298"/>
      <c r="BU35" s="320">
        <f t="shared" si="11"/>
        <v>1</v>
      </c>
      <c r="BW35" s="320" t="str">
        <f t="shared" si="67"/>
        <v/>
      </c>
      <c r="BX35" s="320" t="b">
        <f t="shared" si="68"/>
        <v>0</v>
      </c>
      <c r="BY35" s="320" t="b">
        <f t="shared" si="69"/>
        <v>0</v>
      </c>
      <c r="BZ35" s="320" t="b">
        <f t="shared" si="70"/>
        <v>0</v>
      </c>
      <c r="CA35" s="320" t="b">
        <f t="shared" si="71"/>
        <v>0</v>
      </c>
      <c r="CB35" s="320" t="b">
        <f t="shared" si="72"/>
        <v>0</v>
      </c>
      <c r="CC35" s="320" t="b">
        <f t="shared" si="73"/>
        <v>0</v>
      </c>
      <c r="CD35" s="320" t="b">
        <f t="shared" si="74"/>
        <v>0</v>
      </c>
    </row>
    <row r="36" spans="1:82" s="295" customFormat="1" ht="24" customHeight="1">
      <c r="A36" s="751">
        <v>31</v>
      </c>
      <c r="B36" s="884" t="s">
        <v>865</v>
      </c>
      <c r="C36" s="884" t="s">
        <v>491</v>
      </c>
      <c r="D36" s="884" t="s">
        <v>879</v>
      </c>
      <c r="E36" s="884">
        <v>1</v>
      </c>
      <c r="F36" s="884">
        <v>3</v>
      </c>
      <c r="G36" s="884" t="s">
        <v>882</v>
      </c>
      <c r="H36" s="887" t="s">
        <v>833</v>
      </c>
      <c r="I36" s="884">
        <v>18</v>
      </c>
      <c r="J36" s="884">
        <v>18</v>
      </c>
      <c r="K36" s="884">
        <v>4</v>
      </c>
      <c r="L36" s="884" t="s">
        <v>833</v>
      </c>
      <c r="M36" s="749" t="s">
        <v>884</v>
      </c>
      <c r="N36" s="918">
        <v>6</v>
      </c>
      <c r="O36" s="293"/>
      <c r="P36" s="319" t="str">
        <f t="shared" si="20"/>
        <v>X</v>
      </c>
      <c r="Q36" s="320" t="str">
        <f t="shared" si="21"/>
        <v/>
      </c>
      <c r="R36" s="320" t="str">
        <f t="shared" si="22"/>
        <v/>
      </c>
      <c r="S36" s="320" t="str">
        <f t="shared" si="23"/>
        <v/>
      </c>
      <c r="T36" s="320" t="str">
        <f t="shared" si="24"/>
        <v/>
      </c>
      <c r="U36" s="320" t="str">
        <f t="shared" si="25"/>
        <v/>
      </c>
      <c r="V36" s="320" t="str">
        <f t="shared" si="26"/>
        <v/>
      </c>
      <c r="W36" s="320" t="str">
        <f t="shared" si="27"/>
        <v/>
      </c>
      <c r="X36" s="321"/>
      <c r="Y36" s="320">
        <f t="shared" si="76"/>
        <v>18</v>
      </c>
      <c r="Z36" s="320" t="str">
        <f t="shared" si="28"/>
        <v/>
      </c>
      <c r="AA36" s="320" t="str">
        <f t="shared" si="29"/>
        <v/>
      </c>
      <c r="AB36" s="320" t="str">
        <f t="shared" si="30"/>
        <v/>
      </c>
      <c r="AC36" s="320" t="str">
        <f t="shared" si="31"/>
        <v/>
      </c>
      <c r="AD36" s="320" t="str">
        <f t="shared" si="32"/>
        <v/>
      </c>
      <c r="AE36" s="320" t="str">
        <f t="shared" si="33"/>
        <v/>
      </c>
      <c r="AF36" s="320" t="str">
        <f t="shared" si="34"/>
        <v/>
      </c>
      <c r="AG36" s="321"/>
      <c r="AH36" s="320">
        <f t="shared" si="35"/>
        <v>18</v>
      </c>
      <c r="AI36" s="320" t="str">
        <f t="shared" si="36"/>
        <v/>
      </c>
      <c r="AJ36" s="320" t="str">
        <f t="shared" si="37"/>
        <v/>
      </c>
      <c r="AK36" s="320" t="str">
        <f t="shared" si="38"/>
        <v/>
      </c>
      <c r="AL36" s="320" t="str">
        <f t="shared" si="39"/>
        <v/>
      </c>
      <c r="AM36" s="320" t="str">
        <f t="shared" si="40"/>
        <v/>
      </c>
      <c r="AN36" s="320" t="str">
        <f t="shared" si="41"/>
        <v/>
      </c>
      <c r="AO36" s="320" t="str">
        <f t="shared" si="42"/>
        <v/>
      </c>
      <c r="AP36" s="321"/>
      <c r="AQ36" s="320" t="str">
        <f t="shared" si="43"/>
        <v/>
      </c>
      <c r="AR36" s="320" t="str">
        <f t="shared" si="44"/>
        <v/>
      </c>
      <c r="AS36" s="320" t="str">
        <f t="shared" si="45"/>
        <v/>
      </c>
      <c r="AT36" s="320" t="str">
        <f t="shared" si="46"/>
        <v/>
      </c>
      <c r="AU36" s="320" t="str">
        <f t="shared" si="47"/>
        <v/>
      </c>
      <c r="AV36" s="320" t="str">
        <f t="shared" si="48"/>
        <v/>
      </c>
      <c r="AW36" s="320" t="str">
        <f t="shared" si="49"/>
        <v/>
      </c>
      <c r="AX36" s="320" t="str">
        <f t="shared" si="50"/>
        <v/>
      </c>
      <c r="AY36" s="321"/>
      <c r="AZ36" s="320">
        <f t="shared" si="75"/>
        <v>4</v>
      </c>
      <c r="BA36" s="320" t="str">
        <f t="shared" si="51"/>
        <v/>
      </c>
      <c r="BB36" s="320" t="str">
        <f t="shared" si="52"/>
        <v/>
      </c>
      <c r="BC36" s="320" t="str">
        <f t="shared" si="53"/>
        <v/>
      </c>
      <c r="BD36" s="320" t="str">
        <f t="shared" si="54"/>
        <v/>
      </c>
      <c r="BE36" s="320" t="str">
        <f t="shared" si="55"/>
        <v/>
      </c>
      <c r="BF36" s="320" t="str">
        <f t="shared" si="56"/>
        <v/>
      </c>
      <c r="BG36" s="320" t="str">
        <f t="shared" si="57"/>
        <v/>
      </c>
      <c r="BH36" s="321"/>
      <c r="BI36" s="322"/>
      <c r="BJ36" s="323" t="str">
        <f t="shared" si="58"/>
        <v>P</v>
      </c>
      <c r="BK36" s="321"/>
      <c r="BL36" s="320" t="str">
        <f t="shared" si="59"/>
        <v>P</v>
      </c>
      <c r="BM36" s="320" t="str">
        <f t="shared" si="60"/>
        <v/>
      </c>
      <c r="BN36" s="320" t="str">
        <f t="shared" si="61"/>
        <v/>
      </c>
      <c r="BO36" s="320" t="str">
        <f t="shared" si="62"/>
        <v/>
      </c>
      <c r="BP36" s="320" t="str">
        <f t="shared" si="63"/>
        <v/>
      </c>
      <c r="BQ36" s="320" t="str">
        <f t="shared" si="64"/>
        <v/>
      </c>
      <c r="BR36" s="320" t="str">
        <f t="shared" si="65"/>
        <v/>
      </c>
      <c r="BS36" s="320" t="str">
        <f t="shared" si="66"/>
        <v/>
      </c>
      <c r="BT36" s="298"/>
      <c r="BU36" s="320">
        <f t="shared" si="11"/>
        <v>1</v>
      </c>
      <c r="BW36" s="320" t="str">
        <f t="shared" si="67"/>
        <v/>
      </c>
      <c r="BX36" s="320" t="b">
        <f t="shared" si="68"/>
        <v>0</v>
      </c>
      <c r="BY36" s="320" t="b">
        <f t="shared" si="69"/>
        <v>0</v>
      </c>
      <c r="BZ36" s="320" t="b">
        <f t="shared" si="70"/>
        <v>0</v>
      </c>
      <c r="CA36" s="320" t="b">
        <f t="shared" si="71"/>
        <v>0</v>
      </c>
      <c r="CB36" s="320" t="b">
        <f t="shared" si="72"/>
        <v>0</v>
      </c>
      <c r="CC36" s="320" t="b">
        <f t="shared" si="73"/>
        <v>0</v>
      </c>
      <c r="CD36" s="320" t="b">
        <f t="shared" si="74"/>
        <v>0</v>
      </c>
    </row>
    <row r="37" spans="1:82" s="295" customFormat="1" ht="24" customHeight="1">
      <c r="A37" s="751">
        <v>32</v>
      </c>
      <c r="B37" s="884" t="s">
        <v>866</v>
      </c>
      <c r="C37" s="884" t="s">
        <v>491</v>
      </c>
      <c r="D37" s="884" t="s">
        <v>879</v>
      </c>
      <c r="E37" s="884">
        <v>1</v>
      </c>
      <c r="F37" s="884">
        <v>3</v>
      </c>
      <c r="G37" s="884" t="s">
        <v>882</v>
      </c>
      <c r="H37" s="887" t="s">
        <v>833</v>
      </c>
      <c r="I37" s="884">
        <v>18</v>
      </c>
      <c r="J37" s="884">
        <v>18</v>
      </c>
      <c r="K37" s="884">
        <v>4</v>
      </c>
      <c r="L37" s="884" t="s">
        <v>833</v>
      </c>
      <c r="M37" s="749" t="s">
        <v>884</v>
      </c>
      <c r="N37" s="918">
        <v>6</v>
      </c>
      <c r="O37" s="293"/>
      <c r="P37" s="319" t="str">
        <f t="shared" si="20"/>
        <v>X</v>
      </c>
      <c r="Q37" s="320" t="str">
        <f t="shared" si="21"/>
        <v/>
      </c>
      <c r="R37" s="320" t="str">
        <f t="shared" si="22"/>
        <v/>
      </c>
      <c r="S37" s="320" t="str">
        <f t="shared" si="23"/>
        <v/>
      </c>
      <c r="T37" s="320" t="str">
        <f t="shared" si="24"/>
        <v/>
      </c>
      <c r="U37" s="320" t="str">
        <f t="shared" si="25"/>
        <v/>
      </c>
      <c r="V37" s="320" t="str">
        <f t="shared" si="26"/>
        <v/>
      </c>
      <c r="W37" s="320" t="str">
        <f t="shared" si="27"/>
        <v/>
      </c>
      <c r="X37" s="321"/>
      <c r="Y37" s="320">
        <f t="shared" si="76"/>
        <v>18</v>
      </c>
      <c r="Z37" s="320" t="str">
        <f t="shared" si="28"/>
        <v/>
      </c>
      <c r="AA37" s="320" t="str">
        <f t="shared" si="29"/>
        <v/>
      </c>
      <c r="AB37" s="320" t="str">
        <f t="shared" si="30"/>
        <v/>
      </c>
      <c r="AC37" s="320" t="str">
        <f t="shared" si="31"/>
        <v/>
      </c>
      <c r="AD37" s="320" t="str">
        <f t="shared" si="32"/>
        <v/>
      </c>
      <c r="AE37" s="320" t="str">
        <f t="shared" si="33"/>
        <v/>
      </c>
      <c r="AF37" s="320" t="str">
        <f t="shared" si="34"/>
        <v/>
      </c>
      <c r="AG37" s="321"/>
      <c r="AH37" s="320">
        <f t="shared" si="35"/>
        <v>18</v>
      </c>
      <c r="AI37" s="320" t="str">
        <f t="shared" si="36"/>
        <v/>
      </c>
      <c r="AJ37" s="320" t="str">
        <f t="shared" si="37"/>
        <v/>
      </c>
      <c r="AK37" s="320" t="str">
        <f t="shared" si="38"/>
        <v/>
      </c>
      <c r="AL37" s="320" t="str">
        <f t="shared" si="39"/>
        <v/>
      </c>
      <c r="AM37" s="320" t="str">
        <f t="shared" si="40"/>
        <v/>
      </c>
      <c r="AN37" s="320" t="str">
        <f t="shared" si="41"/>
        <v/>
      </c>
      <c r="AO37" s="320" t="str">
        <f t="shared" si="42"/>
        <v/>
      </c>
      <c r="AP37" s="321"/>
      <c r="AQ37" s="320" t="str">
        <f t="shared" si="43"/>
        <v/>
      </c>
      <c r="AR37" s="320" t="str">
        <f t="shared" si="44"/>
        <v/>
      </c>
      <c r="AS37" s="320" t="str">
        <f t="shared" si="45"/>
        <v/>
      </c>
      <c r="AT37" s="320" t="str">
        <f t="shared" si="46"/>
        <v/>
      </c>
      <c r="AU37" s="320" t="str">
        <f t="shared" si="47"/>
        <v/>
      </c>
      <c r="AV37" s="320" t="str">
        <f t="shared" si="48"/>
        <v/>
      </c>
      <c r="AW37" s="320" t="str">
        <f t="shared" si="49"/>
        <v/>
      </c>
      <c r="AX37" s="320" t="str">
        <f t="shared" si="50"/>
        <v/>
      </c>
      <c r="AY37" s="321"/>
      <c r="AZ37" s="320">
        <f t="shared" si="75"/>
        <v>4</v>
      </c>
      <c r="BA37" s="320" t="str">
        <f t="shared" si="51"/>
        <v/>
      </c>
      <c r="BB37" s="320" t="str">
        <f t="shared" si="52"/>
        <v/>
      </c>
      <c r="BC37" s="320" t="str">
        <f t="shared" si="53"/>
        <v/>
      </c>
      <c r="BD37" s="320" t="str">
        <f t="shared" si="54"/>
        <v/>
      </c>
      <c r="BE37" s="320" t="str">
        <f t="shared" si="55"/>
        <v/>
      </c>
      <c r="BF37" s="320" t="str">
        <f t="shared" si="56"/>
        <v/>
      </c>
      <c r="BG37" s="320" t="str">
        <f t="shared" si="57"/>
        <v/>
      </c>
      <c r="BH37" s="321"/>
      <c r="BI37" s="322"/>
      <c r="BJ37" s="323" t="str">
        <f t="shared" si="58"/>
        <v>P</v>
      </c>
      <c r="BK37" s="321"/>
      <c r="BL37" s="320" t="str">
        <f t="shared" si="59"/>
        <v>P</v>
      </c>
      <c r="BM37" s="320" t="str">
        <f t="shared" si="60"/>
        <v/>
      </c>
      <c r="BN37" s="320" t="str">
        <f t="shared" si="61"/>
        <v/>
      </c>
      <c r="BO37" s="320" t="str">
        <f t="shared" si="62"/>
        <v/>
      </c>
      <c r="BP37" s="320" t="str">
        <f t="shared" si="63"/>
        <v/>
      </c>
      <c r="BQ37" s="320" t="str">
        <f t="shared" si="64"/>
        <v/>
      </c>
      <c r="BR37" s="320" t="str">
        <f t="shared" si="65"/>
        <v/>
      </c>
      <c r="BS37" s="320" t="str">
        <f t="shared" si="66"/>
        <v/>
      </c>
      <c r="BT37" s="298"/>
      <c r="BU37" s="320">
        <f t="shared" si="11"/>
        <v>1</v>
      </c>
      <c r="BW37" s="320" t="str">
        <f t="shared" si="67"/>
        <v/>
      </c>
      <c r="BX37" s="320" t="b">
        <f t="shared" si="68"/>
        <v>0</v>
      </c>
      <c r="BY37" s="320" t="b">
        <f t="shared" si="69"/>
        <v>0</v>
      </c>
      <c r="BZ37" s="320" t="b">
        <f t="shared" si="70"/>
        <v>0</v>
      </c>
      <c r="CA37" s="320" t="b">
        <f t="shared" si="71"/>
        <v>0</v>
      </c>
      <c r="CB37" s="320" t="b">
        <f t="shared" si="72"/>
        <v>0</v>
      </c>
      <c r="CC37" s="320" t="b">
        <f t="shared" si="73"/>
        <v>0</v>
      </c>
      <c r="CD37" s="320" t="b">
        <f t="shared" si="74"/>
        <v>0</v>
      </c>
    </row>
    <row r="38" spans="1:82" s="892" customFormat="1" ht="24" customHeight="1">
      <c r="A38" s="751">
        <v>33</v>
      </c>
      <c r="B38" s="884" t="s">
        <v>867</v>
      </c>
      <c r="C38" s="884" t="s">
        <v>491</v>
      </c>
      <c r="D38" s="884" t="s">
        <v>879</v>
      </c>
      <c r="E38" s="884">
        <v>1</v>
      </c>
      <c r="F38" s="884">
        <v>5</v>
      </c>
      <c r="G38" s="884" t="s">
        <v>882</v>
      </c>
      <c r="H38" s="887" t="s">
        <v>833</v>
      </c>
      <c r="I38" s="884">
        <v>25</v>
      </c>
      <c r="J38" s="884">
        <v>25</v>
      </c>
      <c r="K38" s="884">
        <v>4</v>
      </c>
      <c r="L38" s="884" t="s">
        <v>833</v>
      </c>
      <c r="M38" s="749" t="s">
        <v>884</v>
      </c>
      <c r="N38" s="918">
        <v>6</v>
      </c>
      <c r="O38" s="888"/>
      <c r="P38" s="319" t="str">
        <f t="shared" si="20"/>
        <v>X</v>
      </c>
      <c r="Q38" s="320" t="str">
        <f t="shared" si="21"/>
        <v/>
      </c>
      <c r="R38" s="320" t="str">
        <f t="shared" si="22"/>
        <v/>
      </c>
      <c r="S38" s="320" t="str">
        <f t="shared" si="23"/>
        <v/>
      </c>
      <c r="T38" s="320" t="str">
        <f t="shared" si="24"/>
        <v/>
      </c>
      <c r="U38" s="320" t="str">
        <f t="shared" si="25"/>
        <v/>
      </c>
      <c r="V38" s="320" t="str">
        <f t="shared" si="26"/>
        <v/>
      </c>
      <c r="W38" s="320" t="str">
        <f t="shared" si="27"/>
        <v/>
      </c>
      <c r="X38" s="889"/>
      <c r="Y38" s="320">
        <f t="shared" si="76"/>
        <v>25</v>
      </c>
      <c r="Z38" s="320" t="str">
        <f t="shared" si="28"/>
        <v/>
      </c>
      <c r="AA38" s="320" t="str">
        <f t="shared" si="29"/>
        <v/>
      </c>
      <c r="AB38" s="320" t="str">
        <f t="shared" si="30"/>
        <v/>
      </c>
      <c r="AC38" s="320" t="str">
        <f t="shared" si="31"/>
        <v/>
      </c>
      <c r="AD38" s="320" t="str">
        <f t="shared" si="32"/>
        <v/>
      </c>
      <c r="AE38" s="320" t="str">
        <f t="shared" si="33"/>
        <v/>
      </c>
      <c r="AF38" s="320" t="str">
        <f t="shared" si="34"/>
        <v/>
      </c>
      <c r="AG38" s="889"/>
      <c r="AH38" s="320">
        <f t="shared" si="35"/>
        <v>25</v>
      </c>
      <c r="AI38" s="320" t="str">
        <f t="shared" si="36"/>
        <v/>
      </c>
      <c r="AJ38" s="320" t="str">
        <f t="shared" si="37"/>
        <v/>
      </c>
      <c r="AK38" s="320" t="str">
        <f t="shared" si="38"/>
        <v/>
      </c>
      <c r="AL38" s="320" t="str">
        <f t="shared" si="39"/>
        <v/>
      </c>
      <c r="AM38" s="320" t="str">
        <f t="shared" si="40"/>
        <v/>
      </c>
      <c r="AN38" s="320" t="str">
        <f t="shared" si="41"/>
        <v/>
      </c>
      <c r="AO38" s="320" t="str">
        <f t="shared" si="42"/>
        <v/>
      </c>
      <c r="AP38" s="889"/>
      <c r="AQ38" s="320" t="str">
        <f t="shared" si="43"/>
        <v/>
      </c>
      <c r="AR38" s="320" t="str">
        <f t="shared" si="44"/>
        <v/>
      </c>
      <c r="AS38" s="320" t="str">
        <f t="shared" si="45"/>
        <v/>
      </c>
      <c r="AT38" s="320" t="str">
        <f t="shared" si="46"/>
        <v/>
      </c>
      <c r="AU38" s="320" t="str">
        <f t="shared" si="47"/>
        <v/>
      </c>
      <c r="AV38" s="320" t="str">
        <f t="shared" si="48"/>
        <v/>
      </c>
      <c r="AW38" s="320" t="str">
        <f t="shared" si="49"/>
        <v/>
      </c>
      <c r="AX38" s="320" t="str">
        <f t="shared" si="50"/>
        <v/>
      </c>
      <c r="AY38" s="889"/>
      <c r="AZ38" s="320">
        <f t="shared" si="75"/>
        <v>4</v>
      </c>
      <c r="BA38" s="320" t="str">
        <f t="shared" si="51"/>
        <v/>
      </c>
      <c r="BB38" s="320" t="str">
        <f t="shared" si="52"/>
        <v/>
      </c>
      <c r="BC38" s="320" t="str">
        <f t="shared" si="53"/>
        <v/>
      </c>
      <c r="BD38" s="320" t="str">
        <f t="shared" si="54"/>
        <v/>
      </c>
      <c r="BE38" s="320" t="str">
        <f t="shared" si="55"/>
        <v/>
      </c>
      <c r="BF38" s="320" t="str">
        <f t="shared" si="56"/>
        <v/>
      </c>
      <c r="BG38" s="320" t="str">
        <f t="shared" si="57"/>
        <v/>
      </c>
      <c r="BH38" s="889"/>
      <c r="BI38" s="890"/>
      <c r="BJ38" s="323" t="str">
        <f t="shared" si="58"/>
        <v>P</v>
      </c>
      <c r="BK38" s="889"/>
      <c r="BL38" s="320" t="str">
        <f t="shared" si="59"/>
        <v>P</v>
      </c>
      <c r="BM38" s="320" t="str">
        <f t="shared" si="60"/>
        <v/>
      </c>
      <c r="BN38" s="320" t="str">
        <f t="shared" si="61"/>
        <v/>
      </c>
      <c r="BO38" s="320" t="str">
        <f t="shared" si="62"/>
        <v/>
      </c>
      <c r="BP38" s="320" t="str">
        <f t="shared" si="63"/>
        <v/>
      </c>
      <c r="BQ38" s="320" t="str">
        <f t="shared" si="64"/>
        <v/>
      </c>
      <c r="BR38" s="320" t="str">
        <f t="shared" si="65"/>
        <v/>
      </c>
      <c r="BS38" s="320" t="str">
        <f t="shared" si="66"/>
        <v/>
      </c>
      <c r="BT38" s="891"/>
      <c r="BU38" s="320">
        <f t="shared" si="11"/>
        <v>1</v>
      </c>
      <c r="BW38" s="320" t="str">
        <f t="shared" si="67"/>
        <v/>
      </c>
      <c r="BX38" s="320" t="b">
        <f t="shared" si="68"/>
        <v>0</v>
      </c>
      <c r="BY38" s="320" t="b">
        <f t="shared" si="69"/>
        <v>0</v>
      </c>
      <c r="BZ38" s="320" t="b">
        <f t="shared" si="70"/>
        <v>0</v>
      </c>
      <c r="CA38" s="320" t="b">
        <f t="shared" si="71"/>
        <v>0</v>
      </c>
      <c r="CB38" s="320" t="b">
        <f t="shared" si="72"/>
        <v>0</v>
      </c>
      <c r="CC38" s="320" t="b">
        <f t="shared" si="73"/>
        <v>0</v>
      </c>
      <c r="CD38" s="320" t="b">
        <f t="shared" si="74"/>
        <v>0</v>
      </c>
    </row>
    <row r="39" spans="1:82" s="892" customFormat="1" ht="24" customHeight="1">
      <c r="A39" s="751">
        <v>34</v>
      </c>
      <c r="B39" s="884" t="s">
        <v>868</v>
      </c>
      <c r="C39" s="884" t="s">
        <v>491</v>
      </c>
      <c r="D39" s="884" t="s">
        <v>879</v>
      </c>
      <c r="E39" s="884">
        <v>1</v>
      </c>
      <c r="F39" s="884">
        <v>3</v>
      </c>
      <c r="G39" s="884" t="s">
        <v>882</v>
      </c>
      <c r="H39" s="887" t="s">
        <v>833</v>
      </c>
      <c r="I39" s="884">
        <v>25</v>
      </c>
      <c r="J39" s="884">
        <v>25</v>
      </c>
      <c r="K39" s="884">
        <v>4</v>
      </c>
      <c r="L39" s="884" t="s">
        <v>833</v>
      </c>
      <c r="M39" s="749" t="s">
        <v>884</v>
      </c>
      <c r="N39" s="918">
        <v>6</v>
      </c>
      <c r="O39" s="888"/>
      <c r="P39" s="319" t="str">
        <f t="shared" si="20"/>
        <v>X</v>
      </c>
      <c r="Q39" s="320" t="str">
        <f t="shared" si="21"/>
        <v/>
      </c>
      <c r="R39" s="320" t="str">
        <f t="shared" si="22"/>
        <v/>
      </c>
      <c r="S39" s="320" t="str">
        <f t="shared" si="23"/>
        <v/>
      </c>
      <c r="T39" s="320" t="str">
        <f t="shared" si="24"/>
        <v/>
      </c>
      <c r="U39" s="320" t="str">
        <f t="shared" si="25"/>
        <v/>
      </c>
      <c r="V39" s="320" t="str">
        <f t="shared" si="26"/>
        <v/>
      </c>
      <c r="W39" s="320" t="str">
        <f t="shared" si="27"/>
        <v/>
      </c>
      <c r="X39" s="889"/>
      <c r="Y39" s="320">
        <f t="shared" si="76"/>
        <v>25</v>
      </c>
      <c r="Z39" s="320" t="str">
        <f t="shared" si="28"/>
        <v/>
      </c>
      <c r="AA39" s="320" t="str">
        <f t="shared" si="29"/>
        <v/>
      </c>
      <c r="AB39" s="320" t="str">
        <f t="shared" si="30"/>
        <v/>
      </c>
      <c r="AC39" s="320" t="str">
        <f t="shared" si="31"/>
        <v/>
      </c>
      <c r="AD39" s="320" t="str">
        <f t="shared" si="32"/>
        <v/>
      </c>
      <c r="AE39" s="320" t="str">
        <f t="shared" si="33"/>
        <v/>
      </c>
      <c r="AF39" s="320" t="str">
        <f t="shared" si="34"/>
        <v/>
      </c>
      <c r="AG39" s="889"/>
      <c r="AH39" s="320">
        <f t="shared" si="35"/>
        <v>25</v>
      </c>
      <c r="AI39" s="320" t="str">
        <f t="shared" si="36"/>
        <v/>
      </c>
      <c r="AJ39" s="320" t="str">
        <f t="shared" si="37"/>
        <v/>
      </c>
      <c r="AK39" s="320" t="str">
        <f t="shared" si="38"/>
        <v/>
      </c>
      <c r="AL39" s="320" t="str">
        <f t="shared" si="39"/>
        <v/>
      </c>
      <c r="AM39" s="320" t="str">
        <f t="shared" si="40"/>
        <v/>
      </c>
      <c r="AN39" s="320" t="str">
        <f t="shared" si="41"/>
        <v/>
      </c>
      <c r="AO39" s="320" t="str">
        <f t="shared" si="42"/>
        <v/>
      </c>
      <c r="AP39" s="889"/>
      <c r="AQ39" s="320" t="str">
        <f t="shared" si="43"/>
        <v/>
      </c>
      <c r="AR39" s="320" t="str">
        <f t="shared" si="44"/>
        <v/>
      </c>
      <c r="AS39" s="320" t="str">
        <f t="shared" si="45"/>
        <v/>
      </c>
      <c r="AT39" s="320" t="str">
        <f t="shared" si="46"/>
        <v/>
      </c>
      <c r="AU39" s="320" t="str">
        <f t="shared" si="47"/>
        <v/>
      </c>
      <c r="AV39" s="320" t="str">
        <f t="shared" si="48"/>
        <v/>
      </c>
      <c r="AW39" s="320" t="str">
        <f t="shared" si="49"/>
        <v/>
      </c>
      <c r="AX39" s="320" t="str">
        <f t="shared" si="50"/>
        <v/>
      </c>
      <c r="AY39" s="889"/>
      <c r="AZ39" s="320">
        <f t="shared" si="75"/>
        <v>4</v>
      </c>
      <c r="BA39" s="320" t="str">
        <f t="shared" si="51"/>
        <v/>
      </c>
      <c r="BB39" s="320" t="str">
        <f t="shared" si="52"/>
        <v/>
      </c>
      <c r="BC39" s="320" t="str">
        <f t="shared" si="53"/>
        <v/>
      </c>
      <c r="BD39" s="320" t="str">
        <f t="shared" si="54"/>
        <v/>
      </c>
      <c r="BE39" s="320" t="str">
        <f t="shared" si="55"/>
        <v/>
      </c>
      <c r="BF39" s="320" t="str">
        <f t="shared" si="56"/>
        <v/>
      </c>
      <c r="BG39" s="320" t="str">
        <f t="shared" si="57"/>
        <v/>
      </c>
      <c r="BH39" s="889"/>
      <c r="BI39" s="890"/>
      <c r="BJ39" s="323" t="str">
        <f t="shared" si="58"/>
        <v>P</v>
      </c>
      <c r="BK39" s="889"/>
      <c r="BL39" s="320" t="str">
        <f t="shared" si="59"/>
        <v>P</v>
      </c>
      <c r="BM39" s="320" t="str">
        <f t="shared" si="60"/>
        <v/>
      </c>
      <c r="BN39" s="320" t="str">
        <f t="shared" si="61"/>
        <v/>
      </c>
      <c r="BO39" s="320" t="str">
        <f t="shared" si="62"/>
        <v/>
      </c>
      <c r="BP39" s="320" t="str">
        <f t="shared" si="63"/>
        <v/>
      </c>
      <c r="BQ39" s="320" t="str">
        <f t="shared" si="64"/>
        <v/>
      </c>
      <c r="BR39" s="320" t="str">
        <f t="shared" si="65"/>
        <v/>
      </c>
      <c r="BS39" s="320" t="str">
        <f t="shared" si="66"/>
        <v/>
      </c>
      <c r="BT39" s="891"/>
      <c r="BU39" s="320">
        <f t="shared" si="11"/>
        <v>1</v>
      </c>
      <c r="BW39" s="320" t="str">
        <f t="shared" si="67"/>
        <v/>
      </c>
      <c r="BX39" s="320" t="b">
        <f t="shared" si="68"/>
        <v>0</v>
      </c>
      <c r="BY39" s="320" t="b">
        <f t="shared" si="69"/>
        <v>0</v>
      </c>
      <c r="BZ39" s="320" t="b">
        <f t="shared" si="70"/>
        <v>0</v>
      </c>
      <c r="CA39" s="320" t="b">
        <f t="shared" si="71"/>
        <v>0</v>
      </c>
      <c r="CB39" s="320" t="b">
        <f t="shared" si="72"/>
        <v>0</v>
      </c>
      <c r="CC39" s="320" t="b">
        <f t="shared" si="73"/>
        <v>0</v>
      </c>
      <c r="CD39" s="320" t="b">
        <f t="shared" si="74"/>
        <v>0</v>
      </c>
    </row>
    <row r="40" spans="1:82" s="892" customFormat="1" ht="24" customHeight="1">
      <c r="A40" s="751">
        <v>35</v>
      </c>
      <c r="B40" s="884" t="s">
        <v>869</v>
      </c>
      <c r="C40" s="884" t="s">
        <v>491</v>
      </c>
      <c r="D40" s="884" t="s">
        <v>879</v>
      </c>
      <c r="E40" s="884">
        <v>1</v>
      </c>
      <c r="F40" s="884">
        <v>5</v>
      </c>
      <c r="G40" s="884" t="s">
        <v>882</v>
      </c>
      <c r="H40" s="887" t="s">
        <v>833</v>
      </c>
      <c r="I40" s="884">
        <v>25</v>
      </c>
      <c r="J40" s="884">
        <v>25</v>
      </c>
      <c r="K40" s="884">
        <v>4</v>
      </c>
      <c r="L40" s="884" t="s">
        <v>833</v>
      </c>
      <c r="M40" s="749" t="s">
        <v>884</v>
      </c>
      <c r="N40" s="918">
        <v>6</v>
      </c>
      <c r="O40" s="888"/>
      <c r="P40" s="319" t="str">
        <f t="shared" si="20"/>
        <v>X</v>
      </c>
      <c r="Q40" s="320" t="str">
        <f t="shared" si="21"/>
        <v/>
      </c>
      <c r="R40" s="320" t="str">
        <f t="shared" si="22"/>
        <v/>
      </c>
      <c r="S40" s="320" t="str">
        <f t="shared" si="23"/>
        <v/>
      </c>
      <c r="T40" s="320" t="str">
        <f t="shared" si="24"/>
        <v/>
      </c>
      <c r="U40" s="320" t="str">
        <f t="shared" si="25"/>
        <v/>
      </c>
      <c r="V40" s="320" t="str">
        <f t="shared" si="26"/>
        <v/>
      </c>
      <c r="W40" s="320" t="str">
        <f t="shared" si="27"/>
        <v/>
      </c>
      <c r="X40" s="889"/>
      <c r="Y40" s="320">
        <f t="shared" si="76"/>
        <v>25</v>
      </c>
      <c r="Z40" s="320" t="str">
        <f t="shared" si="28"/>
        <v/>
      </c>
      <c r="AA40" s="320" t="str">
        <f t="shared" si="29"/>
        <v/>
      </c>
      <c r="AB40" s="320" t="str">
        <f t="shared" si="30"/>
        <v/>
      </c>
      <c r="AC40" s="320" t="str">
        <f t="shared" si="31"/>
        <v/>
      </c>
      <c r="AD40" s="320" t="str">
        <f t="shared" si="32"/>
        <v/>
      </c>
      <c r="AE40" s="320" t="str">
        <f t="shared" si="33"/>
        <v/>
      </c>
      <c r="AF40" s="320" t="str">
        <f t="shared" si="34"/>
        <v/>
      </c>
      <c r="AG40" s="889"/>
      <c r="AH40" s="320">
        <f t="shared" si="35"/>
        <v>25</v>
      </c>
      <c r="AI40" s="320" t="str">
        <f t="shared" si="36"/>
        <v/>
      </c>
      <c r="AJ40" s="320" t="str">
        <f t="shared" si="37"/>
        <v/>
      </c>
      <c r="AK40" s="320" t="str">
        <f t="shared" si="38"/>
        <v/>
      </c>
      <c r="AL40" s="320" t="str">
        <f t="shared" si="39"/>
        <v/>
      </c>
      <c r="AM40" s="320" t="str">
        <f t="shared" si="40"/>
        <v/>
      </c>
      <c r="AN40" s="320" t="str">
        <f t="shared" si="41"/>
        <v/>
      </c>
      <c r="AO40" s="320" t="str">
        <f t="shared" si="42"/>
        <v/>
      </c>
      <c r="AP40" s="889"/>
      <c r="AQ40" s="320" t="str">
        <f t="shared" si="43"/>
        <v/>
      </c>
      <c r="AR40" s="320" t="str">
        <f t="shared" si="44"/>
        <v/>
      </c>
      <c r="AS40" s="320" t="str">
        <f t="shared" si="45"/>
        <v/>
      </c>
      <c r="AT40" s="320" t="str">
        <f t="shared" si="46"/>
        <v/>
      </c>
      <c r="AU40" s="320" t="str">
        <f t="shared" si="47"/>
        <v/>
      </c>
      <c r="AV40" s="320" t="str">
        <f t="shared" si="48"/>
        <v/>
      </c>
      <c r="AW40" s="320" t="str">
        <f t="shared" si="49"/>
        <v/>
      </c>
      <c r="AX40" s="320" t="str">
        <f t="shared" si="50"/>
        <v/>
      </c>
      <c r="AY40" s="889"/>
      <c r="AZ40" s="320">
        <f t="shared" si="75"/>
        <v>4</v>
      </c>
      <c r="BA40" s="320" t="str">
        <f t="shared" si="51"/>
        <v/>
      </c>
      <c r="BB40" s="320" t="str">
        <f t="shared" si="52"/>
        <v/>
      </c>
      <c r="BC40" s="320" t="str">
        <f t="shared" si="53"/>
        <v/>
      </c>
      <c r="BD40" s="320" t="str">
        <f t="shared" si="54"/>
        <v/>
      </c>
      <c r="BE40" s="320" t="str">
        <f t="shared" si="55"/>
        <v/>
      </c>
      <c r="BF40" s="320" t="str">
        <f t="shared" si="56"/>
        <v/>
      </c>
      <c r="BG40" s="320" t="str">
        <f t="shared" si="57"/>
        <v/>
      </c>
      <c r="BH40" s="889"/>
      <c r="BI40" s="890"/>
      <c r="BJ40" s="323" t="str">
        <f t="shared" si="58"/>
        <v>P</v>
      </c>
      <c r="BK40" s="889"/>
      <c r="BL40" s="320" t="str">
        <f t="shared" si="59"/>
        <v>P</v>
      </c>
      <c r="BM40" s="320" t="str">
        <f t="shared" si="60"/>
        <v/>
      </c>
      <c r="BN40" s="320" t="str">
        <f t="shared" si="61"/>
        <v/>
      </c>
      <c r="BO40" s="320" t="str">
        <f t="shared" si="62"/>
        <v/>
      </c>
      <c r="BP40" s="320" t="str">
        <f t="shared" si="63"/>
        <v/>
      </c>
      <c r="BQ40" s="320" t="str">
        <f t="shared" si="64"/>
        <v/>
      </c>
      <c r="BR40" s="320" t="str">
        <f t="shared" si="65"/>
        <v/>
      </c>
      <c r="BS40" s="320" t="str">
        <f t="shared" si="66"/>
        <v/>
      </c>
      <c r="BT40" s="891"/>
      <c r="BU40" s="320">
        <f t="shared" si="11"/>
        <v>1</v>
      </c>
      <c r="BW40" s="320" t="str">
        <f t="shared" si="67"/>
        <v/>
      </c>
      <c r="BX40" s="320" t="b">
        <f t="shared" si="68"/>
        <v>0</v>
      </c>
      <c r="BY40" s="320" t="b">
        <f t="shared" si="69"/>
        <v>0</v>
      </c>
      <c r="BZ40" s="320" t="b">
        <f t="shared" si="70"/>
        <v>0</v>
      </c>
      <c r="CA40" s="320" t="b">
        <f t="shared" si="71"/>
        <v>0</v>
      </c>
      <c r="CB40" s="320" t="b">
        <f t="shared" si="72"/>
        <v>0</v>
      </c>
      <c r="CC40" s="320" t="b">
        <f t="shared" si="73"/>
        <v>0</v>
      </c>
      <c r="CD40" s="320" t="b">
        <f t="shared" si="74"/>
        <v>0</v>
      </c>
    </row>
    <row r="41" spans="1:82" s="295" customFormat="1" ht="24" customHeight="1">
      <c r="A41" s="751">
        <v>36</v>
      </c>
      <c r="B41" s="884" t="s">
        <v>870</v>
      </c>
      <c r="C41" s="884" t="s">
        <v>491</v>
      </c>
      <c r="D41" s="884" t="s">
        <v>879</v>
      </c>
      <c r="E41" s="884">
        <v>1</v>
      </c>
      <c r="F41" s="884">
        <v>5</v>
      </c>
      <c r="G41" s="884" t="s">
        <v>882</v>
      </c>
      <c r="H41" s="887" t="s">
        <v>833</v>
      </c>
      <c r="I41" s="884">
        <v>25</v>
      </c>
      <c r="J41" s="884">
        <v>25</v>
      </c>
      <c r="K41" s="884">
        <v>4</v>
      </c>
      <c r="L41" s="884" t="s">
        <v>833</v>
      </c>
      <c r="M41" s="749" t="s">
        <v>884</v>
      </c>
      <c r="N41" s="918">
        <v>6</v>
      </c>
      <c r="O41" s="293"/>
      <c r="P41" s="319" t="str">
        <f t="shared" si="20"/>
        <v>X</v>
      </c>
      <c r="Q41" s="320" t="str">
        <f t="shared" si="21"/>
        <v/>
      </c>
      <c r="R41" s="320" t="str">
        <f t="shared" si="22"/>
        <v/>
      </c>
      <c r="S41" s="320" t="str">
        <f t="shared" si="23"/>
        <v/>
      </c>
      <c r="T41" s="320" t="str">
        <f t="shared" si="24"/>
        <v/>
      </c>
      <c r="U41" s="320" t="str">
        <f t="shared" si="25"/>
        <v/>
      </c>
      <c r="V41" s="320" t="str">
        <f t="shared" si="26"/>
        <v/>
      </c>
      <c r="W41" s="320" t="str">
        <f t="shared" si="27"/>
        <v/>
      </c>
      <c r="X41" s="321"/>
      <c r="Y41" s="320">
        <f t="shared" si="76"/>
        <v>25</v>
      </c>
      <c r="Z41" s="320" t="str">
        <f t="shared" si="28"/>
        <v/>
      </c>
      <c r="AA41" s="320" t="str">
        <f t="shared" si="29"/>
        <v/>
      </c>
      <c r="AB41" s="320" t="str">
        <f t="shared" si="30"/>
        <v/>
      </c>
      <c r="AC41" s="320" t="str">
        <f t="shared" si="31"/>
        <v/>
      </c>
      <c r="AD41" s="320" t="str">
        <f t="shared" si="32"/>
        <v/>
      </c>
      <c r="AE41" s="320" t="str">
        <f t="shared" si="33"/>
        <v/>
      </c>
      <c r="AF41" s="320" t="str">
        <f t="shared" si="34"/>
        <v/>
      </c>
      <c r="AG41" s="321"/>
      <c r="AH41" s="320">
        <f t="shared" si="35"/>
        <v>25</v>
      </c>
      <c r="AI41" s="320" t="str">
        <f t="shared" si="36"/>
        <v/>
      </c>
      <c r="AJ41" s="320" t="str">
        <f t="shared" si="37"/>
        <v/>
      </c>
      <c r="AK41" s="320" t="str">
        <f t="shared" si="38"/>
        <v/>
      </c>
      <c r="AL41" s="320" t="str">
        <f t="shared" si="39"/>
        <v/>
      </c>
      <c r="AM41" s="320" t="str">
        <f t="shared" si="40"/>
        <v/>
      </c>
      <c r="AN41" s="320" t="str">
        <f t="shared" si="41"/>
        <v/>
      </c>
      <c r="AO41" s="320" t="str">
        <f t="shared" si="42"/>
        <v/>
      </c>
      <c r="AP41" s="321"/>
      <c r="AQ41" s="320" t="str">
        <f t="shared" si="43"/>
        <v/>
      </c>
      <c r="AR41" s="320" t="str">
        <f t="shared" si="44"/>
        <v/>
      </c>
      <c r="AS41" s="320" t="str">
        <f t="shared" si="45"/>
        <v/>
      </c>
      <c r="AT41" s="320" t="str">
        <f t="shared" si="46"/>
        <v/>
      </c>
      <c r="AU41" s="320" t="str">
        <f t="shared" si="47"/>
        <v/>
      </c>
      <c r="AV41" s="320" t="str">
        <f t="shared" si="48"/>
        <v/>
      </c>
      <c r="AW41" s="320" t="str">
        <f t="shared" si="49"/>
        <v/>
      </c>
      <c r="AX41" s="320" t="str">
        <f t="shared" si="50"/>
        <v/>
      </c>
      <c r="AY41" s="321"/>
      <c r="AZ41" s="320">
        <f t="shared" si="75"/>
        <v>4</v>
      </c>
      <c r="BA41" s="320" t="str">
        <f t="shared" si="51"/>
        <v/>
      </c>
      <c r="BB41" s="320" t="str">
        <f t="shared" si="52"/>
        <v/>
      </c>
      <c r="BC41" s="320" t="str">
        <f t="shared" si="53"/>
        <v/>
      </c>
      <c r="BD41" s="320" t="str">
        <f t="shared" si="54"/>
        <v/>
      </c>
      <c r="BE41" s="320" t="str">
        <f t="shared" si="55"/>
        <v/>
      </c>
      <c r="BF41" s="320" t="str">
        <f t="shared" si="56"/>
        <v/>
      </c>
      <c r="BG41" s="320" t="str">
        <f t="shared" si="57"/>
        <v/>
      </c>
      <c r="BH41" s="321"/>
      <c r="BI41" s="322"/>
      <c r="BJ41" s="323" t="str">
        <f t="shared" si="58"/>
        <v>P</v>
      </c>
      <c r="BK41" s="321"/>
      <c r="BL41" s="320" t="str">
        <f t="shared" si="59"/>
        <v>P</v>
      </c>
      <c r="BM41" s="320" t="str">
        <f t="shared" si="60"/>
        <v/>
      </c>
      <c r="BN41" s="320" t="str">
        <f t="shared" si="61"/>
        <v/>
      </c>
      <c r="BO41" s="320" t="str">
        <f t="shared" si="62"/>
        <v/>
      </c>
      <c r="BP41" s="320" t="str">
        <f t="shared" si="63"/>
        <v/>
      </c>
      <c r="BQ41" s="320" t="str">
        <f t="shared" si="64"/>
        <v/>
      </c>
      <c r="BR41" s="320" t="str">
        <f t="shared" si="65"/>
        <v/>
      </c>
      <c r="BS41" s="320" t="str">
        <f t="shared" si="66"/>
        <v/>
      </c>
      <c r="BT41" s="298"/>
      <c r="BU41" s="320">
        <f t="shared" si="11"/>
        <v>1</v>
      </c>
      <c r="BW41" s="320" t="str">
        <f t="shared" si="67"/>
        <v/>
      </c>
      <c r="BX41" s="320" t="b">
        <f t="shared" si="68"/>
        <v>0</v>
      </c>
      <c r="BY41" s="320" t="b">
        <f t="shared" si="69"/>
        <v>0</v>
      </c>
      <c r="BZ41" s="320" t="b">
        <f t="shared" si="70"/>
        <v>0</v>
      </c>
      <c r="CA41" s="320" t="b">
        <f t="shared" si="71"/>
        <v>0</v>
      </c>
      <c r="CB41" s="320" t="b">
        <f t="shared" si="72"/>
        <v>0</v>
      </c>
      <c r="CC41" s="320" t="b">
        <f t="shared" si="73"/>
        <v>0</v>
      </c>
      <c r="CD41" s="320" t="b">
        <f t="shared" si="74"/>
        <v>0</v>
      </c>
    </row>
    <row r="42" spans="1:82" s="295" customFormat="1" ht="24" customHeight="1">
      <c r="A42" s="751">
        <v>37</v>
      </c>
      <c r="B42" s="884" t="s">
        <v>871</v>
      </c>
      <c r="C42" s="884" t="s">
        <v>491</v>
      </c>
      <c r="D42" s="884" t="s">
        <v>879</v>
      </c>
      <c r="E42" s="884">
        <v>1</v>
      </c>
      <c r="F42" s="884">
        <v>4</v>
      </c>
      <c r="G42" s="884" t="s">
        <v>882</v>
      </c>
      <c r="H42" s="887" t="s">
        <v>833</v>
      </c>
      <c r="I42" s="884">
        <v>25</v>
      </c>
      <c r="J42" s="884">
        <v>25</v>
      </c>
      <c r="K42" s="884">
        <v>4</v>
      </c>
      <c r="L42" s="884" t="s">
        <v>833</v>
      </c>
      <c r="M42" s="749" t="s">
        <v>884</v>
      </c>
      <c r="N42" s="918">
        <v>6</v>
      </c>
      <c r="O42" s="293"/>
      <c r="P42" s="319" t="str">
        <f t="shared" si="20"/>
        <v>X</v>
      </c>
      <c r="Q42" s="320" t="str">
        <f t="shared" si="21"/>
        <v/>
      </c>
      <c r="R42" s="320" t="str">
        <f t="shared" si="22"/>
        <v/>
      </c>
      <c r="S42" s="320" t="str">
        <f t="shared" si="23"/>
        <v/>
      </c>
      <c r="T42" s="320" t="str">
        <f t="shared" si="24"/>
        <v/>
      </c>
      <c r="U42" s="320" t="str">
        <f t="shared" si="25"/>
        <v/>
      </c>
      <c r="V42" s="320" t="str">
        <f t="shared" si="26"/>
        <v/>
      </c>
      <c r="W42" s="320" t="str">
        <f t="shared" si="27"/>
        <v/>
      </c>
      <c r="X42" s="321"/>
      <c r="Y42" s="320">
        <f t="shared" si="76"/>
        <v>25</v>
      </c>
      <c r="Z42" s="320" t="str">
        <f t="shared" si="28"/>
        <v/>
      </c>
      <c r="AA42" s="320" t="str">
        <f t="shared" si="29"/>
        <v/>
      </c>
      <c r="AB42" s="320" t="str">
        <f t="shared" si="30"/>
        <v/>
      </c>
      <c r="AC42" s="320" t="str">
        <f t="shared" si="31"/>
        <v/>
      </c>
      <c r="AD42" s="320" t="str">
        <f t="shared" si="32"/>
        <v/>
      </c>
      <c r="AE42" s="320" t="str">
        <f t="shared" si="33"/>
        <v/>
      </c>
      <c r="AF42" s="320" t="str">
        <f t="shared" si="34"/>
        <v/>
      </c>
      <c r="AG42" s="321"/>
      <c r="AH42" s="320">
        <f t="shared" si="35"/>
        <v>25</v>
      </c>
      <c r="AI42" s="320" t="str">
        <f t="shared" si="36"/>
        <v/>
      </c>
      <c r="AJ42" s="320" t="str">
        <f t="shared" si="37"/>
        <v/>
      </c>
      <c r="AK42" s="320" t="str">
        <f t="shared" si="38"/>
        <v/>
      </c>
      <c r="AL42" s="320" t="str">
        <f t="shared" si="39"/>
        <v/>
      </c>
      <c r="AM42" s="320" t="str">
        <f t="shared" si="40"/>
        <v/>
      </c>
      <c r="AN42" s="320" t="str">
        <f t="shared" si="41"/>
        <v/>
      </c>
      <c r="AO42" s="320" t="str">
        <f t="shared" si="42"/>
        <v/>
      </c>
      <c r="AP42" s="321"/>
      <c r="AQ42" s="320" t="str">
        <f t="shared" si="43"/>
        <v/>
      </c>
      <c r="AR42" s="320" t="str">
        <f t="shared" si="44"/>
        <v/>
      </c>
      <c r="AS42" s="320" t="str">
        <f t="shared" si="45"/>
        <v/>
      </c>
      <c r="AT42" s="320" t="str">
        <f t="shared" si="46"/>
        <v/>
      </c>
      <c r="AU42" s="320" t="str">
        <f t="shared" si="47"/>
        <v/>
      </c>
      <c r="AV42" s="320" t="str">
        <f t="shared" si="48"/>
        <v/>
      </c>
      <c r="AW42" s="320" t="str">
        <f t="shared" si="49"/>
        <v/>
      </c>
      <c r="AX42" s="320" t="str">
        <f t="shared" si="50"/>
        <v/>
      </c>
      <c r="AY42" s="321"/>
      <c r="AZ42" s="320">
        <f t="shared" si="75"/>
        <v>4</v>
      </c>
      <c r="BA42" s="320" t="str">
        <f t="shared" si="51"/>
        <v/>
      </c>
      <c r="BB42" s="320" t="str">
        <f t="shared" si="52"/>
        <v/>
      </c>
      <c r="BC42" s="320" t="str">
        <f t="shared" si="53"/>
        <v/>
      </c>
      <c r="BD42" s="320" t="str">
        <f t="shared" si="54"/>
        <v/>
      </c>
      <c r="BE42" s="320" t="str">
        <f t="shared" si="55"/>
        <v/>
      </c>
      <c r="BF42" s="320" t="str">
        <f t="shared" si="56"/>
        <v/>
      </c>
      <c r="BG42" s="320" t="str">
        <f t="shared" si="57"/>
        <v/>
      </c>
      <c r="BH42" s="321"/>
      <c r="BI42" s="322"/>
      <c r="BJ42" s="323" t="str">
        <f t="shared" si="58"/>
        <v>P</v>
      </c>
      <c r="BK42" s="321"/>
      <c r="BL42" s="320" t="str">
        <f t="shared" si="59"/>
        <v>P</v>
      </c>
      <c r="BM42" s="320" t="str">
        <f t="shared" si="60"/>
        <v/>
      </c>
      <c r="BN42" s="320" t="str">
        <f t="shared" si="61"/>
        <v/>
      </c>
      <c r="BO42" s="320" t="str">
        <f t="shared" si="62"/>
        <v/>
      </c>
      <c r="BP42" s="320" t="str">
        <f t="shared" si="63"/>
        <v/>
      </c>
      <c r="BQ42" s="320" t="str">
        <f t="shared" si="64"/>
        <v/>
      </c>
      <c r="BR42" s="320" t="str">
        <f t="shared" si="65"/>
        <v/>
      </c>
      <c r="BS42" s="320" t="str">
        <f t="shared" si="66"/>
        <v/>
      </c>
      <c r="BT42" s="298"/>
      <c r="BU42" s="320">
        <f t="shared" si="11"/>
        <v>1</v>
      </c>
      <c r="BW42" s="320" t="str">
        <f t="shared" si="67"/>
        <v/>
      </c>
      <c r="BX42" s="320" t="b">
        <f t="shared" si="68"/>
        <v>0</v>
      </c>
      <c r="BY42" s="320" t="b">
        <f t="shared" si="69"/>
        <v>0</v>
      </c>
      <c r="BZ42" s="320" t="b">
        <f t="shared" si="70"/>
        <v>0</v>
      </c>
      <c r="CA42" s="320" t="b">
        <f t="shared" si="71"/>
        <v>0</v>
      </c>
      <c r="CB42" s="320" t="b">
        <f t="shared" si="72"/>
        <v>0</v>
      </c>
      <c r="CC42" s="320" t="b">
        <f t="shared" si="73"/>
        <v>0</v>
      </c>
      <c r="CD42" s="320" t="b">
        <f t="shared" si="74"/>
        <v>0</v>
      </c>
    </row>
    <row r="43" spans="1:82" s="295" customFormat="1" ht="24" customHeight="1">
      <c r="A43" s="751">
        <v>38</v>
      </c>
      <c r="B43" s="884" t="s">
        <v>872</v>
      </c>
      <c r="C43" s="884" t="s">
        <v>491</v>
      </c>
      <c r="D43" s="884" t="s">
        <v>879</v>
      </c>
      <c r="E43" s="884">
        <v>1</v>
      </c>
      <c r="F43" s="884">
        <v>4</v>
      </c>
      <c r="G43" s="884" t="s">
        <v>882</v>
      </c>
      <c r="H43" s="887" t="s">
        <v>833</v>
      </c>
      <c r="I43" s="884">
        <v>8</v>
      </c>
      <c r="J43" s="884">
        <v>8</v>
      </c>
      <c r="K43" s="884">
        <v>3</v>
      </c>
      <c r="L43" s="884" t="s">
        <v>833</v>
      </c>
      <c r="M43" s="749" t="s">
        <v>884</v>
      </c>
      <c r="N43" s="918">
        <v>6</v>
      </c>
      <c r="O43" s="293"/>
      <c r="P43" s="319" t="str">
        <f t="shared" si="20"/>
        <v>X</v>
      </c>
      <c r="Q43" s="320" t="str">
        <f t="shared" si="21"/>
        <v/>
      </c>
      <c r="R43" s="320" t="str">
        <f t="shared" si="22"/>
        <v/>
      </c>
      <c r="S43" s="320" t="str">
        <f t="shared" si="23"/>
        <v/>
      </c>
      <c r="T43" s="320" t="str">
        <f t="shared" si="24"/>
        <v/>
      </c>
      <c r="U43" s="320" t="str">
        <f t="shared" si="25"/>
        <v/>
      </c>
      <c r="V43" s="320" t="str">
        <f t="shared" si="26"/>
        <v/>
      </c>
      <c r="W43" s="320" t="str">
        <f t="shared" si="27"/>
        <v/>
      </c>
      <c r="X43" s="321"/>
      <c r="Y43" s="320">
        <f t="shared" si="76"/>
        <v>8</v>
      </c>
      <c r="Z43" s="320" t="str">
        <f t="shared" si="28"/>
        <v/>
      </c>
      <c r="AA43" s="320" t="str">
        <f t="shared" si="29"/>
        <v/>
      </c>
      <c r="AB43" s="320" t="str">
        <f t="shared" si="30"/>
        <v/>
      </c>
      <c r="AC43" s="320" t="str">
        <f t="shared" si="31"/>
        <v/>
      </c>
      <c r="AD43" s="320" t="str">
        <f t="shared" si="32"/>
        <v/>
      </c>
      <c r="AE43" s="320" t="str">
        <f t="shared" si="33"/>
        <v/>
      </c>
      <c r="AF43" s="320" t="str">
        <f t="shared" si="34"/>
        <v/>
      </c>
      <c r="AG43" s="321"/>
      <c r="AH43" s="320">
        <f t="shared" si="35"/>
        <v>8</v>
      </c>
      <c r="AI43" s="320" t="str">
        <f t="shared" si="36"/>
        <v/>
      </c>
      <c r="AJ43" s="320" t="str">
        <f t="shared" si="37"/>
        <v/>
      </c>
      <c r="AK43" s="320" t="str">
        <f t="shared" si="38"/>
        <v/>
      </c>
      <c r="AL43" s="320" t="str">
        <f t="shared" si="39"/>
        <v/>
      </c>
      <c r="AM43" s="320" t="str">
        <f t="shared" si="40"/>
        <v/>
      </c>
      <c r="AN43" s="320" t="str">
        <f t="shared" si="41"/>
        <v/>
      </c>
      <c r="AO43" s="320" t="str">
        <f t="shared" si="42"/>
        <v/>
      </c>
      <c r="AP43" s="321"/>
      <c r="AQ43" s="320" t="str">
        <f t="shared" si="43"/>
        <v/>
      </c>
      <c r="AR43" s="320" t="str">
        <f t="shared" si="44"/>
        <v/>
      </c>
      <c r="AS43" s="320" t="str">
        <f t="shared" si="45"/>
        <v/>
      </c>
      <c r="AT43" s="320" t="str">
        <f t="shared" si="46"/>
        <v/>
      </c>
      <c r="AU43" s="320" t="str">
        <f t="shared" si="47"/>
        <v/>
      </c>
      <c r="AV43" s="320" t="str">
        <f t="shared" si="48"/>
        <v/>
      </c>
      <c r="AW43" s="320" t="str">
        <f t="shared" si="49"/>
        <v/>
      </c>
      <c r="AX43" s="320" t="str">
        <f t="shared" si="50"/>
        <v/>
      </c>
      <c r="AY43" s="321"/>
      <c r="AZ43" s="320">
        <f t="shared" si="75"/>
        <v>3</v>
      </c>
      <c r="BA43" s="320" t="str">
        <f t="shared" si="51"/>
        <v/>
      </c>
      <c r="BB43" s="320" t="str">
        <f t="shared" si="52"/>
        <v/>
      </c>
      <c r="BC43" s="320" t="str">
        <f t="shared" si="53"/>
        <v/>
      </c>
      <c r="BD43" s="320" t="str">
        <f t="shared" si="54"/>
        <v/>
      </c>
      <c r="BE43" s="320" t="str">
        <f t="shared" si="55"/>
        <v/>
      </c>
      <c r="BF43" s="320" t="str">
        <f t="shared" si="56"/>
        <v/>
      </c>
      <c r="BG43" s="320" t="str">
        <f t="shared" si="57"/>
        <v/>
      </c>
      <c r="BH43" s="321"/>
      <c r="BI43" s="322"/>
      <c r="BJ43" s="323" t="str">
        <f t="shared" si="58"/>
        <v>P</v>
      </c>
      <c r="BK43" s="321"/>
      <c r="BL43" s="320" t="str">
        <f t="shared" si="59"/>
        <v>P</v>
      </c>
      <c r="BM43" s="320" t="str">
        <f t="shared" si="60"/>
        <v/>
      </c>
      <c r="BN43" s="320" t="str">
        <f t="shared" si="61"/>
        <v/>
      </c>
      <c r="BO43" s="320" t="str">
        <f t="shared" si="62"/>
        <v/>
      </c>
      <c r="BP43" s="320" t="str">
        <f t="shared" si="63"/>
        <v/>
      </c>
      <c r="BQ43" s="320" t="str">
        <f t="shared" si="64"/>
        <v/>
      </c>
      <c r="BR43" s="320" t="str">
        <f t="shared" si="65"/>
        <v/>
      </c>
      <c r="BS43" s="320" t="str">
        <f t="shared" si="66"/>
        <v/>
      </c>
      <c r="BT43" s="298"/>
      <c r="BU43" s="320">
        <f t="shared" si="11"/>
        <v>1</v>
      </c>
      <c r="BW43" s="320" t="str">
        <f t="shared" si="67"/>
        <v/>
      </c>
      <c r="BX43" s="320" t="b">
        <f t="shared" si="68"/>
        <v>0</v>
      </c>
      <c r="BY43" s="320" t="b">
        <f t="shared" si="69"/>
        <v>0</v>
      </c>
      <c r="BZ43" s="320" t="b">
        <f t="shared" si="70"/>
        <v>0</v>
      </c>
      <c r="CA43" s="320" t="b">
        <f t="shared" si="71"/>
        <v>0</v>
      </c>
      <c r="CB43" s="320" t="b">
        <f t="shared" si="72"/>
        <v>0</v>
      </c>
      <c r="CC43" s="320" t="b">
        <f t="shared" si="73"/>
        <v>0</v>
      </c>
      <c r="CD43" s="320" t="b">
        <f t="shared" si="74"/>
        <v>0</v>
      </c>
    </row>
    <row r="44" spans="1:82" s="295" customFormat="1" ht="24" customHeight="1">
      <c r="A44" s="751">
        <v>39</v>
      </c>
      <c r="B44" s="884" t="s">
        <v>873</v>
      </c>
      <c r="C44" s="884" t="s">
        <v>491</v>
      </c>
      <c r="D44" s="884" t="s">
        <v>879</v>
      </c>
      <c r="E44" s="884">
        <v>1</v>
      </c>
      <c r="F44" s="884">
        <v>3</v>
      </c>
      <c r="G44" s="884" t="s">
        <v>882</v>
      </c>
      <c r="H44" s="887" t="s">
        <v>833</v>
      </c>
      <c r="I44" s="884">
        <v>20</v>
      </c>
      <c r="J44" s="884">
        <v>20</v>
      </c>
      <c r="K44" s="884">
        <v>4</v>
      </c>
      <c r="L44" s="884" t="s">
        <v>833</v>
      </c>
      <c r="M44" s="749" t="s">
        <v>884</v>
      </c>
      <c r="N44" s="918">
        <v>6</v>
      </c>
      <c r="O44" s="293"/>
      <c r="P44" s="319" t="str">
        <f t="shared" si="20"/>
        <v>X</v>
      </c>
      <c r="Q44" s="320" t="str">
        <f t="shared" si="21"/>
        <v/>
      </c>
      <c r="R44" s="320" t="str">
        <f t="shared" si="22"/>
        <v/>
      </c>
      <c r="S44" s="320" t="str">
        <f t="shared" si="23"/>
        <v/>
      </c>
      <c r="T44" s="320" t="str">
        <f t="shared" si="24"/>
        <v/>
      </c>
      <c r="U44" s="320" t="str">
        <f t="shared" si="25"/>
        <v/>
      </c>
      <c r="V44" s="320" t="str">
        <f t="shared" si="26"/>
        <v/>
      </c>
      <c r="W44" s="320" t="str">
        <f t="shared" si="27"/>
        <v/>
      </c>
      <c r="X44" s="321"/>
      <c r="Y44" s="320">
        <f t="shared" si="76"/>
        <v>20</v>
      </c>
      <c r="Z44" s="320" t="str">
        <f t="shared" si="28"/>
        <v/>
      </c>
      <c r="AA44" s="320" t="str">
        <f t="shared" si="29"/>
        <v/>
      </c>
      <c r="AB44" s="320" t="str">
        <f t="shared" si="30"/>
        <v/>
      </c>
      <c r="AC44" s="320" t="str">
        <f t="shared" si="31"/>
        <v/>
      </c>
      <c r="AD44" s="320" t="str">
        <f t="shared" si="32"/>
        <v/>
      </c>
      <c r="AE44" s="320" t="str">
        <f t="shared" si="33"/>
        <v/>
      </c>
      <c r="AF44" s="320" t="str">
        <f t="shared" si="34"/>
        <v/>
      </c>
      <c r="AG44" s="321"/>
      <c r="AH44" s="320">
        <f t="shared" si="35"/>
        <v>20</v>
      </c>
      <c r="AI44" s="320" t="str">
        <f t="shared" si="36"/>
        <v/>
      </c>
      <c r="AJ44" s="320" t="str">
        <f t="shared" si="37"/>
        <v/>
      </c>
      <c r="AK44" s="320" t="str">
        <f t="shared" si="38"/>
        <v/>
      </c>
      <c r="AL44" s="320" t="str">
        <f t="shared" si="39"/>
        <v/>
      </c>
      <c r="AM44" s="320" t="str">
        <f t="shared" si="40"/>
        <v/>
      </c>
      <c r="AN44" s="320" t="str">
        <f t="shared" si="41"/>
        <v/>
      </c>
      <c r="AO44" s="320" t="str">
        <f t="shared" si="42"/>
        <v/>
      </c>
      <c r="AP44" s="321"/>
      <c r="AQ44" s="320" t="str">
        <f t="shared" si="43"/>
        <v/>
      </c>
      <c r="AR44" s="320" t="str">
        <f t="shared" si="44"/>
        <v/>
      </c>
      <c r="AS44" s="320" t="str">
        <f t="shared" si="45"/>
        <v/>
      </c>
      <c r="AT44" s="320" t="str">
        <f t="shared" si="46"/>
        <v/>
      </c>
      <c r="AU44" s="320" t="str">
        <f t="shared" si="47"/>
        <v/>
      </c>
      <c r="AV44" s="320" t="str">
        <f t="shared" si="48"/>
        <v/>
      </c>
      <c r="AW44" s="320" t="str">
        <f t="shared" si="49"/>
        <v/>
      </c>
      <c r="AX44" s="320" t="str">
        <f t="shared" si="50"/>
        <v/>
      </c>
      <c r="AY44" s="321"/>
      <c r="AZ44" s="320">
        <f t="shared" si="75"/>
        <v>4</v>
      </c>
      <c r="BA44" s="320" t="str">
        <f t="shared" si="51"/>
        <v/>
      </c>
      <c r="BB44" s="320" t="str">
        <f t="shared" si="52"/>
        <v/>
      </c>
      <c r="BC44" s="320" t="str">
        <f t="shared" si="53"/>
        <v/>
      </c>
      <c r="BD44" s="320" t="str">
        <f t="shared" si="54"/>
        <v/>
      </c>
      <c r="BE44" s="320" t="str">
        <f t="shared" si="55"/>
        <v/>
      </c>
      <c r="BF44" s="320" t="str">
        <f t="shared" si="56"/>
        <v/>
      </c>
      <c r="BG44" s="320" t="str">
        <f t="shared" si="57"/>
        <v/>
      </c>
      <c r="BH44" s="321"/>
      <c r="BI44" s="322"/>
      <c r="BJ44" s="323" t="str">
        <f t="shared" si="58"/>
        <v>P</v>
      </c>
      <c r="BK44" s="321"/>
      <c r="BL44" s="320" t="str">
        <f t="shared" si="59"/>
        <v>P</v>
      </c>
      <c r="BM44" s="320" t="str">
        <f t="shared" si="60"/>
        <v/>
      </c>
      <c r="BN44" s="320" t="str">
        <f t="shared" si="61"/>
        <v/>
      </c>
      <c r="BO44" s="320" t="str">
        <f t="shared" si="62"/>
        <v/>
      </c>
      <c r="BP44" s="320" t="str">
        <f t="shared" si="63"/>
        <v/>
      </c>
      <c r="BQ44" s="320" t="str">
        <f t="shared" si="64"/>
        <v/>
      </c>
      <c r="BR44" s="320" t="str">
        <f t="shared" si="65"/>
        <v/>
      </c>
      <c r="BS44" s="320" t="str">
        <f t="shared" si="66"/>
        <v/>
      </c>
      <c r="BT44" s="298"/>
      <c r="BU44" s="320">
        <f t="shared" si="11"/>
        <v>1</v>
      </c>
      <c r="BW44" s="320" t="str">
        <f t="shared" si="67"/>
        <v/>
      </c>
      <c r="BX44" s="320" t="b">
        <f t="shared" si="68"/>
        <v>0</v>
      </c>
      <c r="BY44" s="320" t="b">
        <f t="shared" si="69"/>
        <v>0</v>
      </c>
      <c r="BZ44" s="320" t="b">
        <f t="shared" si="70"/>
        <v>0</v>
      </c>
      <c r="CA44" s="320" t="b">
        <f t="shared" si="71"/>
        <v>0</v>
      </c>
      <c r="CB44" s="320" t="b">
        <f t="shared" si="72"/>
        <v>0</v>
      </c>
      <c r="CC44" s="320" t="b">
        <f t="shared" si="73"/>
        <v>0</v>
      </c>
      <c r="CD44" s="320" t="b">
        <f t="shared" si="74"/>
        <v>0</v>
      </c>
    </row>
    <row r="45" spans="1:82" s="295" customFormat="1" ht="24" customHeight="1">
      <c r="A45" s="751">
        <v>40</v>
      </c>
      <c r="B45" s="884" t="s">
        <v>874</v>
      </c>
      <c r="C45" s="884" t="s">
        <v>491</v>
      </c>
      <c r="D45" s="884" t="s">
        <v>879</v>
      </c>
      <c r="E45" s="884">
        <v>1</v>
      </c>
      <c r="F45" s="884">
        <v>5</v>
      </c>
      <c r="G45" s="884" t="s">
        <v>882</v>
      </c>
      <c r="H45" s="887" t="s">
        <v>833</v>
      </c>
      <c r="I45" s="884">
        <v>15</v>
      </c>
      <c r="J45" s="884">
        <v>15</v>
      </c>
      <c r="K45" s="884">
        <v>4</v>
      </c>
      <c r="L45" s="884" t="s">
        <v>833</v>
      </c>
      <c r="M45" s="749" t="s">
        <v>884</v>
      </c>
      <c r="N45" s="918">
        <v>6</v>
      </c>
      <c r="O45" s="293"/>
      <c r="P45" s="319" t="str">
        <f t="shared" si="20"/>
        <v>X</v>
      </c>
      <c r="Q45" s="320" t="str">
        <f t="shared" si="21"/>
        <v/>
      </c>
      <c r="R45" s="320" t="str">
        <f t="shared" si="22"/>
        <v/>
      </c>
      <c r="S45" s="320" t="str">
        <f t="shared" si="23"/>
        <v/>
      </c>
      <c r="T45" s="320" t="str">
        <f t="shared" si="24"/>
        <v/>
      </c>
      <c r="U45" s="320" t="str">
        <f t="shared" si="25"/>
        <v/>
      </c>
      <c r="V45" s="320" t="str">
        <f t="shared" si="26"/>
        <v/>
      </c>
      <c r="W45" s="320" t="str">
        <f t="shared" si="27"/>
        <v/>
      </c>
      <c r="X45" s="321"/>
      <c r="Y45" s="320">
        <f t="shared" si="76"/>
        <v>15</v>
      </c>
      <c r="Z45" s="320" t="str">
        <f t="shared" si="28"/>
        <v/>
      </c>
      <c r="AA45" s="320" t="str">
        <f t="shared" si="29"/>
        <v/>
      </c>
      <c r="AB45" s="320" t="str">
        <f t="shared" si="30"/>
        <v/>
      </c>
      <c r="AC45" s="320" t="str">
        <f t="shared" si="31"/>
        <v/>
      </c>
      <c r="AD45" s="320" t="str">
        <f t="shared" si="32"/>
        <v/>
      </c>
      <c r="AE45" s="320" t="str">
        <f t="shared" si="33"/>
        <v/>
      </c>
      <c r="AF45" s="320" t="str">
        <f t="shared" si="34"/>
        <v/>
      </c>
      <c r="AG45" s="321"/>
      <c r="AH45" s="320">
        <f t="shared" si="35"/>
        <v>15</v>
      </c>
      <c r="AI45" s="320" t="str">
        <f t="shared" si="36"/>
        <v/>
      </c>
      <c r="AJ45" s="320" t="str">
        <f t="shared" si="37"/>
        <v/>
      </c>
      <c r="AK45" s="320" t="str">
        <f t="shared" si="38"/>
        <v/>
      </c>
      <c r="AL45" s="320" t="str">
        <f t="shared" si="39"/>
        <v/>
      </c>
      <c r="AM45" s="320" t="str">
        <f t="shared" si="40"/>
        <v/>
      </c>
      <c r="AN45" s="320" t="str">
        <f t="shared" si="41"/>
        <v/>
      </c>
      <c r="AO45" s="320" t="str">
        <f t="shared" si="42"/>
        <v/>
      </c>
      <c r="AP45" s="321"/>
      <c r="AQ45" s="320" t="str">
        <f t="shared" si="43"/>
        <v/>
      </c>
      <c r="AR45" s="320" t="str">
        <f t="shared" si="44"/>
        <v/>
      </c>
      <c r="AS45" s="320" t="str">
        <f t="shared" si="45"/>
        <v/>
      </c>
      <c r="AT45" s="320" t="str">
        <f t="shared" si="46"/>
        <v/>
      </c>
      <c r="AU45" s="320" t="str">
        <f t="shared" si="47"/>
        <v/>
      </c>
      <c r="AV45" s="320" t="str">
        <f t="shared" si="48"/>
        <v/>
      </c>
      <c r="AW45" s="320" t="str">
        <f t="shared" si="49"/>
        <v/>
      </c>
      <c r="AX45" s="320" t="str">
        <f t="shared" si="50"/>
        <v/>
      </c>
      <c r="AY45" s="321"/>
      <c r="AZ45" s="320">
        <f t="shared" si="75"/>
        <v>4</v>
      </c>
      <c r="BA45" s="320" t="str">
        <f t="shared" si="51"/>
        <v/>
      </c>
      <c r="BB45" s="320" t="str">
        <f t="shared" si="52"/>
        <v/>
      </c>
      <c r="BC45" s="320" t="str">
        <f t="shared" si="53"/>
        <v/>
      </c>
      <c r="BD45" s="320" t="str">
        <f t="shared" si="54"/>
        <v/>
      </c>
      <c r="BE45" s="320" t="str">
        <f t="shared" si="55"/>
        <v/>
      </c>
      <c r="BF45" s="320" t="str">
        <f t="shared" si="56"/>
        <v/>
      </c>
      <c r="BG45" s="320" t="str">
        <f t="shared" si="57"/>
        <v/>
      </c>
      <c r="BH45" s="321"/>
      <c r="BI45" s="322"/>
      <c r="BJ45" s="323" t="str">
        <f t="shared" si="58"/>
        <v>P</v>
      </c>
      <c r="BK45" s="321"/>
      <c r="BL45" s="320" t="str">
        <f t="shared" si="59"/>
        <v>P</v>
      </c>
      <c r="BM45" s="320" t="str">
        <f t="shared" si="60"/>
        <v/>
      </c>
      <c r="BN45" s="320" t="str">
        <f t="shared" si="61"/>
        <v/>
      </c>
      <c r="BO45" s="320" t="str">
        <f t="shared" si="62"/>
        <v/>
      </c>
      <c r="BP45" s="320" t="str">
        <f t="shared" si="63"/>
        <v/>
      </c>
      <c r="BQ45" s="320" t="str">
        <f t="shared" si="64"/>
        <v/>
      </c>
      <c r="BR45" s="320" t="str">
        <f t="shared" si="65"/>
        <v/>
      </c>
      <c r="BS45" s="320" t="str">
        <f t="shared" si="66"/>
        <v/>
      </c>
      <c r="BT45" s="298"/>
      <c r="BU45" s="320">
        <f t="shared" si="11"/>
        <v>1</v>
      </c>
      <c r="BW45" s="320" t="str">
        <f t="shared" si="67"/>
        <v/>
      </c>
      <c r="BX45" s="320" t="b">
        <f t="shared" si="68"/>
        <v>0</v>
      </c>
      <c r="BY45" s="320" t="b">
        <f t="shared" si="69"/>
        <v>0</v>
      </c>
      <c r="BZ45" s="320" t="b">
        <f t="shared" si="70"/>
        <v>0</v>
      </c>
      <c r="CA45" s="320" t="b">
        <f t="shared" si="71"/>
        <v>0</v>
      </c>
      <c r="CB45" s="320" t="b">
        <f t="shared" si="72"/>
        <v>0</v>
      </c>
      <c r="CC45" s="320" t="b">
        <f t="shared" si="73"/>
        <v>0</v>
      </c>
      <c r="CD45" s="320" t="b">
        <f t="shared" si="74"/>
        <v>0</v>
      </c>
    </row>
    <row r="46" spans="1:82" s="295" customFormat="1" ht="24" customHeight="1">
      <c r="A46" s="931">
        <v>41</v>
      </c>
      <c r="B46" s="925" t="s">
        <v>875</v>
      </c>
      <c r="C46" s="925" t="s">
        <v>491</v>
      </c>
      <c r="D46" s="925" t="s">
        <v>880</v>
      </c>
      <c r="E46" s="925">
        <v>1</v>
      </c>
      <c r="F46" s="925">
        <v>4</v>
      </c>
      <c r="G46" s="925" t="s">
        <v>887</v>
      </c>
      <c r="H46" s="887" t="s">
        <v>833</v>
      </c>
      <c r="I46" s="925">
        <v>22</v>
      </c>
      <c r="J46" s="925">
        <v>22</v>
      </c>
      <c r="K46" s="925">
        <v>45</v>
      </c>
      <c r="L46" s="925" t="s">
        <v>883</v>
      </c>
      <c r="M46" s="887" t="s">
        <v>60</v>
      </c>
      <c r="N46" s="886">
        <v>1</v>
      </c>
      <c r="O46" s="293"/>
      <c r="P46" s="319" t="str">
        <f t="shared" si="20"/>
        <v>X</v>
      </c>
      <c r="Q46" s="320" t="str">
        <f t="shared" si="21"/>
        <v/>
      </c>
      <c r="R46" s="320" t="str">
        <f t="shared" si="22"/>
        <v/>
      </c>
      <c r="S46" s="320" t="str">
        <f t="shared" si="23"/>
        <v/>
      </c>
      <c r="T46" s="320" t="str">
        <f t="shared" si="24"/>
        <v/>
      </c>
      <c r="U46" s="320" t="str">
        <f t="shared" si="25"/>
        <v/>
      </c>
      <c r="V46" s="320" t="str">
        <f t="shared" si="26"/>
        <v/>
      </c>
      <c r="W46" s="320" t="str">
        <f t="shared" si="27"/>
        <v/>
      </c>
      <c r="X46" s="321"/>
      <c r="Y46" s="320">
        <f t="shared" si="76"/>
        <v>22</v>
      </c>
      <c r="Z46" s="320" t="str">
        <f t="shared" si="28"/>
        <v/>
      </c>
      <c r="AA46" s="320" t="str">
        <f t="shared" si="29"/>
        <v/>
      </c>
      <c r="AB46" s="320" t="str">
        <f t="shared" si="30"/>
        <v/>
      </c>
      <c r="AC46" s="320" t="str">
        <f t="shared" si="31"/>
        <v/>
      </c>
      <c r="AD46" s="320" t="str">
        <f t="shared" si="32"/>
        <v/>
      </c>
      <c r="AE46" s="320" t="str">
        <f t="shared" si="33"/>
        <v/>
      </c>
      <c r="AF46" s="320" t="str">
        <f t="shared" si="34"/>
        <v/>
      </c>
      <c r="AG46" s="321"/>
      <c r="AH46" s="320">
        <f t="shared" si="35"/>
        <v>22</v>
      </c>
      <c r="AI46" s="320" t="str">
        <f t="shared" si="36"/>
        <v/>
      </c>
      <c r="AJ46" s="320" t="str">
        <f t="shared" si="37"/>
        <v/>
      </c>
      <c r="AK46" s="320" t="str">
        <f t="shared" si="38"/>
        <v/>
      </c>
      <c r="AL46" s="320" t="str">
        <f t="shared" si="39"/>
        <v/>
      </c>
      <c r="AM46" s="320" t="str">
        <f t="shared" si="40"/>
        <v/>
      </c>
      <c r="AN46" s="320" t="str">
        <f t="shared" si="41"/>
        <v/>
      </c>
      <c r="AO46" s="320" t="str">
        <f t="shared" si="42"/>
        <v/>
      </c>
      <c r="AP46" s="321"/>
      <c r="AQ46" s="320">
        <f t="shared" si="43"/>
        <v>45</v>
      </c>
      <c r="AR46" s="320" t="str">
        <f t="shared" si="44"/>
        <v/>
      </c>
      <c r="AS46" s="320" t="str">
        <f t="shared" si="45"/>
        <v/>
      </c>
      <c r="AT46" s="320" t="str">
        <f t="shared" si="46"/>
        <v/>
      </c>
      <c r="AU46" s="320" t="str">
        <f t="shared" si="47"/>
        <v/>
      </c>
      <c r="AV46" s="320" t="str">
        <f t="shared" si="48"/>
        <v/>
      </c>
      <c r="AW46" s="320" t="str">
        <f t="shared" si="49"/>
        <v/>
      </c>
      <c r="AX46" s="320" t="str">
        <f t="shared" si="50"/>
        <v/>
      </c>
      <c r="AY46" s="321"/>
      <c r="AZ46" s="320" t="str">
        <f t="shared" si="75"/>
        <v/>
      </c>
      <c r="BA46" s="320" t="str">
        <f t="shared" si="51"/>
        <v/>
      </c>
      <c r="BB46" s="320" t="str">
        <f t="shared" si="52"/>
        <v/>
      </c>
      <c r="BC46" s="320" t="str">
        <f t="shared" si="53"/>
        <v/>
      </c>
      <c r="BD46" s="320" t="str">
        <f t="shared" si="54"/>
        <v/>
      </c>
      <c r="BE46" s="320" t="str">
        <f t="shared" si="55"/>
        <v/>
      </c>
      <c r="BF46" s="320" t="str">
        <f t="shared" si="56"/>
        <v/>
      </c>
      <c r="BG46" s="320" t="str">
        <f t="shared" si="57"/>
        <v/>
      </c>
      <c r="BH46" s="321"/>
      <c r="BI46" s="322"/>
      <c r="BJ46" s="323" t="str">
        <f t="shared" si="58"/>
        <v>F</v>
      </c>
      <c r="BK46" s="321"/>
      <c r="BL46" s="320" t="str">
        <f t="shared" si="59"/>
        <v>F</v>
      </c>
      <c r="BM46" s="320" t="str">
        <f t="shared" si="60"/>
        <v/>
      </c>
      <c r="BN46" s="320" t="str">
        <f t="shared" si="61"/>
        <v/>
      </c>
      <c r="BO46" s="320" t="str">
        <f t="shared" si="62"/>
        <v/>
      </c>
      <c r="BP46" s="320" t="str">
        <f t="shared" si="63"/>
        <v/>
      </c>
      <c r="BQ46" s="320" t="str">
        <f t="shared" si="64"/>
        <v/>
      </c>
      <c r="BR46" s="320" t="str">
        <f t="shared" si="65"/>
        <v/>
      </c>
      <c r="BS46" s="320" t="str">
        <f t="shared" si="66"/>
        <v/>
      </c>
      <c r="BT46" s="298"/>
      <c r="BU46" s="320">
        <f t="shared" si="11"/>
        <v>1</v>
      </c>
      <c r="BW46" s="320" t="str">
        <f t="shared" si="67"/>
        <v/>
      </c>
      <c r="BX46" s="320" t="b">
        <f t="shared" si="68"/>
        <v>0</v>
      </c>
      <c r="BY46" s="320" t="b">
        <f t="shared" si="69"/>
        <v>0</v>
      </c>
      <c r="BZ46" s="320" t="b">
        <f t="shared" si="70"/>
        <v>0</v>
      </c>
      <c r="CA46" s="320" t="b">
        <f t="shared" si="71"/>
        <v>0</v>
      </c>
      <c r="CB46" s="320" t="b">
        <f t="shared" si="72"/>
        <v>0</v>
      </c>
      <c r="CC46" s="320" t="b">
        <f t="shared" si="73"/>
        <v>0</v>
      </c>
      <c r="CD46" s="320" t="b">
        <f t="shared" si="74"/>
        <v>0</v>
      </c>
    </row>
    <row r="47" spans="1:82" s="295" customFormat="1" ht="24" customHeight="1">
      <c r="A47" s="931">
        <v>42</v>
      </c>
      <c r="B47" s="925" t="s">
        <v>876</v>
      </c>
      <c r="C47" s="925" t="s">
        <v>491</v>
      </c>
      <c r="D47" s="925" t="s">
        <v>881</v>
      </c>
      <c r="E47" s="925">
        <v>1</v>
      </c>
      <c r="F47" s="925">
        <v>15</v>
      </c>
      <c r="G47" s="925" t="s">
        <v>887</v>
      </c>
      <c r="H47" s="887" t="s">
        <v>833</v>
      </c>
      <c r="I47" s="925">
        <v>25</v>
      </c>
      <c r="J47" s="925">
        <v>25</v>
      </c>
      <c r="K47" s="925">
        <v>50</v>
      </c>
      <c r="L47" s="925" t="s">
        <v>883</v>
      </c>
      <c r="M47" s="887" t="s">
        <v>60</v>
      </c>
      <c r="N47" s="886">
        <v>1</v>
      </c>
      <c r="O47" s="293"/>
      <c r="P47" s="319" t="str">
        <f t="shared" si="20"/>
        <v/>
      </c>
      <c r="Q47" s="320" t="str">
        <f t="shared" si="21"/>
        <v>X</v>
      </c>
      <c r="R47" s="320" t="str">
        <f t="shared" si="22"/>
        <v/>
      </c>
      <c r="S47" s="320" t="str">
        <f t="shared" si="23"/>
        <v/>
      </c>
      <c r="T47" s="320" t="str">
        <f t="shared" si="24"/>
        <v/>
      </c>
      <c r="U47" s="320" t="str">
        <f t="shared" si="25"/>
        <v/>
      </c>
      <c r="V47" s="320" t="str">
        <f t="shared" si="26"/>
        <v/>
      </c>
      <c r="W47" s="320" t="str">
        <f t="shared" si="27"/>
        <v/>
      </c>
      <c r="X47" s="321"/>
      <c r="Y47" s="320" t="str">
        <f t="shared" si="76"/>
        <v/>
      </c>
      <c r="Z47" s="320">
        <f t="shared" si="28"/>
        <v>25</v>
      </c>
      <c r="AA47" s="320" t="str">
        <f t="shared" si="29"/>
        <v/>
      </c>
      <c r="AB47" s="320" t="str">
        <f t="shared" si="30"/>
        <v/>
      </c>
      <c r="AC47" s="320" t="str">
        <f t="shared" si="31"/>
        <v/>
      </c>
      <c r="AD47" s="320" t="str">
        <f t="shared" si="32"/>
        <v/>
      </c>
      <c r="AE47" s="320" t="str">
        <f t="shared" si="33"/>
        <v/>
      </c>
      <c r="AF47" s="320" t="str">
        <f t="shared" si="34"/>
        <v/>
      </c>
      <c r="AG47" s="321"/>
      <c r="AH47" s="320" t="str">
        <f t="shared" si="35"/>
        <v/>
      </c>
      <c r="AI47" s="320">
        <f t="shared" si="36"/>
        <v>25</v>
      </c>
      <c r="AJ47" s="320" t="str">
        <f t="shared" si="37"/>
        <v/>
      </c>
      <c r="AK47" s="320" t="str">
        <f t="shared" si="38"/>
        <v/>
      </c>
      <c r="AL47" s="320" t="str">
        <f t="shared" si="39"/>
        <v/>
      </c>
      <c r="AM47" s="320" t="str">
        <f t="shared" si="40"/>
        <v/>
      </c>
      <c r="AN47" s="320" t="str">
        <f t="shared" si="41"/>
        <v/>
      </c>
      <c r="AO47" s="320" t="str">
        <f t="shared" si="42"/>
        <v/>
      </c>
      <c r="AP47" s="321"/>
      <c r="AQ47" s="320" t="str">
        <f t="shared" si="43"/>
        <v/>
      </c>
      <c r="AR47" s="320">
        <f t="shared" si="44"/>
        <v>50</v>
      </c>
      <c r="AS47" s="320" t="str">
        <f t="shared" si="45"/>
        <v/>
      </c>
      <c r="AT47" s="320" t="str">
        <f t="shared" si="46"/>
        <v/>
      </c>
      <c r="AU47" s="320" t="str">
        <f t="shared" si="47"/>
        <v/>
      </c>
      <c r="AV47" s="320" t="str">
        <f t="shared" si="48"/>
        <v/>
      </c>
      <c r="AW47" s="320" t="str">
        <f t="shared" si="49"/>
        <v/>
      </c>
      <c r="AX47" s="320" t="str">
        <f t="shared" si="50"/>
        <v/>
      </c>
      <c r="AY47" s="321"/>
      <c r="AZ47" s="320" t="str">
        <f t="shared" si="75"/>
        <v/>
      </c>
      <c r="BA47" s="320" t="str">
        <f t="shared" si="51"/>
        <v/>
      </c>
      <c r="BB47" s="320" t="str">
        <f t="shared" si="52"/>
        <v/>
      </c>
      <c r="BC47" s="320" t="str">
        <f t="shared" si="53"/>
        <v/>
      </c>
      <c r="BD47" s="320" t="str">
        <f t="shared" si="54"/>
        <v/>
      </c>
      <c r="BE47" s="320" t="str">
        <f t="shared" si="55"/>
        <v/>
      </c>
      <c r="BF47" s="320" t="str">
        <f t="shared" si="56"/>
        <v/>
      </c>
      <c r="BG47" s="320" t="str">
        <f t="shared" si="57"/>
        <v/>
      </c>
      <c r="BH47" s="321"/>
      <c r="BI47" s="322"/>
      <c r="BJ47" s="323" t="str">
        <f t="shared" si="58"/>
        <v>F</v>
      </c>
      <c r="BK47" s="321"/>
      <c r="BL47" s="320" t="str">
        <f t="shared" si="59"/>
        <v/>
      </c>
      <c r="BM47" s="320" t="str">
        <f t="shared" si="60"/>
        <v>F</v>
      </c>
      <c r="BN47" s="320" t="str">
        <f t="shared" si="61"/>
        <v/>
      </c>
      <c r="BO47" s="320" t="str">
        <f t="shared" si="62"/>
        <v/>
      </c>
      <c r="BP47" s="320" t="str">
        <f t="shared" si="63"/>
        <v/>
      </c>
      <c r="BQ47" s="320" t="str">
        <f t="shared" si="64"/>
        <v/>
      </c>
      <c r="BR47" s="320" t="str">
        <f t="shared" si="65"/>
        <v/>
      </c>
      <c r="BS47" s="320" t="str">
        <f t="shared" si="66"/>
        <v/>
      </c>
      <c r="BT47" s="298"/>
      <c r="BU47" s="320">
        <f t="shared" si="11"/>
        <v>1</v>
      </c>
      <c r="BW47" s="320" t="str">
        <f t="shared" si="67"/>
        <v/>
      </c>
      <c r="BX47" s="320" t="b">
        <f t="shared" si="68"/>
        <v>0</v>
      </c>
      <c r="BY47" s="320" t="b">
        <f t="shared" si="69"/>
        <v>0</v>
      </c>
      <c r="BZ47" s="320" t="b">
        <f t="shared" si="70"/>
        <v>0</v>
      </c>
      <c r="CA47" s="320" t="b">
        <f t="shared" si="71"/>
        <v>0</v>
      </c>
      <c r="CB47" s="320" t="b">
        <f t="shared" si="72"/>
        <v>0</v>
      </c>
      <c r="CC47" s="320" t="b">
        <f t="shared" si="73"/>
        <v>0</v>
      </c>
      <c r="CD47" s="320" t="b">
        <f t="shared" si="74"/>
        <v>0</v>
      </c>
    </row>
    <row r="48" spans="1:82" s="295" customFormat="1" ht="24" customHeight="1">
      <c r="A48" s="751">
        <v>43</v>
      </c>
      <c r="B48" s="884" t="s">
        <v>877</v>
      </c>
      <c r="C48" s="884" t="s">
        <v>491</v>
      </c>
      <c r="D48" s="884" t="s">
        <v>879</v>
      </c>
      <c r="E48" s="884">
        <v>1</v>
      </c>
      <c r="F48" s="884">
        <v>5</v>
      </c>
      <c r="G48" s="884" t="s">
        <v>882</v>
      </c>
      <c r="H48" s="887" t="s">
        <v>833</v>
      </c>
      <c r="I48" s="884">
        <v>15</v>
      </c>
      <c r="J48" s="884">
        <v>15</v>
      </c>
      <c r="K48" s="884">
        <v>3</v>
      </c>
      <c r="L48" s="884" t="s">
        <v>833</v>
      </c>
      <c r="M48" s="749" t="s">
        <v>884</v>
      </c>
      <c r="N48" s="918">
        <v>6</v>
      </c>
      <c r="O48" s="293"/>
      <c r="P48" s="319" t="str">
        <f t="shared" si="20"/>
        <v>X</v>
      </c>
      <c r="Q48" s="320" t="str">
        <f t="shared" si="21"/>
        <v/>
      </c>
      <c r="R48" s="320" t="str">
        <f t="shared" si="22"/>
        <v/>
      </c>
      <c r="S48" s="320" t="str">
        <f t="shared" si="23"/>
        <v/>
      </c>
      <c r="T48" s="320" t="str">
        <f t="shared" si="24"/>
        <v/>
      </c>
      <c r="U48" s="320" t="str">
        <f t="shared" si="25"/>
        <v/>
      </c>
      <c r="V48" s="320" t="str">
        <f t="shared" si="26"/>
        <v/>
      </c>
      <c r="W48" s="320" t="str">
        <f t="shared" si="27"/>
        <v/>
      </c>
      <c r="X48" s="321"/>
      <c r="Y48" s="320">
        <f t="shared" si="76"/>
        <v>15</v>
      </c>
      <c r="Z48" s="320" t="str">
        <f t="shared" si="28"/>
        <v/>
      </c>
      <c r="AA48" s="320" t="str">
        <f t="shared" si="29"/>
        <v/>
      </c>
      <c r="AB48" s="320" t="str">
        <f t="shared" si="30"/>
        <v/>
      </c>
      <c r="AC48" s="320" t="str">
        <f t="shared" si="31"/>
        <v/>
      </c>
      <c r="AD48" s="320" t="str">
        <f t="shared" si="32"/>
        <v/>
      </c>
      <c r="AE48" s="320" t="str">
        <f t="shared" si="33"/>
        <v/>
      </c>
      <c r="AF48" s="320" t="str">
        <f t="shared" si="34"/>
        <v/>
      </c>
      <c r="AG48" s="321"/>
      <c r="AH48" s="320">
        <f t="shared" si="35"/>
        <v>15</v>
      </c>
      <c r="AI48" s="320" t="str">
        <f t="shared" si="36"/>
        <v/>
      </c>
      <c r="AJ48" s="320" t="str">
        <f t="shared" si="37"/>
        <v/>
      </c>
      <c r="AK48" s="320" t="str">
        <f t="shared" si="38"/>
        <v/>
      </c>
      <c r="AL48" s="320" t="str">
        <f t="shared" si="39"/>
        <v/>
      </c>
      <c r="AM48" s="320" t="str">
        <f t="shared" si="40"/>
        <v/>
      </c>
      <c r="AN48" s="320" t="str">
        <f t="shared" si="41"/>
        <v/>
      </c>
      <c r="AO48" s="320" t="str">
        <f t="shared" si="42"/>
        <v/>
      </c>
      <c r="AP48" s="321"/>
      <c r="AQ48" s="320" t="str">
        <f t="shared" si="43"/>
        <v/>
      </c>
      <c r="AR48" s="320" t="str">
        <f t="shared" si="44"/>
        <v/>
      </c>
      <c r="AS48" s="320" t="str">
        <f t="shared" si="45"/>
        <v/>
      </c>
      <c r="AT48" s="320" t="str">
        <f t="shared" si="46"/>
        <v/>
      </c>
      <c r="AU48" s="320" t="str">
        <f t="shared" si="47"/>
        <v/>
      </c>
      <c r="AV48" s="320" t="str">
        <f t="shared" si="48"/>
        <v/>
      </c>
      <c r="AW48" s="320" t="str">
        <f t="shared" si="49"/>
        <v/>
      </c>
      <c r="AX48" s="320" t="str">
        <f t="shared" si="50"/>
        <v/>
      </c>
      <c r="AY48" s="321"/>
      <c r="AZ48" s="320">
        <f t="shared" si="75"/>
        <v>3</v>
      </c>
      <c r="BA48" s="320" t="str">
        <f t="shared" si="51"/>
        <v/>
      </c>
      <c r="BB48" s="320" t="str">
        <f t="shared" si="52"/>
        <v/>
      </c>
      <c r="BC48" s="320" t="str">
        <f t="shared" si="53"/>
        <v/>
      </c>
      <c r="BD48" s="320" t="str">
        <f t="shared" si="54"/>
        <v/>
      </c>
      <c r="BE48" s="320" t="str">
        <f t="shared" si="55"/>
        <v/>
      </c>
      <c r="BF48" s="320" t="str">
        <f t="shared" si="56"/>
        <v/>
      </c>
      <c r="BG48" s="320" t="str">
        <f t="shared" si="57"/>
        <v/>
      </c>
      <c r="BH48" s="321"/>
      <c r="BI48" s="322"/>
      <c r="BJ48" s="323" t="str">
        <f t="shared" si="58"/>
        <v>P</v>
      </c>
      <c r="BK48" s="321"/>
      <c r="BL48" s="320" t="str">
        <f t="shared" si="59"/>
        <v>P</v>
      </c>
      <c r="BM48" s="320" t="str">
        <f t="shared" si="60"/>
        <v/>
      </c>
      <c r="BN48" s="320" t="str">
        <f t="shared" si="61"/>
        <v/>
      </c>
      <c r="BO48" s="320" t="str">
        <f t="shared" si="62"/>
        <v/>
      </c>
      <c r="BP48" s="320" t="str">
        <f t="shared" si="63"/>
        <v/>
      </c>
      <c r="BQ48" s="320" t="str">
        <f t="shared" si="64"/>
        <v/>
      </c>
      <c r="BR48" s="320" t="str">
        <f t="shared" si="65"/>
        <v/>
      </c>
      <c r="BS48" s="320" t="str">
        <f t="shared" si="66"/>
        <v/>
      </c>
      <c r="BT48" s="298"/>
      <c r="BU48" s="320">
        <f t="shared" si="11"/>
        <v>1</v>
      </c>
      <c r="BW48" s="320" t="str">
        <f t="shared" si="67"/>
        <v/>
      </c>
      <c r="BX48" s="320" t="b">
        <f t="shared" si="68"/>
        <v>0</v>
      </c>
      <c r="BY48" s="320" t="b">
        <f t="shared" si="69"/>
        <v>0</v>
      </c>
      <c r="BZ48" s="320" t="b">
        <f t="shared" si="70"/>
        <v>0</v>
      </c>
      <c r="CA48" s="320" t="b">
        <f t="shared" si="71"/>
        <v>0</v>
      </c>
      <c r="CB48" s="320" t="b">
        <f t="shared" si="72"/>
        <v>0</v>
      </c>
      <c r="CC48" s="320" t="b">
        <f t="shared" si="73"/>
        <v>0</v>
      </c>
      <c r="CD48" s="320" t="b">
        <f t="shared" si="74"/>
        <v>0</v>
      </c>
    </row>
    <row r="49" spans="1:82" s="295" customFormat="1" ht="24" customHeight="1">
      <c r="A49" s="751">
        <v>44</v>
      </c>
      <c r="B49" s="884" t="s">
        <v>878</v>
      </c>
      <c r="C49" s="884" t="s">
        <v>491</v>
      </c>
      <c r="D49" s="884" t="s">
        <v>879</v>
      </c>
      <c r="E49" s="884">
        <v>1</v>
      </c>
      <c r="F49" s="884">
        <v>5</v>
      </c>
      <c r="G49" s="884" t="s">
        <v>882</v>
      </c>
      <c r="H49" s="887" t="s">
        <v>833</v>
      </c>
      <c r="I49" s="884">
        <v>3</v>
      </c>
      <c r="J49" s="884">
        <v>3</v>
      </c>
      <c r="K49" s="884">
        <v>2</v>
      </c>
      <c r="L49" s="884" t="s">
        <v>833</v>
      </c>
      <c r="M49" s="749" t="s">
        <v>884</v>
      </c>
      <c r="N49" s="918">
        <v>6</v>
      </c>
      <c r="O49" s="293"/>
      <c r="P49" s="319" t="str">
        <f t="shared" si="20"/>
        <v>X</v>
      </c>
      <c r="Q49" s="320" t="str">
        <f t="shared" si="21"/>
        <v/>
      </c>
      <c r="R49" s="320" t="str">
        <f t="shared" si="22"/>
        <v/>
      </c>
      <c r="S49" s="320" t="str">
        <f t="shared" si="23"/>
        <v/>
      </c>
      <c r="T49" s="320" t="str">
        <f t="shared" si="24"/>
        <v/>
      </c>
      <c r="U49" s="320" t="str">
        <f t="shared" si="25"/>
        <v/>
      </c>
      <c r="V49" s="320" t="str">
        <f t="shared" si="26"/>
        <v/>
      </c>
      <c r="W49" s="320" t="str">
        <f t="shared" si="27"/>
        <v/>
      </c>
      <c r="X49" s="321"/>
      <c r="Y49" s="320">
        <f t="shared" si="76"/>
        <v>3</v>
      </c>
      <c r="Z49" s="320" t="str">
        <f t="shared" si="28"/>
        <v/>
      </c>
      <c r="AA49" s="320" t="str">
        <f t="shared" si="29"/>
        <v/>
      </c>
      <c r="AB49" s="320" t="str">
        <f t="shared" si="30"/>
        <v/>
      </c>
      <c r="AC49" s="320" t="str">
        <f t="shared" si="31"/>
        <v/>
      </c>
      <c r="AD49" s="320" t="str">
        <f t="shared" si="32"/>
        <v/>
      </c>
      <c r="AE49" s="320" t="str">
        <f t="shared" si="33"/>
        <v/>
      </c>
      <c r="AF49" s="320" t="str">
        <f t="shared" si="34"/>
        <v/>
      </c>
      <c r="AG49" s="321"/>
      <c r="AH49" s="320">
        <f t="shared" si="35"/>
        <v>3</v>
      </c>
      <c r="AI49" s="320" t="str">
        <f t="shared" si="36"/>
        <v/>
      </c>
      <c r="AJ49" s="320" t="str">
        <f t="shared" si="37"/>
        <v/>
      </c>
      <c r="AK49" s="320" t="str">
        <f t="shared" si="38"/>
        <v/>
      </c>
      <c r="AL49" s="320" t="str">
        <f t="shared" si="39"/>
        <v/>
      </c>
      <c r="AM49" s="320" t="str">
        <f t="shared" si="40"/>
        <v/>
      </c>
      <c r="AN49" s="320" t="str">
        <f t="shared" si="41"/>
        <v/>
      </c>
      <c r="AO49" s="320" t="str">
        <f t="shared" si="42"/>
        <v/>
      </c>
      <c r="AP49" s="321"/>
      <c r="AQ49" s="320" t="str">
        <f t="shared" si="43"/>
        <v/>
      </c>
      <c r="AR49" s="320" t="str">
        <f t="shared" si="44"/>
        <v/>
      </c>
      <c r="AS49" s="320" t="str">
        <f t="shared" si="45"/>
        <v/>
      </c>
      <c r="AT49" s="320" t="str">
        <f t="shared" si="46"/>
        <v/>
      </c>
      <c r="AU49" s="320" t="str">
        <f t="shared" si="47"/>
        <v/>
      </c>
      <c r="AV49" s="320" t="str">
        <f t="shared" si="48"/>
        <v/>
      </c>
      <c r="AW49" s="320" t="str">
        <f t="shared" si="49"/>
        <v/>
      </c>
      <c r="AX49" s="320" t="str">
        <f t="shared" si="50"/>
        <v/>
      </c>
      <c r="AY49" s="321"/>
      <c r="AZ49" s="320">
        <f t="shared" si="75"/>
        <v>2</v>
      </c>
      <c r="BA49" s="320" t="str">
        <f t="shared" si="51"/>
        <v/>
      </c>
      <c r="BB49" s="320" t="str">
        <f t="shared" si="52"/>
        <v/>
      </c>
      <c r="BC49" s="320" t="str">
        <f t="shared" si="53"/>
        <v/>
      </c>
      <c r="BD49" s="320" t="str">
        <f t="shared" si="54"/>
        <v/>
      </c>
      <c r="BE49" s="320" t="str">
        <f t="shared" si="55"/>
        <v/>
      </c>
      <c r="BF49" s="320" t="str">
        <f t="shared" si="56"/>
        <v/>
      </c>
      <c r="BG49" s="320" t="str">
        <f t="shared" si="57"/>
        <v/>
      </c>
      <c r="BH49" s="321"/>
      <c r="BI49" s="322"/>
      <c r="BJ49" s="323" t="str">
        <f t="shared" si="58"/>
        <v>P</v>
      </c>
      <c r="BK49" s="321"/>
      <c r="BL49" s="320" t="str">
        <f t="shared" si="59"/>
        <v>P</v>
      </c>
      <c r="BM49" s="320" t="str">
        <f t="shared" si="60"/>
        <v/>
      </c>
      <c r="BN49" s="320" t="str">
        <f t="shared" si="61"/>
        <v/>
      </c>
      <c r="BO49" s="320" t="str">
        <f t="shared" si="62"/>
        <v/>
      </c>
      <c r="BP49" s="320" t="str">
        <f t="shared" si="63"/>
        <v/>
      </c>
      <c r="BQ49" s="320" t="str">
        <f t="shared" si="64"/>
        <v/>
      </c>
      <c r="BR49" s="320" t="str">
        <f t="shared" si="65"/>
        <v/>
      </c>
      <c r="BS49" s="320" t="str">
        <f t="shared" si="66"/>
        <v/>
      </c>
      <c r="BT49" s="298"/>
      <c r="BU49" s="320">
        <f t="shared" si="11"/>
        <v>1</v>
      </c>
      <c r="BW49" s="320" t="str">
        <f t="shared" si="67"/>
        <v/>
      </c>
      <c r="BX49" s="320" t="b">
        <f t="shared" si="68"/>
        <v>0</v>
      </c>
      <c r="BY49" s="320" t="b">
        <f t="shared" si="69"/>
        <v>0</v>
      </c>
      <c r="BZ49" s="320" t="b">
        <f t="shared" si="70"/>
        <v>0</v>
      </c>
      <c r="CA49" s="320" t="b">
        <f t="shared" si="71"/>
        <v>0</v>
      </c>
      <c r="CB49" s="320" t="b">
        <f t="shared" si="72"/>
        <v>0</v>
      </c>
      <c r="CC49" s="320" t="b">
        <f t="shared" si="73"/>
        <v>0</v>
      </c>
      <c r="CD49" s="320" t="b">
        <f t="shared" si="74"/>
        <v>0</v>
      </c>
    </row>
    <row r="50" spans="1:82" s="295" customFormat="1" ht="24" hidden="1" customHeight="1">
      <c r="A50" s="751">
        <v>45</v>
      </c>
      <c r="B50" s="882"/>
      <c r="C50" s="882"/>
      <c r="D50" s="882"/>
      <c r="E50" s="885"/>
      <c r="F50" s="885"/>
      <c r="G50" s="749"/>
      <c r="H50" s="750"/>
      <c r="I50" s="885"/>
      <c r="J50" s="750"/>
      <c r="K50" s="885"/>
      <c r="L50" s="749"/>
      <c r="M50" s="749"/>
      <c r="N50" s="918" t="s">
        <v>885</v>
      </c>
      <c r="O50" s="293"/>
      <c r="P50" s="319" t="str">
        <f t="shared" si="20"/>
        <v/>
      </c>
      <c r="Q50" s="320" t="str">
        <f t="shared" si="21"/>
        <v/>
      </c>
      <c r="R50" s="320" t="str">
        <f t="shared" si="22"/>
        <v/>
      </c>
      <c r="S50" s="320" t="str">
        <f t="shared" si="23"/>
        <v/>
      </c>
      <c r="T50" s="320" t="str">
        <f t="shared" si="24"/>
        <v/>
      </c>
      <c r="U50" s="320" t="str">
        <f t="shared" si="25"/>
        <v/>
      </c>
      <c r="V50" s="320" t="str">
        <f t="shared" si="26"/>
        <v/>
      </c>
      <c r="W50" s="320" t="str">
        <f t="shared" si="27"/>
        <v/>
      </c>
      <c r="X50" s="321"/>
      <c r="Y50" s="320" t="str">
        <f t="shared" si="76"/>
        <v/>
      </c>
      <c r="Z50" s="320" t="str">
        <f t="shared" si="28"/>
        <v/>
      </c>
      <c r="AA50" s="320" t="str">
        <f t="shared" si="29"/>
        <v/>
      </c>
      <c r="AB50" s="320" t="str">
        <f t="shared" si="30"/>
        <v/>
      </c>
      <c r="AC50" s="320" t="str">
        <f t="shared" si="31"/>
        <v/>
      </c>
      <c r="AD50" s="320" t="str">
        <f t="shared" si="32"/>
        <v/>
      </c>
      <c r="AE50" s="320" t="str">
        <f t="shared" si="33"/>
        <v/>
      </c>
      <c r="AF50" s="320" t="str">
        <f t="shared" si="34"/>
        <v/>
      </c>
      <c r="AG50" s="321"/>
      <c r="AH50" s="320" t="str">
        <f t="shared" si="35"/>
        <v/>
      </c>
      <c r="AI50" s="320" t="str">
        <f t="shared" si="36"/>
        <v/>
      </c>
      <c r="AJ50" s="320" t="str">
        <f t="shared" si="37"/>
        <v/>
      </c>
      <c r="AK50" s="320" t="str">
        <f t="shared" si="38"/>
        <v/>
      </c>
      <c r="AL50" s="320" t="str">
        <f t="shared" si="39"/>
        <v/>
      </c>
      <c r="AM50" s="320" t="str">
        <f t="shared" si="40"/>
        <v/>
      </c>
      <c r="AN50" s="320" t="str">
        <f t="shared" si="41"/>
        <v/>
      </c>
      <c r="AO50" s="320" t="str">
        <f t="shared" si="42"/>
        <v/>
      </c>
      <c r="AP50" s="321"/>
      <c r="AQ50" s="320" t="str">
        <f t="shared" si="43"/>
        <v/>
      </c>
      <c r="AR50" s="320" t="str">
        <f t="shared" si="44"/>
        <v/>
      </c>
      <c r="AS50" s="320" t="str">
        <f t="shared" si="45"/>
        <v/>
      </c>
      <c r="AT50" s="320" t="str">
        <f t="shared" si="46"/>
        <v/>
      </c>
      <c r="AU50" s="320" t="str">
        <f t="shared" si="47"/>
        <v/>
      </c>
      <c r="AV50" s="320" t="str">
        <f t="shared" si="48"/>
        <v/>
      </c>
      <c r="AW50" s="320" t="str">
        <f t="shared" si="49"/>
        <v/>
      </c>
      <c r="AX50" s="320" t="str">
        <f t="shared" si="50"/>
        <v/>
      </c>
      <c r="AY50" s="321"/>
      <c r="AZ50" s="320" t="str">
        <f t="shared" si="75"/>
        <v/>
      </c>
      <c r="BA50" s="320" t="str">
        <f t="shared" si="51"/>
        <v/>
      </c>
      <c r="BB50" s="320" t="str">
        <f t="shared" si="52"/>
        <v/>
      </c>
      <c r="BC50" s="320" t="str">
        <f t="shared" si="53"/>
        <v/>
      </c>
      <c r="BD50" s="320" t="str">
        <f t="shared" si="54"/>
        <v/>
      </c>
      <c r="BE50" s="320" t="str">
        <f t="shared" si="55"/>
        <v/>
      </c>
      <c r="BF50" s="320" t="str">
        <f t="shared" si="56"/>
        <v/>
      </c>
      <c r="BG50" s="320" t="str">
        <f t="shared" si="57"/>
        <v/>
      </c>
      <c r="BH50" s="321"/>
      <c r="BI50" s="322"/>
      <c r="BJ50" s="323" t="str">
        <f t="shared" si="58"/>
        <v/>
      </c>
      <c r="BK50" s="321"/>
      <c r="BL50" s="320" t="str">
        <f t="shared" si="59"/>
        <v/>
      </c>
      <c r="BM50" s="320" t="str">
        <f t="shared" si="60"/>
        <v/>
      </c>
      <c r="BN50" s="320" t="str">
        <f t="shared" si="61"/>
        <v/>
      </c>
      <c r="BO50" s="320" t="str">
        <f t="shared" si="62"/>
        <v/>
      </c>
      <c r="BP50" s="320" t="str">
        <f t="shared" si="63"/>
        <v/>
      </c>
      <c r="BQ50" s="320" t="str">
        <f t="shared" si="64"/>
        <v/>
      </c>
      <c r="BR50" s="320" t="str">
        <f t="shared" si="65"/>
        <v/>
      </c>
      <c r="BS50" s="320" t="str">
        <f t="shared" si="66"/>
        <v/>
      </c>
      <c r="BT50" s="298"/>
      <c r="BU50" s="320" t="str">
        <f t="shared" si="11"/>
        <v/>
      </c>
      <c r="BW50" s="320" t="str">
        <f t="shared" si="67"/>
        <v/>
      </c>
      <c r="BX50" s="320" t="b">
        <f t="shared" si="68"/>
        <v>0</v>
      </c>
      <c r="BY50" s="320" t="b">
        <f t="shared" si="69"/>
        <v>0</v>
      </c>
      <c r="BZ50" s="320" t="b">
        <f t="shared" si="70"/>
        <v>0</v>
      </c>
      <c r="CA50" s="320" t="b">
        <f t="shared" si="71"/>
        <v>0</v>
      </c>
      <c r="CB50" s="320" t="b">
        <f t="shared" si="72"/>
        <v>0</v>
      </c>
      <c r="CC50" s="320" t="b">
        <f t="shared" si="73"/>
        <v>0</v>
      </c>
      <c r="CD50" s="320" t="b">
        <f t="shared" si="74"/>
        <v>0</v>
      </c>
    </row>
    <row r="51" spans="1:82" s="295" customFormat="1" ht="24" hidden="1" customHeight="1">
      <c r="A51" s="751">
        <v>46</v>
      </c>
      <c r="B51" s="882"/>
      <c r="C51" s="882"/>
      <c r="D51" s="882"/>
      <c r="E51" s="885"/>
      <c r="F51" s="885"/>
      <c r="G51" s="749"/>
      <c r="H51" s="750"/>
      <c r="I51" s="885"/>
      <c r="J51" s="750"/>
      <c r="K51" s="885"/>
      <c r="L51" s="749"/>
      <c r="M51" s="749"/>
      <c r="N51" s="918" t="s">
        <v>885</v>
      </c>
      <c r="O51" s="293"/>
      <c r="P51" s="319" t="str">
        <f t="shared" si="20"/>
        <v/>
      </c>
      <c r="Q51" s="320" t="str">
        <f t="shared" si="21"/>
        <v/>
      </c>
      <c r="R51" s="320" t="str">
        <f t="shared" si="22"/>
        <v/>
      </c>
      <c r="S51" s="320" t="str">
        <f t="shared" si="23"/>
        <v/>
      </c>
      <c r="T51" s="320" t="str">
        <f t="shared" si="24"/>
        <v/>
      </c>
      <c r="U51" s="320" t="str">
        <f t="shared" si="25"/>
        <v/>
      </c>
      <c r="V51" s="320" t="str">
        <f t="shared" si="26"/>
        <v/>
      </c>
      <c r="W51" s="320" t="str">
        <f t="shared" si="27"/>
        <v/>
      </c>
      <c r="X51" s="321"/>
      <c r="Y51" s="320" t="str">
        <f t="shared" si="76"/>
        <v/>
      </c>
      <c r="Z51" s="320" t="str">
        <f t="shared" si="28"/>
        <v/>
      </c>
      <c r="AA51" s="320" t="str">
        <f t="shared" si="29"/>
        <v/>
      </c>
      <c r="AB51" s="320" t="str">
        <f t="shared" si="30"/>
        <v/>
      </c>
      <c r="AC51" s="320" t="str">
        <f t="shared" si="31"/>
        <v/>
      </c>
      <c r="AD51" s="320" t="str">
        <f t="shared" si="32"/>
        <v/>
      </c>
      <c r="AE51" s="320" t="str">
        <f t="shared" si="33"/>
        <v/>
      </c>
      <c r="AF51" s="320" t="str">
        <f t="shared" si="34"/>
        <v/>
      </c>
      <c r="AG51" s="321"/>
      <c r="AH51" s="320" t="str">
        <f t="shared" si="35"/>
        <v/>
      </c>
      <c r="AI51" s="320" t="str">
        <f t="shared" si="36"/>
        <v/>
      </c>
      <c r="AJ51" s="320" t="str">
        <f t="shared" si="37"/>
        <v/>
      </c>
      <c r="AK51" s="320" t="str">
        <f t="shared" si="38"/>
        <v/>
      </c>
      <c r="AL51" s="320" t="str">
        <f t="shared" si="39"/>
        <v/>
      </c>
      <c r="AM51" s="320" t="str">
        <f t="shared" si="40"/>
        <v/>
      </c>
      <c r="AN51" s="320" t="str">
        <f t="shared" si="41"/>
        <v/>
      </c>
      <c r="AO51" s="320" t="str">
        <f t="shared" si="42"/>
        <v/>
      </c>
      <c r="AP51" s="321"/>
      <c r="AQ51" s="320" t="str">
        <f t="shared" si="43"/>
        <v/>
      </c>
      <c r="AR51" s="320" t="str">
        <f t="shared" si="44"/>
        <v/>
      </c>
      <c r="AS51" s="320" t="str">
        <f t="shared" si="45"/>
        <v/>
      </c>
      <c r="AT51" s="320" t="str">
        <f t="shared" si="46"/>
        <v/>
      </c>
      <c r="AU51" s="320" t="str">
        <f t="shared" si="47"/>
        <v/>
      </c>
      <c r="AV51" s="320" t="str">
        <f t="shared" si="48"/>
        <v/>
      </c>
      <c r="AW51" s="320" t="str">
        <f t="shared" si="49"/>
        <v/>
      </c>
      <c r="AX51" s="320" t="str">
        <f t="shared" si="50"/>
        <v/>
      </c>
      <c r="AY51" s="321"/>
      <c r="AZ51" s="320" t="str">
        <f t="shared" si="75"/>
        <v/>
      </c>
      <c r="BA51" s="320" t="str">
        <f t="shared" si="51"/>
        <v/>
      </c>
      <c r="BB51" s="320" t="str">
        <f t="shared" si="52"/>
        <v/>
      </c>
      <c r="BC51" s="320" t="str">
        <f t="shared" si="53"/>
        <v/>
      </c>
      <c r="BD51" s="320" t="str">
        <f t="shared" si="54"/>
        <v/>
      </c>
      <c r="BE51" s="320" t="str">
        <f t="shared" si="55"/>
        <v/>
      </c>
      <c r="BF51" s="320" t="str">
        <f t="shared" si="56"/>
        <v/>
      </c>
      <c r="BG51" s="320" t="str">
        <f t="shared" si="57"/>
        <v/>
      </c>
      <c r="BH51" s="321"/>
      <c r="BI51" s="322"/>
      <c r="BJ51" s="323" t="str">
        <f t="shared" si="58"/>
        <v/>
      </c>
      <c r="BK51" s="321"/>
      <c r="BL51" s="320" t="str">
        <f t="shared" si="59"/>
        <v/>
      </c>
      <c r="BM51" s="320" t="str">
        <f t="shared" si="60"/>
        <v/>
      </c>
      <c r="BN51" s="320" t="str">
        <f t="shared" si="61"/>
        <v/>
      </c>
      <c r="BO51" s="320" t="str">
        <f t="shared" si="62"/>
        <v/>
      </c>
      <c r="BP51" s="320" t="str">
        <f t="shared" si="63"/>
        <v/>
      </c>
      <c r="BQ51" s="320" t="str">
        <f t="shared" si="64"/>
        <v/>
      </c>
      <c r="BR51" s="320" t="str">
        <f t="shared" si="65"/>
        <v/>
      </c>
      <c r="BS51" s="320" t="str">
        <f t="shared" si="66"/>
        <v/>
      </c>
      <c r="BT51" s="298"/>
      <c r="BU51" s="320" t="str">
        <f t="shared" si="11"/>
        <v/>
      </c>
      <c r="BW51" s="320" t="str">
        <f t="shared" si="67"/>
        <v/>
      </c>
      <c r="BX51" s="320" t="b">
        <f t="shared" si="68"/>
        <v>0</v>
      </c>
      <c r="BY51" s="320" t="b">
        <f t="shared" si="69"/>
        <v>0</v>
      </c>
      <c r="BZ51" s="320" t="b">
        <f t="shared" si="70"/>
        <v>0</v>
      </c>
      <c r="CA51" s="320" t="b">
        <f t="shared" si="71"/>
        <v>0</v>
      </c>
      <c r="CB51" s="320" t="b">
        <f t="shared" si="72"/>
        <v>0</v>
      </c>
      <c r="CC51" s="320" t="b">
        <f t="shared" si="73"/>
        <v>0</v>
      </c>
      <c r="CD51" s="320" t="b">
        <f t="shared" si="74"/>
        <v>0</v>
      </c>
    </row>
    <row r="52" spans="1:82" s="295" customFormat="1" ht="24" hidden="1" customHeight="1">
      <c r="A52" s="751">
        <v>47</v>
      </c>
      <c r="B52" s="883"/>
      <c r="C52" s="882"/>
      <c r="D52" s="882"/>
      <c r="E52" s="885"/>
      <c r="F52" s="885"/>
      <c r="G52" s="749"/>
      <c r="H52" s="750"/>
      <c r="I52" s="885"/>
      <c r="J52" s="750"/>
      <c r="K52" s="885"/>
      <c r="L52" s="749"/>
      <c r="M52" s="749"/>
      <c r="N52" s="918" t="s">
        <v>885</v>
      </c>
      <c r="O52" s="293"/>
      <c r="P52" s="319" t="str">
        <f t="shared" si="20"/>
        <v/>
      </c>
      <c r="Q52" s="320" t="str">
        <f t="shared" si="21"/>
        <v/>
      </c>
      <c r="R52" s="320" t="str">
        <f t="shared" si="22"/>
        <v/>
      </c>
      <c r="S52" s="320" t="str">
        <f t="shared" si="23"/>
        <v/>
      </c>
      <c r="T52" s="320" t="str">
        <f t="shared" si="24"/>
        <v/>
      </c>
      <c r="U52" s="320" t="str">
        <f t="shared" si="25"/>
        <v/>
      </c>
      <c r="V52" s="320" t="str">
        <f t="shared" si="26"/>
        <v/>
      </c>
      <c r="W52" s="320" t="str">
        <f t="shared" si="27"/>
        <v/>
      </c>
      <c r="X52" s="321"/>
      <c r="Y52" s="320" t="str">
        <f t="shared" si="76"/>
        <v/>
      </c>
      <c r="Z52" s="320" t="str">
        <f t="shared" si="28"/>
        <v/>
      </c>
      <c r="AA52" s="320" t="str">
        <f t="shared" si="29"/>
        <v/>
      </c>
      <c r="AB52" s="320" t="str">
        <f t="shared" si="30"/>
        <v/>
      </c>
      <c r="AC52" s="320" t="str">
        <f t="shared" si="31"/>
        <v/>
      </c>
      <c r="AD52" s="320" t="str">
        <f t="shared" si="32"/>
        <v/>
      </c>
      <c r="AE52" s="320" t="str">
        <f t="shared" si="33"/>
        <v/>
      </c>
      <c r="AF52" s="320" t="str">
        <f t="shared" si="34"/>
        <v/>
      </c>
      <c r="AG52" s="321"/>
      <c r="AH52" s="320" t="str">
        <f t="shared" si="35"/>
        <v/>
      </c>
      <c r="AI52" s="320" t="str">
        <f t="shared" si="36"/>
        <v/>
      </c>
      <c r="AJ52" s="320" t="str">
        <f t="shared" si="37"/>
        <v/>
      </c>
      <c r="AK52" s="320" t="str">
        <f t="shared" si="38"/>
        <v/>
      </c>
      <c r="AL52" s="320" t="str">
        <f t="shared" si="39"/>
        <v/>
      </c>
      <c r="AM52" s="320" t="str">
        <f t="shared" si="40"/>
        <v/>
      </c>
      <c r="AN52" s="320" t="str">
        <f t="shared" si="41"/>
        <v/>
      </c>
      <c r="AO52" s="320" t="str">
        <f t="shared" si="42"/>
        <v/>
      </c>
      <c r="AP52" s="321"/>
      <c r="AQ52" s="320" t="str">
        <f t="shared" si="43"/>
        <v/>
      </c>
      <c r="AR52" s="320" t="str">
        <f t="shared" si="44"/>
        <v/>
      </c>
      <c r="AS52" s="320" t="str">
        <f t="shared" si="45"/>
        <v/>
      </c>
      <c r="AT52" s="320" t="str">
        <f t="shared" si="46"/>
        <v/>
      </c>
      <c r="AU52" s="320" t="str">
        <f t="shared" si="47"/>
        <v/>
      </c>
      <c r="AV52" s="320" t="str">
        <f t="shared" si="48"/>
        <v/>
      </c>
      <c r="AW52" s="320" t="str">
        <f t="shared" si="49"/>
        <v/>
      </c>
      <c r="AX52" s="320" t="str">
        <f t="shared" si="50"/>
        <v/>
      </c>
      <c r="AY52" s="321"/>
      <c r="AZ52" s="320" t="str">
        <f t="shared" si="75"/>
        <v/>
      </c>
      <c r="BA52" s="320" t="str">
        <f t="shared" si="51"/>
        <v/>
      </c>
      <c r="BB52" s="320" t="str">
        <f t="shared" si="52"/>
        <v/>
      </c>
      <c r="BC52" s="320" t="str">
        <f t="shared" si="53"/>
        <v/>
      </c>
      <c r="BD52" s="320" t="str">
        <f t="shared" si="54"/>
        <v/>
      </c>
      <c r="BE52" s="320" t="str">
        <f t="shared" si="55"/>
        <v/>
      </c>
      <c r="BF52" s="320" t="str">
        <f t="shared" si="56"/>
        <v/>
      </c>
      <c r="BG52" s="320" t="str">
        <f t="shared" si="57"/>
        <v/>
      </c>
      <c r="BH52" s="321"/>
      <c r="BI52" s="322"/>
      <c r="BJ52" s="323" t="str">
        <f t="shared" si="58"/>
        <v/>
      </c>
      <c r="BK52" s="321"/>
      <c r="BL52" s="320" t="str">
        <f t="shared" si="59"/>
        <v/>
      </c>
      <c r="BM52" s="320" t="str">
        <f t="shared" si="60"/>
        <v/>
      </c>
      <c r="BN52" s="320" t="str">
        <f t="shared" si="61"/>
        <v/>
      </c>
      <c r="BO52" s="320" t="str">
        <f t="shared" si="62"/>
        <v/>
      </c>
      <c r="BP52" s="320" t="str">
        <f t="shared" si="63"/>
        <v/>
      </c>
      <c r="BQ52" s="320" t="str">
        <f t="shared" si="64"/>
        <v/>
      </c>
      <c r="BR52" s="320" t="str">
        <f t="shared" si="65"/>
        <v/>
      </c>
      <c r="BS52" s="320" t="str">
        <f t="shared" si="66"/>
        <v/>
      </c>
      <c r="BT52" s="298"/>
      <c r="BU52" s="320" t="str">
        <f t="shared" si="11"/>
        <v/>
      </c>
      <c r="BW52" s="320" t="str">
        <f t="shared" si="67"/>
        <v/>
      </c>
      <c r="BX52" s="320" t="b">
        <f t="shared" si="68"/>
        <v>0</v>
      </c>
      <c r="BY52" s="320" t="b">
        <f t="shared" si="69"/>
        <v>0</v>
      </c>
      <c r="BZ52" s="320" t="b">
        <f t="shared" si="70"/>
        <v>0</v>
      </c>
      <c r="CA52" s="320" t="b">
        <f t="shared" si="71"/>
        <v>0</v>
      </c>
      <c r="CB52" s="320" t="b">
        <f t="shared" si="72"/>
        <v>0</v>
      </c>
      <c r="CC52" s="320" t="b">
        <f t="shared" si="73"/>
        <v>0</v>
      </c>
      <c r="CD52" s="320" t="b">
        <f t="shared" si="74"/>
        <v>0</v>
      </c>
    </row>
    <row r="53" spans="1:82" s="295" customFormat="1" ht="24" hidden="1" customHeight="1">
      <c r="A53" s="751">
        <v>48</v>
      </c>
      <c r="B53" s="882"/>
      <c r="C53" s="882"/>
      <c r="D53" s="882"/>
      <c r="E53" s="885"/>
      <c r="F53" s="885"/>
      <c r="G53" s="749"/>
      <c r="H53" s="750"/>
      <c r="I53" s="885"/>
      <c r="J53" s="750"/>
      <c r="K53" s="885"/>
      <c r="L53" s="749"/>
      <c r="M53" s="749"/>
      <c r="N53" s="918" t="s">
        <v>885</v>
      </c>
      <c r="O53" s="293"/>
      <c r="P53" s="319" t="str">
        <f t="shared" si="20"/>
        <v/>
      </c>
      <c r="Q53" s="320" t="str">
        <f t="shared" si="21"/>
        <v/>
      </c>
      <c r="R53" s="320" t="str">
        <f t="shared" si="22"/>
        <v/>
      </c>
      <c r="S53" s="320" t="str">
        <f t="shared" si="23"/>
        <v/>
      </c>
      <c r="T53" s="320" t="str">
        <f t="shared" si="24"/>
        <v/>
      </c>
      <c r="U53" s="320" t="str">
        <f t="shared" si="25"/>
        <v/>
      </c>
      <c r="V53" s="320" t="str">
        <f t="shared" si="26"/>
        <v/>
      </c>
      <c r="W53" s="320" t="str">
        <f t="shared" si="27"/>
        <v/>
      </c>
      <c r="X53" s="321"/>
      <c r="Y53" s="320" t="str">
        <f t="shared" si="76"/>
        <v/>
      </c>
      <c r="Z53" s="320" t="str">
        <f t="shared" si="28"/>
        <v/>
      </c>
      <c r="AA53" s="320" t="str">
        <f t="shared" si="29"/>
        <v/>
      </c>
      <c r="AB53" s="320" t="str">
        <f t="shared" si="30"/>
        <v/>
      </c>
      <c r="AC53" s="320" t="str">
        <f t="shared" si="31"/>
        <v/>
      </c>
      <c r="AD53" s="320" t="str">
        <f t="shared" si="32"/>
        <v/>
      </c>
      <c r="AE53" s="320" t="str">
        <f t="shared" si="33"/>
        <v/>
      </c>
      <c r="AF53" s="320" t="str">
        <f t="shared" si="34"/>
        <v/>
      </c>
      <c r="AG53" s="321"/>
      <c r="AH53" s="320" t="str">
        <f t="shared" si="35"/>
        <v/>
      </c>
      <c r="AI53" s="320" t="str">
        <f t="shared" si="36"/>
        <v/>
      </c>
      <c r="AJ53" s="320" t="str">
        <f t="shared" si="37"/>
        <v/>
      </c>
      <c r="AK53" s="320" t="str">
        <f t="shared" si="38"/>
        <v/>
      </c>
      <c r="AL53" s="320" t="str">
        <f t="shared" si="39"/>
        <v/>
      </c>
      <c r="AM53" s="320" t="str">
        <f t="shared" si="40"/>
        <v/>
      </c>
      <c r="AN53" s="320" t="str">
        <f t="shared" si="41"/>
        <v/>
      </c>
      <c r="AO53" s="320" t="str">
        <f t="shared" si="42"/>
        <v/>
      </c>
      <c r="AP53" s="321"/>
      <c r="AQ53" s="320" t="str">
        <f t="shared" si="43"/>
        <v/>
      </c>
      <c r="AR53" s="320" t="str">
        <f t="shared" si="44"/>
        <v/>
      </c>
      <c r="AS53" s="320" t="str">
        <f t="shared" si="45"/>
        <v/>
      </c>
      <c r="AT53" s="320" t="str">
        <f t="shared" si="46"/>
        <v/>
      </c>
      <c r="AU53" s="320" t="str">
        <f t="shared" si="47"/>
        <v/>
      </c>
      <c r="AV53" s="320" t="str">
        <f t="shared" si="48"/>
        <v/>
      </c>
      <c r="AW53" s="320" t="str">
        <f t="shared" si="49"/>
        <v/>
      </c>
      <c r="AX53" s="320" t="str">
        <f t="shared" si="50"/>
        <v/>
      </c>
      <c r="AY53" s="321"/>
      <c r="AZ53" s="320" t="str">
        <f t="shared" si="75"/>
        <v/>
      </c>
      <c r="BA53" s="320" t="str">
        <f t="shared" si="51"/>
        <v/>
      </c>
      <c r="BB53" s="320" t="str">
        <f t="shared" si="52"/>
        <v/>
      </c>
      <c r="BC53" s="320" t="str">
        <f t="shared" si="53"/>
        <v/>
      </c>
      <c r="BD53" s="320" t="str">
        <f t="shared" si="54"/>
        <v/>
      </c>
      <c r="BE53" s="320" t="str">
        <f t="shared" si="55"/>
        <v/>
      </c>
      <c r="BF53" s="320" t="str">
        <f t="shared" si="56"/>
        <v/>
      </c>
      <c r="BG53" s="320" t="str">
        <f t="shared" si="57"/>
        <v/>
      </c>
      <c r="BH53" s="321"/>
      <c r="BI53" s="322"/>
      <c r="BJ53" s="323" t="str">
        <f t="shared" si="58"/>
        <v/>
      </c>
      <c r="BK53" s="321"/>
      <c r="BL53" s="320" t="str">
        <f t="shared" si="59"/>
        <v/>
      </c>
      <c r="BM53" s="320" t="str">
        <f t="shared" si="60"/>
        <v/>
      </c>
      <c r="BN53" s="320" t="str">
        <f t="shared" si="61"/>
        <v/>
      </c>
      <c r="BO53" s="320" t="str">
        <f t="shared" si="62"/>
        <v/>
      </c>
      <c r="BP53" s="320" t="str">
        <f t="shared" si="63"/>
        <v/>
      </c>
      <c r="BQ53" s="320" t="str">
        <f t="shared" si="64"/>
        <v/>
      </c>
      <c r="BR53" s="320" t="str">
        <f t="shared" si="65"/>
        <v/>
      </c>
      <c r="BS53" s="320" t="str">
        <f t="shared" si="66"/>
        <v/>
      </c>
      <c r="BT53" s="298"/>
      <c r="BU53" s="320" t="str">
        <f t="shared" si="11"/>
        <v/>
      </c>
      <c r="BW53" s="320" t="str">
        <f t="shared" si="67"/>
        <v/>
      </c>
      <c r="BX53" s="320" t="b">
        <f t="shared" si="68"/>
        <v>0</v>
      </c>
      <c r="BY53" s="320" t="b">
        <f t="shared" si="69"/>
        <v>0</v>
      </c>
      <c r="BZ53" s="320" t="b">
        <f t="shared" si="70"/>
        <v>0</v>
      </c>
      <c r="CA53" s="320" t="b">
        <f t="shared" si="71"/>
        <v>0</v>
      </c>
      <c r="CB53" s="320" t="b">
        <f t="shared" si="72"/>
        <v>0</v>
      </c>
      <c r="CC53" s="320" t="b">
        <f t="shared" si="73"/>
        <v>0</v>
      </c>
      <c r="CD53" s="320" t="b">
        <f t="shared" si="74"/>
        <v>0</v>
      </c>
    </row>
    <row r="54" spans="1:82" s="295" customFormat="1" ht="24" hidden="1" customHeight="1">
      <c r="A54" s="751">
        <v>49</v>
      </c>
      <c r="B54" s="883"/>
      <c r="C54" s="883"/>
      <c r="D54" s="883"/>
      <c r="E54" s="885"/>
      <c r="F54" s="885"/>
      <c r="G54" s="749"/>
      <c r="H54" s="750"/>
      <c r="I54" s="885"/>
      <c r="J54" s="750"/>
      <c r="K54" s="885"/>
      <c r="L54" s="749"/>
      <c r="M54" s="749"/>
      <c r="N54" s="918" t="s">
        <v>885</v>
      </c>
      <c r="O54" s="293"/>
      <c r="P54" s="319" t="str">
        <f t="shared" si="20"/>
        <v/>
      </c>
      <c r="Q54" s="320" t="str">
        <f t="shared" si="21"/>
        <v/>
      </c>
      <c r="R54" s="320" t="str">
        <f t="shared" si="22"/>
        <v/>
      </c>
      <c r="S54" s="320" t="str">
        <f t="shared" si="23"/>
        <v/>
      </c>
      <c r="T54" s="320" t="str">
        <f t="shared" si="24"/>
        <v/>
      </c>
      <c r="U54" s="320" t="str">
        <f t="shared" si="25"/>
        <v/>
      </c>
      <c r="V54" s="320" t="str">
        <f t="shared" si="26"/>
        <v/>
      </c>
      <c r="W54" s="320" t="str">
        <f t="shared" si="27"/>
        <v/>
      </c>
      <c r="X54" s="321"/>
      <c r="Y54" s="320" t="str">
        <f t="shared" si="76"/>
        <v/>
      </c>
      <c r="Z54" s="320" t="str">
        <f t="shared" si="28"/>
        <v/>
      </c>
      <c r="AA54" s="320" t="str">
        <f t="shared" si="29"/>
        <v/>
      </c>
      <c r="AB54" s="320" t="str">
        <f t="shared" si="30"/>
        <v/>
      </c>
      <c r="AC54" s="320" t="str">
        <f t="shared" si="31"/>
        <v/>
      </c>
      <c r="AD54" s="320" t="str">
        <f t="shared" si="32"/>
        <v/>
      </c>
      <c r="AE54" s="320" t="str">
        <f t="shared" si="33"/>
        <v/>
      </c>
      <c r="AF54" s="320" t="str">
        <f t="shared" si="34"/>
        <v/>
      </c>
      <c r="AG54" s="321"/>
      <c r="AH54" s="320" t="str">
        <f t="shared" si="35"/>
        <v/>
      </c>
      <c r="AI54" s="320" t="str">
        <f t="shared" si="36"/>
        <v/>
      </c>
      <c r="AJ54" s="320" t="str">
        <f t="shared" si="37"/>
        <v/>
      </c>
      <c r="AK54" s="320" t="str">
        <f t="shared" si="38"/>
        <v/>
      </c>
      <c r="AL54" s="320" t="str">
        <f t="shared" si="39"/>
        <v/>
      </c>
      <c r="AM54" s="320" t="str">
        <f t="shared" si="40"/>
        <v/>
      </c>
      <c r="AN54" s="320" t="str">
        <f t="shared" si="41"/>
        <v/>
      </c>
      <c r="AO54" s="320" t="str">
        <f t="shared" si="42"/>
        <v/>
      </c>
      <c r="AP54" s="321"/>
      <c r="AQ54" s="320" t="str">
        <f t="shared" si="43"/>
        <v/>
      </c>
      <c r="AR54" s="320" t="str">
        <f t="shared" si="44"/>
        <v/>
      </c>
      <c r="AS54" s="320" t="str">
        <f t="shared" si="45"/>
        <v/>
      </c>
      <c r="AT54" s="320" t="str">
        <f t="shared" si="46"/>
        <v/>
      </c>
      <c r="AU54" s="320" t="str">
        <f t="shared" si="47"/>
        <v/>
      </c>
      <c r="AV54" s="320" t="str">
        <f t="shared" si="48"/>
        <v/>
      </c>
      <c r="AW54" s="320" t="str">
        <f t="shared" si="49"/>
        <v/>
      </c>
      <c r="AX54" s="320" t="str">
        <f t="shared" si="50"/>
        <v/>
      </c>
      <c r="AY54" s="321"/>
      <c r="AZ54" s="320" t="str">
        <f t="shared" si="75"/>
        <v/>
      </c>
      <c r="BA54" s="320" t="str">
        <f t="shared" si="51"/>
        <v/>
      </c>
      <c r="BB54" s="320" t="str">
        <f t="shared" si="52"/>
        <v/>
      </c>
      <c r="BC54" s="320" t="str">
        <f t="shared" si="53"/>
        <v/>
      </c>
      <c r="BD54" s="320" t="str">
        <f t="shared" si="54"/>
        <v/>
      </c>
      <c r="BE54" s="320" t="str">
        <f t="shared" si="55"/>
        <v/>
      </c>
      <c r="BF54" s="320" t="str">
        <f t="shared" si="56"/>
        <v/>
      </c>
      <c r="BG54" s="320" t="str">
        <f t="shared" si="57"/>
        <v/>
      </c>
      <c r="BH54" s="321"/>
      <c r="BI54" s="322"/>
      <c r="BJ54" s="323" t="str">
        <f t="shared" si="58"/>
        <v/>
      </c>
      <c r="BK54" s="321"/>
      <c r="BL54" s="320" t="str">
        <f t="shared" si="59"/>
        <v/>
      </c>
      <c r="BM54" s="320" t="str">
        <f t="shared" si="60"/>
        <v/>
      </c>
      <c r="BN54" s="320" t="str">
        <f t="shared" si="61"/>
        <v/>
      </c>
      <c r="BO54" s="320" t="str">
        <f t="shared" si="62"/>
        <v/>
      </c>
      <c r="BP54" s="320" t="str">
        <f t="shared" si="63"/>
        <v/>
      </c>
      <c r="BQ54" s="320" t="str">
        <f t="shared" si="64"/>
        <v/>
      </c>
      <c r="BR54" s="320" t="str">
        <f t="shared" si="65"/>
        <v/>
      </c>
      <c r="BS54" s="320" t="str">
        <f t="shared" si="66"/>
        <v/>
      </c>
      <c r="BT54" s="298"/>
      <c r="BU54" s="320" t="str">
        <f t="shared" si="11"/>
        <v/>
      </c>
      <c r="BW54" s="320" t="str">
        <f t="shared" si="67"/>
        <v/>
      </c>
      <c r="BX54" s="320" t="b">
        <f t="shared" si="68"/>
        <v>0</v>
      </c>
      <c r="BY54" s="320" t="b">
        <f t="shared" si="69"/>
        <v>0</v>
      </c>
      <c r="BZ54" s="320" t="b">
        <f t="shared" si="70"/>
        <v>0</v>
      </c>
      <c r="CA54" s="320" t="b">
        <f t="shared" si="71"/>
        <v>0</v>
      </c>
      <c r="CB54" s="320" t="b">
        <f t="shared" si="72"/>
        <v>0</v>
      </c>
      <c r="CC54" s="320" t="b">
        <f t="shared" si="73"/>
        <v>0</v>
      </c>
      <c r="CD54" s="320" t="b">
        <f t="shared" si="74"/>
        <v>0</v>
      </c>
    </row>
    <row r="55" spans="1:82" s="295" customFormat="1" ht="24" hidden="1" customHeight="1">
      <c r="A55" s="751">
        <v>50</v>
      </c>
      <c r="B55" s="882"/>
      <c r="C55" s="883"/>
      <c r="D55" s="882"/>
      <c r="E55" s="885"/>
      <c r="F55" s="885"/>
      <c r="G55" s="749"/>
      <c r="H55" s="750"/>
      <c r="I55" s="885"/>
      <c r="J55" s="750"/>
      <c r="K55" s="885"/>
      <c r="L55" s="749"/>
      <c r="M55" s="749"/>
      <c r="N55" s="918" t="s">
        <v>885</v>
      </c>
      <c r="O55" s="293"/>
      <c r="P55" s="319" t="str">
        <f t="shared" si="20"/>
        <v/>
      </c>
      <c r="Q55" s="320" t="str">
        <f t="shared" si="21"/>
        <v/>
      </c>
      <c r="R55" s="320" t="str">
        <f t="shared" si="22"/>
        <v/>
      </c>
      <c r="S55" s="320" t="str">
        <f t="shared" si="23"/>
        <v/>
      </c>
      <c r="T55" s="320" t="str">
        <f t="shared" si="24"/>
        <v/>
      </c>
      <c r="U55" s="320" t="str">
        <f t="shared" si="25"/>
        <v/>
      </c>
      <c r="V55" s="320" t="str">
        <f t="shared" si="26"/>
        <v/>
      </c>
      <c r="W55" s="320" t="str">
        <f t="shared" si="27"/>
        <v/>
      </c>
      <c r="X55" s="321"/>
      <c r="Y55" s="320" t="str">
        <f t="shared" si="76"/>
        <v/>
      </c>
      <c r="Z55" s="320" t="str">
        <f t="shared" si="28"/>
        <v/>
      </c>
      <c r="AA55" s="320" t="str">
        <f t="shared" si="29"/>
        <v/>
      </c>
      <c r="AB55" s="320" t="str">
        <f t="shared" si="30"/>
        <v/>
      </c>
      <c r="AC55" s="320" t="str">
        <f t="shared" si="31"/>
        <v/>
      </c>
      <c r="AD55" s="320" t="str">
        <f t="shared" si="32"/>
        <v/>
      </c>
      <c r="AE55" s="320" t="str">
        <f t="shared" si="33"/>
        <v/>
      </c>
      <c r="AF55" s="320" t="str">
        <f t="shared" si="34"/>
        <v/>
      </c>
      <c r="AG55" s="321"/>
      <c r="AH55" s="320" t="str">
        <f t="shared" si="35"/>
        <v/>
      </c>
      <c r="AI55" s="320" t="str">
        <f t="shared" si="36"/>
        <v/>
      </c>
      <c r="AJ55" s="320" t="str">
        <f t="shared" si="37"/>
        <v/>
      </c>
      <c r="AK55" s="320" t="str">
        <f t="shared" si="38"/>
        <v/>
      </c>
      <c r="AL55" s="320" t="str">
        <f t="shared" si="39"/>
        <v/>
      </c>
      <c r="AM55" s="320" t="str">
        <f t="shared" si="40"/>
        <v/>
      </c>
      <c r="AN55" s="320" t="str">
        <f t="shared" si="41"/>
        <v/>
      </c>
      <c r="AO55" s="320" t="str">
        <f t="shared" si="42"/>
        <v/>
      </c>
      <c r="AP55" s="321"/>
      <c r="AQ55" s="320" t="str">
        <f t="shared" si="43"/>
        <v/>
      </c>
      <c r="AR55" s="320" t="str">
        <f t="shared" si="44"/>
        <v/>
      </c>
      <c r="AS55" s="320" t="str">
        <f t="shared" si="45"/>
        <v/>
      </c>
      <c r="AT55" s="320" t="str">
        <f t="shared" si="46"/>
        <v/>
      </c>
      <c r="AU55" s="320" t="str">
        <f t="shared" si="47"/>
        <v/>
      </c>
      <c r="AV55" s="320" t="str">
        <f t="shared" si="48"/>
        <v/>
      </c>
      <c r="AW55" s="320" t="str">
        <f t="shared" si="49"/>
        <v/>
      </c>
      <c r="AX55" s="320" t="str">
        <f t="shared" si="50"/>
        <v/>
      </c>
      <c r="AY55" s="321"/>
      <c r="AZ55" s="320" t="str">
        <f t="shared" si="75"/>
        <v/>
      </c>
      <c r="BA55" s="320" t="str">
        <f t="shared" si="51"/>
        <v/>
      </c>
      <c r="BB55" s="320" t="str">
        <f t="shared" si="52"/>
        <v/>
      </c>
      <c r="BC55" s="320" t="str">
        <f t="shared" si="53"/>
        <v/>
      </c>
      <c r="BD55" s="320" t="str">
        <f t="shared" si="54"/>
        <v/>
      </c>
      <c r="BE55" s="320" t="str">
        <f t="shared" si="55"/>
        <v/>
      </c>
      <c r="BF55" s="320" t="str">
        <f t="shared" si="56"/>
        <v/>
      </c>
      <c r="BG55" s="320" t="str">
        <f t="shared" si="57"/>
        <v/>
      </c>
      <c r="BH55" s="321"/>
      <c r="BI55" s="322"/>
      <c r="BJ55" s="323" t="str">
        <f t="shared" si="58"/>
        <v/>
      </c>
      <c r="BK55" s="321"/>
      <c r="BL55" s="320" t="str">
        <f t="shared" si="59"/>
        <v/>
      </c>
      <c r="BM55" s="320" t="str">
        <f t="shared" si="60"/>
        <v/>
      </c>
      <c r="BN55" s="320" t="str">
        <f t="shared" si="61"/>
        <v/>
      </c>
      <c r="BO55" s="320" t="str">
        <f t="shared" si="62"/>
        <v/>
      </c>
      <c r="BP55" s="320" t="str">
        <f t="shared" si="63"/>
        <v/>
      </c>
      <c r="BQ55" s="320" t="str">
        <f t="shared" si="64"/>
        <v/>
      </c>
      <c r="BR55" s="320" t="str">
        <f t="shared" si="65"/>
        <v/>
      </c>
      <c r="BS55" s="320" t="str">
        <f t="shared" si="66"/>
        <v/>
      </c>
      <c r="BT55" s="298"/>
      <c r="BU55" s="320" t="str">
        <f t="shared" si="11"/>
        <v/>
      </c>
      <c r="BW55" s="320" t="str">
        <f t="shared" si="67"/>
        <v/>
      </c>
      <c r="BX55" s="320" t="b">
        <f t="shared" si="68"/>
        <v>0</v>
      </c>
      <c r="BY55" s="320" t="b">
        <f t="shared" si="69"/>
        <v>0</v>
      </c>
      <c r="BZ55" s="320" t="b">
        <f t="shared" si="70"/>
        <v>0</v>
      </c>
      <c r="CA55" s="320" t="b">
        <f t="shared" si="71"/>
        <v>0</v>
      </c>
      <c r="CB55" s="320" t="b">
        <f t="shared" si="72"/>
        <v>0</v>
      </c>
      <c r="CC55" s="320" t="b">
        <f t="shared" si="73"/>
        <v>0</v>
      </c>
      <c r="CD55" s="320" t="b">
        <f t="shared" si="74"/>
        <v>0</v>
      </c>
    </row>
    <row r="56" spans="1:82" s="292" customFormat="1" ht="15.75" customHeight="1">
      <c r="A56" s="335"/>
      <c r="B56" s="339"/>
      <c r="C56" s="336"/>
      <c r="D56" s="336"/>
      <c r="E56" s="748">
        <f>+SUM(E6:E55)</f>
        <v>46</v>
      </c>
      <c r="F56" s="748">
        <f>+SUM(F6:F55)</f>
        <v>192</v>
      </c>
      <c r="G56" s="336" t="s">
        <v>187</v>
      </c>
      <c r="H56" s="336"/>
      <c r="I56" s="337">
        <f>SUM(I6:I55)</f>
        <v>741</v>
      </c>
      <c r="J56" s="337"/>
      <c r="K56" s="336">
        <f>SUM(K6:K55)</f>
        <v>256</v>
      </c>
      <c r="L56" s="338"/>
      <c r="M56" s="339"/>
      <c r="N56" s="918"/>
      <c r="P56" s="324">
        <f>COUNTIF('FICHAS '!P6:P55,"X")</f>
        <v>42</v>
      </c>
      <c r="Q56" s="324">
        <f>COUNTIF(Q6:Q55,"X")</f>
        <v>2</v>
      </c>
      <c r="R56" s="324">
        <f>COUNTIF('FICHAS '!R6:R55,"X")</f>
        <v>0</v>
      </c>
      <c r="S56" s="324">
        <f>COUNTIF(S6:S55,"X")</f>
        <v>0</v>
      </c>
      <c r="T56" s="324">
        <f>COUNTIF('FICHAS '!T6:T55,"X")</f>
        <v>0</v>
      </c>
      <c r="U56" s="324">
        <f>COUNTIF(U6:U55,"X")</f>
        <v>0</v>
      </c>
      <c r="V56" s="324">
        <f>COUNTIF('FICHAS '!V6:V55,"X")</f>
        <v>0</v>
      </c>
      <c r="W56" s="324">
        <f>COUNTIF(W6:W55,"X")</f>
        <v>0</v>
      </c>
      <c r="X56" s="325"/>
      <c r="Y56" s="321">
        <f t="shared" ref="Y56:AF56" si="77">SUM(Y6:Y55)</f>
        <v>691</v>
      </c>
      <c r="Z56" s="321">
        <f t="shared" si="77"/>
        <v>50</v>
      </c>
      <c r="AA56" s="321">
        <f t="shared" si="77"/>
        <v>0</v>
      </c>
      <c r="AB56" s="321">
        <f t="shared" si="77"/>
        <v>0</v>
      </c>
      <c r="AC56" s="321">
        <f t="shared" si="77"/>
        <v>0</v>
      </c>
      <c r="AD56" s="321">
        <f t="shared" si="77"/>
        <v>0</v>
      </c>
      <c r="AE56" s="321">
        <f t="shared" si="77"/>
        <v>0</v>
      </c>
      <c r="AF56" s="321">
        <f t="shared" si="77"/>
        <v>0</v>
      </c>
      <c r="AG56" s="321"/>
      <c r="AH56" s="321">
        <f t="shared" ref="AH56:AO56" si="78">SUM(AH6:AH55)</f>
        <v>716</v>
      </c>
      <c r="AI56" s="321">
        <f t="shared" si="78"/>
        <v>50</v>
      </c>
      <c r="AJ56" s="321">
        <f t="shared" si="78"/>
        <v>0</v>
      </c>
      <c r="AK56" s="321">
        <f t="shared" si="78"/>
        <v>0</v>
      </c>
      <c r="AL56" s="321">
        <f t="shared" si="78"/>
        <v>0</v>
      </c>
      <c r="AM56" s="321">
        <f t="shared" si="78"/>
        <v>0</v>
      </c>
      <c r="AN56" s="321">
        <f t="shared" si="78"/>
        <v>0</v>
      </c>
      <c r="AO56" s="321">
        <f t="shared" si="78"/>
        <v>0</v>
      </c>
      <c r="AP56" s="325"/>
      <c r="AQ56" s="324">
        <f t="shared" ref="AQ56:AX56" si="79">SUM(AQ6:AQ55)</f>
        <v>45</v>
      </c>
      <c r="AR56" s="324">
        <f t="shared" si="79"/>
        <v>50</v>
      </c>
      <c r="AS56" s="324">
        <f t="shared" si="79"/>
        <v>0</v>
      </c>
      <c r="AT56" s="324">
        <f t="shared" si="79"/>
        <v>0</v>
      </c>
      <c r="AU56" s="324">
        <f t="shared" si="79"/>
        <v>0</v>
      </c>
      <c r="AV56" s="324">
        <f t="shared" si="79"/>
        <v>0</v>
      </c>
      <c r="AW56" s="324">
        <f t="shared" si="79"/>
        <v>0</v>
      </c>
      <c r="AX56" s="324">
        <f t="shared" si="79"/>
        <v>0</v>
      </c>
      <c r="AY56" s="324"/>
      <c r="AZ56" s="326">
        <f t="shared" ref="AZ56:BG56" si="80">SUM(AZ6:AZ55)</f>
        <v>157</v>
      </c>
      <c r="BA56" s="326">
        <f t="shared" si="80"/>
        <v>4</v>
      </c>
      <c r="BB56" s="326">
        <f t="shared" si="80"/>
        <v>0</v>
      </c>
      <c r="BC56" s="326">
        <f t="shared" si="80"/>
        <v>0</v>
      </c>
      <c r="BD56" s="326">
        <f t="shared" si="80"/>
        <v>0</v>
      </c>
      <c r="BE56" s="326">
        <f t="shared" si="80"/>
        <v>0</v>
      </c>
      <c r="BF56" s="326">
        <f t="shared" si="80"/>
        <v>0</v>
      </c>
      <c r="BG56" s="326">
        <f t="shared" si="80"/>
        <v>0</v>
      </c>
      <c r="BH56" s="324"/>
      <c r="BI56" s="325" t="s">
        <v>229</v>
      </c>
      <c r="BJ56" s="324">
        <f>COUNTIF(BJ6:BJ55,"F")</f>
        <v>2</v>
      </c>
      <c r="BK56" s="325"/>
      <c r="BL56" s="324">
        <f t="shared" ref="BL56:BS56" si="81">COUNTIF(BL6:BL55,"F")</f>
        <v>1</v>
      </c>
      <c r="BM56" s="324">
        <f t="shared" si="81"/>
        <v>1</v>
      </c>
      <c r="BN56" s="324">
        <f t="shared" si="81"/>
        <v>0</v>
      </c>
      <c r="BO56" s="324">
        <f t="shared" si="81"/>
        <v>0</v>
      </c>
      <c r="BP56" s="324">
        <f t="shared" si="81"/>
        <v>0</v>
      </c>
      <c r="BQ56" s="324">
        <f t="shared" si="81"/>
        <v>0</v>
      </c>
      <c r="BR56" s="324">
        <f t="shared" si="81"/>
        <v>0</v>
      </c>
      <c r="BS56" s="324">
        <f t="shared" si="81"/>
        <v>0</v>
      </c>
      <c r="BT56" s="288"/>
      <c r="BU56" s="336">
        <f>SUM(BU6:BU55)</f>
        <v>46</v>
      </c>
      <c r="BW56" s="336">
        <f t="shared" ref="BW56:CD56" si="82">COUNTIF(BW6:BW55,"X")</f>
        <v>0</v>
      </c>
      <c r="BX56" s="336">
        <f t="shared" si="82"/>
        <v>0</v>
      </c>
      <c r="BY56" s="336">
        <f t="shared" si="82"/>
        <v>0</v>
      </c>
      <c r="BZ56" s="336">
        <f t="shared" si="82"/>
        <v>0</v>
      </c>
      <c r="CA56" s="336">
        <f t="shared" si="82"/>
        <v>0</v>
      </c>
      <c r="CB56" s="336">
        <f t="shared" si="82"/>
        <v>0</v>
      </c>
      <c r="CC56" s="336">
        <f t="shared" si="82"/>
        <v>0</v>
      </c>
      <c r="CD56" s="336">
        <f t="shared" si="82"/>
        <v>0</v>
      </c>
    </row>
    <row r="57" spans="1:82">
      <c r="A57" s="335"/>
      <c r="B57" s="327"/>
      <c r="C57" s="322"/>
      <c r="D57" s="322"/>
      <c r="E57" s="332"/>
      <c r="F57" s="327"/>
      <c r="G57" s="322"/>
      <c r="H57" s="322"/>
      <c r="I57" s="340"/>
      <c r="J57" s="340"/>
      <c r="K57" s="342" t="e">
        <f>+#REF!-K56</f>
        <v>#REF!</v>
      </c>
      <c r="L57" s="343" t="e">
        <f>+#REF!-K56</f>
        <v>#REF!</v>
      </c>
      <c r="M57" s="703" t="s">
        <v>657</v>
      </c>
      <c r="N57" s="700">
        <f>AVERAGE(N6:N56)</f>
        <v>5.7727272727272725</v>
      </c>
      <c r="P57" s="327" t="s">
        <v>228</v>
      </c>
      <c r="Q57" s="328">
        <f>SUM(P56:W56)</f>
        <v>44</v>
      </c>
      <c r="R57" s="328"/>
      <c r="S57" s="328"/>
      <c r="T57" s="328"/>
      <c r="U57" s="328"/>
      <c r="V57" s="324"/>
      <c r="W57" s="324"/>
      <c r="X57" s="327"/>
      <c r="Y57" s="329">
        <f t="shared" ref="Y57:AF57" si="83">IF(Y56=0,0,(AVERAGE(Y6:Y55)))</f>
        <v>16.452380952380953</v>
      </c>
      <c r="Z57" s="329">
        <f t="shared" si="83"/>
        <v>25</v>
      </c>
      <c r="AA57" s="329">
        <f t="shared" si="83"/>
        <v>0</v>
      </c>
      <c r="AB57" s="329">
        <f t="shared" si="83"/>
        <v>0</v>
      </c>
      <c r="AC57" s="329">
        <f t="shared" si="83"/>
        <v>0</v>
      </c>
      <c r="AD57" s="329">
        <f t="shared" si="83"/>
        <v>0</v>
      </c>
      <c r="AE57" s="329">
        <f t="shared" si="83"/>
        <v>0</v>
      </c>
      <c r="AF57" s="329">
        <f t="shared" si="83"/>
        <v>0</v>
      </c>
      <c r="AG57" s="330"/>
      <c r="AH57" s="329">
        <f t="shared" ref="AH57:AO57" si="84">IF(AH56=0,0,(AVERAGE(AH6:AH55)))</f>
        <v>17.047619047619047</v>
      </c>
      <c r="AI57" s="329">
        <f t="shared" si="84"/>
        <v>25</v>
      </c>
      <c r="AJ57" s="329">
        <f t="shared" si="84"/>
        <v>0</v>
      </c>
      <c r="AK57" s="329">
        <f t="shared" si="84"/>
        <v>0</v>
      </c>
      <c r="AL57" s="329">
        <f t="shared" si="84"/>
        <v>0</v>
      </c>
      <c r="AM57" s="329">
        <f t="shared" si="84"/>
        <v>0</v>
      </c>
      <c r="AN57" s="329">
        <f t="shared" si="84"/>
        <v>0</v>
      </c>
      <c r="AO57" s="329">
        <f t="shared" si="84"/>
        <v>0</v>
      </c>
      <c r="AP57" s="330"/>
      <c r="AQ57" s="329">
        <f t="shared" ref="AQ57:AX57" si="85">IF(AQ56=0,0,(AVERAGE(AQ6:AQ55)))</f>
        <v>45</v>
      </c>
      <c r="AR57" s="329">
        <f t="shared" si="85"/>
        <v>50</v>
      </c>
      <c r="AS57" s="329">
        <f t="shared" si="85"/>
        <v>0</v>
      </c>
      <c r="AT57" s="329">
        <f t="shared" si="85"/>
        <v>0</v>
      </c>
      <c r="AU57" s="329">
        <f t="shared" si="85"/>
        <v>0</v>
      </c>
      <c r="AV57" s="329">
        <f t="shared" si="85"/>
        <v>0</v>
      </c>
      <c r="AW57" s="329">
        <f t="shared" si="85"/>
        <v>0</v>
      </c>
      <c r="AX57" s="329">
        <f t="shared" si="85"/>
        <v>0</v>
      </c>
      <c r="AY57" s="330"/>
      <c r="AZ57" s="329">
        <f t="shared" ref="AZ57:BG57" si="86">IF(AZ56=0,0,(AVERAGE(AZ6:AZ55)))</f>
        <v>3.8292682926829267</v>
      </c>
      <c r="BA57" s="329">
        <f t="shared" si="86"/>
        <v>4</v>
      </c>
      <c r="BB57" s="329">
        <f t="shared" si="86"/>
        <v>0</v>
      </c>
      <c r="BC57" s="329">
        <f t="shared" si="86"/>
        <v>0</v>
      </c>
      <c r="BD57" s="329">
        <f t="shared" si="86"/>
        <v>0</v>
      </c>
      <c r="BE57" s="329">
        <f t="shared" si="86"/>
        <v>0</v>
      </c>
      <c r="BF57" s="329">
        <f t="shared" si="86"/>
        <v>0</v>
      </c>
      <c r="BG57" s="329">
        <f t="shared" si="86"/>
        <v>0</v>
      </c>
      <c r="BH57" s="331"/>
      <c r="BI57" s="327" t="s">
        <v>230</v>
      </c>
      <c r="BJ57" s="324">
        <f>COUNTIF(BJ6:BJ55,"P")</f>
        <v>42</v>
      </c>
      <c r="BK57" s="327"/>
      <c r="BL57" s="324">
        <f t="shared" ref="BL57:BS57" si="87">COUNTIF(BL6:BL55,"P")</f>
        <v>41</v>
      </c>
      <c r="BM57" s="324">
        <f t="shared" si="87"/>
        <v>1</v>
      </c>
      <c r="BN57" s="324">
        <f t="shared" si="87"/>
        <v>0</v>
      </c>
      <c r="BO57" s="324">
        <f t="shared" si="87"/>
        <v>0</v>
      </c>
      <c r="BP57" s="324">
        <f t="shared" si="87"/>
        <v>0</v>
      </c>
      <c r="BQ57" s="324">
        <f t="shared" si="87"/>
        <v>0</v>
      </c>
      <c r="BR57" s="324">
        <f t="shared" si="87"/>
        <v>0</v>
      </c>
      <c r="BS57" s="324">
        <f t="shared" si="87"/>
        <v>0</v>
      </c>
      <c r="BT57" s="299"/>
    </row>
    <row r="58" spans="1:82" s="299" customFormat="1">
      <c r="A58" s="335"/>
      <c r="B58" s="344" t="s">
        <v>189</v>
      </c>
      <c r="C58" s="345"/>
      <c r="D58" s="344"/>
      <c r="E58" s="332"/>
      <c r="F58" s="345"/>
      <c r="G58" s="346"/>
      <c r="H58" s="346"/>
      <c r="I58" s="347"/>
      <c r="J58" s="347"/>
      <c r="K58" s="331"/>
      <c r="L58" s="332"/>
      <c r="M58" s="332"/>
      <c r="N58" s="332"/>
      <c r="P58" s="324"/>
      <c r="Q58" s="324"/>
      <c r="R58" s="324"/>
      <c r="S58" s="324"/>
      <c r="T58" s="324"/>
      <c r="U58" s="324"/>
      <c r="V58" s="325"/>
      <c r="W58" s="325"/>
      <c r="X58" s="324"/>
      <c r="Y58" s="324"/>
      <c r="Z58" s="324"/>
      <c r="AA58" s="324"/>
      <c r="AB58" s="324"/>
      <c r="AC58" s="324"/>
      <c r="AD58" s="325"/>
      <c r="AE58" s="324"/>
      <c r="AF58" s="324"/>
      <c r="AG58" s="324"/>
      <c r="AH58" s="324"/>
      <c r="AI58" s="324"/>
      <c r="AJ58" s="324"/>
      <c r="AK58" s="324"/>
      <c r="AL58" s="324"/>
      <c r="AM58" s="324"/>
      <c r="AN58" s="324"/>
      <c r="AO58" s="324"/>
      <c r="AP58" s="324"/>
      <c r="AQ58" s="324"/>
      <c r="AR58" s="324"/>
      <c r="AS58" s="324"/>
      <c r="AT58" s="324"/>
      <c r="AU58" s="325"/>
      <c r="AV58" s="324"/>
      <c r="AW58" s="325"/>
      <c r="AX58" s="325"/>
      <c r="AY58" s="325"/>
      <c r="AZ58" s="325"/>
      <c r="BA58" s="325"/>
      <c r="BB58" s="325"/>
      <c r="BC58" s="325"/>
      <c r="BD58" s="325"/>
      <c r="BE58" s="325"/>
      <c r="BF58" s="325"/>
      <c r="BG58" s="325"/>
      <c r="BH58" s="325"/>
      <c r="BI58" s="324"/>
      <c r="BJ58" s="324"/>
      <c r="BK58" s="324"/>
      <c r="BL58" s="324"/>
      <c r="BM58" s="324"/>
      <c r="BN58" s="324"/>
      <c r="BO58" s="325"/>
      <c r="BP58" s="325"/>
      <c r="BQ58" s="324"/>
      <c r="BR58" s="332"/>
      <c r="BS58" s="332"/>
    </row>
    <row r="59" spans="1:82" s="299" customFormat="1">
      <c r="A59" s="335"/>
      <c r="B59" s="344"/>
      <c r="C59" s="345"/>
      <c r="D59" s="344"/>
      <c r="E59" s="332"/>
      <c r="F59" s="345"/>
      <c r="G59" s="346"/>
      <c r="H59" s="346"/>
      <c r="I59" s="348" t="s">
        <v>189</v>
      </c>
      <c r="J59" s="348"/>
      <c r="K59" s="331"/>
      <c r="L59" s="332"/>
      <c r="M59" s="332" t="s">
        <v>9</v>
      </c>
      <c r="N59" s="332"/>
      <c r="P59" s="325"/>
      <c r="Q59" s="325"/>
      <c r="R59" s="325"/>
      <c r="S59" s="325"/>
      <c r="T59" s="325"/>
      <c r="U59" s="325"/>
      <c r="V59" s="325"/>
      <c r="W59" s="325"/>
      <c r="X59" s="330"/>
      <c r="Y59" s="330"/>
      <c r="Z59" s="330"/>
      <c r="AA59" s="330"/>
      <c r="AB59" s="330"/>
      <c r="AC59" s="330"/>
      <c r="AD59" s="325"/>
      <c r="AE59" s="333"/>
      <c r="AF59" s="333"/>
      <c r="AG59" s="333"/>
      <c r="AH59" s="333"/>
      <c r="AI59" s="333"/>
      <c r="AJ59" s="333"/>
      <c r="AK59" s="333"/>
      <c r="AL59" s="333"/>
      <c r="AM59" s="333"/>
      <c r="AN59" s="333"/>
      <c r="AO59" s="333"/>
      <c r="AP59" s="333"/>
      <c r="AQ59" s="333"/>
      <c r="AR59" s="333"/>
      <c r="AS59" s="333"/>
      <c r="AT59" s="333"/>
      <c r="AU59" s="325"/>
      <c r="AV59" s="324"/>
      <c r="AW59" s="325"/>
      <c r="AX59" s="325"/>
      <c r="AY59" s="325"/>
      <c r="AZ59" s="325"/>
      <c r="BA59" s="325"/>
      <c r="BB59" s="325"/>
      <c r="BC59" s="325"/>
      <c r="BD59" s="325"/>
      <c r="BE59" s="325"/>
      <c r="BF59" s="325"/>
      <c r="BG59" s="325"/>
      <c r="BH59" s="325"/>
      <c r="BI59" s="324"/>
      <c r="BJ59" s="324"/>
      <c r="BK59" s="324"/>
      <c r="BL59" s="324"/>
      <c r="BM59" s="324" t="s">
        <v>238</v>
      </c>
      <c r="BN59" s="324"/>
      <c r="BO59" s="325"/>
      <c r="BP59" s="325"/>
      <c r="BQ59" s="324"/>
      <c r="BR59" s="332"/>
      <c r="BS59" s="332"/>
    </row>
    <row r="60" spans="1:82" s="299" customFormat="1">
      <c r="A60" s="335"/>
      <c r="B60" s="1154"/>
      <c r="C60" s="1154"/>
      <c r="D60" s="1154"/>
      <c r="E60" s="1154"/>
      <c r="F60" s="1154"/>
      <c r="G60" s="332"/>
      <c r="H60" s="332"/>
      <c r="I60" s="348" t="s">
        <v>191</v>
      </c>
      <c r="J60" s="348"/>
      <c r="K60" s="332"/>
      <c r="L60" s="332"/>
      <c r="M60" s="332"/>
      <c r="N60" s="349">
        <f>+N64*15</f>
        <v>690</v>
      </c>
      <c r="O60" s="300"/>
      <c r="P60" s="324"/>
      <c r="Q60" s="324"/>
      <c r="R60" s="324"/>
      <c r="S60" s="324"/>
      <c r="T60" s="324"/>
      <c r="U60" s="324"/>
      <c r="V60" s="325"/>
      <c r="W60" s="325"/>
      <c r="X60" s="324"/>
      <c r="Y60" s="324"/>
      <c r="Z60" s="324"/>
      <c r="AA60" s="324"/>
      <c r="AB60" s="324"/>
      <c r="AC60" s="324"/>
      <c r="AD60" s="324"/>
      <c r="AE60" s="324"/>
      <c r="AF60" s="324"/>
      <c r="AG60" s="324"/>
      <c r="AH60" s="324"/>
      <c r="AI60" s="324"/>
      <c r="AJ60" s="324"/>
      <c r="AK60" s="324"/>
      <c r="AL60" s="324"/>
      <c r="AM60" s="324"/>
      <c r="AN60" s="324"/>
      <c r="AO60" s="324"/>
      <c r="AP60" s="324"/>
      <c r="AQ60" s="324"/>
      <c r="AR60" s="324"/>
      <c r="AS60" s="324"/>
      <c r="AT60" s="324"/>
      <c r="AU60" s="324"/>
      <c r="AV60" s="324"/>
      <c r="AW60" s="324"/>
      <c r="AX60" s="324"/>
      <c r="AY60" s="324"/>
      <c r="AZ60" s="324"/>
      <c r="BA60" s="324"/>
      <c r="BB60" s="324"/>
      <c r="BC60" s="324"/>
      <c r="BD60" s="324"/>
      <c r="BE60" s="324"/>
      <c r="BF60" s="324"/>
      <c r="BG60" s="324"/>
      <c r="BH60" s="324"/>
      <c r="BI60" s="324"/>
      <c r="BJ60" s="324"/>
      <c r="BK60" s="324"/>
      <c r="BL60" s="324"/>
      <c r="BM60" s="324" t="s">
        <v>239</v>
      </c>
      <c r="BN60" s="324"/>
      <c r="BO60" s="325"/>
      <c r="BP60" s="325"/>
      <c r="BQ60" s="324"/>
      <c r="BR60" s="332"/>
      <c r="BS60" s="332"/>
    </row>
    <row r="61" spans="1:82" s="299" customFormat="1" ht="13.5" thickBot="1">
      <c r="A61" s="346"/>
      <c r="B61" s="346"/>
      <c r="C61" s="346"/>
      <c r="D61" s="346"/>
      <c r="E61" s="332"/>
      <c r="F61" s="346"/>
      <c r="G61" s="332"/>
      <c r="H61" s="332"/>
      <c r="I61" s="347"/>
      <c r="J61" s="347"/>
      <c r="K61" s="332"/>
      <c r="L61" s="332"/>
      <c r="M61" s="332"/>
      <c r="N61" s="332"/>
      <c r="O61" s="301"/>
      <c r="P61" s="325"/>
      <c r="Q61" s="325"/>
      <c r="R61" s="325"/>
      <c r="S61" s="325"/>
      <c r="T61" s="325"/>
      <c r="U61" s="325"/>
      <c r="V61" s="334"/>
      <c r="W61" s="334"/>
      <c r="X61" s="330"/>
      <c r="Y61" s="330"/>
      <c r="Z61" s="330"/>
      <c r="AA61" s="330"/>
      <c r="AB61" s="330"/>
      <c r="AC61" s="330"/>
      <c r="AD61" s="325"/>
      <c r="AE61" s="333"/>
      <c r="AF61" s="333"/>
      <c r="AG61" s="333"/>
      <c r="AH61" s="333"/>
      <c r="AI61" s="333"/>
      <c r="AJ61" s="333"/>
      <c r="AK61" s="333"/>
      <c r="AL61" s="333"/>
      <c r="AM61" s="333"/>
      <c r="AN61" s="333"/>
      <c r="AO61" s="333"/>
      <c r="AP61" s="333"/>
      <c r="AQ61" s="333"/>
      <c r="AR61" s="333"/>
      <c r="AS61" s="333"/>
      <c r="AT61" s="333"/>
      <c r="AU61" s="325"/>
      <c r="AV61" s="324"/>
      <c r="AW61" s="325"/>
      <c r="AX61" s="325"/>
      <c r="AY61" s="325"/>
      <c r="AZ61" s="325"/>
      <c r="BA61" s="325"/>
      <c r="BB61" s="325"/>
      <c r="BC61" s="325"/>
      <c r="BD61" s="325"/>
      <c r="BE61" s="325"/>
      <c r="BF61" s="325"/>
      <c r="BG61" s="325"/>
      <c r="BH61" s="325"/>
      <c r="BI61" s="324"/>
      <c r="BJ61" s="324"/>
      <c r="BK61" s="324"/>
      <c r="BL61" s="324"/>
      <c r="BM61" s="324"/>
      <c r="BN61" s="324"/>
      <c r="BO61" s="327"/>
      <c r="BP61" s="327"/>
      <c r="BQ61" s="332"/>
      <c r="BR61" s="332"/>
      <c r="BS61" s="332"/>
    </row>
    <row r="62" spans="1:82" s="299" customFormat="1" ht="13.5" customHeight="1" thickBot="1">
      <c r="A62" s="1149" t="s">
        <v>193</v>
      </c>
      <c r="B62" s="1150"/>
      <c r="C62" s="350" t="s">
        <v>194</v>
      </c>
      <c r="D62" s="1156" t="s">
        <v>195</v>
      </c>
      <c r="E62" s="1157"/>
      <c r="F62" s="1158"/>
      <c r="G62" s="332"/>
      <c r="H62" s="332"/>
      <c r="I62" s="1149" t="s">
        <v>193</v>
      </c>
      <c r="J62" s="1157"/>
      <c r="K62" s="1158"/>
      <c r="L62" s="351" t="s">
        <v>1</v>
      </c>
      <c r="M62" s="332"/>
      <c r="N62" s="332"/>
      <c r="R62" s="302"/>
      <c r="V62" s="302"/>
      <c r="W62" s="302"/>
      <c r="BO62" s="288"/>
      <c r="BP62" s="288"/>
    </row>
    <row r="63" spans="1:82" s="299" customFormat="1">
      <c r="A63" s="1134" t="s">
        <v>196</v>
      </c>
      <c r="B63" s="1135"/>
      <c r="C63" s="352" t="s">
        <v>197</v>
      </c>
      <c r="D63" s="1136">
        <v>50</v>
      </c>
      <c r="E63" s="1137"/>
      <c r="F63" s="1138"/>
      <c r="G63" s="332"/>
      <c r="H63" s="332"/>
      <c r="I63" s="1134" t="s">
        <v>198</v>
      </c>
      <c r="J63" s="1137"/>
      <c r="K63" s="1138"/>
      <c r="L63" s="353">
        <v>4.4999999999999998E-2</v>
      </c>
      <c r="M63" s="354" t="s">
        <v>188</v>
      </c>
      <c r="N63" s="355">
        <f>+Q57</f>
        <v>44</v>
      </c>
      <c r="R63" s="302"/>
      <c r="BO63" s="288"/>
      <c r="BP63" s="288"/>
    </row>
    <row r="64" spans="1:82" s="299" customFormat="1" ht="13.5" thickBot="1">
      <c r="A64" s="1144" t="s">
        <v>199</v>
      </c>
      <c r="B64" s="1145"/>
      <c r="C64" s="356" t="s">
        <v>200</v>
      </c>
      <c r="D64" s="1146">
        <v>50</v>
      </c>
      <c r="E64" s="1147"/>
      <c r="F64" s="1148"/>
      <c r="G64" s="332"/>
      <c r="H64" s="332"/>
      <c r="I64" s="1144" t="s">
        <v>201</v>
      </c>
      <c r="J64" s="1147"/>
      <c r="K64" s="1148"/>
      <c r="L64" s="357">
        <v>4.3200000000000002E-2</v>
      </c>
      <c r="M64" s="358" t="s">
        <v>190</v>
      </c>
      <c r="N64" s="359">
        <f>E56</f>
        <v>46</v>
      </c>
      <c r="R64" s="303"/>
      <c r="BJ64" s="288"/>
      <c r="BK64" s="288"/>
      <c r="BL64" s="288"/>
      <c r="BM64" s="288"/>
      <c r="BO64" s="288"/>
      <c r="BP64" s="288"/>
    </row>
    <row r="65" spans="1:66">
      <c r="A65" s="322"/>
      <c r="B65" s="327"/>
      <c r="C65" s="322"/>
      <c r="D65" s="322"/>
      <c r="E65" s="327"/>
      <c r="F65" s="322"/>
      <c r="G65" s="322"/>
      <c r="H65" s="322"/>
      <c r="I65" s="341"/>
      <c r="J65" s="341"/>
      <c r="K65" s="322"/>
      <c r="L65" s="322"/>
      <c r="M65" s="360" t="s">
        <v>192</v>
      </c>
      <c r="N65" s="361">
        <f>+F56</f>
        <v>192</v>
      </c>
      <c r="P65" s="299"/>
    </row>
    <row r="66" spans="1:66" ht="13.5" thickBot="1">
      <c r="A66" s="322"/>
      <c r="B66" s="327"/>
      <c r="C66" s="322"/>
      <c r="D66" s="322"/>
      <c r="E66" s="327"/>
      <c r="F66" s="322"/>
      <c r="G66" s="322"/>
      <c r="H66" s="322"/>
      <c r="I66" s="341"/>
      <c r="J66" s="341"/>
      <c r="K66" s="322"/>
      <c r="L66" s="322"/>
      <c r="M66" s="327"/>
      <c r="N66" s="327"/>
      <c r="P66" s="299"/>
      <c r="AW66" s="297"/>
      <c r="AX66" s="297"/>
      <c r="AY66" s="297"/>
      <c r="AZ66" s="297"/>
      <c r="BA66" s="297"/>
      <c r="BB66" s="297"/>
      <c r="BC66" s="297"/>
      <c r="BD66" s="297"/>
      <c r="BE66" s="297"/>
      <c r="BF66" s="297"/>
      <c r="BG66" s="297"/>
      <c r="BH66" s="297"/>
      <c r="BI66" s="297"/>
    </row>
    <row r="67" spans="1:66" ht="16.5" customHeight="1" thickBot="1">
      <c r="A67" s="1149" t="s">
        <v>202</v>
      </c>
      <c r="B67" s="1150"/>
      <c r="C67" s="362">
        <f>+F56</f>
        <v>192</v>
      </c>
      <c r="D67" s="322"/>
      <c r="E67" s="327"/>
      <c r="F67" s="322"/>
      <c r="G67" s="322"/>
      <c r="H67" s="322"/>
      <c r="I67" s="341"/>
      <c r="J67" s="341"/>
      <c r="K67" s="322"/>
      <c r="L67" s="322"/>
      <c r="M67" s="363"/>
      <c r="N67" s="318"/>
      <c r="P67" s="297"/>
    </row>
    <row r="68" spans="1:66" ht="52.5" customHeight="1">
      <c r="A68" s="1142" t="s">
        <v>203</v>
      </c>
      <c r="B68" s="1143"/>
      <c r="C68" s="364">
        <f>+(L63*C67)/1000</f>
        <v>8.6400000000000001E-3</v>
      </c>
      <c r="D68" s="322"/>
      <c r="E68" s="327"/>
      <c r="F68" s="365" t="s">
        <v>204</v>
      </c>
      <c r="G68" s="366">
        <f>+(L63*F56)</f>
        <v>8.64</v>
      </c>
      <c r="H68" s="322"/>
      <c r="I68" s="341"/>
      <c r="J68" s="341"/>
      <c r="K68" s="322"/>
      <c r="L68" s="322"/>
      <c r="M68" s="327"/>
      <c r="N68" s="327"/>
    </row>
    <row r="69" spans="1:66" ht="66.75" customHeight="1">
      <c r="A69" s="1151" t="s">
        <v>205</v>
      </c>
      <c r="B69" s="1152"/>
      <c r="C69" s="367">
        <f>+(L64*F56)/1000</f>
        <v>8.2944000000000004E-3</v>
      </c>
      <c r="D69" s="322"/>
      <c r="E69" s="327"/>
      <c r="F69" s="368" t="s">
        <v>206</v>
      </c>
      <c r="G69" s="367">
        <f>+(L64*F56)</f>
        <v>8.2943999999999996</v>
      </c>
      <c r="H69" s="322"/>
      <c r="I69" s="341"/>
      <c r="J69" s="341"/>
      <c r="K69" s="322"/>
      <c r="L69" s="322"/>
      <c r="M69" s="327"/>
      <c r="N69" s="327"/>
    </row>
    <row r="70" spans="1:66" ht="42" customHeight="1" thickBot="1">
      <c r="A70" s="1132" t="s">
        <v>207</v>
      </c>
      <c r="B70" s="1133"/>
      <c r="C70" s="369">
        <f>SUM(C68:C69)</f>
        <v>1.6934400000000002E-2</v>
      </c>
      <c r="D70" s="324"/>
      <c r="E70" s="327"/>
      <c r="F70" s="370" t="s">
        <v>207</v>
      </c>
      <c r="G70" s="369">
        <f>SUM(G68:G69)</f>
        <v>16.9344</v>
      </c>
      <c r="H70" s="324"/>
      <c r="I70" s="341"/>
      <c r="J70" s="341"/>
      <c r="K70" s="322"/>
      <c r="L70" s="322"/>
      <c r="M70" s="327"/>
      <c r="N70" s="327"/>
    </row>
    <row r="71" spans="1:66" ht="13.5" thickBot="1">
      <c r="A71" s="322"/>
      <c r="B71" s="322"/>
      <c r="C71" s="322"/>
      <c r="D71" s="322"/>
      <c r="E71" s="327"/>
      <c r="F71" s="322"/>
      <c r="G71" s="322"/>
      <c r="H71" s="322"/>
      <c r="I71" s="341"/>
      <c r="J71" s="341"/>
      <c r="K71" s="322"/>
      <c r="L71" s="322"/>
      <c r="M71" s="327"/>
      <c r="N71" s="327"/>
    </row>
    <row r="72" spans="1:66" ht="26.25" customHeight="1">
      <c r="A72" s="1142" t="s">
        <v>208</v>
      </c>
      <c r="B72" s="1143"/>
      <c r="C72" s="366">
        <f>+(L63*F56*365)/1000</f>
        <v>3.1536000000000004</v>
      </c>
      <c r="D72" s="322"/>
      <c r="E72" s="327"/>
      <c r="F72" s="322"/>
      <c r="G72" s="322"/>
      <c r="H72" s="322"/>
      <c r="I72" s="341"/>
      <c r="J72" s="341"/>
      <c r="K72" s="322"/>
      <c r="L72" s="322"/>
      <c r="M72" s="327"/>
      <c r="N72" s="327"/>
    </row>
    <row r="73" spans="1:66" ht="26.25" customHeight="1">
      <c r="A73" s="1151" t="s">
        <v>209</v>
      </c>
      <c r="B73" s="1152"/>
      <c r="C73" s="367">
        <f>+(L64*F56*365)/1000</f>
        <v>3.0274559999999995</v>
      </c>
      <c r="D73" s="322"/>
      <c r="E73" s="327"/>
      <c r="F73" s="322"/>
      <c r="G73" s="322"/>
      <c r="H73" s="322"/>
      <c r="I73" s="341"/>
      <c r="J73" s="341"/>
      <c r="K73" s="322"/>
      <c r="L73" s="322"/>
      <c r="M73" s="327"/>
      <c r="N73" s="327"/>
      <c r="AW73" s="290"/>
      <c r="AX73" s="290"/>
      <c r="AY73" s="290"/>
      <c r="AZ73" s="290"/>
      <c r="BA73" s="290"/>
      <c r="BB73" s="290"/>
      <c r="BC73" s="290"/>
      <c r="BD73" s="290"/>
      <c r="BE73" s="290"/>
      <c r="BF73" s="290"/>
      <c r="BG73" s="290"/>
      <c r="BH73" s="290"/>
      <c r="BI73" s="290"/>
      <c r="BJ73" s="290"/>
      <c r="BK73" s="290"/>
      <c r="BL73" s="290"/>
      <c r="BM73" s="290"/>
    </row>
    <row r="74" spans="1:66" ht="29.25" customHeight="1" thickBot="1">
      <c r="A74" s="1132" t="s">
        <v>207</v>
      </c>
      <c r="B74" s="1133"/>
      <c r="C74" s="369">
        <f>SUM(C72:C73)</f>
        <v>6.1810559999999999</v>
      </c>
      <c r="D74" s="322"/>
      <c r="E74" s="327"/>
      <c r="F74" s="322"/>
      <c r="G74" s="371"/>
      <c r="H74" s="371"/>
      <c r="I74" s="341"/>
      <c r="J74" s="341"/>
      <c r="K74" s="322"/>
      <c r="L74" s="322"/>
      <c r="M74" s="327"/>
      <c r="N74" s="322"/>
      <c r="O74" s="290"/>
      <c r="P74" s="290"/>
      <c r="Q74" s="290"/>
      <c r="R74" s="290"/>
      <c r="S74" s="290"/>
      <c r="T74" s="290"/>
      <c r="U74" s="290"/>
      <c r="V74" s="290"/>
      <c r="W74" s="290"/>
      <c r="X74" s="290"/>
      <c r="Y74" s="290"/>
      <c r="Z74" s="290"/>
      <c r="AA74" s="290"/>
      <c r="AB74" s="290"/>
      <c r="AC74" s="290"/>
      <c r="AD74" s="290"/>
      <c r="AE74" s="290"/>
      <c r="AF74" s="290"/>
      <c r="AG74" s="290"/>
      <c r="AH74" s="290"/>
      <c r="AI74" s="290"/>
      <c r="AJ74" s="290"/>
      <c r="AK74" s="290"/>
      <c r="AL74" s="290"/>
      <c r="AM74" s="290"/>
      <c r="AN74" s="290"/>
      <c r="AO74" s="290"/>
      <c r="AP74" s="290"/>
      <c r="AQ74" s="290"/>
      <c r="AR74" s="290"/>
      <c r="AS74" s="290"/>
      <c r="AT74" s="290"/>
      <c r="AV74" s="290"/>
      <c r="BN74" s="290"/>
    </row>
    <row r="75" spans="1:66">
      <c r="G75" s="304"/>
      <c r="H75" s="304"/>
    </row>
    <row r="76" spans="1:66">
      <c r="G76" s="304"/>
      <c r="H76" s="304"/>
      <c r="N76" s="288" t="s">
        <v>9</v>
      </c>
    </row>
    <row r="77" spans="1:66">
      <c r="A77" s="288"/>
      <c r="C77" s="288"/>
      <c r="D77" s="288"/>
      <c r="G77" s="304"/>
      <c r="H77" s="304"/>
      <c r="I77" s="305"/>
      <c r="J77" s="305"/>
      <c r="K77" s="288"/>
      <c r="L77" s="288"/>
      <c r="AU77" s="288"/>
    </row>
    <row r="78" spans="1:66">
      <c r="A78" s="288"/>
      <c r="C78" s="288"/>
      <c r="D78" s="306"/>
      <c r="F78" s="307"/>
      <c r="G78" s="288"/>
      <c r="H78" s="288"/>
      <c r="I78" s="305"/>
      <c r="J78" s="305"/>
      <c r="K78" s="288"/>
      <c r="L78" s="288"/>
      <c r="AU78" s="288"/>
    </row>
    <row r="79" spans="1:66">
      <c r="A79" s="288"/>
      <c r="C79" s="288"/>
      <c r="D79" s="306"/>
      <c r="F79" s="307"/>
      <c r="G79" s="288"/>
      <c r="H79" s="288"/>
      <c r="I79" s="305"/>
      <c r="J79" s="305"/>
      <c r="K79" s="288"/>
      <c r="L79" s="288"/>
      <c r="AU79" s="288"/>
    </row>
    <row r="80" spans="1:66">
      <c r="A80" s="288"/>
      <c r="C80" s="288"/>
      <c r="D80" s="306"/>
      <c r="F80" s="307"/>
      <c r="G80" s="288"/>
      <c r="H80" s="288"/>
      <c r="I80" s="305"/>
      <c r="J80" s="305"/>
      <c r="K80" s="288"/>
      <c r="L80" s="288"/>
      <c r="AU80" s="288"/>
    </row>
    <row r="82" spans="2:69" s="290" customFormat="1">
      <c r="B82" s="288"/>
      <c r="D82" s="304"/>
      <c r="F82" s="307"/>
      <c r="I82" s="291"/>
      <c r="J82" s="291"/>
      <c r="M82" s="288"/>
      <c r="N82" s="288"/>
      <c r="O82" s="288"/>
      <c r="P82" s="288"/>
      <c r="Q82" s="288"/>
      <c r="R82" s="288"/>
      <c r="S82" s="288"/>
      <c r="T82" s="288"/>
      <c r="U82" s="288"/>
      <c r="V82" s="288"/>
      <c r="W82" s="288"/>
      <c r="X82" s="288"/>
      <c r="Y82" s="288"/>
      <c r="Z82" s="288"/>
      <c r="AA82" s="288"/>
      <c r="AB82" s="288"/>
      <c r="AC82" s="288"/>
      <c r="AD82" s="288"/>
      <c r="AE82" s="288"/>
      <c r="AF82" s="288"/>
      <c r="AG82" s="288"/>
      <c r="AH82" s="288"/>
      <c r="AI82" s="288"/>
      <c r="AJ82" s="288"/>
      <c r="AK82" s="288"/>
      <c r="AL82" s="288"/>
      <c r="AM82" s="288"/>
      <c r="AN82" s="288"/>
      <c r="AO82" s="288"/>
      <c r="AP82" s="288"/>
      <c r="AQ82" s="288"/>
      <c r="AR82" s="288"/>
      <c r="AS82" s="288"/>
      <c r="AT82" s="288"/>
      <c r="AV82" s="288"/>
      <c r="AW82" s="288"/>
      <c r="AX82" s="288"/>
      <c r="AY82" s="288"/>
      <c r="AZ82" s="288"/>
      <c r="BA82" s="288"/>
      <c r="BB82" s="288"/>
      <c r="BC82" s="288"/>
      <c r="BD82" s="288"/>
      <c r="BE82" s="288"/>
      <c r="BF82" s="288"/>
      <c r="BG82" s="288"/>
      <c r="BH82" s="288"/>
      <c r="BI82" s="288"/>
      <c r="BJ82" s="288"/>
      <c r="BK82" s="288"/>
      <c r="BL82" s="288"/>
      <c r="BM82" s="288"/>
      <c r="BN82" s="288"/>
      <c r="BO82" s="288"/>
      <c r="BP82" s="288"/>
      <c r="BQ82" s="288"/>
    </row>
    <row r="83" spans="2:69" s="290" customFormat="1">
      <c r="B83" s="288"/>
      <c r="D83" s="304"/>
      <c r="F83" s="307"/>
      <c r="I83" s="291"/>
      <c r="J83" s="291"/>
      <c r="M83" s="288"/>
      <c r="N83" s="288"/>
      <c r="O83" s="288"/>
      <c r="P83" s="288"/>
      <c r="Q83" s="288"/>
      <c r="R83" s="288"/>
      <c r="S83" s="288"/>
      <c r="T83" s="288"/>
      <c r="U83" s="288"/>
      <c r="V83" s="288"/>
      <c r="W83" s="288"/>
      <c r="X83" s="288"/>
      <c r="Y83" s="288"/>
      <c r="Z83" s="288"/>
      <c r="AA83" s="288"/>
      <c r="AB83" s="288"/>
      <c r="AC83" s="288"/>
      <c r="AD83" s="288"/>
      <c r="AE83" s="288"/>
      <c r="AF83" s="288"/>
      <c r="AG83" s="288"/>
      <c r="AH83" s="288"/>
      <c r="AI83" s="288"/>
      <c r="AJ83" s="288"/>
      <c r="AK83" s="288"/>
      <c r="AL83" s="288"/>
      <c r="AM83" s="288"/>
      <c r="AN83" s="288"/>
      <c r="AO83" s="288"/>
      <c r="AP83" s="288"/>
      <c r="AQ83" s="288"/>
      <c r="AR83" s="288"/>
      <c r="AS83" s="288"/>
      <c r="AT83" s="288"/>
      <c r="AV83" s="288"/>
      <c r="AW83" s="288"/>
      <c r="AX83" s="288"/>
      <c r="AY83" s="288"/>
      <c r="AZ83" s="288"/>
      <c r="BA83" s="288"/>
      <c r="BB83" s="288"/>
      <c r="BC83" s="288"/>
      <c r="BD83" s="288"/>
      <c r="BE83" s="288"/>
      <c r="BF83" s="288"/>
      <c r="BG83" s="288"/>
      <c r="BH83" s="288"/>
      <c r="BI83" s="288"/>
      <c r="BJ83" s="288"/>
      <c r="BK83" s="288"/>
      <c r="BL83" s="288"/>
      <c r="BM83" s="288"/>
      <c r="BN83" s="288"/>
      <c r="BO83" s="288"/>
      <c r="BP83" s="288"/>
      <c r="BQ83" s="288"/>
    </row>
    <row r="84" spans="2:69" s="290" customFormat="1">
      <c r="B84" s="288"/>
      <c r="D84" s="304"/>
      <c r="F84" s="307"/>
      <c r="I84" s="291"/>
      <c r="J84" s="291"/>
      <c r="M84" s="288"/>
      <c r="N84" s="288"/>
      <c r="O84" s="288"/>
      <c r="P84" s="288"/>
      <c r="Q84" s="288"/>
      <c r="R84" s="288"/>
      <c r="S84" s="288"/>
      <c r="T84" s="288"/>
      <c r="U84" s="288"/>
      <c r="V84" s="288"/>
      <c r="W84" s="288"/>
      <c r="X84" s="288"/>
      <c r="Y84" s="288"/>
      <c r="Z84" s="288"/>
      <c r="AA84" s="288"/>
      <c r="AB84" s="288"/>
      <c r="AC84" s="288"/>
      <c r="AD84" s="288"/>
      <c r="AE84" s="288"/>
      <c r="AF84" s="288"/>
      <c r="AG84" s="288"/>
      <c r="AH84" s="288"/>
      <c r="AI84" s="288"/>
      <c r="AJ84" s="288"/>
      <c r="AK84" s="288"/>
      <c r="AL84" s="288"/>
      <c r="AM84" s="288"/>
      <c r="AN84" s="288"/>
      <c r="AO84" s="288"/>
      <c r="AP84" s="288"/>
      <c r="AQ84" s="288"/>
      <c r="AR84" s="288"/>
      <c r="AS84" s="288"/>
      <c r="AT84" s="288"/>
      <c r="AV84" s="288"/>
      <c r="AW84" s="288"/>
      <c r="AX84" s="288"/>
      <c r="AY84" s="288"/>
      <c r="AZ84" s="288"/>
      <c r="BA84" s="288"/>
      <c r="BB84" s="288"/>
      <c r="BC84" s="288"/>
      <c r="BD84" s="288"/>
      <c r="BE84" s="288"/>
      <c r="BF84" s="288"/>
      <c r="BG84" s="288"/>
      <c r="BH84" s="288"/>
      <c r="BI84" s="288"/>
      <c r="BJ84" s="288"/>
      <c r="BK84" s="288"/>
      <c r="BL84" s="288"/>
      <c r="BM84" s="288"/>
      <c r="BN84" s="288"/>
      <c r="BO84" s="288"/>
      <c r="BP84" s="288"/>
      <c r="BQ84" s="288"/>
    </row>
  </sheetData>
  <sheetProtection autoFilter="0"/>
  <autoFilter ref="A5:BT60"/>
  <mergeCells count="41">
    <mergeCell ref="BW3:CD3"/>
    <mergeCell ref="BL3:BS3"/>
    <mergeCell ref="AZ3:BG3"/>
    <mergeCell ref="A3:A4"/>
    <mergeCell ref="A1:BT1"/>
    <mergeCell ref="B3:B4"/>
    <mergeCell ref="C3:C4"/>
    <mergeCell ref="D3:D4"/>
    <mergeCell ref="F3:F4"/>
    <mergeCell ref="L3:L4"/>
    <mergeCell ref="M3:M4"/>
    <mergeCell ref="N3:N4"/>
    <mergeCell ref="P3:W3"/>
    <mergeCell ref="AQ3:AX3"/>
    <mergeCell ref="G3:G4"/>
    <mergeCell ref="I3:I4"/>
    <mergeCell ref="K3:K4"/>
    <mergeCell ref="Y3:AF3"/>
    <mergeCell ref="AH3:AO3"/>
    <mergeCell ref="A73:B73"/>
    <mergeCell ref="A62:B62"/>
    <mergeCell ref="D62:F62"/>
    <mergeCell ref="I62:K62"/>
    <mergeCell ref="E3:E4"/>
    <mergeCell ref="J3:J4"/>
    <mergeCell ref="A74:B74"/>
    <mergeCell ref="A63:B63"/>
    <mergeCell ref="D63:F63"/>
    <mergeCell ref="H3:H4"/>
    <mergeCell ref="P2:BS2"/>
    <mergeCell ref="A70:B70"/>
    <mergeCell ref="A72:B72"/>
    <mergeCell ref="A64:B64"/>
    <mergeCell ref="D64:F64"/>
    <mergeCell ref="I64:K64"/>
    <mergeCell ref="A67:B67"/>
    <mergeCell ref="A68:B68"/>
    <mergeCell ref="A69:B69"/>
    <mergeCell ref="I63:K63"/>
    <mergeCell ref="BJ3:BJ4"/>
    <mergeCell ref="B60:F60"/>
  </mergeCells>
  <phoneticPr fontId="85" type="noConversion"/>
  <conditionalFormatting sqref="A6:A60">
    <cfRule type="cellIs" dxfId="16" priority="85" stopIfTrue="1" operator="equal">
      <formula>"?"</formula>
    </cfRule>
  </conditionalFormatting>
  <conditionalFormatting sqref="B6:B55">
    <cfRule type="cellIs" dxfId="15" priority="30" stopIfTrue="1" operator="equal">
      <formula>"?"</formula>
    </cfRule>
  </conditionalFormatting>
  <conditionalFormatting sqref="B56:M56">
    <cfRule type="cellIs" dxfId="14" priority="715" stopIfTrue="1" operator="equal">
      <formula>"?"</formula>
    </cfRule>
  </conditionalFormatting>
  <conditionalFormatting sqref="C6:F49">
    <cfRule type="cellIs" dxfId="13" priority="13" stopIfTrue="1" operator="equal">
      <formula>"?"</formula>
    </cfRule>
  </conditionalFormatting>
  <conditionalFormatting sqref="C50:G55">
    <cfRule type="cellIs" dxfId="12" priority="107" stopIfTrue="1" operator="equal">
      <formula>"?"</formula>
    </cfRule>
  </conditionalFormatting>
  <conditionalFormatting sqref="E56:F56">
    <cfRule type="cellIs" dxfId="11" priority="220" stopIfTrue="1" operator="lessThanOrEqual">
      <formula>2</formula>
    </cfRule>
    <cfRule type="cellIs" dxfId="10" priority="221" stopIfTrue="1" operator="lessThanOrEqual">
      <formula>2</formula>
    </cfRule>
  </conditionalFormatting>
  <conditionalFormatting sqref="F6:F34">
    <cfRule type="cellIs" dxfId="9" priority="14" stopIfTrue="1" operator="lessThanOrEqual">
      <formula>2</formula>
    </cfRule>
    <cfRule type="cellIs" dxfId="8" priority="15" stopIfTrue="1" operator="lessThanOrEqual">
      <formula>2</formula>
    </cfRule>
  </conditionalFormatting>
  <conditionalFormatting sqref="F22">
    <cfRule type="cellIs" dxfId="7" priority="10" stopIfTrue="1" operator="equal">
      <formula>"?"</formula>
    </cfRule>
    <cfRule type="cellIs" dxfId="6" priority="11" stopIfTrue="1" operator="lessThanOrEqual">
      <formula>2</formula>
    </cfRule>
    <cfRule type="cellIs" dxfId="5" priority="12" stopIfTrue="1" operator="lessThanOrEqual">
      <formula>2</formula>
    </cfRule>
  </conditionalFormatting>
  <conditionalFormatting sqref="G6:G49">
    <cfRule type="cellIs" dxfId="4" priority="6" stopIfTrue="1" operator="equal">
      <formula>"?"</formula>
    </cfRule>
  </conditionalFormatting>
  <conditionalFormatting sqref="H6:M55">
    <cfRule type="cellIs" dxfId="3" priority="1" stopIfTrue="1" operator="equal">
      <formula>"?"</formula>
    </cfRule>
  </conditionalFormatting>
  <conditionalFormatting sqref="N6:N56">
    <cfRule type="cellIs" dxfId="2" priority="42" stopIfTrue="1" operator="equal">
      <formula>"?"</formula>
    </cfRule>
  </conditionalFormatting>
  <conditionalFormatting sqref="BU56">
    <cfRule type="cellIs" dxfId="1" priority="240" stopIfTrue="1" operator="equal">
      <formula>"?"</formula>
    </cfRule>
  </conditionalFormatting>
  <conditionalFormatting sqref="BW56:CD56">
    <cfRule type="cellIs" dxfId="0" priority="239" stopIfTrue="1" operator="equal">
      <formula>"?"</formula>
    </cfRule>
  </conditionalFormatting>
  <printOptions horizontalCentered="1"/>
  <pageMargins left="0.39370078740157483" right="0.39370078740157483" top="0.98425196850393704" bottom="0.78740157480314965" header="0" footer="0"/>
  <pageSetup scale="58"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419"/>
  <sheetViews>
    <sheetView showGridLines="0" defaultGridColor="0" colorId="22" zoomScale="70" zoomScaleNormal="70" workbookViewId="0">
      <pane ySplit="3" topLeftCell="A250" activePane="bottomLeft" state="frozen"/>
      <selection activeCell="D11" sqref="D11"/>
      <selection pane="bottomLeft" activeCell="D34" sqref="D34"/>
    </sheetView>
  </sheetViews>
  <sheetFormatPr baseColWidth="10" defaultColWidth="12" defaultRowHeight="12.75"/>
  <cols>
    <col min="1" max="1" width="77.33203125" style="475" customWidth="1"/>
    <col min="2" max="2" width="12.6640625" style="475" customWidth="1"/>
    <col min="3" max="3" width="15.33203125" style="475" customWidth="1"/>
    <col min="4" max="4" width="19.6640625" style="496" customWidth="1"/>
    <col min="5" max="6" width="17.83203125" style="496" customWidth="1"/>
    <col min="7" max="7" width="20.33203125" style="496" customWidth="1"/>
    <col min="8" max="8" width="9.6640625" style="475" customWidth="1"/>
    <col min="9" max="9" width="21.6640625" style="475" customWidth="1"/>
    <col min="10" max="10" width="24.1640625" style="475" customWidth="1"/>
    <col min="11" max="11" width="17.33203125" style="475" customWidth="1"/>
    <col min="12" max="12" width="19.83203125" style="475" customWidth="1"/>
    <col min="13" max="13" width="21.33203125" style="475" customWidth="1"/>
    <col min="14" max="20" width="12" style="475" customWidth="1"/>
    <col min="21" max="16384" width="12" style="475"/>
  </cols>
  <sheetData>
    <row r="1" spans="1:13" ht="18" customHeight="1">
      <c r="A1" s="1176" t="s">
        <v>729</v>
      </c>
      <c r="B1" s="1176"/>
      <c r="C1" s="1176"/>
      <c r="D1" s="1176"/>
      <c r="E1" s="1176"/>
      <c r="F1" s="1176"/>
      <c r="G1" s="1176"/>
      <c r="I1" s="514"/>
      <c r="J1" s="483" t="s">
        <v>438</v>
      </c>
      <c r="K1" s="515" t="s">
        <v>439</v>
      </c>
    </row>
    <row r="2" spans="1:13" ht="12" customHeight="1" thickBot="1">
      <c r="I2" s="516"/>
      <c r="J2" s="483" t="s">
        <v>440</v>
      </c>
      <c r="K2" s="515" t="s">
        <v>441</v>
      </c>
    </row>
    <row r="3" spans="1:13" s="484" customFormat="1" ht="41.25" customHeight="1" thickTop="1" thickBot="1">
      <c r="A3" s="372" t="s">
        <v>102</v>
      </c>
      <c r="B3" s="373" t="s">
        <v>103</v>
      </c>
      <c r="C3" s="374" t="s">
        <v>104</v>
      </c>
      <c r="D3" s="375" t="s">
        <v>304</v>
      </c>
      <c r="E3" s="375" t="s">
        <v>105</v>
      </c>
      <c r="F3" s="375" t="s">
        <v>106</v>
      </c>
      <c r="G3" s="376" t="s">
        <v>107</v>
      </c>
      <c r="H3" s="517"/>
    </row>
    <row r="4" spans="1:13" ht="11.25" customHeight="1" thickTop="1" thickBot="1">
      <c r="A4" s="377"/>
      <c r="B4" s="378"/>
      <c r="C4" s="379"/>
      <c r="D4" s="380"/>
      <c r="E4" s="381"/>
      <c r="F4" s="380"/>
      <c r="G4" s="381"/>
      <c r="H4" s="518"/>
    </row>
    <row r="5" spans="1:13" ht="30" customHeight="1" thickTop="1">
      <c r="A5" s="1161" t="s">
        <v>108</v>
      </c>
      <c r="B5" s="1162"/>
      <c r="C5" s="1162"/>
      <c r="D5" s="1162"/>
      <c r="E5" s="1162"/>
      <c r="F5" s="1162"/>
      <c r="G5" s="1163"/>
      <c r="H5" s="518"/>
    </row>
    <row r="6" spans="1:13">
      <c r="A6" s="519" t="s">
        <v>109</v>
      </c>
      <c r="B6" s="520" t="s">
        <v>436</v>
      </c>
      <c r="C6" s="521">
        <v>5</v>
      </c>
      <c r="D6" s="522">
        <f>'Salarios y transporte'!C4</f>
        <v>133396</v>
      </c>
      <c r="E6" s="523"/>
      <c r="F6" s="522">
        <f>+D6/C6</f>
        <v>26679.200000000001</v>
      </c>
      <c r="G6" s="524">
        <f>+D6/C6</f>
        <v>26679.200000000001</v>
      </c>
      <c r="H6" s="518"/>
    </row>
    <row r="7" spans="1:13">
      <c r="A7" s="519" t="s">
        <v>111</v>
      </c>
      <c r="B7" s="520" t="s">
        <v>112</v>
      </c>
      <c r="C7" s="525">
        <v>0.05</v>
      </c>
      <c r="D7" s="526">
        <f>+G6</f>
        <v>26679.200000000001</v>
      </c>
      <c r="E7" s="527"/>
      <c r="F7" s="526">
        <f>+D7*C7</f>
        <v>1333.96</v>
      </c>
      <c r="G7" s="528">
        <f>+D7*C7</f>
        <v>1333.96</v>
      </c>
      <c r="H7" s="518"/>
    </row>
    <row r="8" spans="1:13" ht="12" customHeight="1" thickBot="1">
      <c r="A8" s="519"/>
      <c r="B8" s="520"/>
      <c r="C8" s="525"/>
      <c r="D8" s="529"/>
      <c r="E8" s="530"/>
      <c r="F8" s="529"/>
      <c r="G8" s="382"/>
      <c r="H8" s="518"/>
    </row>
    <row r="9" spans="1:13" ht="13.5" customHeight="1" thickTop="1" thickBot="1">
      <c r="A9" s="383" t="s">
        <v>113</v>
      </c>
      <c r="B9" s="531"/>
      <c r="C9" s="532"/>
      <c r="D9" s="533"/>
      <c r="E9" s="534"/>
      <c r="F9" s="384">
        <f>SUM(F6:F7)</f>
        <v>28013.16</v>
      </c>
      <c r="G9" s="385">
        <f>SUM(G6:G7)</f>
        <v>28013.16</v>
      </c>
      <c r="H9" s="518"/>
      <c r="I9" s="535"/>
      <c r="M9" s="496"/>
    </row>
    <row r="10" spans="1:13" ht="14.25" thickTop="1" thickBot="1">
      <c r="A10" s="386"/>
      <c r="B10" s="387"/>
      <c r="C10" s="388"/>
      <c r="D10" s="389"/>
      <c r="E10" s="390"/>
      <c r="F10" s="389"/>
      <c r="G10" s="390"/>
    </row>
    <row r="11" spans="1:13" ht="30" customHeight="1" thickTop="1">
      <c r="A11" s="1177" t="s">
        <v>114</v>
      </c>
      <c r="B11" s="1178"/>
      <c r="C11" s="1178"/>
      <c r="D11" s="1178"/>
      <c r="E11" s="1178"/>
      <c r="F11" s="1178"/>
      <c r="G11" s="1179"/>
    </row>
    <row r="12" spans="1:13">
      <c r="A12" s="536" t="s">
        <v>115</v>
      </c>
      <c r="B12" s="477" t="s">
        <v>365</v>
      </c>
      <c r="C12" s="537">
        <v>3</v>
      </c>
      <c r="D12" s="506">
        <f>'Actualizacion de precios'!C16</f>
        <v>31361.388800000001</v>
      </c>
      <c r="E12" s="527"/>
      <c r="F12" s="526">
        <f>+D12*C12</f>
        <v>94084.166400000002</v>
      </c>
      <c r="G12" s="538">
        <f>+D12*C12</f>
        <v>94084.166400000002</v>
      </c>
    </row>
    <row r="13" spans="1:13">
      <c r="A13" s="536" t="s">
        <v>84</v>
      </c>
      <c r="B13" s="477" t="s">
        <v>110</v>
      </c>
      <c r="C13" s="539">
        <v>3</v>
      </c>
      <c r="D13" s="522">
        <f>'Salarios y transporte'!C8</f>
        <v>97301</v>
      </c>
      <c r="E13" s="523"/>
      <c r="F13" s="522">
        <f>+D13/C13</f>
        <v>32433.666666666668</v>
      </c>
      <c r="G13" s="540">
        <f>+D13/C13</f>
        <v>32433.666666666668</v>
      </c>
    </row>
    <row r="14" spans="1:13">
      <c r="A14" s="536" t="s">
        <v>116</v>
      </c>
      <c r="B14" s="477" t="s">
        <v>110</v>
      </c>
      <c r="C14" s="539">
        <v>4</v>
      </c>
      <c r="D14" s="522">
        <f>+'Salarios y transporte'!C3</f>
        <v>66698</v>
      </c>
      <c r="E14" s="523"/>
      <c r="F14" s="522">
        <f>+D14/C14</f>
        <v>16674.5</v>
      </c>
      <c r="G14" s="540">
        <f>+D14/C14</f>
        <v>16674.5</v>
      </c>
    </row>
    <row r="15" spans="1:13" ht="12.75" customHeight="1">
      <c r="A15" s="519" t="s">
        <v>111</v>
      </c>
      <c r="B15" s="541" t="s">
        <v>112</v>
      </c>
      <c r="C15" s="478">
        <v>0.05</v>
      </c>
      <c r="D15" s="526">
        <f>+G14+G13</f>
        <v>49108.166666666672</v>
      </c>
      <c r="E15" s="527"/>
      <c r="F15" s="526">
        <f>+D15*C15</f>
        <v>2455.4083333333338</v>
      </c>
      <c r="G15" s="542">
        <f>+D15*C15</f>
        <v>2455.4083333333338</v>
      </c>
    </row>
    <row r="16" spans="1:13" ht="8.1" customHeight="1" thickBot="1">
      <c r="A16" s="519"/>
      <c r="B16" s="391"/>
      <c r="C16" s="392"/>
      <c r="D16" s="529"/>
      <c r="E16" s="530"/>
      <c r="F16" s="529"/>
      <c r="G16" s="393"/>
    </row>
    <row r="17" spans="1:12" ht="13.5" customHeight="1" thickTop="1" thickBot="1">
      <c r="A17" s="383" t="s">
        <v>113</v>
      </c>
      <c r="B17" s="531"/>
      <c r="C17" s="532"/>
      <c r="D17" s="533"/>
      <c r="E17" s="534"/>
      <c r="F17" s="384">
        <f>SUM(F12:F16)</f>
        <v>145647.7414</v>
      </c>
      <c r="G17" s="385">
        <f>SUM(G12:G16)</f>
        <v>145647.7414</v>
      </c>
      <c r="H17" s="518"/>
    </row>
    <row r="18" spans="1:12" ht="14.25" thickTop="1" thickBot="1">
      <c r="A18" s="386"/>
      <c r="B18" s="387"/>
      <c r="C18" s="388"/>
      <c r="D18" s="389"/>
      <c r="E18" s="390"/>
      <c r="F18" s="389"/>
      <c r="G18" s="390"/>
    </row>
    <row r="19" spans="1:12" ht="27.75" customHeight="1" thickTop="1">
      <c r="A19" s="1161" t="s">
        <v>117</v>
      </c>
      <c r="B19" s="1162"/>
      <c r="C19" s="1162"/>
      <c r="D19" s="1162"/>
      <c r="E19" s="1162"/>
      <c r="F19" s="1162"/>
      <c r="G19" s="1163"/>
      <c r="H19" s="518"/>
    </row>
    <row r="20" spans="1:12">
      <c r="A20" s="519" t="s">
        <v>118</v>
      </c>
      <c r="B20" s="520" t="s">
        <v>110</v>
      </c>
      <c r="C20" s="521">
        <v>6</v>
      </c>
      <c r="D20" s="522">
        <f>'Salarios y transporte'!C4</f>
        <v>133396</v>
      </c>
      <c r="E20" s="523"/>
      <c r="F20" s="522">
        <f>+D20/C20</f>
        <v>22232.666666666668</v>
      </c>
      <c r="G20" s="540">
        <f>+D20/C20</f>
        <v>22232.666666666668</v>
      </c>
      <c r="H20" s="480"/>
      <c r="I20" s="543"/>
    </row>
    <row r="21" spans="1:12">
      <c r="A21" s="519" t="s">
        <v>111</v>
      </c>
      <c r="B21" s="520" t="s">
        <v>112</v>
      </c>
      <c r="C21" s="525">
        <v>0.05</v>
      </c>
      <c r="D21" s="526">
        <f>+G20</f>
        <v>22232.666666666668</v>
      </c>
      <c r="E21" s="527"/>
      <c r="F21" s="526">
        <f>+D21*C21</f>
        <v>1111.6333333333334</v>
      </c>
      <c r="G21" s="542">
        <f>+D21*C21</f>
        <v>1111.6333333333334</v>
      </c>
      <c r="H21" s="480"/>
      <c r="I21" s="543"/>
    </row>
    <row r="22" spans="1:12" ht="8.1" customHeight="1" thickBot="1">
      <c r="A22" s="519"/>
      <c r="B22" s="520"/>
      <c r="C22" s="525"/>
      <c r="D22" s="529"/>
      <c r="E22" s="530"/>
      <c r="F22" s="529"/>
      <c r="G22" s="393"/>
      <c r="H22" s="544"/>
      <c r="I22" s="543"/>
    </row>
    <row r="23" spans="1:12" ht="13.5" customHeight="1" thickTop="1" thickBot="1">
      <c r="A23" s="383" t="s">
        <v>113</v>
      </c>
      <c r="B23" s="531"/>
      <c r="C23" s="532"/>
      <c r="D23" s="533"/>
      <c r="E23" s="534"/>
      <c r="F23" s="384">
        <f>SUM(F20:F22)</f>
        <v>23344.300000000003</v>
      </c>
      <c r="G23" s="385">
        <f>SUM(G20:G22)</f>
        <v>23344.300000000003</v>
      </c>
      <c r="H23" s="518"/>
    </row>
    <row r="24" spans="1:12" ht="14.25" thickTop="1" thickBot="1">
      <c r="A24" s="386"/>
      <c r="B24" s="378"/>
      <c r="C24" s="379"/>
      <c r="D24" s="380"/>
      <c r="E24" s="394"/>
      <c r="F24" s="380"/>
      <c r="G24" s="390"/>
      <c r="H24" s="544"/>
      <c r="I24" s="476"/>
    </row>
    <row r="25" spans="1:12" ht="30" customHeight="1" thickTop="1">
      <c r="A25" s="1161" t="s">
        <v>119</v>
      </c>
      <c r="B25" s="1162"/>
      <c r="C25" s="1162"/>
      <c r="D25" s="1162"/>
      <c r="E25" s="1162"/>
      <c r="F25" s="1162"/>
      <c r="G25" s="1163"/>
      <c r="H25" s="518"/>
    </row>
    <row r="26" spans="1:12">
      <c r="A26" s="536" t="s">
        <v>120</v>
      </c>
      <c r="B26" s="477" t="s">
        <v>110</v>
      </c>
      <c r="C26" s="545">
        <v>25</v>
      </c>
      <c r="D26" s="522">
        <f>+'Salarios y transporte'!C3</f>
        <v>66698</v>
      </c>
      <c r="E26" s="523"/>
      <c r="F26" s="522">
        <f>+D26/C26</f>
        <v>2667.92</v>
      </c>
      <c r="G26" s="540">
        <f>+D26/C26</f>
        <v>2667.92</v>
      </c>
      <c r="H26" s="518"/>
    </row>
    <row r="27" spans="1:12">
      <c r="A27" s="519" t="s">
        <v>111</v>
      </c>
      <c r="B27" s="477" t="s">
        <v>112</v>
      </c>
      <c r="C27" s="478">
        <v>0.05</v>
      </c>
      <c r="D27" s="526">
        <f>+G26</f>
        <v>2667.92</v>
      </c>
      <c r="E27" s="527"/>
      <c r="F27" s="526">
        <f>+D27*C27</f>
        <v>133.39600000000002</v>
      </c>
      <c r="G27" s="538">
        <f>+D27*C27</f>
        <v>133.39600000000002</v>
      </c>
      <c r="H27" s="518"/>
    </row>
    <row r="28" spans="1:12" ht="12" customHeight="1" thickBot="1">
      <c r="A28" s="519"/>
      <c r="B28" s="391"/>
      <c r="C28" s="392"/>
      <c r="D28" s="529"/>
      <c r="E28" s="529"/>
      <c r="F28" s="529"/>
      <c r="G28" s="393"/>
      <c r="H28" s="518"/>
    </row>
    <row r="29" spans="1:12" ht="13.5" customHeight="1" thickTop="1" thickBot="1">
      <c r="A29" s="383" t="s">
        <v>113</v>
      </c>
      <c r="B29" s="531"/>
      <c r="C29" s="532"/>
      <c r="D29" s="533"/>
      <c r="E29" s="534"/>
      <c r="F29" s="384">
        <f>SUM(F26:F28)</f>
        <v>2801.3160000000003</v>
      </c>
      <c r="G29" s="385">
        <f>SUM(G26:G28)</f>
        <v>2801.3160000000003</v>
      </c>
      <c r="H29" s="518"/>
    </row>
    <row r="30" spans="1:12" ht="14.25" thickTop="1" thickBot="1">
      <c r="A30" s="478"/>
      <c r="B30" s="477"/>
      <c r="C30" s="478"/>
      <c r="D30" s="529"/>
      <c r="E30" s="530"/>
      <c r="F30" s="529"/>
      <c r="H30" s="518"/>
    </row>
    <row r="31" spans="1:12" ht="30" customHeight="1" thickTop="1">
      <c r="A31" s="1161" t="s">
        <v>370</v>
      </c>
      <c r="B31" s="1162"/>
      <c r="C31" s="1162"/>
      <c r="D31" s="1162"/>
      <c r="E31" s="1162"/>
      <c r="F31" s="1162"/>
      <c r="G31" s="1163"/>
      <c r="H31" s="518"/>
    </row>
    <row r="32" spans="1:12">
      <c r="A32" s="536" t="s">
        <v>121</v>
      </c>
      <c r="B32" s="477" t="s">
        <v>68</v>
      </c>
      <c r="C32" s="478">
        <v>1.05</v>
      </c>
      <c r="D32" s="593">
        <f>'Actualizacion de precios'!C31</f>
        <v>15121.5</v>
      </c>
      <c r="E32" s="526">
        <f>G32-F32</f>
        <v>2535.0750000000007</v>
      </c>
      <c r="F32" s="526">
        <f>C32*(D32/1.19)</f>
        <v>13342.5</v>
      </c>
      <c r="G32" s="546">
        <f>D32*C32</f>
        <v>15877.575000000001</v>
      </c>
      <c r="H32" s="518"/>
      <c r="I32" s="518">
        <f>'ppto sistema septico'!V16</f>
        <v>289</v>
      </c>
      <c r="J32" s="547">
        <f>$I$32*(F32+F33+F35)</f>
        <v>8787339.5857142862</v>
      </c>
      <c r="K32" s="547">
        <f>$I$32*(G32+G33+G35)</f>
        <v>10456934.107000001</v>
      </c>
      <c r="L32" s="496">
        <f>K32-J32</f>
        <v>1669594.5212857146</v>
      </c>
    </row>
    <row r="33" spans="1:27">
      <c r="A33" s="519" t="s">
        <v>76</v>
      </c>
      <c r="B33" s="520" t="s">
        <v>112</v>
      </c>
      <c r="C33" s="537">
        <v>1</v>
      </c>
      <c r="D33" s="506">
        <f>'Actualizacion de precios'!C5</f>
        <v>18653.488000000001</v>
      </c>
      <c r="E33" s="526">
        <f t="shared" ref="E33:E37" si="0">G33-F33</f>
        <v>2978.2879999999986</v>
      </c>
      <c r="F33" s="526">
        <f>C33*(D33/1.19)</f>
        <v>15675.200000000003</v>
      </c>
      <c r="G33" s="538">
        <f>+C33*(D33)</f>
        <v>18653.488000000001</v>
      </c>
      <c r="H33" s="518"/>
      <c r="I33" s="496"/>
      <c r="K33" s="496"/>
    </row>
    <row r="34" spans="1:27">
      <c r="A34" s="536" t="s">
        <v>122</v>
      </c>
      <c r="B34" s="520" t="s">
        <v>123</v>
      </c>
      <c r="C34" s="548">
        <v>1E-3</v>
      </c>
      <c r="D34" s="603">
        <f>'Salarios y transporte'!C28</f>
        <v>166359.82516363639</v>
      </c>
      <c r="E34" s="526">
        <f t="shared" si="0"/>
        <v>0</v>
      </c>
      <c r="F34" s="526">
        <f>+D34*C34</f>
        <v>166.3598251636364</v>
      </c>
      <c r="G34" s="538">
        <f>+D34*C34</f>
        <v>166.3598251636364</v>
      </c>
      <c r="H34" s="518"/>
      <c r="K34" s="496"/>
    </row>
    <row r="35" spans="1:27">
      <c r="A35" s="536" t="s">
        <v>124</v>
      </c>
      <c r="B35" s="477" t="s">
        <v>361</v>
      </c>
      <c r="C35" s="537">
        <v>0.15</v>
      </c>
      <c r="D35" s="506">
        <f>'Actualizacion de precios'!C19</f>
        <v>11014</v>
      </c>
      <c r="E35" s="526">
        <f t="shared" si="0"/>
        <v>263.78067226890744</v>
      </c>
      <c r="F35" s="526">
        <f>+D35*C35/1.19</f>
        <v>1388.3193277310925</v>
      </c>
      <c r="G35" s="538">
        <f>+D35*C35</f>
        <v>1652.1</v>
      </c>
      <c r="H35" s="518"/>
      <c r="K35" s="496"/>
    </row>
    <row r="36" spans="1:27">
      <c r="A36" s="536" t="s">
        <v>125</v>
      </c>
      <c r="B36" s="477" t="s">
        <v>126</v>
      </c>
      <c r="C36" s="545">
        <v>50</v>
      </c>
      <c r="D36" s="522">
        <f>'Salarios y transporte'!C5</f>
        <v>194603</v>
      </c>
      <c r="E36" s="522">
        <f t="shared" si="0"/>
        <v>0</v>
      </c>
      <c r="F36" s="522">
        <f>+D36/C36</f>
        <v>3892.06</v>
      </c>
      <c r="G36" s="540">
        <f>+D36/C36</f>
        <v>3892.06</v>
      </c>
      <c r="H36" s="518"/>
      <c r="K36" s="496"/>
    </row>
    <row r="37" spans="1:27">
      <c r="A37" s="519" t="s">
        <v>111</v>
      </c>
      <c r="B37" s="477" t="s">
        <v>112</v>
      </c>
      <c r="C37" s="478">
        <v>0.05</v>
      </c>
      <c r="D37" s="526">
        <f>+G36</f>
        <v>3892.06</v>
      </c>
      <c r="E37" s="526">
        <f t="shared" si="0"/>
        <v>0</v>
      </c>
      <c r="F37" s="526">
        <f>+D37*C37</f>
        <v>194.60300000000001</v>
      </c>
      <c r="G37" s="542">
        <f>+D37*C37</f>
        <v>194.60300000000001</v>
      </c>
      <c r="H37" s="518"/>
      <c r="K37" s="395"/>
    </row>
    <row r="38" spans="1:27" ht="13.5" customHeight="1" thickBot="1">
      <c r="A38" s="536"/>
      <c r="B38" s="477"/>
      <c r="C38" s="478"/>
      <c r="D38" s="529"/>
      <c r="E38" s="530"/>
      <c r="F38" s="529"/>
      <c r="G38" s="393"/>
      <c r="H38" s="518"/>
      <c r="AA38" s="496">
        <f>+'A.P.U. 2023'!G3108</f>
        <v>0</v>
      </c>
    </row>
    <row r="39" spans="1:27" ht="13.5" customHeight="1" thickTop="1" thickBot="1">
      <c r="A39" s="383" t="s">
        <v>127</v>
      </c>
      <c r="B39" s="531"/>
      <c r="C39" s="532"/>
      <c r="D39" s="533"/>
      <c r="E39" s="534"/>
      <c r="F39" s="384">
        <f>SUM(F32:F38)</f>
        <v>34659.042152894734</v>
      </c>
      <c r="G39" s="385">
        <f>SUM(G32:G38)</f>
        <v>40436.185825163637</v>
      </c>
      <c r="H39" s="518"/>
      <c r="K39" s="496"/>
      <c r="N39" s="475" t="s">
        <v>366</v>
      </c>
    </row>
    <row r="40" spans="1:27" ht="14.25" thickTop="1" thickBot="1">
      <c r="A40" s="386"/>
      <c r="B40" s="387"/>
      <c r="C40" s="388"/>
      <c r="D40" s="389"/>
      <c r="E40" s="390"/>
      <c r="F40" s="389"/>
      <c r="G40" s="390"/>
      <c r="H40" s="518"/>
    </row>
    <row r="41" spans="1:27" ht="30" customHeight="1" thickTop="1">
      <c r="A41" s="1164" t="s">
        <v>388</v>
      </c>
      <c r="B41" s="1165"/>
      <c r="C41" s="1165"/>
      <c r="D41" s="1165"/>
      <c r="E41" s="1165"/>
      <c r="F41" s="1165"/>
      <c r="G41" s="1166"/>
      <c r="H41" s="518"/>
      <c r="I41" s="496"/>
      <c r="K41" s="496"/>
      <c r="L41" s="496"/>
    </row>
    <row r="42" spans="1:27" ht="12" customHeight="1">
      <c r="A42" s="519" t="s">
        <v>128</v>
      </c>
      <c r="B42" s="520" t="s">
        <v>126</v>
      </c>
      <c r="C42" s="525">
        <v>1.05</v>
      </c>
      <c r="D42" s="506">
        <f>'Actualizacion de precios'!C32</f>
        <v>22586</v>
      </c>
      <c r="E42" s="506">
        <f t="shared" ref="E42:E47" si="1">G42-F42</f>
        <v>3786.4764705882299</v>
      </c>
      <c r="F42" s="506">
        <f>C42*(D42/1.19)</f>
        <v>19928.823529411769</v>
      </c>
      <c r="G42" s="538">
        <f>+C42*(D42)</f>
        <v>23715.3</v>
      </c>
      <c r="H42" s="518"/>
      <c r="I42" s="518">
        <f>'ppto sistema septico'!V17</f>
        <v>741</v>
      </c>
      <c r="J42" s="547">
        <f>$I$42*(F42+F43+F45)</f>
        <v>18948834.066554628</v>
      </c>
      <c r="K42" s="547">
        <f>$I$42*(G42+G43+G45)</f>
        <v>22549112.539199997</v>
      </c>
      <c r="L42" s="496">
        <f>K42-J42</f>
        <v>3600278.4726453684</v>
      </c>
    </row>
    <row r="43" spans="1:27" ht="12.75" customHeight="1">
      <c r="A43" s="519" t="s">
        <v>76</v>
      </c>
      <c r="B43" s="520" t="s">
        <v>129</v>
      </c>
      <c r="C43" s="525">
        <v>1</v>
      </c>
      <c r="D43" s="506">
        <f>'Actualizacion de precios'!C6</f>
        <v>5063.2511999999997</v>
      </c>
      <c r="E43" s="506">
        <f t="shared" si="1"/>
        <v>808.41825882352896</v>
      </c>
      <c r="F43" s="506">
        <f>C43*(D43/1.19)</f>
        <v>4254.8329411764707</v>
      </c>
      <c r="G43" s="538">
        <f>+C43*(D43)</f>
        <v>5063.2511999999997</v>
      </c>
      <c r="H43" s="518"/>
      <c r="I43" s="518"/>
      <c r="J43" s="547"/>
      <c r="K43" s="547"/>
      <c r="L43" s="496"/>
    </row>
    <row r="44" spans="1:27" ht="15" customHeight="1">
      <c r="A44" s="519" t="s">
        <v>122</v>
      </c>
      <c r="B44" s="520" t="s">
        <v>123</v>
      </c>
      <c r="C44" s="548">
        <v>1E-3</v>
      </c>
      <c r="D44" s="603">
        <f>'Salarios y transporte'!C28</f>
        <v>166359.82516363639</v>
      </c>
      <c r="E44" s="506">
        <f t="shared" si="1"/>
        <v>0</v>
      </c>
      <c r="F44" s="506">
        <f>+D44*C44</f>
        <v>166.3598251636364</v>
      </c>
      <c r="G44" s="538">
        <f>+D44*C44</f>
        <v>166.3598251636364</v>
      </c>
      <c r="H44" s="518"/>
      <c r="K44" s="496"/>
    </row>
    <row r="45" spans="1:27" ht="15" customHeight="1">
      <c r="A45" s="536" t="s">
        <v>124</v>
      </c>
      <c r="B45" s="477" t="s">
        <v>361</v>
      </c>
      <c r="C45" s="537">
        <v>0.15</v>
      </c>
      <c r="D45" s="506">
        <f>'Actualizacion de precios'!C19</f>
        <v>11014</v>
      </c>
      <c r="E45" s="506">
        <f t="shared" si="1"/>
        <v>263.78067226890744</v>
      </c>
      <c r="F45" s="549">
        <f>+C45*D45/1.19</f>
        <v>1388.3193277310925</v>
      </c>
      <c r="G45" s="538">
        <f>+C45*D45</f>
        <v>1652.1</v>
      </c>
      <c r="H45" s="518"/>
      <c r="K45" s="496"/>
    </row>
    <row r="46" spans="1:27" ht="15" customHeight="1">
      <c r="A46" s="519" t="s">
        <v>367</v>
      </c>
      <c r="B46" s="520" t="s">
        <v>126</v>
      </c>
      <c r="C46" s="521">
        <v>40</v>
      </c>
      <c r="D46" s="522">
        <f>'Salarios y transporte'!C5</f>
        <v>194603</v>
      </c>
      <c r="E46" s="522">
        <f t="shared" si="1"/>
        <v>0</v>
      </c>
      <c r="F46" s="522">
        <f>+D46/C46</f>
        <v>4865.0749999999998</v>
      </c>
      <c r="G46" s="540">
        <f>+D46/C46</f>
        <v>4865.0749999999998</v>
      </c>
      <c r="H46" s="518"/>
      <c r="K46" s="496"/>
    </row>
    <row r="47" spans="1:27" ht="15.75" customHeight="1">
      <c r="A47" s="519" t="s">
        <v>111</v>
      </c>
      <c r="B47" s="520" t="s">
        <v>112</v>
      </c>
      <c r="C47" s="525">
        <v>0.05</v>
      </c>
      <c r="D47" s="506">
        <f>+G46</f>
        <v>4865.0749999999998</v>
      </c>
      <c r="E47" s="506">
        <f t="shared" si="1"/>
        <v>0</v>
      </c>
      <c r="F47" s="506">
        <f>+D47*C47</f>
        <v>243.25375</v>
      </c>
      <c r="G47" s="542">
        <f>+D47*C47</f>
        <v>243.25375</v>
      </c>
      <c r="H47" s="518"/>
      <c r="J47" s="496"/>
      <c r="K47" s="395"/>
    </row>
    <row r="48" spans="1:27" ht="16.5" customHeight="1" thickBot="1">
      <c r="A48" s="519"/>
      <c r="B48" s="520"/>
      <c r="C48" s="480"/>
      <c r="D48" s="529"/>
      <c r="E48" s="530"/>
      <c r="F48" s="529"/>
      <c r="G48" s="393"/>
      <c r="H48" s="518"/>
    </row>
    <row r="49" spans="1:12" ht="13.5" customHeight="1" thickTop="1" thickBot="1">
      <c r="A49" s="383" t="s">
        <v>130</v>
      </c>
      <c r="B49" s="531"/>
      <c r="C49" s="532"/>
      <c r="D49" s="533"/>
      <c r="E49" s="534"/>
      <c r="F49" s="384">
        <f>SUM(F42:F48)</f>
        <v>30846.66437348297</v>
      </c>
      <c r="G49" s="513">
        <f>SUM(G42:G48)</f>
        <v>35705.339775163637</v>
      </c>
      <c r="H49" s="518"/>
      <c r="I49" s="496"/>
      <c r="K49" s="496"/>
    </row>
    <row r="50" spans="1:12" ht="14.25" thickTop="1" thickBot="1">
      <c r="A50" s="386"/>
      <c r="B50" s="387"/>
      <c r="C50" s="388"/>
      <c r="D50" s="389"/>
      <c r="E50" s="390"/>
      <c r="F50" s="389"/>
      <c r="G50" s="390"/>
      <c r="H50" s="518"/>
    </row>
    <row r="51" spans="1:12" ht="24" customHeight="1" thickTop="1">
      <c r="A51" s="1164" t="s">
        <v>602</v>
      </c>
      <c r="B51" s="1165"/>
      <c r="C51" s="1165"/>
      <c r="D51" s="1165"/>
      <c r="E51" s="1165"/>
      <c r="F51" s="1165"/>
      <c r="G51" s="1166"/>
      <c r="H51" s="518"/>
    </row>
    <row r="52" spans="1:12">
      <c r="A52" s="519" t="s">
        <v>121</v>
      </c>
      <c r="B52" s="520" t="s">
        <v>126</v>
      </c>
      <c r="C52" s="525">
        <v>1.05</v>
      </c>
      <c r="D52" s="506">
        <f>'Actualizacion de precios'!C31</f>
        <v>15121.5</v>
      </c>
      <c r="E52" s="506">
        <f t="shared" ref="E52:E57" si="2">G52-F52</f>
        <v>2535.0750000000007</v>
      </c>
      <c r="F52" s="506">
        <f>C52*(D52/1.19)</f>
        <v>13342.5</v>
      </c>
      <c r="G52" s="538">
        <f>+C52*(D52)</f>
        <v>15877.575000000001</v>
      </c>
      <c r="H52" s="518"/>
    </row>
    <row r="53" spans="1:12">
      <c r="A53" s="519" t="s">
        <v>76</v>
      </c>
      <c r="B53" s="520" t="s">
        <v>129</v>
      </c>
      <c r="C53" s="525">
        <v>1</v>
      </c>
      <c r="D53" s="506">
        <f>'Actualizacion de precios'!C6</f>
        <v>5063.2511999999997</v>
      </c>
      <c r="E53" s="506">
        <f t="shared" si="2"/>
        <v>808.41825882352896</v>
      </c>
      <c r="F53" s="506">
        <f>C53*(D53/1.19)</f>
        <v>4254.8329411764707</v>
      </c>
      <c r="G53" s="538">
        <f>+C53*(D53)</f>
        <v>5063.2511999999997</v>
      </c>
      <c r="H53" s="518"/>
    </row>
    <row r="54" spans="1:12">
      <c r="A54" s="519" t="s">
        <v>122</v>
      </c>
      <c r="B54" s="520" t="s">
        <v>123</v>
      </c>
      <c r="C54" s="548">
        <v>1E-3</v>
      </c>
      <c r="D54" s="603">
        <f>'Salarios y transporte'!C28</f>
        <v>166359.82516363639</v>
      </c>
      <c r="E54" s="506">
        <f t="shared" si="2"/>
        <v>0</v>
      </c>
      <c r="F54" s="506">
        <f>+D54*C54</f>
        <v>166.3598251636364</v>
      </c>
      <c r="G54" s="538">
        <f>+D54*C54</f>
        <v>166.3598251636364</v>
      </c>
      <c r="H54" s="518"/>
    </row>
    <row r="55" spans="1:12">
      <c r="A55" s="536" t="s">
        <v>124</v>
      </c>
      <c r="B55" s="477" t="s">
        <v>361</v>
      </c>
      <c r="C55" s="537">
        <v>0.15</v>
      </c>
      <c r="D55" s="506">
        <f>'Actualizacion de precios'!C19</f>
        <v>11014</v>
      </c>
      <c r="E55" s="506">
        <f t="shared" si="2"/>
        <v>263.78067226890744</v>
      </c>
      <c r="F55" s="549">
        <f>+C55*D55/1.19</f>
        <v>1388.3193277310925</v>
      </c>
      <c r="G55" s="538">
        <f>+C55*D55</f>
        <v>1652.1</v>
      </c>
      <c r="H55" s="518"/>
    </row>
    <row r="56" spans="1:12">
      <c r="A56" s="519" t="s">
        <v>367</v>
      </c>
      <c r="B56" s="520" t="s">
        <v>126</v>
      </c>
      <c r="C56" s="521">
        <v>50</v>
      </c>
      <c r="D56" s="522">
        <f>'Salarios y transporte'!C5</f>
        <v>194603</v>
      </c>
      <c r="E56" s="522">
        <f t="shared" si="2"/>
        <v>0</v>
      </c>
      <c r="F56" s="522">
        <f>+D56/C56</f>
        <v>3892.06</v>
      </c>
      <c r="G56" s="540">
        <f>+D56/C56</f>
        <v>3892.06</v>
      </c>
      <c r="H56" s="518"/>
      <c r="I56" s="518">
        <f>+'ppto sistema septico'!V18</f>
        <v>766</v>
      </c>
      <c r="J56" s="547">
        <f>$I$42*(F52+F53+F55)</f>
        <v>14068368.331260506</v>
      </c>
      <c r="K56" s="547">
        <f>$I$42*(G52+G53+G55)</f>
        <v>16741358.314199999</v>
      </c>
      <c r="L56" s="496">
        <f>K56-J56</f>
        <v>2672989.9829394929</v>
      </c>
    </row>
    <row r="57" spans="1:12">
      <c r="A57" s="519" t="s">
        <v>111</v>
      </c>
      <c r="B57" s="520" t="s">
        <v>112</v>
      </c>
      <c r="C57" s="525">
        <v>0.05</v>
      </c>
      <c r="D57" s="506">
        <f>+G56</f>
        <v>3892.06</v>
      </c>
      <c r="E57" s="506">
        <f t="shared" si="2"/>
        <v>0</v>
      </c>
      <c r="F57" s="506">
        <f>+D57*C57</f>
        <v>194.60300000000001</v>
      </c>
      <c r="G57" s="542">
        <f>+D57*C57</f>
        <v>194.60300000000001</v>
      </c>
      <c r="H57" s="518"/>
    </row>
    <row r="58" spans="1:12" ht="13.5" thickBot="1">
      <c r="A58" s="519"/>
      <c r="B58" s="520"/>
      <c r="C58" s="480"/>
      <c r="D58" s="529"/>
      <c r="E58" s="530"/>
      <c r="F58" s="529"/>
      <c r="G58" s="393"/>
      <c r="H58" s="518"/>
    </row>
    <row r="59" spans="1:12" ht="14.25" thickTop="1" thickBot="1">
      <c r="A59" s="383" t="s">
        <v>130</v>
      </c>
      <c r="B59" s="531"/>
      <c r="C59" s="532"/>
      <c r="D59" s="533"/>
      <c r="E59" s="534"/>
      <c r="F59" s="384">
        <f>SUM(F52:F58)</f>
        <v>23238.675094071201</v>
      </c>
      <c r="G59" s="513">
        <f>SUM(G52:G58)</f>
        <v>26845.949025163634</v>
      </c>
      <c r="H59" s="518"/>
    </row>
    <row r="60" spans="1:12" ht="14.25" thickTop="1" thickBot="1">
      <c r="A60" s="386"/>
      <c r="B60" s="387"/>
      <c r="C60" s="388"/>
      <c r="D60" s="389"/>
      <c r="E60" s="390"/>
      <c r="F60" s="389"/>
      <c r="G60" s="390"/>
      <c r="H60" s="518"/>
    </row>
    <row r="61" spans="1:12" ht="30" customHeight="1" thickTop="1">
      <c r="A61" s="1167" t="s">
        <v>131</v>
      </c>
      <c r="B61" s="1168"/>
      <c r="C61" s="1168"/>
      <c r="D61" s="1168"/>
      <c r="E61" s="1168"/>
      <c r="F61" s="1168"/>
      <c r="G61" s="1169"/>
      <c r="H61" s="518"/>
    </row>
    <row r="62" spans="1:12" ht="13.5" customHeight="1">
      <c r="A62" s="519" t="s">
        <v>132</v>
      </c>
      <c r="B62" s="520" t="s">
        <v>70</v>
      </c>
      <c r="C62" s="525">
        <v>1</v>
      </c>
      <c r="D62" s="506">
        <f>'Actualizacion de precios'!C29</f>
        <v>13459</v>
      </c>
      <c r="E62" s="526">
        <f>G62-F62</f>
        <v>2148.9159663865539</v>
      </c>
      <c r="F62" s="526">
        <f>C62*(D62/1.19)</f>
        <v>11310.084033613446</v>
      </c>
      <c r="G62" s="538">
        <f>+C62*(D62)</f>
        <v>13459</v>
      </c>
      <c r="H62" s="518"/>
      <c r="I62" s="518">
        <f>'ppto sistema septico'!V19</f>
        <v>44</v>
      </c>
      <c r="J62" s="496">
        <f>(F62+F63+F64+F65)*$I$62</f>
        <v>1484389.9159663867</v>
      </c>
      <c r="K62" s="496">
        <f>(G62+G63+G64+G65)*$I$62</f>
        <v>1766424</v>
      </c>
      <c r="L62" s="496">
        <f>K62-J62</f>
        <v>282034.08403361333</v>
      </c>
    </row>
    <row r="63" spans="1:12" ht="13.5" customHeight="1">
      <c r="A63" s="519" t="s">
        <v>133</v>
      </c>
      <c r="B63" s="520" t="s">
        <v>70</v>
      </c>
      <c r="C63" s="525">
        <v>1</v>
      </c>
      <c r="D63" s="506">
        <f>'Actualizacion de precios'!C24</f>
        <v>10371</v>
      </c>
      <c r="E63" s="526">
        <f>G63-F63</f>
        <v>1655.8739495798309</v>
      </c>
      <c r="F63" s="526">
        <f>C63*(D63/1.19)</f>
        <v>8715.1260504201691</v>
      </c>
      <c r="G63" s="538">
        <f>+C63*(D63)</f>
        <v>10371</v>
      </c>
      <c r="H63" s="518"/>
      <c r="K63" s="496"/>
    </row>
    <row r="64" spans="1:12" ht="13.5" customHeight="1">
      <c r="A64" s="550" t="s">
        <v>134</v>
      </c>
      <c r="B64" s="551" t="s">
        <v>70</v>
      </c>
      <c r="C64" s="552">
        <v>1</v>
      </c>
      <c r="D64" s="506">
        <f>'Actualizacion de precios'!C27</f>
        <v>10809</v>
      </c>
      <c r="E64" s="526">
        <f>G64-F64</f>
        <v>1725.8067226890744</v>
      </c>
      <c r="F64" s="526">
        <f>C64*(D64/1.19)</f>
        <v>9083.1932773109256</v>
      </c>
      <c r="G64" s="538">
        <f>+C64*(D64)</f>
        <v>10809</v>
      </c>
      <c r="H64" s="553"/>
      <c r="K64" s="496"/>
    </row>
    <row r="65" spans="1:12" ht="13.5" customHeight="1">
      <c r="A65" s="536" t="s">
        <v>124</v>
      </c>
      <c r="B65" s="477" t="s">
        <v>361</v>
      </c>
      <c r="C65" s="537">
        <v>0.5</v>
      </c>
      <c r="D65" s="506">
        <f>'Actualizacion de precios'!C19</f>
        <v>11014</v>
      </c>
      <c r="E65" s="526">
        <f>G65-F65</f>
        <v>879.2689075630251</v>
      </c>
      <c r="F65" s="526">
        <f>+C65*D65/1.19</f>
        <v>4627.7310924369749</v>
      </c>
      <c r="G65" s="542">
        <f>+D65*C65</f>
        <v>5507</v>
      </c>
      <c r="H65" s="518"/>
      <c r="K65" s="496"/>
    </row>
    <row r="66" spans="1:12" ht="13.5" customHeight="1">
      <c r="A66" s="519" t="s">
        <v>122</v>
      </c>
      <c r="B66" s="520" t="s">
        <v>123</v>
      </c>
      <c r="C66" s="480">
        <v>80</v>
      </c>
      <c r="D66" s="603">
        <f>'Salarios y transporte'!C28</f>
        <v>166359.82516363639</v>
      </c>
      <c r="E66" s="526">
        <f>G66-F66</f>
        <v>0</v>
      </c>
      <c r="F66" s="526">
        <f>+D66/C66</f>
        <v>2079.4978145454547</v>
      </c>
      <c r="G66" s="538">
        <f>+D66/C66</f>
        <v>2079.4978145454547</v>
      </c>
      <c r="H66" s="518"/>
      <c r="K66" s="496"/>
    </row>
    <row r="67" spans="1:12" ht="13.5" customHeight="1">
      <c r="A67" s="519" t="s">
        <v>135</v>
      </c>
      <c r="B67" s="520" t="s">
        <v>70</v>
      </c>
      <c r="C67" s="554">
        <v>20</v>
      </c>
      <c r="D67" s="522">
        <f>+'Salarios y transporte'!C2</f>
        <v>127905</v>
      </c>
      <c r="E67" s="523"/>
      <c r="F67" s="522">
        <f>+D67/C67</f>
        <v>6395.25</v>
      </c>
      <c r="G67" s="540">
        <f>+D67/C67</f>
        <v>6395.25</v>
      </c>
      <c r="H67" s="518"/>
      <c r="K67" s="395"/>
    </row>
    <row r="68" spans="1:12" ht="13.5" customHeight="1">
      <c r="A68" s="519" t="s">
        <v>111</v>
      </c>
      <c r="B68" s="520" t="s">
        <v>112</v>
      </c>
      <c r="C68" s="525">
        <v>0.05</v>
      </c>
      <c r="D68" s="526">
        <f>+G67</f>
        <v>6395.25</v>
      </c>
      <c r="E68" s="527"/>
      <c r="F68" s="526">
        <f>+D68*C68</f>
        <v>319.76250000000005</v>
      </c>
      <c r="G68" s="542">
        <f>+D68*C68</f>
        <v>319.76250000000005</v>
      </c>
      <c r="H68" s="518"/>
    </row>
    <row r="69" spans="1:12" ht="8.1" customHeight="1" thickBot="1">
      <c r="A69" s="519"/>
      <c r="B69" s="520"/>
      <c r="C69" s="480"/>
      <c r="D69" s="529"/>
      <c r="E69" s="530"/>
      <c r="F69" s="529"/>
      <c r="G69" s="393"/>
      <c r="H69" s="518"/>
    </row>
    <row r="70" spans="1:12" ht="13.5" customHeight="1" thickTop="1" thickBot="1">
      <c r="A70" s="383" t="s">
        <v>136</v>
      </c>
      <c r="B70" s="531"/>
      <c r="C70" s="532"/>
      <c r="D70" s="533"/>
      <c r="E70" s="534"/>
      <c r="F70" s="384">
        <f>SUM(F62:F69)</f>
        <v>42530.644768326965</v>
      </c>
      <c r="G70" s="385">
        <f>SUM(G62:G68)</f>
        <v>48940.510314545449</v>
      </c>
      <c r="H70" s="518"/>
    </row>
    <row r="71" spans="1:12" ht="13.5" customHeight="1" thickTop="1" thickBot="1">
      <c r="A71" s="386"/>
      <c r="B71" s="387"/>
      <c r="C71" s="388"/>
      <c r="D71" s="389"/>
      <c r="E71" s="390"/>
      <c r="F71" s="389"/>
      <c r="G71" s="390"/>
      <c r="H71" s="518"/>
    </row>
    <row r="72" spans="1:12" ht="30" customHeight="1" thickTop="1">
      <c r="A72" s="1170" t="s">
        <v>137</v>
      </c>
      <c r="B72" s="1171"/>
      <c r="C72" s="1171"/>
      <c r="D72" s="1171"/>
      <c r="E72" s="1171"/>
      <c r="F72" s="1171"/>
      <c r="G72" s="1172"/>
      <c r="H72" s="518"/>
    </row>
    <row r="73" spans="1:12" ht="13.5" customHeight="1">
      <c r="A73" s="519" t="s">
        <v>138</v>
      </c>
      <c r="B73" s="520" t="s">
        <v>70</v>
      </c>
      <c r="C73" s="525">
        <v>1</v>
      </c>
      <c r="D73" s="506">
        <f>'Actualizacion de precios'!C30</f>
        <v>29417</v>
      </c>
      <c r="E73" s="526">
        <f>G73-F73</f>
        <v>4696.8319327731078</v>
      </c>
      <c r="F73" s="526">
        <f>C73*(D73/1.19)</f>
        <v>24720.168067226892</v>
      </c>
      <c r="G73" s="538">
        <f>+C73*(D73)</f>
        <v>29417</v>
      </c>
      <c r="H73" s="518"/>
      <c r="I73" s="518">
        <f>+'ppto sistema septico'!V20</f>
        <v>0</v>
      </c>
      <c r="J73" s="496">
        <f>(F73+F74+F75+F76)*$I$73</f>
        <v>0</v>
      </c>
      <c r="K73" s="496">
        <f>(G73+G74+G75+G76)*$I$73</f>
        <v>0</v>
      </c>
      <c r="L73" s="496">
        <f>K73-J73</f>
        <v>0</v>
      </c>
    </row>
    <row r="74" spans="1:12" ht="13.5" customHeight="1">
      <c r="A74" s="519" t="s">
        <v>139</v>
      </c>
      <c r="B74" s="520" t="s">
        <v>70</v>
      </c>
      <c r="C74" s="525">
        <v>1</v>
      </c>
      <c r="D74" s="506">
        <f>'Actualizacion de precios'!C25</f>
        <v>18265</v>
      </c>
      <c r="E74" s="526">
        <f>G74-F74</f>
        <v>2916.2605042016803</v>
      </c>
      <c r="F74" s="526">
        <f>C74*(D74/1.19)</f>
        <v>15348.73949579832</v>
      </c>
      <c r="G74" s="538">
        <f>+C74*(D74)</f>
        <v>18265</v>
      </c>
      <c r="H74" s="518"/>
      <c r="K74" s="496"/>
    </row>
    <row r="75" spans="1:12" ht="13.5" customHeight="1">
      <c r="A75" s="550" t="s">
        <v>140</v>
      </c>
      <c r="B75" s="551" t="s">
        <v>70</v>
      </c>
      <c r="C75" s="552">
        <v>1</v>
      </c>
      <c r="D75" s="506">
        <f>'Actualizacion de precios'!C28</f>
        <v>20016</v>
      </c>
      <c r="E75" s="526">
        <f>G75-F75</f>
        <v>3195.8319327731078</v>
      </c>
      <c r="F75" s="526">
        <f>C75*(D75/1.19)</f>
        <v>16820.168067226892</v>
      </c>
      <c r="G75" s="538">
        <f>+C75*(D75)</f>
        <v>20016</v>
      </c>
      <c r="H75" s="553"/>
      <c r="K75" s="496"/>
    </row>
    <row r="76" spans="1:12" ht="13.5" customHeight="1">
      <c r="A76" s="536" t="s">
        <v>124</v>
      </c>
      <c r="B76" s="477" t="s">
        <v>361</v>
      </c>
      <c r="C76" s="537">
        <v>0.75</v>
      </c>
      <c r="D76" s="506">
        <f>'Actualizacion de precios'!C19</f>
        <v>11014</v>
      </c>
      <c r="E76" s="526">
        <f>G76-F76</f>
        <v>1318.9033613445372</v>
      </c>
      <c r="F76" s="526">
        <f>+C76*D76/1.19</f>
        <v>6941.5966386554628</v>
      </c>
      <c r="G76" s="542">
        <f>+D76*C76</f>
        <v>8260.5</v>
      </c>
      <c r="H76" s="518"/>
      <c r="K76" s="496"/>
    </row>
    <row r="77" spans="1:12" ht="13.5" customHeight="1">
      <c r="A77" s="519" t="s">
        <v>122</v>
      </c>
      <c r="B77" s="520" t="s">
        <v>123</v>
      </c>
      <c r="C77" s="480">
        <v>60</v>
      </c>
      <c r="D77" s="603">
        <f>'Salarios y transporte'!C28</f>
        <v>166359.82516363639</v>
      </c>
      <c r="E77" s="526">
        <f>G77-F77</f>
        <v>0</v>
      </c>
      <c r="F77" s="526">
        <f>+D77/C77</f>
        <v>2772.6637527272733</v>
      </c>
      <c r="G77" s="538">
        <f>+D77/C77</f>
        <v>2772.6637527272733</v>
      </c>
      <c r="H77" s="518"/>
      <c r="K77" s="496"/>
    </row>
    <row r="78" spans="1:12" ht="13.5" customHeight="1">
      <c r="A78" s="519" t="s">
        <v>135</v>
      </c>
      <c r="B78" s="520" t="s">
        <v>126</v>
      </c>
      <c r="C78" s="554">
        <v>15</v>
      </c>
      <c r="D78" s="522">
        <f>+'Salarios y transporte'!C2</f>
        <v>127905</v>
      </c>
      <c r="E78" s="523"/>
      <c r="F78" s="522">
        <f>+D78/C78</f>
        <v>8527</v>
      </c>
      <c r="G78" s="540">
        <f>+D78/C78</f>
        <v>8527</v>
      </c>
      <c r="H78" s="518"/>
      <c r="K78" s="395"/>
    </row>
    <row r="79" spans="1:12" ht="13.5" customHeight="1">
      <c r="A79" s="519" t="s">
        <v>111</v>
      </c>
      <c r="B79" s="520" t="s">
        <v>112</v>
      </c>
      <c r="C79" s="525">
        <v>0.05</v>
      </c>
      <c r="D79" s="526">
        <f>+G78</f>
        <v>8527</v>
      </c>
      <c r="E79" s="527"/>
      <c r="F79" s="526">
        <f>+D79*C79</f>
        <v>426.35</v>
      </c>
      <c r="G79" s="542">
        <f>+D79*C79</f>
        <v>426.35</v>
      </c>
      <c r="H79" s="518"/>
    </row>
    <row r="80" spans="1:12" ht="8.1" customHeight="1" thickBot="1">
      <c r="A80" s="519"/>
      <c r="B80" s="520"/>
      <c r="C80" s="480"/>
      <c r="D80" s="529"/>
      <c r="E80" s="530"/>
      <c r="F80" s="529"/>
      <c r="G80" s="393"/>
      <c r="H80" s="518"/>
    </row>
    <row r="81" spans="1:12" ht="13.5" customHeight="1" thickTop="1" thickBot="1">
      <c r="A81" s="383" t="s">
        <v>136</v>
      </c>
      <c r="B81" s="531"/>
      <c r="C81" s="532"/>
      <c r="D81" s="533"/>
      <c r="E81" s="534"/>
      <c r="F81" s="384">
        <f>SUM(F73:F80)</f>
        <v>75556.686021634843</v>
      </c>
      <c r="G81" s="385">
        <f>SUM(G73:G79)</f>
        <v>87684.513752727275</v>
      </c>
      <c r="H81" s="518"/>
    </row>
    <row r="82" spans="1:12" ht="13.5" customHeight="1" thickTop="1" thickBot="1">
      <c r="A82" s="386"/>
      <c r="B82" s="520"/>
      <c r="C82" s="525"/>
      <c r="D82" s="529"/>
      <c r="E82" s="530"/>
      <c r="F82" s="389"/>
      <c r="G82" s="396"/>
      <c r="H82" s="518"/>
    </row>
    <row r="83" spans="1:12" ht="76.5" customHeight="1" thickTop="1">
      <c r="A83" s="1173" t="s">
        <v>707</v>
      </c>
      <c r="B83" s="1174"/>
      <c r="C83" s="1174"/>
      <c r="D83" s="1174"/>
      <c r="E83" s="1174"/>
      <c r="F83" s="1174"/>
      <c r="G83" s="1175"/>
      <c r="H83" s="518"/>
      <c r="I83" s="496"/>
    </row>
    <row r="84" spans="1:12" ht="75" customHeight="1">
      <c r="A84" s="555" t="s">
        <v>708</v>
      </c>
      <c r="B84" s="556" t="s">
        <v>70</v>
      </c>
      <c r="C84" s="557">
        <v>1</v>
      </c>
      <c r="D84" s="755">
        <f>+'VALOR UNITARIO SS Y TG'!C5</f>
        <v>3363362.0221476713</v>
      </c>
      <c r="E84" s="559">
        <f>G84-F84</f>
        <v>537007.38168744324</v>
      </c>
      <c r="F84" s="559">
        <f>C84*(D84/1.19)</f>
        <v>2826354.6404602281</v>
      </c>
      <c r="G84" s="560">
        <f>+C84*(D84)</f>
        <v>3363362.0221476713</v>
      </c>
      <c r="H84" s="518"/>
      <c r="I84" s="557">
        <f>'ppto sistema septico'!V21</f>
        <v>42</v>
      </c>
      <c r="J84" s="547">
        <f>I84*(F84+F87+F85)</f>
        <v>119666277.25227076</v>
      </c>
      <c r="K84" s="547">
        <f>I84*(G87+G84+G85)</f>
        <v>142402869.93020219</v>
      </c>
      <c r="L84" s="496">
        <f>K84-J84</f>
        <v>22736592.677931428</v>
      </c>
    </row>
    <row r="85" spans="1:12">
      <c r="A85" s="536" t="s">
        <v>121</v>
      </c>
      <c r="B85" s="477" t="s">
        <v>68</v>
      </c>
      <c r="C85" s="525">
        <v>1</v>
      </c>
      <c r="D85" s="594">
        <f>'Actualizacion de precios'!C31</f>
        <v>15121.5</v>
      </c>
      <c r="E85" s="526">
        <f>G85-F85</f>
        <v>2414.3571428571431</v>
      </c>
      <c r="F85" s="526">
        <f>C85*(D85/1.19)</f>
        <v>12707.142857142857</v>
      </c>
      <c r="G85" s="561">
        <f>+C85*(D85)</f>
        <v>15121.5</v>
      </c>
      <c r="H85" s="518"/>
    </row>
    <row r="86" spans="1:12">
      <c r="A86" s="519" t="s">
        <v>141</v>
      </c>
      <c r="B86" s="520" t="s">
        <v>70</v>
      </c>
      <c r="C86" s="525">
        <v>2</v>
      </c>
      <c r="D86" s="506">
        <v>0</v>
      </c>
      <c r="E86" s="526">
        <f>G86-F86</f>
        <v>0</v>
      </c>
      <c r="F86" s="526">
        <f>+C86*D86/1.19</f>
        <v>0</v>
      </c>
      <c r="G86" s="561">
        <f>+C86*(D86)</f>
        <v>0</v>
      </c>
      <c r="H86" s="518"/>
      <c r="K86" s="496"/>
    </row>
    <row r="87" spans="1:12">
      <c r="A87" s="519" t="s">
        <v>236</v>
      </c>
      <c r="B87" s="520" t="s">
        <v>70</v>
      </c>
      <c r="C87" s="525">
        <v>1</v>
      </c>
      <c r="D87" s="506">
        <f>'Actualizacion de precios'!C12</f>
        <v>12061</v>
      </c>
      <c r="E87" s="526">
        <f>G87-F87</f>
        <v>1925.7058823529405</v>
      </c>
      <c r="F87" s="526">
        <f>+C87*D87/1.19</f>
        <v>10135.294117647059</v>
      </c>
      <c r="G87" s="561">
        <f>+C87*(D87)</f>
        <v>12061</v>
      </c>
      <c r="H87" s="518"/>
      <c r="K87" s="496"/>
    </row>
    <row r="88" spans="1:12">
      <c r="A88" s="536" t="s">
        <v>142</v>
      </c>
      <c r="B88" s="477" t="s">
        <v>70</v>
      </c>
      <c r="C88" s="478"/>
      <c r="D88" s="506">
        <v>0</v>
      </c>
      <c r="E88" s="475"/>
      <c r="F88" s="526">
        <f>+C88*D88/1.19</f>
        <v>0</v>
      </c>
      <c r="G88" s="561">
        <f>+C88*(D88)</f>
        <v>0</v>
      </c>
      <c r="K88" s="496"/>
    </row>
    <row r="89" spans="1:12" ht="12.75" customHeight="1">
      <c r="A89" s="536" t="s">
        <v>143</v>
      </c>
      <c r="B89" s="477" t="s">
        <v>70</v>
      </c>
      <c r="C89" s="525">
        <v>1</v>
      </c>
      <c r="D89" s="603">
        <f>'Salarios y transporte'!C26</f>
        <v>162527.98261333336</v>
      </c>
      <c r="E89" s="527"/>
      <c r="F89" s="526">
        <f>+D89/C89</f>
        <v>162527.98261333336</v>
      </c>
      <c r="G89" s="561">
        <f>+D89/C89</f>
        <v>162527.98261333336</v>
      </c>
      <c r="H89" s="518"/>
      <c r="K89" s="496"/>
    </row>
    <row r="90" spans="1:12" ht="12.75" customHeight="1">
      <c r="A90" s="397" t="s">
        <v>335</v>
      </c>
      <c r="B90" s="477"/>
      <c r="C90" s="525"/>
      <c r="D90" s="526"/>
      <c r="E90" s="527"/>
      <c r="F90" s="398">
        <f>SUM(F84:F89)</f>
        <v>3011725.0600483515</v>
      </c>
      <c r="G90" s="399">
        <f>SUM(G84:G89)</f>
        <v>3553072.5047610048</v>
      </c>
      <c r="H90" s="518"/>
      <c r="K90" s="496"/>
    </row>
    <row r="91" spans="1:12" ht="12.75" customHeight="1">
      <c r="A91" s="536" t="s">
        <v>144</v>
      </c>
      <c r="B91" s="477" t="s">
        <v>145</v>
      </c>
      <c r="C91" s="521">
        <v>0.6</v>
      </c>
      <c r="D91" s="522">
        <f>'Salarios y transporte'!C6</f>
        <v>261301</v>
      </c>
      <c r="E91" s="523"/>
      <c r="F91" s="522">
        <f>+D91/C91</f>
        <v>435501.66666666669</v>
      </c>
      <c r="G91" s="524">
        <f>+D91/C91</f>
        <v>435501.66666666669</v>
      </c>
      <c r="H91" s="518"/>
      <c r="I91" s="496"/>
      <c r="K91" s="395"/>
    </row>
    <row r="92" spans="1:12" ht="12.75" customHeight="1">
      <c r="A92" s="519" t="s">
        <v>111</v>
      </c>
      <c r="B92" s="477" t="s">
        <v>112</v>
      </c>
      <c r="C92" s="478">
        <v>0.05</v>
      </c>
      <c r="D92" s="526">
        <f>+G91</f>
        <v>435501.66666666669</v>
      </c>
      <c r="E92" s="527"/>
      <c r="F92" s="526">
        <f>+D92*C92</f>
        <v>21775.083333333336</v>
      </c>
      <c r="G92" s="528">
        <f>+D92*C92</f>
        <v>21775.083333333336</v>
      </c>
      <c r="H92" s="518"/>
    </row>
    <row r="93" spans="1:12" ht="18" customHeight="1" thickBot="1">
      <c r="A93" s="400" t="s">
        <v>73</v>
      </c>
      <c r="B93" s="477"/>
      <c r="C93" s="478"/>
      <c r="D93" s="529"/>
      <c r="E93" s="530"/>
      <c r="F93" s="529">
        <f>SUM(F91:F92)</f>
        <v>457276.75</v>
      </c>
      <c r="G93" s="529">
        <f>SUM(G91:G92)</f>
        <v>457276.75</v>
      </c>
      <c r="H93" s="401"/>
      <c r="I93" s="476"/>
    </row>
    <row r="94" spans="1:12" ht="13.5" customHeight="1" thickTop="1" thickBot="1">
      <c r="A94" s="402" t="s">
        <v>136</v>
      </c>
      <c r="B94" s="531"/>
      <c r="C94" s="532"/>
      <c r="D94" s="533"/>
      <c r="E94" s="534"/>
      <c r="F94" s="384">
        <f>F90+F91+F92</f>
        <v>3469001.8100483515</v>
      </c>
      <c r="G94" s="385">
        <f>G90+G91+G92</f>
        <v>4010349.2547610048</v>
      </c>
      <c r="H94" s="518"/>
      <c r="I94" s="526"/>
    </row>
    <row r="95" spans="1:12" ht="14.25" thickTop="1" thickBot="1">
      <c r="A95" s="386"/>
      <c r="B95" s="387"/>
      <c r="C95" s="388"/>
      <c r="D95" s="389"/>
      <c r="E95" s="390"/>
      <c r="F95" s="389"/>
      <c r="G95" s="390"/>
      <c r="H95" s="518"/>
    </row>
    <row r="96" spans="1:12" ht="36.6" customHeight="1" thickTop="1">
      <c r="A96" s="1161" t="s">
        <v>568</v>
      </c>
      <c r="B96" s="1162"/>
      <c r="C96" s="1162"/>
      <c r="D96" s="1162"/>
      <c r="E96" s="1162"/>
      <c r="F96" s="1162"/>
      <c r="G96" s="1163"/>
      <c r="H96" s="518"/>
    </row>
    <row r="97" spans="1:12" ht="38.25">
      <c r="A97" s="555" t="s">
        <v>569</v>
      </c>
      <c r="B97" s="556" t="s">
        <v>70</v>
      </c>
      <c r="C97" s="557">
        <v>1</v>
      </c>
      <c r="D97" s="558">
        <f>'VALOR UNITARIO SS Y TG'!C19</f>
        <v>536821.31968976185</v>
      </c>
      <c r="E97" s="559">
        <f>G97-F97</f>
        <v>85710.967009289714</v>
      </c>
      <c r="F97" s="559">
        <f>C97*(D97/1.19)</f>
        <v>451110.35268047213</v>
      </c>
      <c r="G97" s="560">
        <f>+C97*(D97)</f>
        <v>536821.31968976185</v>
      </c>
      <c r="H97" s="518"/>
    </row>
    <row r="98" spans="1:12">
      <c r="A98" s="555"/>
      <c r="B98" s="556"/>
      <c r="C98" s="557"/>
      <c r="D98" s="557"/>
      <c r="E98" s="559"/>
      <c r="F98" s="559"/>
      <c r="G98" s="564"/>
      <c r="H98" s="518"/>
    </row>
    <row r="99" spans="1:12">
      <c r="A99" s="519" t="s">
        <v>603</v>
      </c>
      <c r="B99" s="520" t="s">
        <v>70</v>
      </c>
      <c r="C99" s="525">
        <v>2</v>
      </c>
      <c r="D99" s="526">
        <f>'Actualizacion de precios'!C26</f>
        <v>2800</v>
      </c>
      <c r="E99" s="526">
        <f>G99-F99</f>
        <v>894.11764705882342</v>
      </c>
      <c r="F99" s="526">
        <f>+C99*D99/1.19</f>
        <v>4705.8823529411766</v>
      </c>
      <c r="G99" s="561">
        <f>+C99*(D99)</f>
        <v>5600</v>
      </c>
      <c r="H99" s="518"/>
    </row>
    <row r="100" spans="1:12">
      <c r="A100" s="519" t="s">
        <v>151</v>
      </c>
      <c r="B100" s="520" t="s">
        <v>70</v>
      </c>
      <c r="C100" s="525">
        <v>1</v>
      </c>
      <c r="D100" s="506">
        <f>'Actualizacion de precios'!C37</f>
        <v>4693</v>
      </c>
      <c r="E100" s="526">
        <f>G100-F100</f>
        <v>749.30252100840335</v>
      </c>
      <c r="F100" s="526">
        <f>+C100*D100/1.19</f>
        <v>3943.6974789915967</v>
      </c>
      <c r="G100" s="561">
        <f>+C100*(D100)</f>
        <v>4693</v>
      </c>
      <c r="H100" s="518"/>
    </row>
    <row r="101" spans="1:12">
      <c r="A101" s="536" t="s">
        <v>143</v>
      </c>
      <c r="B101" s="477" t="s">
        <v>70</v>
      </c>
      <c r="C101" s="525">
        <v>1</v>
      </c>
      <c r="D101" s="603">
        <f>'Salarios y transporte'!C28</f>
        <v>166359.82516363639</v>
      </c>
      <c r="E101" s="527"/>
      <c r="F101" s="526">
        <f>+D101/C101</f>
        <v>166359.82516363639</v>
      </c>
      <c r="G101" s="561">
        <f>+D101/C101</f>
        <v>166359.82516363639</v>
      </c>
      <c r="H101" s="518"/>
    </row>
    <row r="102" spans="1:12">
      <c r="A102" s="397" t="s">
        <v>335</v>
      </c>
      <c r="B102" s="477"/>
      <c r="C102" s="525"/>
      <c r="D102" s="526"/>
      <c r="E102" s="527"/>
      <c r="F102" s="398">
        <f>SUM(F97:F101)</f>
        <v>626119.75767604134</v>
      </c>
      <c r="G102" s="399">
        <f>SUM(G97:G101)</f>
        <v>713474.1448533982</v>
      </c>
      <c r="H102" s="518"/>
      <c r="I102" s="557">
        <f>'ppto sistema septico'!V22</f>
        <v>46</v>
      </c>
      <c r="J102" s="547">
        <f>I102*(F97+F99+F100)</f>
        <v>21148956.895570625</v>
      </c>
      <c r="K102" s="547">
        <f>I102*(G97+G99+G100)</f>
        <v>25167258.705729045</v>
      </c>
      <c r="L102" s="496">
        <f>K102-J102</f>
        <v>4018301.8101584204</v>
      </c>
    </row>
    <row r="103" spans="1:12">
      <c r="A103" s="536" t="s">
        <v>135</v>
      </c>
      <c r="B103" s="477" t="s">
        <v>145</v>
      </c>
      <c r="C103" s="521">
        <v>2</v>
      </c>
      <c r="D103" s="522">
        <f>'Salarios y transporte'!C2</f>
        <v>127905</v>
      </c>
      <c r="E103" s="523"/>
      <c r="F103" s="522">
        <f>+D103/C103</f>
        <v>63952.5</v>
      </c>
      <c r="G103" s="524">
        <f>+D103/C103</f>
        <v>63952.5</v>
      </c>
      <c r="H103" s="518"/>
    </row>
    <row r="104" spans="1:12">
      <c r="A104" s="519" t="s">
        <v>111</v>
      </c>
      <c r="B104" s="477" t="s">
        <v>112</v>
      </c>
      <c r="C104" s="478">
        <v>0.05</v>
      </c>
      <c r="D104" s="526">
        <f>+G103</f>
        <v>63952.5</v>
      </c>
      <c r="E104" s="527"/>
      <c r="F104" s="526">
        <f>+D104*C104</f>
        <v>3197.625</v>
      </c>
      <c r="G104" s="528">
        <f>+D104*C104</f>
        <v>3197.625</v>
      </c>
      <c r="H104" s="518"/>
    </row>
    <row r="105" spans="1:12" ht="13.5" thickBot="1">
      <c r="A105" s="400" t="s">
        <v>73</v>
      </c>
      <c r="B105" s="477"/>
      <c r="C105" s="478"/>
      <c r="D105" s="529"/>
      <c r="E105" s="530"/>
      <c r="F105" s="529">
        <f>SUM(F103:F104)</f>
        <v>67150.125</v>
      </c>
      <c r="G105" s="529">
        <f>SUM(G103:G104)</f>
        <v>67150.125</v>
      </c>
      <c r="H105" s="518"/>
    </row>
    <row r="106" spans="1:12" ht="14.25" thickTop="1" thickBot="1">
      <c r="A106" s="402" t="s">
        <v>136</v>
      </c>
      <c r="B106" s="531"/>
      <c r="C106" s="532"/>
      <c r="D106" s="533"/>
      <c r="E106" s="534"/>
      <c r="F106" s="384">
        <f>F102+F103+F104</f>
        <v>693269.88267604134</v>
      </c>
      <c r="G106" s="385">
        <f>G102+G103+G104</f>
        <v>780624.2698533982</v>
      </c>
      <c r="H106" s="518"/>
    </row>
    <row r="107" spans="1:12" ht="14.25" thickTop="1" thickBot="1">
      <c r="A107" s="397"/>
      <c r="B107" s="520"/>
      <c r="C107" s="525"/>
      <c r="D107" s="529"/>
      <c r="E107" s="530"/>
      <c r="F107" s="380"/>
      <c r="G107" s="411"/>
      <c r="H107" s="518"/>
    </row>
    <row r="108" spans="1:12" ht="81.75" customHeight="1" thickTop="1">
      <c r="A108" s="1170" t="s">
        <v>709</v>
      </c>
      <c r="B108" s="1171"/>
      <c r="C108" s="1171"/>
      <c r="D108" s="1171"/>
      <c r="E108" s="1171"/>
      <c r="F108" s="1171"/>
      <c r="G108" s="1172"/>
      <c r="H108" s="518"/>
    </row>
    <row r="109" spans="1:12" ht="69" customHeight="1">
      <c r="A109" s="555" t="s">
        <v>710</v>
      </c>
      <c r="B109" s="556" t="s">
        <v>70</v>
      </c>
      <c r="C109" s="562">
        <v>1</v>
      </c>
      <c r="D109" s="558">
        <f>+'VALOR UNITARIO SS Y TG'!C6</f>
        <v>4185235.3125901576</v>
      </c>
      <c r="E109" s="559">
        <f>G109-F109</f>
        <v>668230.84822868044</v>
      </c>
      <c r="F109" s="559">
        <f>+C109*D109/1.19</f>
        <v>3517004.4643614772</v>
      </c>
      <c r="G109" s="563">
        <f>+C109*D109</f>
        <v>4185235.3125901576</v>
      </c>
      <c r="H109" s="518"/>
      <c r="I109" s="565">
        <f>+'ppto sistema septico'!V23</f>
        <v>2</v>
      </c>
      <c r="J109" s="547">
        <f>I109*(F109+F112+F110)</f>
        <v>7079693.8026725342</v>
      </c>
      <c r="K109" s="547">
        <f>I109*(G109+G112+G110)</f>
        <v>8424835.6251803152</v>
      </c>
      <c r="L109" s="547">
        <f>K109-J109</f>
        <v>1345141.822507781</v>
      </c>
    </row>
    <row r="110" spans="1:12">
      <c r="A110" s="536" t="s">
        <v>121</v>
      </c>
      <c r="B110" s="477" t="s">
        <v>68</v>
      </c>
      <c r="C110" s="525">
        <v>1</v>
      </c>
      <c r="D110" s="594">
        <f>'Actualizacion de precios'!C31</f>
        <v>15121.5</v>
      </c>
      <c r="E110" s="526">
        <f>G110-F110</f>
        <v>2414.3571428571431</v>
      </c>
      <c r="F110" s="526">
        <f>C110*(D110/1.19)</f>
        <v>12707.142857142857</v>
      </c>
      <c r="G110" s="561">
        <f>+C110*(D110)</f>
        <v>15121.5</v>
      </c>
      <c r="H110" s="518"/>
    </row>
    <row r="111" spans="1:12">
      <c r="A111" s="519" t="s">
        <v>141</v>
      </c>
      <c r="B111" s="520" t="s">
        <v>70</v>
      </c>
      <c r="C111" s="537">
        <v>2</v>
      </c>
      <c r="D111" s="506">
        <v>0</v>
      </c>
      <c r="E111" s="526">
        <f t="shared" ref="E111:E117" si="3">G111-F111</f>
        <v>0</v>
      </c>
      <c r="F111" s="526">
        <f>+C111*D111/1.19</f>
        <v>0</v>
      </c>
      <c r="G111" s="538">
        <f>+C111*D111</f>
        <v>0</v>
      </c>
      <c r="H111" s="518"/>
      <c r="K111" s="496"/>
    </row>
    <row r="112" spans="1:12">
      <c r="A112" s="519" t="s">
        <v>236</v>
      </c>
      <c r="B112" s="520" t="s">
        <v>70</v>
      </c>
      <c r="C112" s="537">
        <v>1</v>
      </c>
      <c r="D112" s="506">
        <f>'Actualizacion de precios'!C12</f>
        <v>12061</v>
      </c>
      <c r="E112" s="526">
        <f t="shared" si="3"/>
        <v>1925.7058823529405</v>
      </c>
      <c r="F112" s="526">
        <f>+C112*D112/1.19</f>
        <v>10135.294117647059</v>
      </c>
      <c r="G112" s="538">
        <f>+C112*D112</f>
        <v>12061</v>
      </c>
      <c r="H112" s="518"/>
      <c r="K112" s="496"/>
    </row>
    <row r="113" spans="1:12">
      <c r="A113" s="536" t="s">
        <v>142</v>
      </c>
      <c r="B113" s="477" t="s">
        <v>70</v>
      </c>
      <c r="C113" s="478"/>
      <c r="D113" s="506">
        <v>0</v>
      </c>
      <c r="E113" s="526">
        <f t="shared" si="3"/>
        <v>0</v>
      </c>
      <c r="F113" s="526">
        <f>+C113*D113/1.19</f>
        <v>0</v>
      </c>
      <c r="G113" s="538">
        <f>+C113*D113</f>
        <v>0</v>
      </c>
      <c r="K113" s="496"/>
    </row>
    <row r="114" spans="1:12" ht="12.75" customHeight="1">
      <c r="A114" s="536" t="s">
        <v>143</v>
      </c>
      <c r="B114" s="477" t="s">
        <v>70</v>
      </c>
      <c r="C114" s="525">
        <v>1</v>
      </c>
      <c r="D114" s="603">
        <f>'Salarios y transporte'!D26</f>
        <v>246828.51871999999</v>
      </c>
      <c r="E114" s="527"/>
      <c r="F114" s="526">
        <f>+D114/C114</f>
        <v>246828.51871999999</v>
      </c>
      <c r="G114" s="561">
        <f>+D114/C114</f>
        <v>246828.51871999999</v>
      </c>
      <c r="H114" s="518"/>
      <c r="K114" s="496"/>
    </row>
    <row r="115" spans="1:12" ht="12.75" customHeight="1">
      <c r="A115" s="397" t="s">
        <v>335</v>
      </c>
      <c r="B115" s="477"/>
      <c r="C115" s="537"/>
      <c r="D115" s="526"/>
      <c r="E115" s="526">
        <f>G115-F115</f>
        <v>672570.91125389049</v>
      </c>
      <c r="F115" s="398">
        <f>SUM(F109:F114)</f>
        <v>3786675.4200562672</v>
      </c>
      <c r="G115" s="399">
        <f>SUM(G109:G114)</f>
        <v>4459246.3313101577</v>
      </c>
      <c r="H115" s="518"/>
      <c r="K115" s="496"/>
    </row>
    <row r="116" spans="1:12" ht="12.75" customHeight="1">
      <c r="A116" s="536" t="s">
        <v>144</v>
      </c>
      <c r="B116" s="477" t="s">
        <v>145</v>
      </c>
      <c r="C116" s="545">
        <v>0.6</v>
      </c>
      <c r="D116" s="522">
        <f>+'Salarios y transporte'!C6</f>
        <v>261301</v>
      </c>
      <c r="E116" s="522">
        <f t="shared" si="3"/>
        <v>0</v>
      </c>
      <c r="F116" s="522">
        <f>+D116/C116</f>
        <v>435501.66666666669</v>
      </c>
      <c r="G116" s="524">
        <f>+D116/C116</f>
        <v>435501.66666666669</v>
      </c>
      <c r="H116" s="518"/>
      <c r="K116" s="395"/>
    </row>
    <row r="117" spans="1:12">
      <c r="A117" s="519" t="s">
        <v>111</v>
      </c>
      <c r="B117" s="477" t="s">
        <v>112</v>
      </c>
      <c r="C117" s="478">
        <v>0.05</v>
      </c>
      <c r="D117" s="526">
        <f>+G116</f>
        <v>435501.66666666669</v>
      </c>
      <c r="E117" s="526">
        <f t="shared" si="3"/>
        <v>0</v>
      </c>
      <c r="F117" s="526">
        <f>+D117*C117</f>
        <v>21775.083333333336</v>
      </c>
      <c r="G117" s="528">
        <f>+D117*C117</f>
        <v>21775.083333333336</v>
      </c>
      <c r="H117" s="518"/>
    </row>
    <row r="118" spans="1:12" ht="13.5" thickBot="1">
      <c r="A118" s="400" t="s">
        <v>73</v>
      </c>
      <c r="B118" s="477"/>
      <c r="C118" s="478"/>
      <c r="D118" s="529"/>
      <c r="E118" s="530"/>
      <c r="F118" s="529">
        <f>SUM(F116:F117)</f>
        <v>457276.75</v>
      </c>
      <c r="G118" s="529">
        <f>SUM(G116:G117)</f>
        <v>457276.75</v>
      </c>
      <c r="H118" s="401"/>
      <c r="I118" s="476"/>
    </row>
    <row r="119" spans="1:12" ht="13.5" customHeight="1" thickTop="1" thickBot="1">
      <c r="A119" s="402" t="s">
        <v>136</v>
      </c>
      <c r="B119" s="531"/>
      <c r="C119" s="532"/>
      <c r="D119" s="533"/>
      <c r="E119" s="534"/>
      <c r="F119" s="384">
        <f>F115+F116+F117</f>
        <v>4243952.1700562667</v>
      </c>
      <c r="G119" s="385">
        <f>G115+G116+G117</f>
        <v>4916523.0813101577</v>
      </c>
      <c r="H119" s="518"/>
      <c r="I119" s="496"/>
    </row>
    <row r="120" spans="1:12" ht="13.5" customHeight="1" thickTop="1" thickBot="1">
      <c r="A120" s="392"/>
      <c r="B120" s="520"/>
      <c r="C120" s="525"/>
      <c r="D120" s="529"/>
      <c r="E120" s="530"/>
      <c r="F120" s="389"/>
      <c r="G120" s="609"/>
      <c r="H120" s="518"/>
      <c r="I120" s="496"/>
    </row>
    <row r="121" spans="1:12" ht="36.6" customHeight="1" thickTop="1">
      <c r="A121" s="1161" t="s">
        <v>571</v>
      </c>
      <c r="B121" s="1162"/>
      <c r="C121" s="1162"/>
      <c r="D121" s="1162"/>
      <c r="E121" s="1162"/>
      <c r="F121" s="1162"/>
      <c r="G121" s="1163"/>
      <c r="H121" s="518"/>
    </row>
    <row r="122" spans="1:12" ht="38.25">
      <c r="A122" s="555" t="s">
        <v>570</v>
      </c>
      <c r="B122" s="556" t="s">
        <v>70</v>
      </c>
      <c r="C122" s="557">
        <v>1</v>
      </c>
      <c r="D122" s="558">
        <f>'VALOR UNITARIO SS Y TG'!C20</f>
        <v>596612.89836218278</v>
      </c>
      <c r="E122" s="559">
        <f>G122-F122</f>
        <v>95257.521587239229</v>
      </c>
      <c r="F122" s="559">
        <f>C122*(D122/1.19)</f>
        <v>501355.37677494355</v>
      </c>
      <c r="G122" s="560">
        <f>+C122*(D122)</f>
        <v>596612.89836218278</v>
      </c>
      <c r="H122" s="518"/>
    </row>
    <row r="123" spans="1:12">
      <c r="A123" s="555"/>
      <c r="B123" s="556"/>
      <c r="C123" s="557"/>
      <c r="D123" s="557"/>
      <c r="E123" s="559"/>
      <c r="F123" s="559"/>
      <c r="G123" s="564"/>
      <c r="H123" s="518"/>
    </row>
    <row r="124" spans="1:12">
      <c r="A124" s="519" t="s">
        <v>141</v>
      </c>
      <c r="B124" s="520" t="s">
        <v>70</v>
      </c>
      <c r="C124" s="525">
        <v>2</v>
      </c>
      <c r="D124" s="526">
        <f>'Actualizacion de precios'!C26</f>
        <v>2800</v>
      </c>
      <c r="E124" s="526">
        <f>G124-F124</f>
        <v>894.11764705882342</v>
      </c>
      <c r="F124" s="526">
        <f>+C124*D124/1.19</f>
        <v>4705.8823529411766</v>
      </c>
      <c r="G124" s="561">
        <f>+C124*(D124)</f>
        <v>5600</v>
      </c>
      <c r="H124" s="518"/>
    </row>
    <row r="125" spans="1:12">
      <c r="A125" s="519" t="s">
        <v>151</v>
      </c>
      <c r="B125" s="520" t="s">
        <v>70</v>
      </c>
      <c r="C125" s="525">
        <v>1</v>
      </c>
      <c r="D125" s="506">
        <f>'Actualizacion de precios'!C37</f>
        <v>4693</v>
      </c>
      <c r="E125" s="526">
        <f>G125-F125</f>
        <v>749.30252100840335</v>
      </c>
      <c r="F125" s="526">
        <f>+C125*D125/1.19</f>
        <v>3943.6974789915967</v>
      </c>
      <c r="G125" s="561">
        <f>+C125*(D125)</f>
        <v>4693</v>
      </c>
      <c r="H125" s="518"/>
    </row>
    <row r="126" spans="1:12">
      <c r="A126" s="536" t="s">
        <v>143</v>
      </c>
      <c r="B126" s="477" t="s">
        <v>70</v>
      </c>
      <c r="C126" s="525">
        <v>1</v>
      </c>
      <c r="D126" s="603">
        <f>'Salarios y transporte'!C28</f>
        <v>166359.82516363639</v>
      </c>
      <c r="E126" s="527"/>
      <c r="F126" s="526">
        <f>+D126/C126</f>
        <v>166359.82516363639</v>
      </c>
      <c r="G126" s="561">
        <f>+D126/C126</f>
        <v>166359.82516363639</v>
      </c>
      <c r="H126" s="518"/>
    </row>
    <row r="127" spans="1:12">
      <c r="A127" s="397" t="s">
        <v>335</v>
      </c>
      <c r="B127" s="477"/>
      <c r="C127" s="525"/>
      <c r="D127" s="526"/>
      <c r="E127" s="527"/>
      <c r="F127" s="398">
        <f>SUM(F122:F126)</f>
        <v>676364.78177051269</v>
      </c>
      <c r="G127" s="399">
        <f>SUM(G122:G126)</f>
        <v>773265.72352581914</v>
      </c>
      <c r="H127" s="518"/>
    </row>
    <row r="128" spans="1:12">
      <c r="A128" s="536" t="s">
        <v>135</v>
      </c>
      <c r="B128" s="477" t="s">
        <v>145</v>
      </c>
      <c r="C128" s="521">
        <v>2</v>
      </c>
      <c r="D128" s="522">
        <f>'Salarios y transporte'!C4</f>
        <v>133396</v>
      </c>
      <c r="E128" s="523"/>
      <c r="F128" s="522">
        <f>+D128/C128</f>
        <v>66698</v>
      </c>
      <c r="G128" s="524">
        <f>+D128/C128</f>
        <v>66698</v>
      </c>
      <c r="H128" s="518"/>
      <c r="I128" s="565">
        <f>+'ppto sistema septico'!V24</f>
        <v>0</v>
      </c>
      <c r="J128" s="547">
        <f>I128*(F122+F124+F125)</f>
        <v>0</v>
      </c>
      <c r="K128" s="547">
        <f>I128*(G122+G124+G125)</f>
        <v>0</v>
      </c>
      <c r="L128" s="496">
        <f>K128-J128</f>
        <v>0</v>
      </c>
    </row>
    <row r="129" spans="1:12">
      <c r="A129" s="519" t="s">
        <v>111</v>
      </c>
      <c r="B129" s="477" t="s">
        <v>112</v>
      </c>
      <c r="C129" s="478">
        <v>0.05</v>
      </c>
      <c r="D129" s="526">
        <f>+G128</f>
        <v>66698</v>
      </c>
      <c r="E129" s="527"/>
      <c r="F129" s="526">
        <f>+D129*C129</f>
        <v>3334.9</v>
      </c>
      <c r="G129" s="528">
        <f>+D129*C129</f>
        <v>3334.9</v>
      </c>
      <c r="H129" s="518"/>
    </row>
    <row r="130" spans="1:12" ht="13.5" thickBot="1">
      <c r="A130" s="400" t="s">
        <v>73</v>
      </c>
      <c r="B130" s="477"/>
      <c r="C130" s="478"/>
      <c r="D130" s="529"/>
      <c r="E130" s="530"/>
      <c r="F130" s="529">
        <f>SUM(F128:F129)</f>
        <v>70032.899999999994</v>
      </c>
      <c r="G130" s="529">
        <f>SUM(G128:G129)</f>
        <v>70032.899999999994</v>
      </c>
      <c r="H130" s="518"/>
    </row>
    <row r="131" spans="1:12" ht="14.25" thickTop="1" thickBot="1">
      <c r="A131" s="402" t="s">
        <v>136</v>
      </c>
      <c r="B131" s="531"/>
      <c r="C131" s="532"/>
      <c r="D131" s="533"/>
      <c r="E131" s="534"/>
      <c r="F131" s="384">
        <f>F127+F128+F129</f>
        <v>746397.68177051272</v>
      </c>
      <c r="G131" s="385">
        <f>G127+G128+G129</f>
        <v>843298.62352581916</v>
      </c>
      <c r="H131" s="518"/>
    </row>
    <row r="132" spans="1:12" ht="13.5" thickTop="1">
      <c r="A132" s="386"/>
      <c r="B132" s="387"/>
      <c r="C132" s="388"/>
      <c r="D132" s="389"/>
      <c r="E132" s="390"/>
      <c r="F132" s="389"/>
      <c r="G132" s="390"/>
      <c r="H132" s="518"/>
      <c r="I132" s="496"/>
    </row>
    <row r="133" spans="1:12" ht="13.5" thickBot="1">
      <c r="A133" s="386"/>
      <c r="B133" s="387"/>
      <c r="C133" s="388"/>
      <c r="D133" s="389"/>
      <c r="E133" s="390"/>
      <c r="F133" s="389"/>
      <c r="G133" s="390"/>
      <c r="H133" s="518"/>
      <c r="I133" s="496"/>
    </row>
    <row r="134" spans="1:12" ht="69" customHeight="1" thickTop="1">
      <c r="A134" s="1170" t="s">
        <v>711</v>
      </c>
      <c r="B134" s="1171"/>
      <c r="C134" s="1171"/>
      <c r="D134" s="1171"/>
      <c r="E134" s="1171"/>
      <c r="F134" s="1171"/>
      <c r="G134" s="1172"/>
      <c r="H134" s="518"/>
      <c r="I134" s="403"/>
    </row>
    <row r="135" spans="1:12" ht="76.5">
      <c r="A135" s="555" t="s">
        <v>712</v>
      </c>
      <c r="B135" s="556" t="s">
        <v>70</v>
      </c>
      <c r="C135" s="557">
        <v>1</v>
      </c>
      <c r="D135" s="558">
        <f>+'VALOR UNITARIO SS Y TG'!C7</f>
        <v>5849730.8671653224</v>
      </c>
      <c r="E135" s="559">
        <f>G135-F135</f>
        <v>933990.6426566476</v>
      </c>
      <c r="F135" s="559">
        <f>C135*(D135/1.19)</f>
        <v>4915740.2245086748</v>
      </c>
      <c r="G135" s="560">
        <f>+C135*(D135)</f>
        <v>5849730.8671653224</v>
      </c>
      <c r="H135" s="518"/>
      <c r="I135" s="557">
        <f>+'ppto sistema septico'!V25</f>
        <v>0</v>
      </c>
      <c r="J135" s="547">
        <f>I135*(F135+F138+F136)</f>
        <v>0</v>
      </c>
      <c r="K135" s="547">
        <f>I135*(G135+G138+G136)</f>
        <v>0</v>
      </c>
      <c r="L135" s="547">
        <f>K135-J135</f>
        <v>0</v>
      </c>
    </row>
    <row r="136" spans="1:12">
      <c r="A136" s="536" t="s">
        <v>121</v>
      </c>
      <c r="B136" s="477" t="s">
        <v>68</v>
      </c>
      <c r="C136" s="525">
        <v>1</v>
      </c>
      <c r="D136" s="593">
        <f>'Actualizacion de precios'!C31</f>
        <v>15121.5</v>
      </c>
      <c r="E136" s="559">
        <f>G136-F136</f>
        <v>2414.3571428571431</v>
      </c>
      <c r="F136" s="559">
        <f>C136*(D136/1.19)</f>
        <v>12707.142857142857</v>
      </c>
      <c r="G136" s="564">
        <f>+C136*(D136)</f>
        <v>15121.5</v>
      </c>
      <c r="H136" s="518"/>
    </row>
    <row r="137" spans="1:12">
      <c r="A137" s="519" t="s">
        <v>141</v>
      </c>
      <c r="B137" s="520" t="s">
        <v>70</v>
      </c>
      <c r="C137" s="525">
        <v>2</v>
      </c>
      <c r="D137" s="506">
        <v>0</v>
      </c>
      <c r="E137" s="559">
        <f>G137-F137</f>
        <v>0</v>
      </c>
      <c r="F137" s="559">
        <f>C137*(D137/1.19)</f>
        <v>0</v>
      </c>
      <c r="G137" s="564">
        <f>+C137*(D137)</f>
        <v>0</v>
      </c>
      <c r="H137" s="518"/>
      <c r="K137" s="496"/>
    </row>
    <row r="138" spans="1:12">
      <c r="A138" s="519" t="s">
        <v>236</v>
      </c>
      <c r="B138" s="520" t="s">
        <v>70</v>
      </c>
      <c r="C138" s="525">
        <v>1</v>
      </c>
      <c r="D138" s="506">
        <f>'Actualizacion de precios'!C12</f>
        <v>12061</v>
      </c>
      <c r="E138" s="559">
        <f>G138-F138</f>
        <v>1925.7058823529405</v>
      </c>
      <c r="F138" s="559">
        <f>C138*(D138/1.19)</f>
        <v>10135.294117647059</v>
      </c>
      <c r="G138" s="564">
        <f>+C138*(D138)</f>
        <v>12061</v>
      </c>
      <c r="H138" s="518"/>
      <c r="K138" s="496"/>
    </row>
    <row r="139" spans="1:12">
      <c r="A139" s="536" t="s">
        <v>142</v>
      </c>
      <c r="B139" s="477" t="s">
        <v>70</v>
      </c>
      <c r="C139" s="478"/>
      <c r="D139" s="506">
        <f>+'Actualizacion de precios'!C15</f>
        <v>0</v>
      </c>
      <c r="E139" s="559">
        <f>G139-F139</f>
        <v>0</v>
      </c>
      <c r="F139" s="559">
        <f>C139*(D139/1.19)</f>
        <v>0</v>
      </c>
      <c r="G139" s="564">
        <f>+C139*(D139)</f>
        <v>0</v>
      </c>
      <c r="K139" s="496"/>
    </row>
    <row r="140" spans="1:12" ht="12.75" customHeight="1">
      <c r="A140" s="536" t="s">
        <v>143</v>
      </c>
      <c r="B140" s="477" t="s">
        <v>70</v>
      </c>
      <c r="C140" s="525">
        <v>1</v>
      </c>
      <c r="D140" s="603" t="str">
        <f>'Salarios y transporte'!E26</f>
        <v>0</v>
      </c>
      <c r="E140" s="527"/>
      <c r="F140" s="526">
        <f>+D140/C140</f>
        <v>0</v>
      </c>
      <c r="G140" s="561">
        <f>+D140/C140</f>
        <v>0</v>
      </c>
      <c r="H140" s="518"/>
      <c r="K140" s="496"/>
    </row>
    <row r="141" spans="1:12" ht="12.75" customHeight="1">
      <c r="A141" s="536" t="s">
        <v>144</v>
      </c>
      <c r="B141" s="477" t="s">
        <v>145</v>
      </c>
      <c r="C141" s="521">
        <v>0.6</v>
      </c>
      <c r="D141" s="522">
        <f>+'Salarios y transporte'!C6</f>
        <v>261301</v>
      </c>
      <c r="E141" s="523"/>
      <c r="F141" s="522">
        <f>+D141/C141</f>
        <v>435501.66666666669</v>
      </c>
      <c r="G141" s="524">
        <f>+D141/C141</f>
        <v>435501.66666666669</v>
      </c>
      <c r="H141" s="518"/>
      <c r="K141" s="395"/>
    </row>
    <row r="142" spans="1:12" ht="12.75" customHeight="1">
      <c r="A142" s="519" t="s">
        <v>111</v>
      </c>
      <c r="B142" s="477" t="s">
        <v>112</v>
      </c>
      <c r="C142" s="478">
        <v>0.05</v>
      </c>
      <c r="D142" s="526">
        <f>+G141</f>
        <v>435501.66666666669</v>
      </c>
      <c r="E142" s="527"/>
      <c r="F142" s="526">
        <f>+D142*C142</f>
        <v>21775.083333333336</v>
      </c>
      <c r="G142" s="528">
        <f>+D142*C142</f>
        <v>21775.083333333336</v>
      </c>
      <c r="H142" s="518"/>
    </row>
    <row r="143" spans="1:12" ht="8.1" customHeight="1" thickBot="1">
      <c r="A143" s="536"/>
      <c r="B143" s="477"/>
      <c r="C143" s="478"/>
      <c r="D143" s="529"/>
      <c r="E143" s="530"/>
      <c r="F143" s="529"/>
      <c r="G143" s="382"/>
      <c r="H143" s="401"/>
      <c r="I143" s="476"/>
    </row>
    <row r="144" spans="1:12" ht="13.5" customHeight="1" thickTop="1" thickBot="1">
      <c r="A144" s="383" t="s">
        <v>136</v>
      </c>
      <c r="B144" s="531"/>
      <c r="C144" s="532"/>
      <c r="D144" s="534"/>
      <c r="E144" s="534"/>
      <c r="F144" s="384">
        <f>SUM(F135:F142)</f>
        <v>5395859.4114834648</v>
      </c>
      <c r="G144" s="385">
        <f>SUM(G135:G142)</f>
        <v>6334190.1171653224</v>
      </c>
      <c r="H144" s="518"/>
    </row>
    <row r="145" spans="1:12" ht="13.5" customHeight="1" thickTop="1" thickBot="1">
      <c r="A145" s="386"/>
      <c r="B145" s="520"/>
      <c r="C145" s="525"/>
      <c r="D145" s="530"/>
      <c r="E145" s="530"/>
      <c r="F145" s="389"/>
      <c r="G145" s="609"/>
      <c r="H145" s="518"/>
    </row>
    <row r="146" spans="1:12" ht="36.6" customHeight="1" thickTop="1">
      <c r="A146" s="1161" t="s">
        <v>572</v>
      </c>
      <c r="B146" s="1162"/>
      <c r="C146" s="1162"/>
      <c r="D146" s="1162"/>
      <c r="E146" s="1162"/>
      <c r="F146" s="1162"/>
      <c r="G146" s="1163"/>
      <c r="H146" s="518"/>
    </row>
    <row r="147" spans="1:12" ht="38.25">
      <c r="A147" s="555" t="s">
        <v>573</v>
      </c>
      <c r="B147" s="556" t="s">
        <v>70</v>
      </c>
      <c r="C147" s="557">
        <v>1</v>
      </c>
      <c r="D147" s="558">
        <f>'VALOR UNITARIO SS Y TG'!C21</f>
        <v>750512.53798099596</v>
      </c>
      <c r="E147" s="559">
        <f>G147-F147</f>
        <v>119829.73295494891</v>
      </c>
      <c r="F147" s="559">
        <f>C147*(D147/1.19)</f>
        <v>630682.80502604705</v>
      </c>
      <c r="G147" s="560">
        <f>+C147*(D147)</f>
        <v>750512.53798099596</v>
      </c>
      <c r="H147" s="518"/>
    </row>
    <row r="148" spans="1:12">
      <c r="A148" s="555"/>
      <c r="B148" s="556"/>
      <c r="C148" s="557"/>
      <c r="D148" s="559"/>
      <c r="E148" s="559"/>
      <c r="F148" s="559"/>
      <c r="G148" s="564"/>
      <c r="H148" s="518"/>
    </row>
    <row r="149" spans="1:12">
      <c r="A149" s="519" t="s">
        <v>141</v>
      </c>
      <c r="B149" s="520" t="s">
        <v>70</v>
      </c>
      <c r="C149" s="525">
        <v>2</v>
      </c>
      <c r="D149" s="526">
        <f>'Actualizacion de precios'!C26</f>
        <v>2800</v>
      </c>
      <c r="E149" s="526">
        <f>G149-F149</f>
        <v>894.11764705882342</v>
      </c>
      <c r="F149" s="526">
        <f>+C149*D149/1.19</f>
        <v>4705.8823529411766</v>
      </c>
      <c r="G149" s="561">
        <f>+C149*(D149)</f>
        <v>5600</v>
      </c>
      <c r="H149" s="518"/>
    </row>
    <row r="150" spans="1:12">
      <c r="A150" s="519" t="s">
        <v>151</v>
      </c>
      <c r="B150" s="520" t="s">
        <v>70</v>
      </c>
      <c r="C150" s="525">
        <v>1</v>
      </c>
      <c r="D150" s="506">
        <f>'Actualizacion de precios'!C37</f>
        <v>4693</v>
      </c>
      <c r="E150" s="526">
        <f>G150-F150</f>
        <v>749.30252100840335</v>
      </c>
      <c r="F150" s="526">
        <f>+C150*D150/1.19</f>
        <v>3943.6974789915967</v>
      </c>
      <c r="G150" s="561">
        <f>+C150*(D150)</f>
        <v>4693</v>
      </c>
      <c r="H150" s="518"/>
    </row>
    <row r="151" spans="1:12">
      <c r="A151" s="536" t="s">
        <v>143</v>
      </c>
      <c r="B151" s="477" t="s">
        <v>70</v>
      </c>
      <c r="C151" s="525">
        <v>1</v>
      </c>
      <c r="D151" s="603">
        <f>'Salarios y transporte'!C28</f>
        <v>166359.82516363639</v>
      </c>
      <c r="E151" s="527"/>
      <c r="F151" s="526">
        <f>+D151/C151</f>
        <v>166359.82516363639</v>
      </c>
      <c r="G151" s="561">
        <f>+D151/C151</f>
        <v>166359.82516363639</v>
      </c>
      <c r="H151" s="518"/>
    </row>
    <row r="152" spans="1:12">
      <c r="A152" s="397" t="s">
        <v>335</v>
      </c>
      <c r="B152" s="477"/>
      <c r="C152" s="525"/>
      <c r="D152" s="526"/>
      <c r="E152" s="527"/>
      <c r="F152" s="398">
        <f>SUM(F147:F151)</f>
        <v>805692.21002161619</v>
      </c>
      <c r="G152" s="399">
        <f>SUM(G147:G151)</f>
        <v>927165.36314463231</v>
      </c>
      <c r="H152" s="518"/>
    </row>
    <row r="153" spans="1:12">
      <c r="A153" s="536" t="s">
        <v>135</v>
      </c>
      <c r="B153" s="477" t="s">
        <v>145</v>
      </c>
      <c r="C153" s="521">
        <v>2</v>
      </c>
      <c r="D153" s="522">
        <f>'Salarios y transporte'!C4</f>
        <v>133396</v>
      </c>
      <c r="E153" s="523"/>
      <c r="F153" s="522">
        <f>+D153/C153</f>
        <v>66698</v>
      </c>
      <c r="G153" s="524">
        <f>+D153/C153</f>
        <v>66698</v>
      </c>
      <c r="H153" s="518"/>
      <c r="I153" s="565">
        <f>+'ppto sistema septico'!V26</f>
        <v>0</v>
      </c>
      <c r="J153" s="547">
        <f>I153*(F147+F149+F150)</f>
        <v>0</v>
      </c>
      <c r="K153" s="547">
        <f>I153*(G147+G149+G150)</f>
        <v>0</v>
      </c>
      <c r="L153" s="496">
        <f>K153-J153</f>
        <v>0</v>
      </c>
    </row>
    <row r="154" spans="1:12">
      <c r="A154" s="519" t="s">
        <v>111</v>
      </c>
      <c r="B154" s="477" t="s">
        <v>112</v>
      </c>
      <c r="C154" s="478">
        <v>0.05</v>
      </c>
      <c r="D154" s="526">
        <f>+G153</f>
        <v>66698</v>
      </c>
      <c r="E154" s="527"/>
      <c r="F154" s="526">
        <f>+D154*C154</f>
        <v>3334.9</v>
      </c>
      <c r="G154" s="528">
        <f>+D154*C154</f>
        <v>3334.9</v>
      </c>
      <c r="H154" s="518"/>
    </row>
    <row r="155" spans="1:12" ht="13.5" thickBot="1">
      <c r="A155" s="400" t="s">
        <v>73</v>
      </c>
      <c r="B155" s="477"/>
      <c r="C155" s="478"/>
      <c r="D155" s="529"/>
      <c r="E155" s="530"/>
      <c r="F155" s="529">
        <f>SUM(F153:F154)</f>
        <v>70032.899999999994</v>
      </c>
      <c r="G155" s="529">
        <f>SUM(G153:G154)</f>
        <v>70032.899999999994</v>
      </c>
      <c r="H155" s="518"/>
    </row>
    <row r="156" spans="1:12" ht="14.25" thickTop="1" thickBot="1">
      <c r="A156" s="402" t="s">
        <v>136</v>
      </c>
      <c r="B156" s="531"/>
      <c r="C156" s="532"/>
      <c r="D156" s="533"/>
      <c r="E156" s="534"/>
      <c r="F156" s="384">
        <f>F152+F153+F154</f>
        <v>875725.11002161622</v>
      </c>
      <c r="G156" s="385">
        <f>G152+G153+G154</f>
        <v>997198.26314463234</v>
      </c>
      <c r="H156" s="518"/>
    </row>
    <row r="157" spans="1:12" ht="14.25" thickTop="1" thickBot="1">
      <c r="A157" s="386"/>
      <c r="B157" s="387"/>
      <c r="C157" s="388"/>
      <c r="D157" s="389"/>
      <c r="E157" s="390"/>
      <c r="F157" s="389"/>
      <c r="G157" s="390"/>
      <c r="H157" s="518"/>
    </row>
    <row r="158" spans="1:12" ht="69" customHeight="1" thickTop="1">
      <c r="A158" s="1170" t="s">
        <v>713</v>
      </c>
      <c r="B158" s="1171"/>
      <c r="C158" s="1171"/>
      <c r="D158" s="1171"/>
      <c r="E158" s="1171"/>
      <c r="F158" s="1171"/>
      <c r="G158" s="1172"/>
      <c r="H158" s="518"/>
      <c r="I158" s="403"/>
    </row>
    <row r="159" spans="1:12" ht="73.5" customHeight="1">
      <c r="A159" s="555" t="s">
        <v>714</v>
      </c>
      <c r="B159" s="556" t="s">
        <v>70</v>
      </c>
      <c r="C159" s="557">
        <v>1</v>
      </c>
      <c r="D159" s="558">
        <f>+'VALOR UNITARIO SS Y TG'!C8</f>
        <v>8197169.8248474048</v>
      </c>
      <c r="E159" s="559">
        <f>G159-F159</f>
        <v>1308791.8207739554</v>
      </c>
      <c r="F159" s="559">
        <f>C159*(D159/1.19)</f>
        <v>6888378.0040734494</v>
      </c>
      <c r="G159" s="560">
        <f>+C159*(D159)</f>
        <v>8197169.8248474048</v>
      </c>
      <c r="H159" s="518"/>
      <c r="I159" s="565">
        <f>+'ppto sistema septico'!V27</f>
        <v>0</v>
      </c>
      <c r="J159" s="547">
        <f>(F159+F162+F160)*I159</f>
        <v>0</v>
      </c>
      <c r="K159" s="547">
        <f>I159*(G159+G162+G160)</f>
        <v>0</v>
      </c>
      <c r="L159" s="547">
        <f>K159-J159</f>
        <v>0</v>
      </c>
    </row>
    <row r="160" spans="1:12">
      <c r="A160" s="536" t="s">
        <v>121</v>
      </c>
      <c r="B160" s="477" t="s">
        <v>68</v>
      </c>
      <c r="C160" s="525">
        <v>1</v>
      </c>
      <c r="D160" s="593">
        <f>'Actualizacion de precios'!C31</f>
        <v>15121.5</v>
      </c>
      <c r="E160" s="526">
        <f t="shared" ref="E160:E166" si="4">G160-F160</f>
        <v>2414.3571428571431</v>
      </c>
      <c r="F160" s="526">
        <f>C160*(D160/1.19)</f>
        <v>12707.142857142857</v>
      </c>
      <c r="G160" s="561">
        <f>+C160*(D160)</f>
        <v>15121.5</v>
      </c>
      <c r="H160" s="518"/>
    </row>
    <row r="161" spans="1:11">
      <c r="A161" s="519" t="s">
        <v>141</v>
      </c>
      <c r="B161" s="520" t="s">
        <v>70</v>
      </c>
      <c r="C161" s="525">
        <v>2</v>
      </c>
      <c r="D161" s="506">
        <v>0</v>
      </c>
      <c r="E161" s="526">
        <f t="shared" si="4"/>
        <v>0</v>
      </c>
      <c r="F161" s="526">
        <f>C161*(D161/1.19)</f>
        <v>0</v>
      </c>
      <c r="G161" s="561">
        <f>+C161*(D161)</f>
        <v>0</v>
      </c>
      <c r="H161" s="518"/>
      <c r="K161" s="496"/>
    </row>
    <row r="162" spans="1:11">
      <c r="A162" s="519" t="s">
        <v>236</v>
      </c>
      <c r="B162" s="520" t="s">
        <v>70</v>
      </c>
      <c r="C162" s="525">
        <v>1</v>
      </c>
      <c r="D162" s="506">
        <f>'Actualizacion de precios'!C12</f>
        <v>12061</v>
      </c>
      <c r="E162" s="526">
        <f t="shared" si="4"/>
        <v>1925.7058823529405</v>
      </c>
      <c r="F162" s="526">
        <f>C162*(D162/1.19)</f>
        <v>10135.294117647059</v>
      </c>
      <c r="G162" s="561">
        <f>+C162*(D162)</f>
        <v>12061</v>
      </c>
      <c r="H162" s="518"/>
      <c r="K162" s="496"/>
    </row>
    <row r="163" spans="1:11">
      <c r="A163" s="536" t="s">
        <v>142</v>
      </c>
      <c r="B163" s="477" t="s">
        <v>70</v>
      </c>
      <c r="C163" s="478">
        <v>2</v>
      </c>
      <c r="D163" s="506">
        <f>+'Actualizacion de precios'!C15</f>
        <v>0</v>
      </c>
      <c r="E163" s="526">
        <f t="shared" si="4"/>
        <v>0</v>
      </c>
      <c r="F163" s="526">
        <f>C163*(D163/1.19)</f>
        <v>0</v>
      </c>
      <c r="G163" s="561">
        <f>+C163*(D163)</f>
        <v>0</v>
      </c>
      <c r="K163" s="496"/>
    </row>
    <row r="164" spans="1:11" ht="12.75" customHeight="1">
      <c r="A164" s="536" t="s">
        <v>143</v>
      </c>
      <c r="B164" s="477" t="s">
        <v>70</v>
      </c>
      <c r="C164" s="525">
        <v>1</v>
      </c>
      <c r="D164" s="603" t="str">
        <f>'Salarios y transporte'!F26</f>
        <v>0</v>
      </c>
      <c r="E164" s="527"/>
      <c r="F164" s="526">
        <f>+D164/C164</f>
        <v>0</v>
      </c>
      <c r="G164" s="561">
        <f>+D164/C164</f>
        <v>0</v>
      </c>
      <c r="H164" s="518"/>
      <c r="I164" s="496"/>
    </row>
    <row r="165" spans="1:11" ht="12.75" customHeight="1">
      <c r="A165" s="536" t="s">
        <v>144</v>
      </c>
      <c r="B165" s="477" t="s">
        <v>145</v>
      </c>
      <c r="C165" s="521">
        <v>0.5</v>
      </c>
      <c r="D165" s="522">
        <f>+'Salarios y transporte'!C6</f>
        <v>261301</v>
      </c>
      <c r="E165" s="522">
        <f t="shared" si="4"/>
        <v>0</v>
      </c>
      <c r="F165" s="522">
        <f>+D165/C165</f>
        <v>522602</v>
      </c>
      <c r="G165" s="524">
        <f>+D165/C165</f>
        <v>522602</v>
      </c>
      <c r="H165" s="518"/>
    </row>
    <row r="166" spans="1:11" ht="12.75" customHeight="1">
      <c r="A166" s="519" t="s">
        <v>111</v>
      </c>
      <c r="B166" s="477" t="s">
        <v>112</v>
      </c>
      <c r="C166" s="478">
        <v>0.05</v>
      </c>
      <c r="D166" s="526">
        <f>+G165</f>
        <v>522602</v>
      </c>
      <c r="E166" s="526">
        <f t="shared" si="4"/>
        <v>0</v>
      </c>
      <c r="F166" s="526">
        <f>+D166*C166</f>
        <v>26130.100000000002</v>
      </c>
      <c r="G166" s="528">
        <f>+D166*C166</f>
        <v>26130.100000000002</v>
      </c>
      <c r="H166" s="518"/>
    </row>
    <row r="167" spans="1:11" ht="8.1" customHeight="1" thickBot="1">
      <c r="A167" s="536"/>
      <c r="B167" s="477"/>
      <c r="C167" s="478"/>
      <c r="D167" s="529"/>
      <c r="E167" s="530"/>
      <c r="F167" s="529"/>
      <c r="G167" s="382"/>
      <c r="H167" s="401"/>
      <c r="I167" s="476"/>
    </row>
    <row r="168" spans="1:11" ht="13.5" customHeight="1" thickTop="1" thickBot="1">
      <c r="A168" s="383" t="s">
        <v>136</v>
      </c>
      <c r="B168" s="531"/>
      <c r="C168" s="532"/>
      <c r="D168" s="534"/>
      <c r="E168" s="534"/>
      <c r="F168" s="384">
        <f>SUM(F159:F167)</f>
        <v>7459952.541048239</v>
      </c>
      <c r="G168" s="385">
        <f>SUM(G159:G167)</f>
        <v>8773084.4248474035</v>
      </c>
      <c r="H168" s="518"/>
    </row>
    <row r="169" spans="1:11" ht="13.5" customHeight="1" thickTop="1" thickBot="1">
      <c r="A169" s="386"/>
      <c r="B169" s="520"/>
      <c r="C169" s="525"/>
      <c r="D169" s="530"/>
      <c r="E169" s="530"/>
      <c r="F169" s="389"/>
      <c r="G169" s="609"/>
      <c r="H169" s="518"/>
    </row>
    <row r="170" spans="1:11" ht="36.6" customHeight="1" thickTop="1">
      <c r="A170" s="1161" t="s">
        <v>574</v>
      </c>
      <c r="B170" s="1162"/>
      <c r="C170" s="1162"/>
      <c r="D170" s="1162"/>
      <c r="E170" s="1162"/>
      <c r="F170" s="1162"/>
      <c r="G170" s="1163"/>
      <c r="H170" s="518"/>
    </row>
    <row r="171" spans="1:11" ht="38.25">
      <c r="A171" s="555" t="s">
        <v>575</v>
      </c>
      <c r="B171" s="556" t="s">
        <v>70</v>
      </c>
      <c r="C171" s="557">
        <v>1</v>
      </c>
      <c r="D171" s="558">
        <f>+'VALOR UNITARIO SS Y TG'!C22</f>
        <v>849118.14252238791</v>
      </c>
      <c r="E171" s="559">
        <f>G171-F171</f>
        <v>135573.48494054924</v>
      </c>
      <c r="F171" s="559">
        <f>C171*(D171/1.19)</f>
        <v>713544.65758183866</v>
      </c>
      <c r="G171" s="560">
        <f>+C171*(D171)</f>
        <v>849118.14252238791</v>
      </c>
      <c r="H171" s="518"/>
    </row>
    <row r="172" spans="1:11">
      <c r="A172" s="555"/>
      <c r="B172" s="556"/>
      <c r="C172" s="557"/>
      <c r="D172" s="559"/>
      <c r="E172" s="559"/>
      <c r="F172" s="559"/>
      <c r="G172" s="564"/>
      <c r="H172" s="518"/>
    </row>
    <row r="173" spans="1:11">
      <c r="A173" s="519" t="s">
        <v>141</v>
      </c>
      <c r="B173" s="520" t="s">
        <v>70</v>
      </c>
      <c r="C173" s="525">
        <v>2</v>
      </c>
      <c r="D173" s="526">
        <f>'Actualizacion de precios'!C26</f>
        <v>2800</v>
      </c>
      <c r="E173" s="526">
        <f>G173-F173</f>
        <v>894.11764705882342</v>
      </c>
      <c r="F173" s="526">
        <f>+C173*D173/1.19</f>
        <v>4705.8823529411766</v>
      </c>
      <c r="G173" s="561">
        <f>+C173*(D173)</f>
        <v>5600</v>
      </c>
      <c r="H173" s="518"/>
    </row>
    <row r="174" spans="1:11">
      <c r="A174" s="519" t="s">
        <v>151</v>
      </c>
      <c r="B174" s="520" t="s">
        <v>70</v>
      </c>
      <c r="C174" s="525">
        <v>1</v>
      </c>
      <c r="D174" s="506">
        <f>'Actualizacion de precios'!C37</f>
        <v>4693</v>
      </c>
      <c r="E174" s="526">
        <f>G174-F174</f>
        <v>749.30252100840335</v>
      </c>
      <c r="F174" s="526">
        <f>+C174*D174/1.19</f>
        <v>3943.6974789915967</v>
      </c>
      <c r="G174" s="561">
        <f>+C174*(D174)</f>
        <v>4693</v>
      </c>
      <c r="H174" s="518"/>
    </row>
    <row r="175" spans="1:11">
      <c r="A175" s="536" t="s">
        <v>143</v>
      </c>
      <c r="B175" s="477" t="s">
        <v>70</v>
      </c>
      <c r="C175" s="525">
        <v>1</v>
      </c>
      <c r="D175" s="603">
        <f>'Salarios y transporte'!C28</f>
        <v>166359.82516363639</v>
      </c>
      <c r="E175" s="527"/>
      <c r="F175" s="526">
        <f>+D175/C175</f>
        <v>166359.82516363639</v>
      </c>
      <c r="G175" s="561">
        <f>+D175/C175</f>
        <v>166359.82516363639</v>
      </c>
      <c r="H175" s="518"/>
    </row>
    <row r="176" spans="1:11">
      <c r="A176" s="397" t="s">
        <v>335</v>
      </c>
      <c r="B176" s="477"/>
      <c r="C176" s="525"/>
      <c r="D176" s="526"/>
      <c r="E176" s="527"/>
      <c r="F176" s="398">
        <f>SUM(F171:F175)</f>
        <v>888554.06257740781</v>
      </c>
      <c r="G176" s="399">
        <f>SUM(G171:G175)</f>
        <v>1025770.9676860243</v>
      </c>
      <c r="H176" s="518"/>
    </row>
    <row r="177" spans="1:12">
      <c r="A177" s="536" t="s">
        <v>135</v>
      </c>
      <c r="B177" s="477" t="s">
        <v>145</v>
      </c>
      <c r="C177" s="521">
        <v>2</v>
      </c>
      <c r="D177" s="522">
        <f>'Salarios y transporte'!C2</f>
        <v>127905</v>
      </c>
      <c r="E177" s="523"/>
      <c r="F177" s="522">
        <f>+D177/C177</f>
        <v>63952.5</v>
      </c>
      <c r="G177" s="524">
        <f>+D177/C177</f>
        <v>63952.5</v>
      </c>
      <c r="H177" s="518"/>
      <c r="I177" s="557">
        <f>'ppto sistema septico'!V28</f>
        <v>0</v>
      </c>
      <c r="J177" s="547">
        <f>I177*(F171+F173+F174)</f>
        <v>0</v>
      </c>
      <c r="K177" s="547">
        <f>I177*(G171+G173+G174)</f>
        <v>0</v>
      </c>
      <c r="L177" s="496">
        <f>K177-J177</f>
        <v>0</v>
      </c>
    </row>
    <row r="178" spans="1:12">
      <c r="A178" s="519" t="s">
        <v>111</v>
      </c>
      <c r="B178" s="477" t="s">
        <v>112</v>
      </c>
      <c r="C178" s="478">
        <v>0.05</v>
      </c>
      <c r="D178" s="526">
        <f>+G177</f>
        <v>63952.5</v>
      </c>
      <c r="E178" s="527"/>
      <c r="F178" s="526">
        <f>+D178*C178</f>
        <v>3197.625</v>
      </c>
      <c r="G178" s="528">
        <f>+D178*C178</f>
        <v>3197.625</v>
      </c>
      <c r="H178" s="518"/>
    </row>
    <row r="179" spans="1:12" ht="13.5" thickBot="1">
      <c r="A179" s="400" t="s">
        <v>73</v>
      </c>
      <c r="B179" s="477"/>
      <c r="C179" s="478"/>
      <c r="D179" s="529"/>
      <c r="E179" s="530"/>
      <c r="F179" s="529">
        <f>SUM(F177:F178)</f>
        <v>67150.125</v>
      </c>
      <c r="G179" s="529">
        <f>SUM(G177:G178)</f>
        <v>67150.125</v>
      </c>
      <c r="H179" s="518"/>
    </row>
    <row r="180" spans="1:12" ht="14.25" thickTop="1" thickBot="1">
      <c r="A180" s="402" t="s">
        <v>136</v>
      </c>
      <c r="B180" s="531"/>
      <c r="C180" s="532"/>
      <c r="D180" s="533"/>
      <c r="E180" s="534"/>
      <c r="F180" s="384">
        <f>F176+F177+F178</f>
        <v>955704.18757740781</v>
      </c>
      <c r="G180" s="385">
        <f>G176+G177+G178</f>
        <v>1092921.0926860243</v>
      </c>
      <c r="H180" s="518"/>
    </row>
    <row r="181" spans="1:12" ht="12.75" customHeight="1" thickTop="1" thickBot="1">
      <c r="A181" s="544"/>
      <c r="B181" s="477"/>
      <c r="C181" s="525"/>
      <c r="D181" s="530"/>
      <c r="E181" s="530"/>
      <c r="F181" s="530"/>
      <c r="H181" s="518"/>
    </row>
    <row r="182" spans="1:12" ht="69" customHeight="1" thickTop="1">
      <c r="A182" s="1170" t="s">
        <v>715</v>
      </c>
      <c r="B182" s="1171"/>
      <c r="C182" s="1171"/>
      <c r="D182" s="1171"/>
      <c r="E182" s="1171"/>
      <c r="F182" s="1171"/>
      <c r="G182" s="1172"/>
      <c r="H182" s="518"/>
      <c r="I182" s="403"/>
    </row>
    <row r="183" spans="1:12" ht="65.650000000000006" customHeight="1">
      <c r="A183" s="555" t="s">
        <v>716</v>
      </c>
      <c r="B183" s="556" t="s">
        <v>70</v>
      </c>
      <c r="C183" s="557">
        <v>1</v>
      </c>
      <c r="D183" s="558">
        <f>+'VALOR UNITARIO SS Y TG'!C9</f>
        <v>10990727.74597152</v>
      </c>
      <c r="E183" s="559">
        <f>G183-F183</f>
        <v>1754822.0770878885</v>
      </c>
      <c r="F183" s="559">
        <f>C183*(D183/1.19)</f>
        <v>9235905.668883631</v>
      </c>
      <c r="G183" s="560">
        <f>+C183*(D183)</f>
        <v>10990727.74597152</v>
      </c>
      <c r="H183" s="518"/>
      <c r="I183" s="565">
        <f>+'ppto sistema septico'!V29</f>
        <v>0</v>
      </c>
      <c r="J183" s="547">
        <f>I183*(F183+F186+F184)</f>
        <v>0</v>
      </c>
      <c r="K183" s="547">
        <f>I183*(G183+G186+G184)</f>
        <v>0</v>
      </c>
      <c r="L183" s="547">
        <f>K183-J183</f>
        <v>0</v>
      </c>
    </row>
    <row r="184" spans="1:12">
      <c r="A184" s="536" t="s">
        <v>121</v>
      </c>
      <c r="B184" s="477" t="s">
        <v>68</v>
      </c>
      <c r="C184" s="525">
        <v>1</v>
      </c>
      <c r="D184" s="593">
        <f>'Actualizacion de precios'!C31</f>
        <v>15121.5</v>
      </c>
      <c r="E184" s="526">
        <f t="shared" ref="E184:E190" si="5">G184-F184</f>
        <v>2414.3571428571431</v>
      </c>
      <c r="F184" s="526">
        <f>C184*(D184/1.19)</f>
        <v>12707.142857142857</v>
      </c>
      <c r="G184" s="561">
        <f>+C184*(D184)</f>
        <v>15121.5</v>
      </c>
      <c r="H184" s="518"/>
    </row>
    <row r="185" spans="1:12">
      <c r="A185" s="519" t="s">
        <v>141</v>
      </c>
      <c r="B185" s="520" t="s">
        <v>70</v>
      </c>
      <c r="C185" s="525">
        <v>2</v>
      </c>
      <c r="D185" s="506">
        <v>0</v>
      </c>
      <c r="E185" s="526">
        <f t="shared" si="5"/>
        <v>0</v>
      </c>
      <c r="F185" s="526">
        <f>C185*(D185/1.19)</f>
        <v>0</v>
      </c>
      <c r="G185" s="561">
        <f>+C185*(D185)</f>
        <v>0</v>
      </c>
      <c r="H185" s="518"/>
    </row>
    <row r="186" spans="1:12">
      <c r="A186" s="519" t="s">
        <v>237</v>
      </c>
      <c r="B186" s="520" t="s">
        <v>70</v>
      </c>
      <c r="C186" s="525">
        <v>1</v>
      </c>
      <c r="D186" s="506">
        <f>'Actualizacion de precios'!C12</f>
        <v>12061</v>
      </c>
      <c r="E186" s="526">
        <f t="shared" si="5"/>
        <v>1925.7058823529405</v>
      </c>
      <c r="F186" s="526">
        <f>C186*(D186/1.19)</f>
        <v>10135.294117647059</v>
      </c>
      <c r="G186" s="561">
        <f>+C186*(D186)</f>
        <v>12061</v>
      </c>
      <c r="H186" s="518"/>
    </row>
    <row r="187" spans="1:12">
      <c r="A187" s="536" t="s">
        <v>142</v>
      </c>
      <c r="B187" s="477" t="s">
        <v>70</v>
      </c>
      <c r="C187" s="478">
        <v>2</v>
      </c>
      <c r="D187" s="506">
        <f>+'Actualizacion de precios'!C15</f>
        <v>0</v>
      </c>
      <c r="E187" s="526">
        <f t="shared" si="5"/>
        <v>0</v>
      </c>
      <c r="F187" s="526">
        <f>C187*(D187/1.19)</f>
        <v>0</v>
      </c>
      <c r="G187" s="561">
        <f>+C187*(D187)</f>
        <v>0</v>
      </c>
    </row>
    <row r="188" spans="1:12" ht="12.75" customHeight="1">
      <c r="A188" s="536" t="s">
        <v>143</v>
      </c>
      <c r="B188" s="477" t="s">
        <v>70</v>
      </c>
      <c r="C188" s="525">
        <v>1</v>
      </c>
      <c r="D188" s="603" t="str">
        <f>'Salarios y transporte'!G26</f>
        <v>0</v>
      </c>
      <c r="E188" s="527"/>
      <c r="F188" s="526">
        <f>+D188/C188</f>
        <v>0</v>
      </c>
      <c r="G188" s="561">
        <f>+D188/C188</f>
        <v>0</v>
      </c>
      <c r="H188" s="518"/>
      <c r="I188" s="496"/>
    </row>
    <row r="189" spans="1:12" ht="12.75" customHeight="1">
      <c r="A189" s="536" t="s">
        <v>144</v>
      </c>
      <c r="B189" s="477" t="s">
        <v>145</v>
      </c>
      <c r="C189" s="521">
        <v>0.4</v>
      </c>
      <c r="D189" s="522">
        <f>+'Salarios y transporte'!C6</f>
        <v>261301</v>
      </c>
      <c r="E189" s="522">
        <f t="shared" si="5"/>
        <v>0</v>
      </c>
      <c r="F189" s="522">
        <f>+D189/C189</f>
        <v>653252.5</v>
      </c>
      <c r="G189" s="524">
        <f>+D189/C189</f>
        <v>653252.5</v>
      </c>
      <c r="H189" s="518"/>
    </row>
    <row r="190" spans="1:12" ht="12.75" customHeight="1">
      <c r="A190" s="519" t="s">
        <v>111</v>
      </c>
      <c r="B190" s="477" t="s">
        <v>112</v>
      </c>
      <c r="C190" s="478">
        <v>0.05</v>
      </c>
      <c r="D190" s="526">
        <f>+G189</f>
        <v>653252.5</v>
      </c>
      <c r="E190" s="526">
        <f t="shared" si="5"/>
        <v>0</v>
      </c>
      <c r="F190" s="526">
        <f>+D190*C190</f>
        <v>32662.625</v>
      </c>
      <c r="G190" s="528">
        <f>+D190*C190</f>
        <v>32662.625</v>
      </c>
      <c r="H190" s="518"/>
    </row>
    <row r="191" spans="1:12" ht="8.1" customHeight="1" thickBot="1">
      <c r="A191" s="536"/>
      <c r="B191" s="477"/>
      <c r="C191" s="478"/>
      <c r="D191" s="529"/>
      <c r="E191" s="530"/>
      <c r="F191" s="529"/>
      <c r="G191" s="382"/>
      <c r="H191" s="401"/>
      <c r="I191" s="476"/>
    </row>
    <row r="192" spans="1:12" ht="13.5" customHeight="1" thickTop="1" thickBot="1">
      <c r="A192" s="383" t="s">
        <v>136</v>
      </c>
      <c r="B192" s="531"/>
      <c r="C192" s="532"/>
      <c r="D192" s="534"/>
      <c r="E192" s="534"/>
      <c r="F192" s="384">
        <f>SUM(F183:F191)</f>
        <v>9944663.230858421</v>
      </c>
      <c r="G192" s="385">
        <f>SUM(G183:G190)</f>
        <v>11703825.37097152</v>
      </c>
      <c r="H192" s="518"/>
      <c r="I192" s="496"/>
    </row>
    <row r="193" spans="1:12" ht="13.5" customHeight="1" thickTop="1" thickBot="1">
      <c r="A193" s="404"/>
      <c r="B193" s="520"/>
      <c r="C193" s="525"/>
      <c r="D193" s="530"/>
      <c r="E193" s="530"/>
      <c r="F193" s="518"/>
      <c r="G193" s="475"/>
    </row>
    <row r="194" spans="1:12" ht="36.6" customHeight="1" thickTop="1">
      <c r="A194" s="1161" t="s">
        <v>576</v>
      </c>
      <c r="B194" s="1162"/>
      <c r="C194" s="1162"/>
      <c r="D194" s="1162"/>
      <c r="E194" s="1162"/>
      <c r="F194" s="1162"/>
      <c r="G194" s="1163"/>
      <c r="H194" s="518"/>
    </row>
    <row r="195" spans="1:12" ht="38.25">
      <c r="A195" s="555" t="s">
        <v>577</v>
      </c>
      <c r="B195" s="556" t="s">
        <v>70</v>
      </c>
      <c r="C195" s="557">
        <v>1</v>
      </c>
      <c r="D195" s="558">
        <f>+'VALOR UNITARIO SS Y TG'!C23</f>
        <v>1491309.9218980446</v>
      </c>
      <c r="E195" s="559">
        <f>G195-F195</f>
        <v>238108.30685767089</v>
      </c>
      <c r="F195" s="559">
        <f>C195*(D195/1.19)</f>
        <v>1253201.6150403738</v>
      </c>
      <c r="G195" s="560">
        <f>+C195*(D195)</f>
        <v>1491309.9218980446</v>
      </c>
      <c r="H195" s="518"/>
    </row>
    <row r="196" spans="1:12">
      <c r="A196" s="555"/>
      <c r="B196" s="556"/>
      <c r="C196" s="557"/>
      <c r="D196" s="559"/>
      <c r="E196" s="559"/>
      <c r="F196" s="559"/>
      <c r="G196" s="564"/>
      <c r="H196" s="518"/>
    </row>
    <row r="197" spans="1:12">
      <c r="A197" s="519" t="s">
        <v>141</v>
      </c>
      <c r="B197" s="520" t="s">
        <v>70</v>
      </c>
      <c r="C197" s="525">
        <v>2</v>
      </c>
      <c r="D197" s="526">
        <f>'Actualizacion de precios'!C26</f>
        <v>2800</v>
      </c>
      <c r="E197" s="526">
        <f>G197-F197</f>
        <v>894.11764705882342</v>
      </c>
      <c r="F197" s="526">
        <f>+C197*D197/1.19</f>
        <v>4705.8823529411766</v>
      </c>
      <c r="G197" s="561">
        <f>+C197*(D197)</f>
        <v>5600</v>
      </c>
      <c r="H197" s="518"/>
    </row>
    <row r="198" spans="1:12">
      <c r="A198" s="519" t="s">
        <v>151</v>
      </c>
      <c r="B198" s="520" t="s">
        <v>70</v>
      </c>
      <c r="C198" s="525">
        <v>1</v>
      </c>
      <c r="D198" s="506">
        <f>'Actualizacion de precios'!C37</f>
        <v>4693</v>
      </c>
      <c r="E198" s="526">
        <f>G198-F198</f>
        <v>749.30252100840335</v>
      </c>
      <c r="F198" s="526">
        <f>+C198*D198/1.19</f>
        <v>3943.6974789915967</v>
      </c>
      <c r="G198" s="561">
        <f>+C198*(D198)</f>
        <v>4693</v>
      </c>
      <c r="H198" s="518"/>
    </row>
    <row r="199" spans="1:12">
      <c r="A199" s="536" t="s">
        <v>143</v>
      </c>
      <c r="B199" s="477" t="s">
        <v>70</v>
      </c>
      <c r="C199" s="525">
        <v>1</v>
      </c>
      <c r="D199" s="603">
        <f>'Salarios y transporte'!C28</f>
        <v>166359.82516363639</v>
      </c>
      <c r="E199" s="527"/>
      <c r="F199" s="526">
        <f>+D199/C199</f>
        <v>166359.82516363639</v>
      </c>
      <c r="G199" s="561">
        <f>+D199/C199</f>
        <v>166359.82516363639</v>
      </c>
      <c r="H199" s="518"/>
    </row>
    <row r="200" spans="1:12">
      <c r="A200" s="397" t="s">
        <v>335</v>
      </c>
      <c r="B200" s="477"/>
      <c r="C200" s="525"/>
      <c r="D200" s="526"/>
      <c r="E200" s="527"/>
      <c r="F200" s="398">
        <f>SUM(F195:F199)</f>
        <v>1428211.020035943</v>
      </c>
      <c r="G200" s="399">
        <f>SUM(G195:G199)</f>
        <v>1667962.747061681</v>
      </c>
      <c r="H200" s="518"/>
      <c r="I200" s="557">
        <f>'ppto sistema septico'!V30</f>
        <v>0</v>
      </c>
      <c r="J200" s="547">
        <f>I200*(F195+F198+F197)</f>
        <v>0</v>
      </c>
      <c r="K200" s="547">
        <f>I200*(G195+G197+G198)</f>
        <v>0</v>
      </c>
      <c r="L200" s="496">
        <f>K200-J200</f>
        <v>0</v>
      </c>
    </row>
    <row r="201" spans="1:12">
      <c r="A201" s="536" t="s">
        <v>135</v>
      </c>
      <c r="B201" s="477" t="s">
        <v>145</v>
      </c>
      <c r="C201" s="521">
        <v>2</v>
      </c>
      <c r="D201" s="522">
        <f>'Salarios y transporte'!C2</f>
        <v>127905</v>
      </c>
      <c r="E201" s="523"/>
      <c r="F201" s="522">
        <f>+D201/C201</f>
        <v>63952.5</v>
      </c>
      <c r="G201" s="524">
        <f>+D201/C201</f>
        <v>63952.5</v>
      </c>
      <c r="H201" s="518"/>
    </row>
    <row r="202" spans="1:12">
      <c r="A202" s="519" t="s">
        <v>111</v>
      </c>
      <c r="B202" s="477" t="s">
        <v>112</v>
      </c>
      <c r="C202" s="478">
        <v>0.05</v>
      </c>
      <c r="D202" s="526">
        <f>+G201</f>
        <v>63952.5</v>
      </c>
      <c r="E202" s="527"/>
      <c r="F202" s="526">
        <f>+D202*C202</f>
        <v>3197.625</v>
      </c>
      <c r="G202" s="528">
        <f>+D202*C202</f>
        <v>3197.625</v>
      </c>
      <c r="H202" s="518"/>
    </row>
    <row r="203" spans="1:12" ht="13.5" thickBot="1">
      <c r="A203" s="400" t="s">
        <v>73</v>
      </c>
      <c r="B203" s="477"/>
      <c r="C203" s="478"/>
      <c r="D203" s="529"/>
      <c r="E203" s="530"/>
      <c r="F203" s="529">
        <f>SUM(F201:F202)</f>
        <v>67150.125</v>
      </c>
      <c r="G203" s="529">
        <f>SUM(G201:G202)</f>
        <v>67150.125</v>
      </c>
      <c r="H203" s="518"/>
    </row>
    <row r="204" spans="1:12" ht="14.25" thickTop="1" thickBot="1">
      <c r="A204" s="402" t="s">
        <v>136</v>
      </c>
      <c r="B204" s="531"/>
      <c r="C204" s="532"/>
      <c r="D204" s="533"/>
      <c r="E204" s="534"/>
      <c r="F204" s="384">
        <f>F200+F201+F202</f>
        <v>1495361.145035943</v>
      </c>
      <c r="G204" s="385">
        <f>G200+G201+G202</f>
        <v>1735112.872061681</v>
      </c>
      <c r="H204" s="518"/>
    </row>
    <row r="205" spans="1:12" ht="14.25" thickTop="1" thickBot="1">
      <c r="A205" s="397"/>
      <c r="B205" s="520"/>
      <c r="C205" s="525"/>
      <c r="D205" s="529"/>
      <c r="E205" s="530"/>
      <c r="F205" s="380"/>
      <c r="G205" s="411"/>
      <c r="H205" s="518"/>
    </row>
    <row r="206" spans="1:12" ht="69" customHeight="1" thickTop="1">
      <c r="A206" s="1170" t="s">
        <v>717</v>
      </c>
      <c r="B206" s="1171"/>
      <c r="C206" s="1171"/>
      <c r="D206" s="1171"/>
      <c r="E206" s="1171"/>
      <c r="F206" s="1171"/>
      <c r="G206" s="1172"/>
      <c r="H206" s="518"/>
    </row>
    <row r="207" spans="1:12" ht="76.5">
      <c r="A207" s="555" t="s">
        <v>718</v>
      </c>
      <c r="B207" s="556" t="s">
        <v>70</v>
      </c>
      <c r="C207" s="557">
        <v>1</v>
      </c>
      <c r="D207" s="558">
        <f>+'VALOR UNITARIO SS Y TG'!C10</f>
        <v>15032575.454349907</v>
      </c>
      <c r="E207" s="559">
        <f>G207-F207</f>
        <v>2400159.1061567068</v>
      </c>
      <c r="F207" s="559">
        <f>C207*(D207/1.19)</f>
        <v>12632416.3481932</v>
      </c>
      <c r="G207" s="560">
        <f>+C207*(D207)</f>
        <v>15032575.454349907</v>
      </c>
      <c r="H207" s="518"/>
      <c r="I207" s="565">
        <f>+'ppto sistema septico'!V31</f>
        <v>0</v>
      </c>
      <c r="J207" s="547">
        <f>I207*(F207+F210+F208)</f>
        <v>0</v>
      </c>
      <c r="K207" s="547">
        <f>I207*(G207+G210+G208)</f>
        <v>0</v>
      </c>
      <c r="L207" s="547">
        <f>K207-J207</f>
        <v>0</v>
      </c>
    </row>
    <row r="208" spans="1:12">
      <c r="A208" s="536" t="s">
        <v>121</v>
      </c>
      <c r="B208" s="477" t="s">
        <v>68</v>
      </c>
      <c r="C208" s="525">
        <v>1</v>
      </c>
      <c r="D208" s="506">
        <f>'Actualizacion de precios'!C31</f>
        <v>15121.5</v>
      </c>
      <c r="E208" s="559">
        <f>G208-F208</f>
        <v>2414.3571428571431</v>
      </c>
      <c r="F208" s="559">
        <f>C208*(D208/1.19)</f>
        <v>12707.142857142857</v>
      </c>
      <c r="G208" s="561">
        <f>+C208*(D208)</f>
        <v>15121.5</v>
      </c>
      <c r="H208" s="518"/>
      <c r="I208" s="496"/>
    </row>
    <row r="209" spans="1:12">
      <c r="A209" s="519" t="s">
        <v>141</v>
      </c>
      <c r="B209" s="520" t="s">
        <v>70</v>
      </c>
      <c r="C209" s="525">
        <v>2</v>
      </c>
      <c r="D209" s="506">
        <v>0</v>
      </c>
      <c r="E209" s="559">
        <f>G209-F209</f>
        <v>0</v>
      </c>
      <c r="F209" s="559">
        <f>C209*(D209/1.19)</f>
        <v>0</v>
      </c>
      <c r="G209" s="561">
        <f>+C209*(D209)</f>
        <v>0</v>
      </c>
      <c r="H209" s="518"/>
    </row>
    <row r="210" spans="1:12">
      <c r="A210" s="519" t="s">
        <v>236</v>
      </c>
      <c r="B210" s="520" t="s">
        <v>70</v>
      </c>
      <c r="C210" s="525">
        <v>1</v>
      </c>
      <c r="D210" s="506">
        <f>'Actualizacion de precios'!C12</f>
        <v>12061</v>
      </c>
      <c r="E210" s="559">
        <f>G210-F210</f>
        <v>1925.7058823529405</v>
      </c>
      <c r="F210" s="559">
        <f>C210*(D210/1.19)</f>
        <v>10135.294117647059</v>
      </c>
      <c r="G210" s="561">
        <f>+C210*(D210)</f>
        <v>12061</v>
      </c>
      <c r="H210" s="518"/>
    </row>
    <row r="211" spans="1:12">
      <c r="A211" s="536" t="s">
        <v>142</v>
      </c>
      <c r="B211" s="477" t="s">
        <v>70</v>
      </c>
      <c r="C211" s="478">
        <v>2</v>
      </c>
      <c r="D211" s="506">
        <f>+'Actualizacion de precios'!C15</f>
        <v>0</v>
      </c>
      <c r="E211" s="559">
        <f>G211-F211</f>
        <v>0</v>
      </c>
      <c r="F211" s="559">
        <f>C211*(D211/1.19)</f>
        <v>0</v>
      </c>
      <c r="G211" s="561">
        <f>+C211*(D211)</f>
        <v>0</v>
      </c>
    </row>
    <row r="212" spans="1:12" ht="12.75" customHeight="1">
      <c r="A212" s="536" t="s">
        <v>143</v>
      </c>
      <c r="B212" s="477" t="s">
        <v>70</v>
      </c>
      <c r="C212" s="525">
        <v>1</v>
      </c>
      <c r="D212" s="603" t="str">
        <f>'Salarios y transporte'!H26</f>
        <v>0</v>
      </c>
      <c r="E212" s="527"/>
      <c r="F212" s="526">
        <f>+D212/C212</f>
        <v>0</v>
      </c>
      <c r="G212" s="561">
        <f>+D212/C212</f>
        <v>0</v>
      </c>
      <c r="H212" s="518"/>
      <c r="I212" s="496"/>
    </row>
    <row r="213" spans="1:12" ht="12.75" customHeight="1">
      <c r="A213" s="536" t="s">
        <v>144</v>
      </c>
      <c r="B213" s="477" t="s">
        <v>145</v>
      </c>
      <c r="C213" s="521">
        <v>0.4</v>
      </c>
      <c r="D213" s="522">
        <f>+'Salarios y transporte'!C6</f>
        <v>261301</v>
      </c>
      <c r="E213" s="523"/>
      <c r="F213" s="522">
        <f>+D213/C213</f>
        <v>653252.5</v>
      </c>
      <c r="G213" s="524">
        <f>+D213/C213</f>
        <v>653252.5</v>
      </c>
      <c r="H213" s="518"/>
    </row>
    <row r="214" spans="1:12" ht="12.75" customHeight="1">
      <c r="A214" s="519" t="s">
        <v>111</v>
      </c>
      <c r="B214" s="477" t="s">
        <v>112</v>
      </c>
      <c r="C214" s="478">
        <v>0.05</v>
      </c>
      <c r="D214" s="526">
        <f>+G213</f>
        <v>653252.5</v>
      </c>
      <c r="E214" s="527"/>
      <c r="F214" s="526">
        <f>+D214*C214</f>
        <v>32662.625</v>
      </c>
      <c r="G214" s="528">
        <f>+D214*C214</f>
        <v>32662.625</v>
      </c>
      <c r="H214" s="518"/>
    </row>
    <row r="215" spans="1:12" ht="15.75" customHeight="1" thickBot="1">
      <c r="A215" s="536"/>
      <c r="B215" s="477"/>
      <c r="C215" s="478"/>
      <c r="D215" s="529"/>
      <c r="E215" s="530"/>
      <c r="F215" s="529"/>
      <c r="G215" s="382"/>
      <c r="H215" s="401"/>
      <c r="I215" s="476"/>
    </row>
    <row r="216" spans="1:12" ht="13.5" customHeight="1" thickTop="1" thickBot="1">
      <c r="A216" s="383" t="s">
        <v>146</v>
      </c>
      <c r="B216" s="531"/>
      <c r="C216" s="532"/>
      <c r="D216" s="533"/>
      <c r="E216" s="534"/>
      <c r="F216" s="384">
        <f>SUM(F207:F215)</f>
        <v>13341173.91016799</v>
      </c>
      <c r="G216" s="385">
        <f>SUM(G207:G215)</f>
        <v>15745673.079349907</v>
      </c>
      <c r="H216" s="518"/>
      <c r="I216" s="496"/>
    </row>
    <row r="217" spans="1:12" ht="13.5" customHeight="1" thickTop="1" thickBot="1">
      <c r="A217" s="386"/>
      <c r="B217" s="520"/>
      <c r="C217" s="525"/>
      <c r="D217" s="529"/>
      <c r="E217" s="530"/>
      <c r="F217" s="389"/>
      <c r="G217" s="396"/>
      <c r="H217" s="518"/>
      <c r="I217" s="496"/>
    </row>
    <row r="218" spans="1:12" ht="36.6" customHeight="1" thickTop="1">
      <c r="A218" s="1161" t="s">
        <v>578</v>
      </c>
      <c r="B218" s="1162"/>
      <c r="C218" s="1162"/>
      <c r="D218" s="1162"/>
      <c r="E218" s="1162"/>
      <c r="F218" s="1162"/>
      <c r="G218" s="1163"/>
      <c r="H218" s="518"/>
    </row>
    <row r="219" spans="1:12" ht="38.25">
      <c r="A219" s="555" t="s">
        <v>579</v>
      </c>
      <c r="B219" s="556" t="s">
        <v>70</v>
      </c>
      <c r="C219" s="557">
        <v>1</v>
      </c>
      <c r="D219" s="558">
        <f>'VALOR UNITARIO SS Y TG'!C24</f>
        <v>1784901.0193087156</v>
      </c>
      <c r="E219" s="559">
        <f>G219-F219</f>
        <v>284984.19636021508</v>
      </c>
      <c r="F219" s="559">
        <f>C219*(D219/1.19)</f>
        <v>1499916.8229485005</v>
      </c>
      <c r="G219" s="560">
        <f>+C219*(D219)</f>
        <v>1784901.0193087156</v>
      </c>
      <c r="H219" s="518"/>
    </row>
    <row r="220" spans="1:12">
      <c r="A220" s="555"/>
      <c r="B220" s="556"/>
      <c r="C220" s="557"/>
      <c r="D220" s="559"/>
      <c r="E220" s="559"/>
      <c r="F220" s="559"/>
      <c r="G220" s="564"/>
      <c r="H220" s="518"/>
    </row>
    <row r="221" spans="1:12">
      <c r="A221" s="519" t="s">
        <v>141</v>
      </c>
      <c r="B221" s="520" t="s">
        <v>70</v>
      </c>
      <c r="C221" s="525">
        <v>2</v>
      </c>
      <c r="D221" s="526">
        <f>'Actualizacion de precios'!C26</f>
        <v>2800</v>
      </c>
      <c r="E221" s="526">
        <f>G221-F221</f>
        <v>894.11764705882342</v>
      </c>
      <c r="F221" s="526">
        <f>+C221*D221/1.19</f>
        <v>4705.8823529411766</v>
      </c>
      <c r="G221" s="561">
        <f>+C221*(D221)</f>
        <v>5600</v>
      </c>
      <c r="H221" s="518"/>
    </row>
    <row r="222" spans="1:12">
      <c r="A222" s="519" t="s">
        <v>151</v>
      </c>
      <c r="B222" s="520" t="s">
        <v>70</v>
      </c>
      <c r="C222" s="525">
        <v>1</v>
      </c>
      <c r="D222" s="506">
        <f>'Actualizacion de precios'!C37</f>
        <v>4693</v>
      </c>
      <c r="E222" s="526">
        <f>G222-F222</f>
        <v>749.30252100840335</v>
      </c>
      <c r="F222" s="526">
        <f>+C222*D222/1.19</f>
        <v>3943.6974789915967</v>
      </c>
      <c r="G222" s="561">
        <f>+C222*(D222)</f>
        <v>4693</v>
      </c>
      <c r="H222" s="518"/>
    </row>
    <row r="223" spans="1:12">
      <c r="A223" s="536" t="s">
        <v>143</v>
      </c>
      <c r="B223" s="477" t="s">
        <v>70</v>
      </c>
      <c r="C223" s="525">
        <v>1</v>
      </c>
      <c r="D223" s="603">
        <f>'Salarios y transporte'!C28</f>
        <v>166359.82516363639</v>
      </c>
      <c r="E223" s="527"/>
      <c r="F223" s="526">
        <f>+D223/C223</f>
        <v>166359.82516363639</v>
      </c>
      <c r="G223" s="561">
        <f>+D223/C223</f>
        <v>166359.82516363639</v>
      </c>
      <c r="H223" s="518"/>
    </row>
    <row r="224" spans="1:12">
      <c r="A224" s="397" t="s">
        <v>335</v>
      </c>
      <c r="B224" s="477"/>
      <c r="C224" s="525"/>
      <c r="D224" s="526"/>
      <c r="E224" s="527"/>
      <c r="F224" s="398">
        <f>SUM(F219:F223)</f>
        <v>1674926.2279440698</v>
      </c>
      <c r="G224" s="399">
        <f>SUM(G219:G223)</f>
        <v>1961553.8444723519</v>
      </c>
      <c r="H224" s="518"/>
      <c r="I224" s="557">
        <f>'ppto sistema septico'!V32</f>
        <v>0</v>
      </c>
      <c r="J224" s="547">
        <f>I224*(F219+F222+F221)</f>
        <v>0</v>
      </c>
      <c r="K224" s="547">
        <f>I224*(G219+G221+G222)</f>
        <v>0</v>
      </c>
      <c r="L224" s="496">
        <f>K224-J224</f>
        <v>0</v>
      </c>
    </row>
    <row r="225" spans="1:12">
      <c r="A225" s="536" t="s">
        <v>135</v>
      </c>
      <c r="B225" s="477" t="s">
        <v>145</v>
      </c>
      <c r="C225" s="521">
        <v>2</v>
      </c>
      <c r="D225" s="522">
        <f>'Salarios y transporte'!C2</f>
        <v>127905</v>
      </c>
      <c r="E225" s="523"/>
      <c r="F225" s="522">
        <f>+D225/C225</f>
        <v>63952.5</v>
      </c>
      <c r="G225" s="524">
        <f>+D225/C225</f>
        <v>63952.5</v>
      </c>
      <c r="H225" s="518"/>
    </row>
    <row r="226" spans="1:12">
      <c r="A226" s="519" t="s">
        <v>111</v>
      </c>
      <c r="B226" s="477" t="s">
        <v>112</v>
      </c>
      <c r="C226" s="478">
        <v>0.05</v>
      </c>
      <c r="D226" s="526">
        <f>+G225</f>
        <v>63952.5</v>
      </c>
      <c r="E226" s="527"/>
      <c r="F226" s="526">
        <f>+D226*C226</f>
        <v>3197.625</v>
      </c>
      <c r="G226" s="528">
        <f>+D226*C226</f>
        <v>3197.625</v>
      </c>
      <c r="H226" s="518"/>
    </row>
    <row r="227" spans="1:12" ht="13.5" thickBot="1">
      <c r="A227" s="400" t="s">
        <v>73</v>
      </c>
      <c r="B227" s="477"/>
      <c r="C227" s="478"/>
      <c r="D227" s="529"/>
      <c r="E227" s="530"/>
      <c r="F227" s="529">
        <f>SUM(F225:F226)</f>
        <v>67150.125</v>
      </c>
      <c r="G227" s="529">
        <f>SUM(G225:G226)</f>
        <v>67150.125</v>
      </c>
      <c r="H227" s="518"/>
    </row>
    <row r="228" spans="1:12" ht="14.25" thickTop="1" thickBot="1">
      <c r="A228" s="402" t="s">
        <v>136</v>
      </c>
      <c r="B228" s="531"/>
      <c r="C228" s="532"/>
      <c r="D228" s="533"/>
      <c r="E228" s="534"/>
      <c r="F228" s="384">
        <f>F224+F225+F226</f>
        <v>1742076.3529440698</v>
      </c>
      <c r="G228" s="385">
        <f>G224+G225+G226</f>
        <v>2028703.9694723519</v>
      </c>
      <c r="H228" s="518"/>
    </row>
    <row r="229" spans="1:12" ht="93" customHeight="1" thickTop="1">
      <c r="A229" s="1170" t="s">
        <v>719</v>
      </c>
      <c r="B229" s="1171"/>
      <c r="C229" s="1171"/>
      <c r="D229" s="1171"/>
      <c r="E229" s="1171"/>
      <c r="F229" s="1171"/>
      <c r="G229" s="1172"/>
      <c r="H229" s="518"/>
      <c r="I229" s="496"/>
    </row>
    <row r="230" spans="1:12" ht="71.099999999999994" customHeight="1">
      <c r="A230" s="555" t="s">
        <v>720</v>
      </c>
      <c r="B230" s="556" t="s">
        <v>70</v>
      </c>
      <c r="C230" s="557">
        <v>1</v>
      </c>
      <c r="D230" s="558">
        <f>+'VALOR UNITARIO SS Y TG'!C11</f>
        <v>19893569.743289504</v>
      </c>
      <c r="E230" s="559">
        <f>G230-F230</f>
        <v>3176284.2447268944</v>
      </c>
      <c r="F230" s="559">
        <f>C230*(D230/1.19)</f>
        <v>16717285.49856261</v>
      </c>
      <c r="G230" s="560">
        <f>+C230*(D230)</f>
        <v>19893569.743289504</v>
      </c>
      <c r="H230" s="518"/>
      <c r="I230" s="565">
        <f>+'ppto sistema septico'!V33</f>
        <v>0</v>
      </c>
      <c r="J230" s="547">
        <f>I230*(F230+F233+F231)</f>
        <v>0</v>
      </c>
      <c r="K230" s="547">
        <f>I230*(G230+G233+G231)</f>
        <v>0</v>
      </c>
      <c r="L230" s="496">
        <f>K230-J230</f>
        <v>0</v>
      </c>
    </row>
    <row r="231" spans="1:12" ht="13.5" customHeight="1">
      <c r="A231" s="536" t="s">
        <v>121</v>
      </c>
      <c r="B231" s="477" t="s">
        <v>68</v>
      </c>
      <c r="C231" s="525">
        <v>1</v>
      </c>
      <c r="D231" s="593">
        <f>'Actualizacion de precios'!C31</f>
        <v>15121.5</v>
      </c>
      <c r="E231" s="559">
        <f>G231-F231</f>
        <v>2414.3571428571431</v>
      </c>
      <c r="F231" s="559">
        <f>C231*(D231/1.19)</f>
        <v>12707.142857142857</v>
      </c>
      <c r="G231" s="564">
        <f>+C231*(D231)</f>
        <v>15121.5</v>
      </c>
      <c r="H231" s="518"/>
      <c r="I231" s="496"/>
    </row>
    <row r="232" spans="1:12" ht="13.5" customHeight="1">
      <c r="A232" s="519" t="s">
        <v>141</v>
      </c>
      <c r="B232" s="520" t="s">
        <v>70</v>
      </c>
      <c r="C232" s="525">
        <v>2</v>
      </c>
      <c r="D232" s="506">
        <v>0</v>
      </c>
      <c r="E232" s="559">
        <f>G232-F232</f>
        <v>0</v>
      </c>
      <c r="F232" s="559">
        <f>C232*(D232/1.19)</f>
        <v>0</v>
      </c>
      <c r="G232" s="564">
        <f>+C232*(D232)</f>
        <v>0</v>
      </c>
      <c r="H232" s="518"/>
      <c r="I232" s="496"/>
    </row>
    <row r="233" spans="1:12" ht="13.5" customHeight="1">
      <c r="A233" s="519" t="s">
        <v>236</v>
      </c>
      <c r="B233" s="520" t="s">
        <v>70</v>
      </c>
      <c r="C233" s="525">
        <v>1</v>
      </c>
      <c r="D233" s="506">
        <f>'Actualizacion de precios'!C12</f>
        <v>12061</v>
      </c>
      <c r="E233" s="559">
        <f>G233-F233</f>
        <v>1925.7058823529405</v>
      </c>
      <c r="F233" s="559">
        <f>C233*(D233/1.19)</f>
        <v>10135.294117647059</v>
      </c>
      <c r="G233" s="564">
        <f>+C233*(D233)</f>
        <v>12061</v>
      </c>
      <c r="H233" s="518"/>
      <c r="I233" s="496"/>
    </row>
    <row r="234" spans="1:12" ht="13.5" customHeight="1">
      <c r="A234" s="536" t="s">
        <v>142</v>
      </c>
      <c r="B234" s="477" t="s">
        <v>70</v>
      </c>
      <c r="C234" s="478">
        <v>2</v>
      </c>
      <c r="D234" s="506">
        <f>+'Actualizacion de precios'!C15</f>
        <v>0</v>
      </c>
      <c r="E234" s="559">
        <f>G234-F234</f>
        <v>0</v>
      </c>
      <c r="F234" s="559">
        <f>C234*(D234/1.19)</f>
        <v>0</v>
      </c>
      <c r="G234" s="564">
        <f>+C234*(D234)</f>
        <v>0</v>
      </c>
      <c r="H234" s="518"/>
      <c r="I234" s="496"/>
    </row>
    <row r="235" spans="1:12" ht="13.5" customHeight="1">
      <c r="A235" s="536" t="s">
        <v>143</v>
      </c>
      <c r="B235" s="477" t="s">
        <v>70</v>
      </c>
      <c r="C235" s="525">
        <v>1</v>
      </c>
      <c r="D235" s="603" t="str">
        <f>'Salarios y transporte'!I26</f>
        <v>0</v>
      </c>
      <c r="E235" s="527"/>
      <c r="F235" s="526">
        <f>+D235/C235</f>
        <v>0</v>
      </c>
      <c r="G235" s="561">
        <f>+D235/C235</f>
        <v>0</v>
      </c>
      <c r="H235" s="518"/>
      <c r="I235" s="496"/>
    </row>
    <row r="236" spans="1:12" ht="13.5" customHeight="1">
      <c r="A236" s="536" t="s">
        <v>144</v>
      </c>
      <c r="B236" s="477" t="s">
        <v>145</v>
      </c>
      <c r="C236" s="521">
        <v>0.3</v>
      </c>
      <c r="D236" s="522">
        <f>+'Salarios y transporte'!C6</f>
        <v>261301</v>
      </c>
      <c r="E236" s="523"/>
      <c r="F236" s="522">
        <f>+D236/C236</f>
        <v>871003.33333333337</v>
      </c>
      <c r="G236" s="524">
        <f>+D236/C236</f>
        <v>871003.33333333337</v>
      </c>
      <c r="H236" s="518"/>
      <c r="I236" s="496"/>
    </row>
    <row r="237" spans="1:12" ht="13.5" customHeight="1">
      <c r="A237" s="519" t="s">
        <v>111</v>
      </c>
      <c r="B237" s="477" t="s">
        <v>112</v>
      </c>
      <c r="C237" s="478">
        <v>0.05</v>
      </c>
      <c r="D237" s="526">
        <f>+G236</f>
        <v>871003.33333333337</v>
      </c>
      <c r="E237" s="527"/>
      <c r="F237" s="526">
        <f>+D237*C237</f>
        <v>43550.166666666672</v>
      </c>
      <c r="G237" s="528">
        <f>+D237*C237</f>
        <v>43550.166666666672</v>
      </c>
      <c r="H237" s="518"/>
      <c r="I237" s="496"/>
    </row>
    <row r="238" spans="1:12" ht="13.5" customHeight="1" thickBot="1">
      <c r="A238" s="536"/>
      <c r="B238" s="477"/>
      <c r="C238" s="478"/>
      <c r="D238" s="529"/>
      <c r="E238" s="530"/>
      <c r="F238" s="529"/>
      <c r="G238" s="382"/>
      <c r="H238" s="518"/>
      <c r="I238" s="496"/>
    </row>
    <row r="239" spans="1:12" ht="13.5" customHeight="1" thickTop="1" thickBot="1">
      <c r="A239" s="383" t="s">
        <v>146</v>
      </c>
      <c r="B239" s="531"/>
      <c r="C239" s="532"/>
      <c r="D239" s="533"/>
      <c r="E239" s="534"/>
      <c r="F239" s="384">
        <f>SUM(F230:F238)</f>
        <v>17654681.435537402</v>
      </c>
      <c r="G239" s="385">
        <f>SUM(G230:G238)</f>
        <v>20835305.743289504</v>
      </c>
      <c r="H239" s="518"/>
      <c r="I239" s="496"/>
    </row>
    <row r="240" spans="1:12" ht="13.5" customHeight="1" thickTop="1" thickBot="1">
      <c r="A240" s="386"/>
      <c r="B240" s="520"/>
      <c r="C240" s="525"/>
      <c r="D240" s="529"/>
      <c r="E240" s="530"/>
      <c r="F240" s="389"/>
      <c r="G240" s="396"/>
      <c r="H240" s="518"/>
      <c r="I240" s="496"/>
    </row>
    <row r="241" spans="1:12" ht="36.6" customHeight="1" thickTop="1">
      <c r="A241" s="1161" t="s">
        <v>580</v>
      </c>
      <c r="B241" s="1162"/>
      <c r="C241" s="1162"/>
      <c r="D241" s="1162"/>
      <c r="E241" s="1162"/>
      <c r="F241" s="1162"/>
      <c r="G241" s="1163"/>
      <c r="H241" s="518"/>
    </row>
    <row r="242" spans="1:12" ht="38.25">
      <c r="A242" s="555" t="s">
        <v>583</v>
      </c>
      <c r="B242" s="556" t="s">
        <v>70</v>
      </c>
      <c r="C242" s="557">
        <v>1</v>
      </c>
      <c r="D242" s="558">
        <f>'VALOR UNITARIO SS Y TG'!C25</f>
        <v>2756556.761526796</v>
      </c>
      <c r="E242" s="559">
        <f>G242-F242</f>
        <v>440122.50814293372</v>
      </c>
      <c r="F242" s="559">
        <f>C242*(D242/1.19)</f>
        <v>2316434.2533838623</v>
      </c>
      <c r="G242" s="560">
        <f>+C242*(D242)</f>
        <v>2756556.761526796</v>
      </c>
      <c r="H242" s="518"/>
    </row>
    <row r="243" spans="1:12">
      <c r="A243" s="555"/>
      <c r="B243" s="556"/>
      <c r="C243" s="557"/>
      <c r="D243" s="559"/>
      <c r="E243" s="559"/>
      <c r="F243" s="559"/>
      <c r="G243" s="564"/>
      <c r="H243" s="518"/>
    </row>
    <row r="244" spans="1:12">
      <c r="A244" s="519" t="s">
        <v>141</v>
      </c>
      <c r="B244" s="520" t="s">
        <v>70</v>
      </c>
      <c r="C244" s="525">
        <v>2</v>
      </c>
      <c r="D244" s="526">
        <f>'Actualizacion de precios'!C26</f>
        <v>2800</v>
      </c>
      <c r="E244" s="526">
        <f>G244-F244</f>
        <v>894.11764705882342</v>
      </c>
      <c r="F244" s="526">
        <f>+C244*D244/1.19</f>
        <v>4705.8823529411766</v>
      </c>
      <c r="G244" s="561">
        <f>+C244*(D244)</f>
        <v>5600</v>
      </c>
      <c r="H244" s="518"/>
    </row>
    <row r="245" spans="1:12">
      <c r="A245" s="519" t="s">
        <v>151</v>
      </c>
      <c r="B245" s="520" t="s">
        <v>70</v>
      </c>
      <c r="C245" s="525">
        <v>1</v>
      </c>
      <c r="D245" s="506">
        <f>'Actualizacion de precios'!C37</f>
        <v>4693</v>
      </c>
      <c r="E245" s="526">
        <f>G245-F245</f>
        <v>749.30252100840335</v>
      </c>
      <c r="F245" s="526">
        <f>+C245*D245/1.19</f>
        <v>3943.6974789915967</v>
      </c>
      <c r="G245" s="561">
        <f>+C245*(D245)</f>
        <v>4693</v>
      </c>
      <c r="H245" s="518"/>
    </row>
    <row r="246" spans="1:12">
      <c r="A246" s="536" t="s">
        <v>143</v>
      </c>
      <c r="B246" s="477" t="s">
        <v>70</v>
      </c>
      <c r="C246" s="525">
        <v>1</v>
      </c>
      <c r="D246" s="603">
        <f>'Salarios y transporte'!C28</f>
        <v>166359.82516363639</v>
      </c>
      <c r="E246" s="527"/>
      <c r="F246" s="526">
        <f>+D246/C246</f>
        <v>166359.82516363639</v>
      </c>
      <c r="G246" s="561">
        <f>+D246/C246</f>
        <v>166359.82516363639</v>
      </c>
      <c r="H246" s="518"/>
    </row>
    <row r="247" spans="1:12">
      <c r="A247" s="397" t="s">
        <v>335</v>
      </c>
      <c r="B247" s="477"/>
      <c r="C247" s="525"/>
      <c r="D247" s="526"/>
      <c r="E247" s="527"/>
      <c r="F247" s="398">
        <f>SUM(F242:F246)</f>
        <v>2491443.6583794313</v>
      </c>
      <c r="G247" s="399">
        <f>SUM(G242:G246)</f>
        <v>2933209.5866904324</v>
      </c>
      <c r="H247" s="518"/>
      <c r="I247" s="557">
        <f>'ppto sistema septico'!V34</f>
        <v>0</v>
      </c>
      <c r="J247" s="547">
        <f>I247*(F242+F245+F244)</f>
        <v>0</v>
      </c>
      <c r="K247" s="547">
        <f>I247*(G242+G244+G245)</f>
        <v>0</v>
      </c>
      <c r="L247" s="496">
        <f>K247-J247</f>
        <v>0</v>
      </c>
    </row>
    <row r="248" spans="1:12">
      <c r="A248" s="536" t="s">
        <v>135</v>
      </c>
      <c r="B248" s="477" t="s">
        <v>145</v>
      </c>
      <c r="C248" s="521">
        <v>2</v>
      </c>
      <c r="D248" s="522">
        <f>'Salarios y transporte'!C2</f>
        <v>127905</v>
      </c>
      <c r="E248" s="523"/>
      <c r="F248" s="522">
        <f>+D248/C248</f>
        <v>63952.5</v>
      </c>
      <c r="G248" s="524">
        <f>+D248/C248</f>
        <v>63952.5</v>
      </c>
      <c r="H248" s="518"/>
    </row>
    <row r="249" spans="1:12">
      <c r="A249" s="519" t="s">
        <v>111</v>
      </c>
      <c r="B249" s="477" t="s">
        <v>112</v>
      </c>
      <c r="C249" s="478">
        <v>0.05</v>
      </c>
      <c r="D249" s="526">
        <f>+G248</f>
        <v>63952.5</v>
      </c>
      <c r="E249" s="527"/>
      <c r="F249" s="526">
        <f>+D249*C249</f>
        <v>3197.625</v>
      </c>
      <c r="G249" s="528">
        <f>+D249*C249</f>
        <v>3197.625</v>
      </c>
      <c r="H249" s="518"/>
    </row>
    <row r="250" spans="1:12" ht="13.5" thickBot="1">
      <c r="A250" s="400" t="s">
        <v>73</v>
      </c>
      <c r="B250" s="477"/>
      <c r="C250" s="478"/>
      <c r="D250" s="529"/>
      <c r="E250" s="530"/>
      <c r="F250" s="529">
        <f>SUM(F248:F249)</f>
        <v>67150.125</v>
      </c>
      <c r="G250" s="529">
        <f>SUM(G248:G249)</f>
        <v>67150.125</v>
      </c>
      <c r="H250" s="518"/>
    </row>
    <row r="251" spans="1:12" ht="14.25" thickTop="1" thickBot="1">
      <c r="A251" s="402" t="s">
        <v>136</v>
      </c>
      <c r="B251" s="531"/>
      <c r="C251" s="532"/>
      <c r="D251" s="533"/>
      <c r="E251" s="534"/>
      <c r="F251" s="384">
        <f>F247+F248+F249</f>
        <v>2558593.7833794313</v>
      </c>
      <c r="G251" s="385">
        <f>G247+G248+G249</f>
        <v>3000359.7116904324</v>
      </c>
      <c r="H251" s="518"/>
    </row>
    <row r="252" spans="1:12" ht="13.5" customHeight="1" thickTop="1" thickBot="1">
      <c r="A252" s="386"/>
      <c r="B252" s="520"/>
      <c r="C252" s="525"/>
      <c r="D252" s="529"/>
      <c r="E252" s="530"/>
      <c r="F252" s="389"/>
      <c r="G252" s="396"/>
      <c r="H252" s="518"/>
      <c r="I252" s="496"/>
    </row>
    <row r="253" spans="1:12" ht="93" customHeight="1" thickTop="1">
      <c r="A253" s="1170" t="s">
        <v>721</v>
      </c>
      <c r="B253" s="1171"/>
      <c r="C253" s="1171"/>
      <c r="D253" s="1171"/>
      <c r="E253" s="1171"/>
      <c r="F253" s="1171"/>
      <c r="G253" s="1172"/>
      <c r="H253" s="518"/>
      <c r="I253" s="496"/>
    </row>
    <row r="254" spans="1:12" ht="85.5" customHeight="1">
      <c r="A254" s="555" t="s">
        <v>722</v>
      </c>
      <c r="B254" s="556" t="s">
        <v>70</v>
      </c>
      <c r="C254" s="557">
        <v>1</v>
      </c>
      <c r="D254" s="558">
        <f>+'VALOR UNITARIO SS Y TG'!C12</f>
        <v>25060551.662085772</v>
      </c>
      <c r="E254" s="559">
        <f>G254-F254</f>
        <v>4001264.5510893241</v>
      </c>
      <c r="F254" s="559">
        <f>C254*(D254/1.19)</f>
        <v>21059287.110996448</v>
      </c>
      <c r="G254" s="560">
        <f>+C254*(D254)</f>
        <v>25060551.662085772</v>
      </c>
      <c r="H254" s="518"/>
      <c r="I254" s="565">
        <f>+'ppto sistema septico'!V35</f>
        <v>0</v>
      </c>
      <c r="J254" s="547">
        <f>I254*(F254+F257)</f>
        <v>0</v>
      </c>
      <c r="K254" s="566">
        <f>I254*(G254+G257)</f>
        <v>0</v>
      </c>
      <c r="L254" s="496">
        <f>K254-J254</f>
        <v>0</v>
      </c>
    </row>
    <row r="255" spans="1:12" ht="13.5" customHeight="1">
      <c r="A255" s="536" t="s">
        <v>121</v>
      </c>
      <c r="B255" s="477" t="s">
        <v>68</v>
      </c>
      <c r="C255" s="525">
        <v>1</v>
      </c>
      <c r="D255" s="593">
        <f>'Actualizacion de precios'!C31</f>
        <v>15121.5</v>
      </c>
      <c r="E255" s="559">
        <f>G255-F255</f>
        <v>2414.3571428571431</v>
      </c>
      <c r="F255" s="559">
        <f>C255*(D255/1.19)</f>
        <v>12707.142857142857</v>
      </c>
      <c r="G255" s="564">
        <f>+C255*(D255)</f>
        <v>15121.5</v>
      </c>
      <c r="H255" s="518"/>
      <c r="I255" s="496"/>
    </row>
    <row r="256" spans="1:12" ht="13.5" customHeight="1">
      <c r="A256" s="519" t="s">
        <v>141</v>
      </c>
      <c r="B256" s="520" t="s">
        <v>70</v>
      </c>
      <c r="C256" s="525">
        <v>2</v>
      </c>
      <c r="D256" s="506">
        <v>0</v>
      </c>
      <c r="E256" s="559">
        <f>G256-F256</f>
        <v>0</v>
      </c>
      <c r="F256" s="559">
        <f>C256*(D256/1.19)</f>
        <v>0</v>
      </c>
      <c r="G256" s="564">
        <f>+C256*(D256)</f>
        <v>0</v>
      </c>
      <c r="H256" s="518"/>
      <c r="I256" s="496"/>
    </row>
    <row r="257" spans="1:12" ht="13.5" customHeight="1">
      <c r="A257" s="519" t="s">
        <v>236</v>
      </c>
      <c r="B257" s="520" t="s">
        <v>70</v>
      </c>
      <c r="C257" s="525">
        <v>1</v>
      </c>
      <c r="D257" s="506">
        <f>'Actualizacion de precios'!C12</f>
        <v>12061</v>
      </c>
      <c r="E257" s="559">
        <f>G257-F257</f>
        <v>1925.7058823529405</v>
      </c>
      <c r="F257" s="559">
        <f>C257*(D257/1.19)</f>
        <v>10135.294117647059</v>
      </c>
      <c r="G257" s="564">
        <f>+C257*(D257)</f>
        <v>12061</v>
      </c>
      <c r="H257" s="518"/>
      <c r="I257" s="496"/>
    </row>
    <row r="258" spans="1:12" ht="13.5" customHeight="1">
      <c r="A258" s="536" t="s">
        <v>142</v>
      </c>
      <c r="B258" s="477" t="s">
        <v>70</v>
      </c>
      <c r="C258" s="478">
        <v>2</v>
      </c>
      <c r="D258" s="506">
        <f>+'Actualizacion de precios'!C15</f>
        <v>0</v>
      </c>
      <c r="E258" s="559">
        <f>G258-F258</f>
        <v>0</v>
      </c>
      <c r="F258" s="559">
        <f>C258*(D258/1.19)</f>
        <v>0</v>
      </c>
      <c r="G258" s="564">
        <f>+C258*(D258)</f>
        <v>0</v>
      </c>
      <c r="H258" s="518"/>
      <c r="I258" s="496"/>
    </row>
    <row r="259" spans="1:12" ht="13.5" customHeight="1">
      <c r="A259" s="536" t="s">
        <v>143</v>
      </c>
      <c r="B259" s="477" t="s">
        <v>70</v>
      </c>
      <c r="C259" s="525">
        <v>1</v>
      </c>
      <c r="D259" s="603" t="str">
        <f>'Salarios y transporte'!J26</f>
        <v>0</v>
      </c>
      <c r="E259" s="527"/>
      <c r="F259" s="526">
        <f>+D259/C259</f>
        <v>0</v>
      </c>
      <c r="G259" s="561">
        <f>+D259/C259</f>
        <v>0</v>
      </c>
      <c r="H259" s="518"/>
      <c r="I259" s="496"/>
    </row>
    <row r="260" spans="1:12" ht="13.5" customHeight="1">
      <c r="A260" s="536" t="s">
        <v>144</v>
      </c>
      <c r="B260" s="477" t="s">
        <v>145</v>
      </c>
      <c r="C260" s="521">
        <v>0.3</v>
      </c>
      <c r="D260" s="522">
        <f>+'Salarios y transporte'!C6</f>
        <v>261301</v>
      </c>
      <c r="E260" s="523"/>
      <c r="F260" s="522">
        <f>+D260/C260</f>
        <v>871003.33333333337</v>
      </c>
      <c r="G260" s="524">
        <f>+D260/C260</f>
        <v>871003.33333333337</v>
      </c>
      <c r="H260" s="518"/>
      <c r="I260" s="496"/>
    </row>
    <row r="261" spans="1:12" ht="13.5" customHeight="1">
      <c r="A261" s="519" t="s">
        <v>111</v>
      </c>
      <c r="B261" s="477" t="s">
        <v>112</v>
      </c>
      <c r="C261" s="478">
        <v>0.05</v>
      </c>
      <c r="D261" s="526">
        <f>+G260</f>
        <v>871003.33333333337</v>
      </c>
      <c r="E261" s="527"/>
      <c r="F261" s="526">
        <f>+D261*C261</f>
        <v>43550.166666666672</v>
      </c>
      <c r="G261" s="528">
        <f>+D261*C261</f>
        <v>43550.166666666672</v>
      </c>
      <c r="H261" s="518"/>
      <c r="I261" s="496"/>
    </row>
    <row r="262" spans="1:12" ht="13.5" customHeight="1" thickBot="1">
      <c r="A262" s="536"/>
      <c r="B262" s="477"/>
      <c r="C262" s="478"/>
      <c r="D262" s="529"/>
      <c r="E262" s="530"/>
      <c r="F262" s="529"/>
      <c r="G262" s="382"/>
      <c r="H262" s="518"/>
      <c r="I262" s="496"/>
    </row>
    <row r="263" spans="1:12" ht="13.5" customHeight="1" thickTop="1" thickBot="1">
      <c r="A263" s="383" t="s">
        <v>146</v>
      </c>
      <c r="B263" s="531"/>
      <c r="C263" s="532"/>
      <c r="D263" s="533"/>
      <c r="E263" s="534"/>
      <c r="F263" s="384">
        <f>SUM(F254:F262)</f>
        <v>21996683.047971237</v>
      </c>
      <c r="G263" s="385">
        <f>SUM(G254:G262)</f>
        <v>26002287.662085772</v>
      </c>
      <c r="H263" s="518"/>
      <c r="I263" s="496"/>
    </row>
    <row r="264" spans="1:12" ht="13.5" customHeight="1" thickTop="1" thickBot="1">
      <c r="A264" s="386"/>
      <c r="B264" s="520"/>
      <c r="C264" s="525"/>
      <c r="D264" s="529"/>
      <c r="E264" s="530"/>
      <c r="F264" s="389"/>
      <c r="G264" s="609"/>
      <c r="H264" s="518"/>
      <c r="I264" s="496"/>
    </row>
    <row r="265" spans="1:12" ht="36.6" customHeight="1" thickTop="1">
      <c r="A265" s="1161" t="s">
        <v>581</v>
      </c>
      <c r="B265" s="1162"/>
      <c r="C265" s="1162"/>
      <c r="D265" s="1162"/>
      <c r="E265" s="1162"/>
      <c r="F265" s="1162"/>
      <c r="G265" s="1163"/>
      <c r="H265" s="518"/>
    </row>
    <row r="266" spans="1:12" ht="38.25">
      <c r="A266" s="555" t="s">
        <v>582</v>
      </c>
      <c r="B266" s="556" t="s">
        <v>70</v>
      </c>
      <c r="C266" s="557">
        <v>1</v>
      </c>
      <c r="D266" s="558">
        <f>'VALOR UNITARIO SS Y TG'!C26</f>
        <v>3586383.8091833587</v>
      </c>
      <c r="E266" s="559">
        <f>G266-F266</f>
        <v>572615.9023065865</v>
      </c>
      <c r="F266" s="559">
        <f>C266*(D266/1.19)</f>
        <v>3013767.9068767722</v>
      </c>
      <c r="G266" s="560">
        <f>+C266*(D266)</f>
        <v>3586383.8091833587</v>
      </c>
      <c r="H266" s="518"/>
    </row>
    <row r="267" spans="1:12">
      <c r="A267" s="555"/>
      <c r="B267" s="556"/>
      <c r="C267" s="557"/>
      <c r="D267" s="559"/>
      <c r="E267" s="559"/>
      <c r="F267" s="559"/>
      <c r="G267" s="564"/>
      <c r="H267" s="518"/>
    </row>
    <row r="268" spans="1:12">
      <c r="A268" s="519" t="s">
        <v>141</v>
      </c>
      <c r="B268" s="520" t="s">
        <v>70</v>
      </c>
      <c r="C268" s="525">
        <v>2</v>
      </c>
      <c r="D268" s="526">
        <f>'Actualizacion de precios'!C26</f>
        <v>2800</v>
      </c>
      <c r="E268" s="526">
        <f>G268-F268</f>
        <v>894.11764705882342</v>
      </c>
      <c r="F268" s="526">
        <f>+C268*D268/1.19</f>
        <v>4705.8823529411766</v>
      </c>
      <c r="G268" s="561">
        <f>+C268*(D268)</f>
        <v>5600</v>
      </c>
      <c r="H268" s="518"/>
    </row>
    <row r="269" spans="1:12">
      <c r="A269" s="519" t="s">
        <v>151</v>
      </c>
      <c r="B269" s="520" t="s">
        <v>70</v>
      </c>
      <c r="C269" s="525">
        <v>1</v>
      </c>
      <c r="D269" s="506">
        <f>'Actualizacion de precios'!C37</f>
        <v>4693</v>
      </c>
      <c r="E269" s="526">
        <f>G269-F269</f>
        <v>749.30252100840335</v>
      </c>
      <c r="F269" s="526">
        <f>+C269*D269/1.19</f>
        <v>3943.6974789915967</v>
      </c>
      <c r="G269" s="561">
        <f>+C269*(D269)</f>
        <v>4693</v>
      </c>
      <c r="H269" s="518"/>
    </row>
    <row r="270" spans="1:12">
      <c r="A270" s="536" t="s">
        <v>143</v>
      </c>
      <c r="B270" s="477" t="s">
        <v>70</v>
      </c>
      <c r="C270" s="525">
        <v>1</v>
      </c>
      <c r="D270" s="603">
        <f>'Salarios y transporte'!C28</f>
        <v>166359.82516363639</v>
      </c>
      <c r="E270" s="527"/>
      <c r="F270" s="526">
        <f>+D270/C270</f>
        <v>166359.82516363639</v>
      </c>
      <c r="G270" s="561">
        <f>+D270/C270</f>
        <v>166359.82516363639</v>
      </c>
      <c r="H270" s="518"/>
    </row>
    <row r="271" spans="1:12">
      <c r="A271" s="397" t="s">
        <v>335</v>
      </c>
      <c r="B271" s="477"/>
      <c r="C271" s="525"/>
      <c r="D271" s="526"/>
      <c r="E271" s="527"/>
      <c r="F271" s="398">
        <f>SUM(F266:F270)</f>
        <v>3188777.3118723412</v>
      </c>
      <c r="G271" s="399">
        <f>SUM(G266:G270)</f>
        <v>3763036.634346995</v>
      </c>
      <c r="H271" s="518"/>
    </row>
    <row r="272" spans="1:12">
      <c r="A272" s="536" t="s">
        <v>135</v>
      </c>
      <c r="B272" s="477" t="s">
        <v>145</v>
      </c>
      <c r="C272" s="521">
        <v>2</v>
      </c>
      <c r="D272" s="522">
        <f>'Salarios y transporte'!C2</f>
        <v>127905</v>
      </c>
      <c r="E272" s="523"/>
      <c r="F272" s="522">
        <f>+D272/C272</f>
        <v>63952.5</v>
      </c>
      <c r="G272" s="524">
        <f>+D272/C272</f>
        <v>63952.5</v>
      </c>
      <c r="H272" s="518"/>
      <c r="I272" s="557">
        <f>'ppto sistema septico'!V36</f>
        <v>0</v>
      </c>
      <c r="J272" s="547">
        <f>I272*(F266+F268+F269)</f>
        <v>0</v>
      </c>
      <c r="K272" s="547">
        <f>I272*(G266+G268+G269)</f>
        <v>0</v>
      </c>
      <c r="L272" s="496">
        <f>K272-J272</f>
        <v>0</v>
      </c>
    </row>
    <row r="273" spans="1:12">
      <c r="A273" s="519" t="s">
        <v>111</v>
      </c>
      <c r="B273" s="477" t="s">
        <v>112</v>
      </c>
      <c r="C273" s="478">
        <v>0.05</v>
      </c>
      <c r="D273" s="526">
        <f>+G272</f>
        <v>63952.5</v>
      </c>
      <c r="E273" s="527"/>
      <c r="F273" s="526">
        <f>+D273*C273</f>
        <v>3197.625</v>
      </c>
      <c r="G273" s="528">
        <f>+D273*C273</f>
        <v>3197.625</v>
      </c>
      <c r="H273" s="518"/>
    </row>
    <row r="274" spans="1:12" ht="13.5" thickBot="1">
      <c r="A274" s="400" t="s">
        <v>73</v>
      </c>
      <c r="B274" s="477"/>
      <c r="C274" s="478"/>
      <c r="D274" s="529"/>
      <c r="E274" s="530"/>
      <c r="F274" s="529">
        <f>SUM(F272:F273)</f>
        <v>67150.125</v>
      </c>
      <c r="G274" s="529">
        <f>SUM(G272:G273)</f>
        <v>67150.125</v>
      </c>
      <c r="H274" s="518"/>
    </row>
    <row r="275" spans="1:12" ht="14.25" thickTop="1" thickBot="1">
      <c r="A275" s="402" t="s">
        <v>136</v>
      </c>
      <c r="B275" s="531"/>
      <c r="C275" s="532"/>
      <c r="D275" s="533"/>
      <c r="E275" s="534"/>
      <c r="F275" s="384">
        <f>F271+F272+F273</f>
        <v>3255927.4368723412</v>
      </c>
      <c r="G275" s="385">
        <f>G271+G272+G273</f>
        <v>3830186.759346995</v>
      </c>
      <c r="H275" s="518"/>
    </row>
    <row r="276" spans="1:12" ht="13.5" customHeight="1" thickTop="1" thickBot="1">
      <c r="A276" s="386"/>
      <c r="B276" s="520"/>
      <c r="C276" s="525"/>
      <c r="D276" s="529"/>
      <c r="E276" s="530"/>
      <c r="F276" s="389"/>
      <c r="G276" s="396"/>
      <c r="H276" s="518"/>
      <c r="K276" s="395"/>
    </row>
    <row r="277" spans="1:12" ht="33" customHeight="1" thickTop="1">
      <c r="A277" s="1170" t="s">
        <v>316</v>
      </c>
      <c r="B277" s="1171"/>
      <c r="C277" s="1171"/>
      <c r="D277" s="1171"/>
      <c r="E277" s="1171"/>
      <c r="F277" s="1171"/>
      <c r="G277" s="1172"/>
      <c r="H277" s="518"/>
      <c r="I277" s="496"/>
    </row>
    <row r="278" spans="1:12" ht="45.75" customHeight="1">
      <c r="A278" s="555" t="s">
        <v>310</v>
      </c>
      <c r="B278" s="556" t="s">
        <v>70</v>
      </c>
      <c r="C278" s="557">
        <v>1</v>
      </c>
      <c r="D278" s="558">
        <f>+'VALOR UNITARIO SS Y TG'!C13</f>
        <v>6082064.0168119995</v>
      </c>
      <c r="E278" s="559">
        <f>G278-F278</f>
        <v>971085.8514237646</v>
      </c>
      <c r="F278" s="559">
        <f>C278*(D278/1.19)</f>
        <v>5110978.1653882349</v>
      </c>
      <c r="G278" s="560">
        <f>+C278*(D278)</f>
        <v>6082064.0168119995</v>
      </c>
      <c r="H278" s="518"/>
      <c r="I278" s="565">
        <f>'ppto sistema septico'!V37</f>
        <v>0</v>
      </c>
      <c r="J278" s="547">
        <f>I278*F278</f>
        <v>0</v>
      </c>
      <c r="K278" s="547">
        <f>I278*G278</f>
        <v>0</v>
      </c>
      <c r="L278" s="496">
        <f>K278-J278</f>
        <v>0</v>
      </c>
    </row>
    <row r="279" spans="1:12" ht="13.5" customHeight="1">
      <c r="A279" s="536" t="s">
        <v>143</v>
      </c>
      <c r="B279" s="477" t="s">
        <v>70</v>
      </c>
      <c r="C279" s="525">
        <v>1</v>
      </c>
      <c r="D279" s="603">
        <f>'Salarios y transporte'!C28</f>
        <v>166359.82516363639</v>
      </c>
      <c r="E279" s="527"/>
      <c r="F279" s="526">
        <f>+D279/C279</f>
        <v>166359.82516363639</v>
      </c>
      <c r="G279" s="561">
        <f>+D279/C279</f>
        <v>166359.82516363639</v>
      </c>
      <c r="H279" s="518"/>
      <c r="K279" s="496"/>
    </row>
    <row r="280" spans="1:12" ht="13.5" customHeight="1">
      <c r="A280" s="536" t="s">
        <v>364</v>
      </c>
      <c r="B280" s="477" t="s">
        <v>145</v>
      </c>
      <c r="C280" s="521">
        <v>1</v>
      </c>
      <c r="D280" s="522">
        <f>'Salarios y transporte'!C5</f>
        <v>194603</v>
      </c>
      <c r="E280" s="523"/>
      <c r="F280" s="522">
        <f>+D280/C280</f>
        <v>194603</v>
      </c>
      <c r="G280" s="524">
        <f>+D280/C280</f>
        <v>194603</v>
      </c>
      <c r="H280" s="518"/>
      <c r="K280" s="496"/>
    </row>
    <row r="281" spans="1:12" ht="13.5" customHeight="1">
      <c r="A281" s="519" t="s">
        <v>111</v>
      </c>
      <c r="B281" s="477" t="s">
        <v>112</v>
      </c>
      <c r="C281" s="478">
        <v>0.05</v>
      </c>
      <c r="D281" s="526">
        <f>+G280</f>
        <v>194603</v>
      </c>
      <c r="E281" s="527"/>
      <c r="F281" s="526">
        <f>+D281*C281</f>
        <v>9730.15</v>
      </c>
      <c r="G281" s="528">
        <f>+D281*C281</f>
        <v>9730.15</v>
      </c>
      <c r="H281" s="518"/>
      <c r="K281" s="496"/>
    </row>
    <row r="282" spans="1:12" ht="13.5" customHeight="1" thickBot="1">
      <c r="A282" s="536"/>
      <c r="B282" s="477"/>
      <c r="C282" s="478"/>
      <c r="D282" s="529"/>
      <c r="E282" s="530"/>
      <c r="F282" s="529"/>
      <c r="G282" s="382"/>
      <c r="H282" s="518"/>
      <c r="K282" s="496"/>
    </row>
    <row r="283" spans="1:12" ht="13.5" customHeight="1" thickTop="1" thickBot="1">
      <c r="A283" s="383" t="s">
        <v>146</v>
      </c>
      <c r="B283" s="531"/>
      <c r="C283" s="532"/>
      <c r="D283" s="533"/>
      <c r="E283" s="534"/>
      <c r="F283" s="384">
        <f>SUM(F278:F282)</f>
        <v>5481671.1405518716</v>
      </c>
      <c r="G283" s="385">
        <f>SUM(G278:G282)</f>
        <v>6452756.9919756362</v>
      </c>
      <c r="H283" s="518"/>
      <c r="K283" s="496"/>
    </row>
    <row r="284" spans="1:12" ht="13.5" customHeight="1" thickTop="1" thickBot="1">
      <c r="A284" s="386"/>
      <c r="B284" s="520"/>
      <c r="C284" s="525"/>
      <c r="D284" s="529"/>
      <c r="E284" s="530"/>
      <c r="F284" s="389"/>
      <c r="G284" s="396"/>
      <c r="H284" s="518"/>
      <c r="K284" s="395"/>
    </row>
    <row r="285" spans="1:12" ht="33.75" customHeight="1" thickTop="1">
      <c r="A285" s="1170" t="s">
        <v>363</v>
      </c>
      <c r="B285" s="1171"/>
      <c r="C285" s="1171"/>
      <c r="D285" s="1171"/>
      <c r="E285" s="1171"/>
      <c r="F285" s="1171"/>
      <c r="G285" s="1172"/>
      <c r="H285" s="518"/>
    </row>
    <row r="286" spans="1:12" ht="55.5" customHeight="1">
      <c r="A286" s="555" t="s">
        <v>307</v>
      </c>
      <c r="B286" s="556" t="s">
        <v>70</v>
      </c>
      <c r="C286" s="557">
        <v>1</v>
      </c>
      <c r="D286" s="558">
        <f>'VALOR UNITARIO SS Y TG'!C14</f>
        <v>5679063.8756039999</v>
      </c>
      <c r="E286" s="559">
        <f t="shared" ref="E286:E293" si="6">G286-F286</f>
        <v>906741.2910628235</v>
      </c>
      <c r="F286" s="559">
        <f t="shared" ref="F286:F292" si="7">C286*(D286/1.19)</f>
        <v>4772322.5845411764</v>
      </c>
      <c r="G286" s="560">
        <f t="shared" ref="G286:G293" si="8">+C286*(D286)</f>
        <v>5679063.8756039999</v>
      </c>
      <c r="H286" s="518"/>
      <c r="I286" s="565">
        <f>+'ppto sistema septico'!V38</f>
        <v>0</v>
      </c>
      <c r="J286" s="547">
        <f>I286*SUM(F286:F293)</f>
        <v>0</v>
      </c>
      <c r="K286" s="547">
        <f>I286*SUM(G286:G293)</f>
        <v>0</v>
      </c>
      <c r="L286" s="496">
        <f>K286-J286</f>
        <v>0</v>
      </c>
    </row>
    <row r="287" spans="1:12" ht="13.5" customHeight="1">
      <c r="A287" s="536" t="s">
        <v>332</v>
      </c>
      <c r="B287" s="477" t="s">
        <v>70</v>
      </c>
      <c r="C287" s="525">
        <v>1</v>
      </c>
      <c r="D287" s="506">
        <f>'Actualizacion de precios'!C51</f>
        <v>290900</v>
      </c>
      <c r="E287" s="559">
        <f t="shared" si="6"/>
        <v>46446.218487394945</v>
      </c>
      <c r="F287" s="559">
        <f t="shared" si="7"/>
        <v>244453.78151260506</v>
      </c>
      <c r="G287" s="564">
        <f t="shared" si="8"/>
        <v>290900</v>
      </c>
      <c r="H287" s="518"/>
    </row>
    <row r="288" spans="1:12" ht="13.5" customHeight="1">
      <c r="A288" s="519" t="s">
        <v>333</v>
      </c>
      <c r="B288" s="520" t="s">
        <v>70</v>
      </c>
      <c r="C288" s="525">
        <v>4</v>
      </c>
      <c r="D288" s="506">
        <f>+'Actualizacion de precios'!C44</f>
        <v>100973.67048508278</v>
      </c>
      <c r="E288" s="559">
        <f t="shared" si="6"/>
        <v>64487.386192153674</v>
      </c>
      <c r="F288" s="559">
        <f t="shared" si="7"/>
        <v>339407.29574817745</v>
      </c>
      <c r="G288" s="564">
        <f t="shared" si="8"/>
        <v>403894.68194033112</v>
      </c>
      <c r="H288" s="518"/>
      <c r="I288" s="518"/>
      <c r="J288" s="496"/>
      <c r="K288" s="496"/>
      <c r="L288" s="496"/>
    </row>
    <row r="289" spans="1:12" s="407" customFormat="1" ht="13.5" customHeight="1">
      <c r="A289" s="519" t="s">
        <v>331</v>
      </c>
      <c r="B289" s="520" t="s">
        <v>63</v>
      </c>
      <c r="C289" s="525">
        <f>1*1.2*0.2</f>
        <v>0.24</v>
      </c>
      <c r="D289" s="506">
        <f>+'Actualizacion de precios'!C45</f>
        <v>962686.77134834509</v>
      </c>
      <c r="E289" s="559">
        <f t="shared" si="6"/>
        <v>36889.509893684473</v>
      </c>
      <c r="F289" s="559">
        <f t="shared" si="7"/>
        <v>194155.31522991834</v>
      </c>
      <c r="G289" s="564">
        <f t="shared" si="8"/>
        <v>231044.82512360282</v>
      </c>
      <c r="H289" s="405"/>
      <c r="I289" s="405"/>
      <c r="J289" s="406"/>
      <c r="K289" s="406"/>
      <c r="L289" s="406"/>
    </row>
    <row r="290" spans="1:12" ht="13.5" customHeight="1">
      <c r="A290" s="536" t="s">
        <v>328</v>
      </c>
      <c r="B290" s="477" t="s">
        <v>70</v>
      </c>
      <c r="C290" s="478">
        <v>0.5</v>
      </c>
      <c r="D290" s="506">
        <f>+'Actualizacion de precios'!C35</f>
        <v>35073.987200000003</v>
      </c>
      <c r="E290" s="559">
        <f t="shared" si="6"/>
        <v>2800.024188235293</v>
      </c>
      <c r="F290" s="559">
        <f t="shared" si="7"/>
        <v>14736.969411764709</v>
      </c>
      <c r="G290" s="564">
        <f t="shared" si="8"/>
        <v>17536.993600000002</v>
      </c>
      <c r="H290" s="518"/>
      <c r="I290" s="518"/>
      <c r="J290" s="496"/>
      <c r="K290" s="496"/>
      <c r="L290" s="496"/>
    </row>
    <row r="291" spans="1:12" ht="13.5" customHeight="1">
      <c r="A291" s="536" t="s">
        <v>329</v>
      </c>
      <c r="B291" s="477" t="s">
        <v>70</v>
      </c>
      <c r="C291" s="478">
        <v>1</v>
      </c>
      <c r="D291" s="506">
        <f>+'Actualizacion de precios'!C13</f>
        <v>20135.36</v>
      </c>
      <c r="E291" s="559">
        <f t="shared" si="6"/>
        <v>3214.8894117647069</v>
      </c>
      <c r="F291" s="559">
        <f t="shared" si="7"/>
        <v>16920.470588235294</v>
      </c>
      <c r="G291" s="564">
        <f t="shared" si="8"/>
        <v>20135.36</v>
      </c>
      <c r="H291" s="518"/>
      <c r="I291" s="518"/>
      <c r="J291" s="496"/>
      <c r="K291" s="496"/>
      <c r="L291" s="496"/>
    </row>
    <row r="292" spans="1:12" ht="13.5" customHeight="1">
      <c r="A292" s="536" t="s">
        <v>330</v>
      </c>
      <c r="B292" s="477" t="s">
        <v>70</v>
      </c>
      <c r="C292" s="478">
        <v>1</v>
      </c>
      <c r="D292" s="506">
        <f>+'Actualizacion de precios'!C34</f>
        <v>24325.324799999999</v>
      </c>
      <c r="E292" s="559">
        <f t="shared" si="6"/>
        <v>3883.8753882352939</v>
      </c>
      <c r="F292" s="559">
        <f t="shared" si="7"/>
        <v>20441.449411764705</v>
      </c>
      <c r="G292" s="564">
        <f t="shared" si="8"/>
        <v>24325.324799999999</v>
      </c>
      <c r="H292" s="518"/>
      <c r="I292" s="518"/>
      <c r="J292" s="496"/>
      <c r="K292" s="496"/>
      <c r="L292" s="496"/>
    </row>
    <row r="293" spans="1:12">
      <c r="A293" s="536" t="s">
        <v>124</v>
      </c>
      <c r="B293" s="477" t="s">
        <v>361</v>
      </c>
      <c r="C293" s="537">
        <v>0.5</v>
      </c>
      <c r="D293" s="506">
        <f>'Actualizacion de precios'!C19</f>
        <v>11014</v>
      </c>
      <c r="E293" s="526">
        <f t="shared" si="6"/>
        <v>879.2689075630251</v>
      </c>
      <c r="F293" s="526">
        <f>C293*(D293/1.19)</f>
        <v>4627.7310924369749</v>
      </c>
      <c r="G293" s="567">
        <f t="shared" si="8"/>
        <v>5507</v>
      </c>
      <c r="H293" s="518"/>
      <c r="K293" s="496"/>
    </row>
    <row r="294" spans="1:12" ht="13.5" customHeight="1">
      <c r="A294" s="536" t="s">
        <v>143</v>
      </c>
      <c r="B294" s="477" t="s">
        <v>70</v>
      </c>
      <c r="C294" s="525">
        <v>1</v>
      </c>
      <c r="D294" s="603">
        <f>'Salarios y transporte'!C28</f>
        <v>166359.82516363639</v>
      </c>
      <c r="E294" s="527"/>
      <c r="F294" s="526">
        <f>+D294/C294</f>
        <v>166359.82516363639</v>
      </c>
      <c r="G294" s="561">
        <f>+D294/C294</f>
        <v>166359.82516363639</v>
      </c>
      <c r="H294" s="518"/>
      <c r="I294" s="518"/>
      <c r="J294" s="496"/>
      <c r="K294" s="496"/>
      <c r="L294" s="496"/>
    </row>
    <row r="295" spans="1:12" ht="13.5" customHeight="1">
      <c r="A295" s="536" t="s">
        <v>144</v>
      </c>
      <c r="B295" s="477" t="s">
        <v>145</v>
      </c>
      <c r="C295" s="521">
        <v>0.5</v>
      </c>
      <c r="D295" s="522">
        <f>+'Salarios y transporte'!C6</f>
        <v>261301</v>
      </c>
      <c r="E295" s="523"/>
      <c r="F295" s="522">
        <f>+D295/C295</f>
        <v>522602</v>
      </c>
      <c r="G295" s="524">
        <f>+D295/C295</f>
        <v>522602</v>
      </c>
      <c r="H295" s="518"/>
      <c r="K295" s="496"/>
    </row>
    <row r="296" spans="1:12" ht="13.5" customHeight="1">
      <c r="A296" s="519" t="s">
        <v>111</v>
      </c>
      <c r="B296" s="477" t="s">
        <v>112</v>
      </c>
      <c r="C296" s="478">
        <v>0.05</v>
      </c>
      <c r="D296" s="526">
        <f>+G295</f>
        <v>522602</v>
      </c>
      <c r="E296" s="527"/>
      <c r="F296" s="526">
        <f>+D296*C296</f>
        <v>26130.100000000002</v>
      </c>
      <c r="G296" s="528">
        <f>+D296*C296</f>
        <v>26130.100000000002</v>
      </c>
      <c r="H296" s="518"/>
      <c r="K296" s="496"/>
    </row>
    <row r="297" spans="1:12" ht="13.5" customHeight="1" thickBot="1">
      <c r="A297" s="536"/>
      <c r="B297" s="477"/>
      <c r="C297" s="478"/>
      <c r="D297" s="529"/>
      <c r="E297" s="530"/>
      <c r="F297" s="529"/>
      <c r="G297" s="382"/>
      <c r="H297" s="518"/>
      <c r="K297" s="496"/>
    </row>
    <row r="298" spans="1:12" ht="13.5" customHeight="1" thickTop="1" thickBot="1">
      <c r="A298" s="383" t="s">
        <v>146</v>
      </c>
      <c r="B298" s="531"/>
      <c r="C298" s="532"/>
      <c r="D298" s="533"/>
      <c r="E298" s="534"/>
      <c r="F298" s="384">
        <f>SUM(F286:F297)</f>
        <v>6322157.5226997146</v>
      </c>
      <c r="G298" s="385">
        <f>SUM(G286:G297)</f>
        <v>7387499.9862315692</v>
      </c>
      <c r="H298" s="518"/>
      <c r="K298" s="496"/>
    </row>
    <row r="299" spans="1:12" ht="13.5" customHeight="1" thickTop="1">
      <c r="A299" s="386"/>
      <c r="B299" s="520"/>
      <c r="C299" s="525"/>
      <c r="D299" s="529"/>
      <c r="E299" s="530"/>
      <c r="F299" s="389"/>
      <c r="G299" s="396"/>
      <c r="H299" s="518"/>
      <c r="K299" s="496"/>
    </row>
    <row r="300" spans="1:12" ht="12.75" customHeight="1" thickBot="1">
      <c r="A300" s="544"/>
      <c r="B300" s="477"/>
      <c r="C300" s="525"/>
      <c r="D300" s="529"/>
      <c r="E300" s="530"/>
      <c r="F300" s="529"/>
      <c r="H300" s="518"/>
      <c r="K300" s="496"/>
    </row>
    <row r="301" spans="1:12" ht="25.5" customHeight="1" thickTop="1">
      <c r="A301" s="1164" t="s">
        <v>386</v>
      </c>
      <c r="B301" s="1165"/>
      <c r="C301" s="1165"/>
      <c r="D301" s="1165"/>
      <c r="E301" s="1165"/>
      <c r="F301" s="1165"/>
      <c r="G301" s="1166"/>
      <c r="H301" s="518"/>
      <c r="K301" s="395"/>
    </row>
    <row r="302" spans="1:12">
      <c r="A302" s="568" t="s">
        <v>387</v>
      </c>
      <c r="B302" s="477" t="s">
        <v>70</v>
      </c>
      <c r="C302" s="537">
        <v>1</v>
      </c>
      <c r="D302" s="583">
        <f>+'Actualizacion de precios'!C33</f>
        <v>60860.822399999997</v>
      </c>
      <c r="E302" s="506">
        <f>G302-F302</f>
        <v>9717.2741647058792</v>
      </c>
      <c r="F302" s="506">
        <f>C302*(D302/1.19)</f>
        <v>51143.548235294118</v>
      </c>
      <c r="G302" s="584">
        <f t="shared" ref="G302:G310" si="9">+C302*(D302)</f>
        <v>60860.822399999997</v>
      </c>
      <c r="H302" s="518"/>
      <c r="I302" s="565">
        <f>'ppto sistema septico'!V39</f>
        <v>44</v>
      </c>
      <c r="J302" s="547">
        <f>I302*(F302+F305+F306+F307+F308+F309)</f>
        <v>3786912.6668907562</v>
      </c>
      <c r="K302" s="547">
        <f>I302*(G302+G305+G306+G307+G308+G309)</f>
        <v>4506426.0736000007</v>
      </c>
      <c r="L302" s="496">
        <f>K302-J302</f>
        <v>719513.40670924447</v>
      </c>
    </row>
    <row r="303" spans="1:12">
      <c r="A303" s="536" t="s">
        <v>122</v>
      </c>
      <c r="B303" s="477" t="s">
        <v>123</v>
      </c>
      <c r="C303" s="537">
        <v>30</v>
      </c>
      <c r="D303" s="603">
        <f>'Salarios y transporte'!C28</f>
        <v>166359.82516363639</v>
      </c>
      <c r="E303" s="506">
        <f t="shared" ref="E303:E309" si="10">G303-F303</f>
        <v>0</v>
      </c>
      <c r="F303" s="506">
        <f>+D303/C303</f>
        <v>5545.3275054545466</v>
      </c>
      <c r="G303" s="585">
        <f>+D303/C303</f>
        <v>5545.3275054545466</v>
      </c>
      <c r="H303" s="518"/>
    </row>
    <row r="304" spans="1:12">
      <c r="A304" s="536" t="s">
        <v>147</v>
      </c>
      <c r="B304" s="477" t="s">
        <v>110</v>
      </c>
      <c r="C304" s="537">
        <v>4</v>
      </c>
      <c r="D304" s="506">
        <f>'Salarios y transporte'!C2</f>
        <v>127905</v>
      </c>
      <c r="E304" s="506">
        <f t="shared" si="10"/>
        <v>0</v>
      </c>
      <c r="F304" s="506">
        <f>+D304/C304</f>
        <v>31976.25</v>
      </c>
      <c r="G304" s="586">
        <f>+D304/C304</f>
        <v>31976.25</v>
      </c>
      <c r="H304" s="518"/>
    </row>
    <row r="305" spans="1:17">
      <c r="A305" s="536" t="s">
        <v>148</v>
      </c>
      <c r="B305" s="477" t="s">
        <v>70</v>
      </c>
      <c r="C305" s="537">
        <v>1</v>
      </c>
      <c r="D305" s="506">
        <f>'Actualizacion de precios'!C11</f>
        <v>6846</v>
      </c>
      <c r="E305" s="506">
        <f>G305-F305</f>
        <v>1093.0588235294117</v>
      </c>
      <c r="F305" s="506">
        <f>C305*(D305/1.19)</f>
        <v>5752.9411764705883</v>
      </c>
      <c r="G305" s="585">
        <f t="shared" si="9"/>
        <v>6846</v>
      </c>
      <c r="H305" s="518"/>
    </row>
    <row r="306" spans="1:17">
      <c r="A306" s="536" t="s">
        <v>432</v>
      </c>
      <c r="B306" s="477" t="s">
        <v>70</v>
      </c>
      <c r="C306" s="537">
        <v>2</v>
      </c>
      <c r="D306" s="506">
        <f>'Actualizacion de precios'!C17</f>
        <v>4825</v>
      </c>
      <c r="E306" s="506">
        <f>G306-F306</f>
        <v>1540.7563025210084</v>
      </c>
      <c r="F306" s="506">
        <f>C306*(D306/1.19)</f>
        <v>8109.2436974789916</v>
      </c>
      <c r="G306" s="585">
        <f t="shared" si="9"/>
        <v>9650</v>
      </c>
      <c r="H306" s="518"/>
    </row>
    <row r="307" spans="1:17">
      <c r="A307" s="536" t="s">
        <v>233</v>
      </c>
      <c r="B307" s="477" t="s">
        <v>70</v>
      </c>
      <c r="C307" s="537">
        <v>2</v>
      </c>
      <c r="D307" s="506">
        <f>+'Actualizacion de precios'!C10</f>
        <v>8178.576</v>
      </c>
      <c r="E307" s="506">
        <f t="shared" si="10"/>
        <v>2611.6461176470584</v>
      </c>
      <c r="F307" s="506">
        <f>C307*(D307/1.19)</f>
        <v>13745.505882352942</v>
      </c>
      <c r="G307" s="585">
        <f t="shared" si="9"/>
        <v>16357.152</v>
      </c>
      <c r="H307" s="518"/>
      <c r="J307" s="573"/>
      <c r="K307" s="496"/>
      <c r="L307" s="573"/>
      <c r="M307" s="573"/>
      <c r="N307" s="573"/>
      <c r="O307" s="573"/>
      <c r="P307" s="573"/>
      <c r="Q307" s="573"/>
    </row>
    <row r="308" spans="1:17">
      <c r="A308" s="536" t="s">
        <v>149</v>
      </c>
      <c r="B308" s="477" t="s">
        <v>70</v>
      </c>
      <c r="C308" s="537">
        <v>2</v>
      </c>
      <c r="D308" s="506">
        <f>'Actualizacion de precios'!C36</f>
        <v>3251</v>
      </c>
      <c r="E308" s="506">
        <f t="shared" si="10"/>
        <v>1038.1344537815121</v>
      </c>
      <c r="F308" s="506">
        <f>C308*(D308/1.19)</f>
        <v>5463.8655462184879</v>
      </c>
      <c r="G308" s="585">
        <f t="shared" si="9"/>
        <v>6502</v>
      </c>
      <c r="H308" s="518"/>
      <c r="J308" s="573"/>
      <c r="K308" s="496"/>
      <c r="L308" s="573"/>
      <c r="M308" s="573"/>
      <c r="N308" s="573"/>
      <c r="O308" s="573"/>
      <c r="P308" s="573"/>
      <c r="Q308" s="573"/>
    </row>
    <row r="309" spans="1:17">
      <c r="A309" s="536" t="s">
        <v>124</v>
      </c>
      <c r="B309" s="477" t="s">
        <v>361</v>
      </c>
      <c r="C309" s="537">
        <v>0.2</v>
      </c>
      <c r="D309" s="506">
        <f>'Actualizacion de precios'!C19</f>
        <v>11014</v>
      </c>
      <c r="E309" s="506">
        <f t="shared" si="10"/>
        <v>351.70756302521022</v>
      </c>
      <c r="F309" s="506">
        <f>C309*(D309/1.19)</f>
        <v>1851.09243697479</v>
      </c>
      <c r="G309" s="585">
        <f t="shared" si="9"/>
        <v>2202.8000000000002</v>
      </c>
      <c r="H309" s="518"/>
      <c r="K309" s="496"/>
    </row>
    <row r="310" spans="1:17">
      <c r="A310" s="536" t="s">
        <v>111</v>
      </c>
      <c r="B310" s="477" t="s">
        <v>112</v>
      </c>
      <c r="C310" s="478">
        <v>0.05</v>
      </c>
      <c r="D310" s="506">
        <f>+G304</f>
        <v>31976.25</v>
      </c>
      <c r="E310" s="587"/>
      <c r="F310" s="506">
        <f>+D310*C310</f>
        <v>1598.8125</v>
      </c>
      <c r="G310" s="582">
        <f t="shared" si="9"/>
        <v>1598.8125</v>
      </c>
      <c r="H310" s="518"/>
      <c r="K310" s="395"/>
    </row>
    <row r="311" spans="1:17" ht="8.1" customHeight="1" thickBot="1">
      <c r="A311" s="519"/>
      <c r="B311" s="588"/>
      <c r="C311" s="525"/>
      <c r="D311" s="529"/>
      <c r="E311" s="530"/>
      <c r="F311" s="529"/>
      <c r="G311" s="589"/>
      <c r="H311" s="518"/>
    </row>
    <row r="312" spans="1:17" ht="13.5" customHeight="1" thickTop="1" thickBot="1">
      <c r="A312" s="383" t="s">
        <v>146</v>
      </c>
      <c r="B312" s="531"/>
      <c r="C312" s="532"/>
      <c r="D312" s="533"/>
      <c r="E312" s="534"/>
      <c r="F312" s="384">
        <f>SUM(F302:F311)</f>
        <v>125186.58698024445</v>
      </c>
      <c r="G312" s="513">
        <f>SUM(G302:G311)</f>
        <v>141539.16440545453</v>
      </c>
      <c r="H312" s="518"/>
    </row>
    <row r="313" spans="1:17" ht="13.5" customHeight="1" thickTop="1" thickBot="1">
      <c r="A313" s="386"/>
      <c r="B313" s="520"/>
      <c r="C313" s="525"/>
      <c r="D313" s="529"/>
      <c r="E313" s="530"/>
      <c r="F313" s="389"/>
      <c r="G313" s="396"/>
      <c r="H313" s="518"/>
    </row>
    <row r="314" spans="1:17" ht="25.5" customHeight="1" thickTop="1">
      <c r="A314" s="1170" t="s">
        <v>309</v>
      </c>
      <c r="B314" s="1171"/>
      <c r="C314" s="1171"/>
      <c r="D314" s="1171"/>
      <c r="E314" s="1171"/>
      <c r="F314" s="1171"/>
      <c r="G314" s="1172"/>
      <c r="H314" s="518"/>
    </row>
    <row r="315" spans="1:17">
      <c r="A315" s="568" t="s">
        <v>150</v>
      </c>
      <c r="B315" s="477" t="s">
        <v>70</v>
      </c>
      <c r="C315" s="537">
        <v>1</v>
      </c>
      <c r="D315" s="583">
        <f>+'Actualizacion de precios'!C49</f>
        <v>85093</v>
      </c>
      <c r="E315" s="526">
        <f t="shared" ref="E315:E321" si="11">G315-F315</f>
        <v>13586.277310924372</v>
      </c>
      <c r="F315" s="526">
        <f>C315*(D315/1.19)</f>
        <v>71506.722689075628</v>
      </c>
      <c r="G315" s="569">
        <f>+C315*(D315)</f>
        <v>85093</v>
      </c>
      <c r="H315" s="518"/>
      <c r="I315" s="565">
        <f>'ppto sistema septico'!V40</f>
        <v>0</v>
      </c>
      <c r="J315" s="547">
        <f>I315*(F315+SUM(F318:F321))</f>
        <v>0</v>
      </c>
      <c r="K315" s="547">
        <f>I315*(G315+SUM(G318:G321))</f>
        <v>0</v>
      </c>
      <c r="L315" s="496">
        <f>K315-J315</f>
        <v>0</v>
      </c>
    </row>
    <row r="316" spans="1:17">
      <c r="A316" s="536" t="s">
        <v>122</v>
      </c>
      <c r="B316" s="477" t="s">
        <v>123</v>
      </c>
      <c r="C316" s="537">
        <v>30</v>
      </c>
      <c r="D316" s="603">
        <f>'Salarios y transporte'!C28</f>
        <v>166359.82516363639</v>
      </c>
      <c r="E316" s="526">
        <f t="shared" si="11"/>
        <v>0</v>
      </c>
      <c r="F316" s="526">
        <f>+D316/C316</f>
        <v>5545.3275054545466</v>
      </c>
      <c r="G316" s="528">
        <f>+D316/C316</f>
        <v>5545.3275054545466</v>
      </c>
      <c r="H316" s="518"/>
      <c r="K316" s="496"/>
    </row>
    <row r="317" spans="1:17">
      <c r="A317" s="536" t="s">
        <v>147</v>
      </c>
      <c r="B317" s="477" t="s">
        <v>110</v>
      </c>
      <c r="C317" s="545">
        <v>4</v>
      </c>
      <c r="D317" s="522">
        <f>'Salarios y transporte'!C2</f>
        <v>127905</v>
      </c>
      <c r="E317" s="522">
        <f t="shared" si="11"/>
        <v>0</v>
      </c>
      <c r="F317" s="522">
        <f>+D317/C317</f>
        <v>31976.25</v>
      </c>
      <c r="G317" s="524">
        <f>+D317/C317</f>
        <v>31976.25</v>
      </c>
      <c r="H317" s="518"/>
      <c r="K317" s="496"/>
    </row>
    <row r="318" spans="1:17">
      <c r="A318" s="536" t="s">
        <v>234</v>
      </c>
      <c r="B318" s="477" t="s">
        <v>70</v>
      </c>
      <c r="C318" s="537">
        <v>2</v>
      </c>
      <c r="D318" s="506">
        <f>+'Actualizacion de precios'!C9</f>
        <v>32028.7968</v>
      </c>
      <c r="E318" s="526">
        <f t="shared" si="11"/>
        <v>50600.115952941174</v>
      </c>
      <c r="F318" s="526">
        <f>+D318/C318/1.19</f>
        <v>13457.477647058824</v>
      </c>
      <c r="G318" s="528">
        <f>+D318*C318</f>
        <v>64057.5936</v>
      </c>
      <c r="H318" s="518"/>
    </row>
    <row r="319" spans="1:17">
      <c r="A319" s="536" t="s">
        <v>235</v>
      </c>
      <c r="B319" s="477" t="s">
        <v>70</v>
      </c>
      <c r="C319" s="537">
        <v>2</v>
      </c>
      <c r="D319" s="506">
        <f>'Actualizacion de precios'!C18</f>
        <v>10371</v>
      </c>
      <c r="E319" s="526">
        <f t="shared" si="11"/>
        <v>16384.436974789915</v>
      </c>
      <c r="F319" s="526">
        <f>+D319/C319/1.19</f>
        <v>4357.5630252100846</v>
      </c>
      <c r="G319" s="528">
        <f>+D319*C319</f>
        <v>20742</v>
      </c>
      <c r="H319" s="518"/>
    </row>
    <row r="320" spans="1:17">
      <c r="A320" s="536" t="s">
        <v>151</v>
      </c>
      <c r="B320" s="477" t="s">
        <v>70</v>
      </c>
      <c r="C320" s="537">
        <v>2</v>
      </c>
      <c r="D320" s="506">
        <f>'Actualizacion de precios'!C37</f>
        <v>4693</v>
      </c>
      <c r="E320" s="526">
        <f t="shared" si="11"/>
        <v>1498.6050420168067</v>
      </c>
      <c r="F320" s="526">
        <f>C320*(D320/1.19)</f>
        <v>7887.3949579831933</v>
      </c>
      <c r="G320" s="528">
        <f>+D320*C320</f>
        <v>9386</v>
      </c>
      <c r="H320" s="518"/>
    </row>
    <row r="321" spans="1:17">
      <c r="A321" s="536" t="s">
        <v>124</v>
      </c>
      <c r="B321" s="477" t="s">
        <v>361</v>
      </c>
      <c r="C321" s="537">
        <v>0.2</v>
      </c>
      <c r="D321" s="506">
        <f>'Actualizacion de precios'!C19</f>
        <v>11014</v>
      </c>
      <c r="E321" s="526">
        <f t="shared" si="11"/>
        <v>351.70756302520999</v>
      </c>
      <c r="F321" s="526">
        <f>+D321*C321/1.19</f>
        <v>1851.0924369747902</v>
      </c>
      <c r="G321" s="528">
        <f>+D321*C321</f>
        <v>2202.8000000000002</v>
      </c>
      <c r="H321" s="518"/>
    </row>
    <row r="322" spans="1:17">
      <c r="A322" s="536" t="s">
        <v>111</v>
      </c>
      <c r="B322" s="477" t="s">
        <v>112</v>
      </c>
      <c r="C322" s="478">
        <v>0.05</v>
      </c>
      <c r="D322" s="526">
        <f>+G317</f>
        <v>31976.25</v>
      </c>
      <c r="E322" s="527"/>
      <c r="F322" s="526">
        <f>+D322*C322</f>
        <v>1598.8125</v>
      </c>
      <c r="G322" s="528">
        <f>+D322*C322</f>
        <v>1598.8125</v>
      </c>
      <c r="H322" s="518"/>
    </row>
    <row r="323" spans="1:17" ht="16.5" customHeight="1" thickBot="1">
      <c r="A323" s="536"/>
      <c r="B323" s="477"/>
      <c r="C323" s="478"/>
      <c r="D323" s="529"/>
      <c r="E323" s="530"/>
      <c r="F323" s="529"/>
      <c r="G323" s="408"/>
      <c r="H323" s="518"/>
      <c r="I323" s="518"/>
      <c r="J323" s="496"/>
      <c r="K323" s="496"/>
      <c r="L323" s="496"/>
    </row>
    <row r="324" spans="1:17" ht="13.5" customHeight="1" thickTop="1" thickBot="1">
      <c r="A324" s="383" t="s">
        <v>146</v>
      </c>
      <c r="B324" s="531"/>
      <c r="C324" s="532"/>
      <c r="D324" s="533"/>
      <c r="E324" s="534"/>
      <c r="F324" s="384">
        <f>SUM(F315:F323)</f>
        <v>138180.64076175707</v>
      </c>
      <c r="G324" s="385">
        <f>SUM(G315:G323)</f>
        <v>220601.78360545455</v>
      </c>
      <c r="H324" s="518"/>
    </row>
    <row r="325" spans="1:17" ht="12.75" customHeight="1" thickTop="1" thickBot="1">
      <c r="A325" s="409"/>
      <c r="B325" s="378"/>
      <c r="C325" s="379"/>
      <c r="D325" s="389"/>
      <c r="E325" s="390"/>
      <c r="F325" s="389"/>
      <c r="G325" s="390"/>
      <c r="H325" s="518"/>
    </row>
    <row r="326" spans="1:17" ht="30" customHeight="1" thickTop="1">
      <c r="A326" s="1161" t="s">
        <v>152</v>
      </c>
      <c r="B326" s="1162"/>
      <c r="C326" s="1162"/>
      <c r="D326" s="1162"/>
      <c r="E326" s="1162"/>
      <c r="F326" s="1162"/>
      <c r="G326" s="1163"/>
      <c r="H326" s="518"/>
    </row>
    <row r="327" spans="1:17">
      <c r="A327" s="519" t="s">
        <v>153</v>
      </c>
      <c r="B327" s="520" t="s">
        <v>68</v>
      </c>
      <c r="C327" s="562">
        <v>0.5</v>
      </c>
      <c r="D327" s="590">
        <f>+'Actualizacion de precios'!C14</f>
        <v>124934.2528</v>
      </c>
      <c r="E327" s="570">
        <f>G327-F327</f>
        <v>9973.7428705882339</v>
      </c>
      <c r="F327" s="526">
        <f>C327*(D327/1.19)</f>
        <v>52493.383529411767</v>
      </c>
      <c r="G327" s="569">
        <f>+C327*(D327)</f>
        <v>62467.126400000001</v>
      </c>
      <c r="I327" s="565">
        <f>'ppto sistema septico'!V41</f>
        <v>44</v>
      </c>
      <c r="J327" s="547">
        <f>I327*(F327+F328)</f>
        <v>5736294.2870588228</v>
      </c>
      <c r="K327" s="547">
        <f>I327*(G327+G328)</f>
        <v>6826190.2016000003</v>
      </c>
      <c r="L327" s="496">
        <f>K327-J327</f>
        <v>1089895.9145411775</v>
      </c>
    </row>
    <row r="328" spans="1:17" s="573" customFormat="1">
      <c r="A328" s="571" t="s">
        <v>308</v>
      </c>
      <c r="B328" s="517" t="s">
        <v>70</v>
      </c>
      <c r="C328" s="572">
        <v>1</v>
      </c>
      <c r="D328" s="590">
        <f>+'Actualizacion de precios'!C50</f>
        <v>92673.56</v>
      </c>
      <c r="E328" s="570">
        <f>G328-F328</f>
        <v>14796.61882352941</v>
      </c>
      <c r="F328" s="526">
        <f>C328*(D328/1.19)</f>
        <v>77876.941176470587</v>
      </c>
      <c r="G328" s="561">
        <f>+C328*(D328)</f>
        <v>92673.56</v>
      </c>
      <c r="I328" s="475"/>
      <c r="J328" s="475"/>
      <c r="K328" s="475"/>
      <c r="L328" s="475"/>
      <c r="M328" s="475"/>
      <c r="N328" s="475"/>
      <c r="O328" s="475"/>
      <c r="P328" s="475"/>
      <c r="Q328" s="475"/>
    </row>
    <row r="329" spans="1:17" ht="13.5" customHeight="1">
      <c r="A329" s="536" t="s">
        <v>143</v>
      </c>
      <c r="B329" s="477" t="s">
        <v>70</v>
      </c>
      <c r="C329" s="525">
        <v>120</v>
      </c>
      <c r="D329" s="603">
        <f>'Salarios y transporte'!C28</f>
        <v>166359.82516363639</v>
      </c>
      <c r="E329" s="527"/>
      <c r="F329" s="526">
        <f>+D329/C329</f>
        <v>1386.3318763636366</v>
      </c>
      <c r="G329" s="561">
        <f>+D329/C329</f>
        <v>1386.3318763636366</v>
      </c>
      <c r="H329" s="518"/>
      <c r="I329" s="518"/>
      <c r="J329" s="496"/>
      <c r="K329" s="496"/>
      <c r="L329" s="496"/>
    </row>
    <row r="330" spans="1:17">
      <c r="A330" s="519" t="s">
        <v>360</v>
      </c>
      <c r="B330" s="520" t="s">
        <v>70</v>
      </c>
      <c r="C330" s="545">
        <v>12</v>
      </c>
      <c r="D330" s="522">
        <f>'Salarios y transporte'!C2</f>
        <v>127905</v>
      </c>
      <c r="E330" s="523"/>
      <c r="F330" s="522">
        <f>+D330/C330</f>
        <v>10658.75</v>
      </c>
      <c r="G330" s="524">
        <f>+D330/C330</f>
        <v>10658.75</v>
      </c>
    </row>
    <row r="331" spans="1:17">
      <c r="A331" s="519" t="s">
        <v>111</v>
      </c>
      <c r="B331" s="520" t="s">
        <v>112</v>
      </c>
      <c r="C331" s="537">
        <v>0.05</v>
      </c>
      <c r="D331" s="526">
        <f>+G330</f>
        <v>10658.75</v>
      </c>
      <c r="E331" s="527"/>
      <c r="F331" s="526">
        <f>+C331*D331</f>
        <v>532.9375</v>
      </c>
      <c r="G331" s="528">
        <f>+C331*D331</f>
        <v>532.9375</v>
      </c>
    </row>
    <row r="332" spans="1:17" ht="13.5" thickBot="1">
      <c r="A332" s="519"/>
      <c r="B332" s="520"/>
      <c r="C332" s="525"/>
      <c r="D332" s="529"/>
      <c r="E332" s="530"/>
      <c r="F332" s="529"/>
      <c r="G332" s="382"/>
      <c r="K332" s="496"/>
    </row>
    <row r="333" spans="1:17" ht="24" customHeight="1" thickTop="1" thickBot="1">
      <c r="A333" s="383"/>
      <c r="B333" s="531"/>
      <c r="C333" s="532"/>
      <c r="D333" s="533"/>
      <c r="E333" s="534"/>
      <c r="F333" s="384"/>
      <c r="G333" s="385"/>
      <c r="K333" s="496"/>
    </row>
    <row r="334" spans="1:17" ht="13.5" customHeight="1" thickTop="1" thickBot="1">
      <c r="A334" s="383" t="s">
        <v>146</v>
      </c>
      <c r="B334" s="531"/>
      <c r="C334" s="532"/>
      <c r="D334" s="533"/>
      <c r="E334" s="534"/>
      <c r="F334" s="384">
        <f>SUM(F327:F333)</f>
        <v>142948.34408224598</v>
      </c>
      <c r="G334" s="385">
        <f>SUM(G327:G333)</f>
        <v>167718.70577636364</v>
      </c>
      <c r="H334" s="518"/>
      <c r="K334" s="496"/>
    </row>
    <row r="335" spans="1:17" ht="12.75" customHeight="1" thickTop="1" thickBot="1">
      <c r="A335" s="544"/>
      <c r="B335" s="477"/>
      <c r="C335" s="525"/>
      <c r="D335" s="529"/>
      <c r="E335" s="530"/>
      <c r="F335" s="529"/>
      <c r="H335" s="518"/>
      <c r="K335" s="395"/>
    </row>
    <row r="336" spans="1:17" ht="30" customHeight="1" thickTop="1">
      <c r="A336" s="1161" t="s">
        <v>154</v>
      </c>
      <c r="B336" s="1162"/>
      <c r="C336" s="1162"/>
      <c r="D336" s="1162"/>
      <c r="E336" s="1162"/>
      <c r="F336" s="1162"/>
      <c r="G336" s="1163"/>
      <c r="H336" s="518"/>
    </row>
    <row r="337" spans="1:12" ht="12.75" customHeight="1">
      <c r="A337" s="536" t="s">
        <v>155</v>
      </c>
      <c r="B337" s="477" t="s">
        <v>68</v>
      </c>
      <c r="C337" s="525">
        <v>1</v>
      </c>
      <c r="D337" s="529">
        <f>+'Actualizacion de precios'!C47</f>
        <v>6574.0802967431355</v>
      </c>
      <c r="E337" s="570">
        <f>G337-F337</f>
        <v>1049.6430725892396</v>
      </c>
      <c r="F337" s="526">
        <f>C337*(D337/1.19)</f>
        <v>5524.4372241538958</v>
      </c>
      <c r="G337" s="569">
        <f>+C337*(D337)</f>
        <v>6574.0802967431355</v>
      </c>
      <c r="H337" s="518"/>
      <c r="I337" s="565">
        <f>+'ppto sistema septico'!V42</f>
        <v>95</v>
      </c>
      <c r="J337" s="547">
        <f>I337*F337</f>
        <v>524821.53629462013</v>
      </c>
      <c r="K337" s="547">
        <f>I337*G337</f>
        <v>624537.62819059787</v>
      </c>
      <c r="L337" s="496">
        <f>K337-J337</f>
        <v>99716.091895977734</v>
      </c>
    </row>
    <row r="338" spans="1:12" ht="12.75" customHeight="1">
      <c r="A338" s="536" t="s">
        <v>122</v>
      </c>
      <c r="B338" s="477" t="s">
        <v>68</v>
      </c>
      <c r="C338" s="548">
        <f>1/(18*100)</f>
        <v>5.5555555555555556E-4</v>
      </c>
      <c r="D338" s="604">
        <f>'Salarios y transporte'!C28</f>
        <v>166359.82516363639</v>
      </c>
      <c r="E338" s="530"/>
      <c r="F338" s="529">
        <f>+(D338*C338)</f>
        <v>92.422125090909105</v>
      </c>
      <c r="G338" s="542">
        <f>+D338*C338</f>
        <v>92.422125090909105</v>
      </c>
      <c r="H338" s="518"/>
    </row>
    <row r="339" spans="1:12" ht="12.75" customHeight="1">
      <c r="A339" s="536" t="s">
        <v>156</v>
      </c>
      <c r="B339" s="477" t="s">
        <v>68</v>
      </c>
      <c r="C339" s="574">
        <v>0.05</v>
      </c>
      <c r="D339" s="575">
        <f>'Salarios y transporte'!C3</f>
        <v>66698</v>
      </c>
      <c r="E339" s="576"/>
      <c r="F339" s="575">
        <f>+(D339*C339)</f>
        <v>3334.9</v>
      </c>
      <c r="G339" s="577">
        <f>+D339*C339</f>
        <v>3334.9</v>
      </c>
      <c r="H339" s="518"/>
    </row>
    <row r="340" spans="1:12">
      <c r="A340" s="519" t="s">
        <v>111</v>
      </c>
      <c r="B340" s="520" t="s">
        <v>112</v>
      </c>
      <c r="C340" s="525">
        <v>0.05</v>
      </c>
      <c r="D340" s="529">
        <f>+G339</f>
        <v>3334.9</v>
      </c>
      <c r="E340" s="530"/>
      <c r="F340" s="529">
        <f>+D340*C340</f>
        <v>166.745</v>
      </c>
      <c r="G340" s="538">
        <f>+D340*C340</f>
        <v>166.745</v>
      </c>
    </row>
    <row r="341" spans="1:12" ht="14.25" customHeight="1" thickBot="1">
      <c r="A341" s="536"/>
      <c r="B341" s="477"/>
      <c r="C341" s="478"/>
      <c r="D341" s="529"/>
      <c r="E341" s="530"/>
      <c r="F341" s="529"/>
      <c r="G341" s="410"/>
      <c r="H341" s="518"/>
    </row>
    <row r="342" spans="1:12" ht="14.25" customHeight="1" thickTop="1" thickBot="1">
      <c r="A342" s="383" t="s">
        <v>130</v>
      </c>
      <c r="B342" s="531"/>
      <c r="C342" s="532"/>
      <c r="D342" s="533"/>
      <c r="E342" s="534"/>
      <c r="F342" s="384">
        <f>SUM(F337:F341)</f>
        <v>9118.5043492448058</v>
      </c>
      <c r="G342" s="385">
        <f>SUM(G337:G341)</f>
        <v>10168.147421834046</v>
      </c>
      <c r="H342" s="518"/>
      <c r="K342" s="496"/>
    </row>
    <row r="343" spans="1:12" ht="12.75" customHeight="1" thickTop="1" thickBot="1">
      <c r="A343" s="544"/>
      <c r="B343" s="477"/>
      <c r="C343" s="525"/>
      <c r="D343" s="529"/>
      <c r="E343" s="530"/>
      <c r="F343" s="529"/>
      <c r="H343" s="518"/>
      <c r="K343" s="496"/>
    </row>
    <row r="344" spans="1:12" ht="30" customHeight="1" thickTop="1">
      <c r="A344" s="1161" t="s">
        <v>157</v>
      </c>
      <c r="B344" s="1162"/>
      <c r="C344" s="1162"/>
      <c r="D344" s="1162"/>
      <c r="E344" s="1162"/>
      <c r="F344" s="1162"/>
      <c r="G344" s="1163"/>
      <c r="H344" s="518"/>
      <c r="K344" s="496"/>
    </row>
    <row r="345" spans="1:12" ht="12.75" customHeight="1">
      <c r="A345" s="536" t="s">
        <v>158</v>
      </c>
      <c r="B345" s="477" t="s">
        <v>68</v>
      </c>
      <c r="C345" s="525">
        <v>1</v>
      </c>
      <c r="D345" s="529">
        <f>+'Actualizacion de precios'!C48</f>
        <v>13437.490572103003</v>
      </c>
      <c r="E345" s="570">
        <f>G345-F345</f>
        <v>2145.4816879828322</v>
      </c>
      <c r="F345" s="526">
        <f>C345*(D345/1.19)</f>
        <v>11292.00888412017</v>
      </c>
      <c r="G345" s="569">
        <f>+C345*(D345)</f>
        <v>13437.490572103003</v>
      </c>
      <c r="H345" s="518"/>
      <c r="I345" s="565">
        <f>'ppto sistema septico'!V43</f>
        <v>0</v>
      </c>
      <c r="J345" s="547">
        <f>I345*F345</f>
        <v>0</v>
      </c>
      <c r="K345" s="547">
        <f>I345*G345</f>
        <v>0</v>
      </c>
      <c r="L345" s="496">
        <f>K345-J345</f>
        <v>0</v>
      </c>
    </row>
    <row r="346" spans="1:12" ht="12.75" customHeight="1">
      <c r="A346" s="536" t="s">
        <v>122</v>
      </c>
      <c r="B346" s="477" t="s">
        <v>68</v>
      </c>
      <c r="C346" s="548">
        <f>1/(18*100)</f>
        <v>5.5555555555555556E-4</v>
      </c>
      <c r="D346" s="604">
        <f>'Salarios y transporte'!C28</f>
        <v>166359.82516363639</v>
      </c>
      <c r="E346" s="530"/>
      <c r="F346" s="529">
        <f>+D346*C346</f>
        <v>92.422125090909105</v>
      </c>
      <c r="G346" s="542">
        <f>+D346*C346</f>
        <v>92.422125090909105</v>
      </c>
      <c r="H346" s="518"/>
    </row>
    <row r="347" spans="1:12" ht="12.75" customHeight="1">
      <c r="A347" s="536" t="s">
        <v>156</v>
      </c>
      <c r="B347" s="477" t="s">
        <v>68</v>
      </c>
      <c r="C347" s="574">
        <v>0.1</v>
      </c>
      <c r="D347" s="575">
        <f>+'Salarios y transporte'!C3</f>
        <v>66698</v>
      </c>
      <c r="E347" s="576"/>
      <c r="F347" s="575">
        <f>+D347*C347</f>
        <v>6669.8</v>
      </c>
      <c r="G347" s="577">
        <f>+D347*C347</f>
        <v>6669.8</v>
      </c>
      <c r="H347" s="518"/>
    </row>
    <row r="348" spans="1:12">
      <c r="A348" s="519" t="s">
        <v>111</v>
      </c>
      <c r="B348" s="520" t="s">
        <v>112</v>
      </c>
      <c r="C348" s="525">
        <v>0.05</v>
      </c>
      <c r="D348" s="529">
        <f>+G347</f>
        <v>6669.8</v>
      </c>
      <c r="E348" s="530"/>
      <c r="F348" s="529">
        <f>+D348*C348</f>
        <v>333.49</v>
      </c>
      <c r="G348" s="538">
        <f>+D348*C348</f>
        <v>333.49</v>
      </c>
    </row>
    <row r="349" spans="1:12" ht="8.1" customHeight="1" thickBot="1">
      <c r="A349" s="536"/>
      <c r="B349" s="477"/>
      <c r="C349" s="478"/>
      <c r="D349" s="529"/>
      <c r="E349" s="530"/>
      <c r="F349" s="529"/>
      <c r="G349" s="410"/>
      <c r="H349" s="518"/>
    </row>
    <row r="350" spans="1:12" ht="13.5" customHeight="1" thickTop="1" thickBot="1">
      <c r="A350" s="383" t="s">
        <v>130</v>
      </c>
      <c r="B350" s="531"/>
      <c r="C350" s="532"/>
      <c r="D350" s="533"/>
      <c r="E350" s="534"/>
      <c r="F350" s="384">
        <f>SUM(F345:F349)</f>
        <v>18387.72100921108</v>
      </c>
      <c r="G350" s="385">
        <f>SUM(G345:G349)</f>
        <v>20533.202697193912</v>
      </c>
      <c r="H350" s="518"/>
    </row>
    <row r="351" spans="1:12" ht="12.75" customHeight="1" thickTop="1" thickBot="1">
      <c r="A351" s="544"/>
      <c r="B351" s="477"/>
      <c r="C351" s="525"/>
      <c r="D351" s="529"/>
      <c r="E351" s="530"/>
      <c r="F351" s="529"/>
      <c r="H351" s="518"/>
    </row>
    <row r="352" spans="1:12" ht="30" customHeight="1" thickTop="1">
      <c r="A352" s="1161" t="s">
        <v>159</v>
      </c>
      <c r="B352" s="1162"/>
      <c r="C352" s="1162"/>
      <c r="D352" s="1162"/>
      <c r="E352" s="1162"/>
      <c r="F352" s="1162"/>
      <c r="G352" s="1163"/>
      <c r="H352" s="518"/>
    </row>
    <row r="353" spans="1:12" ht="12.75" customHeight="1">
      <c r="A353" s="536" t="s">
        <v>160</v>
      </c>
      <c r="B353" s="477" t="s">
        <v>70</v>
      </c>
      <c r="C353" s="525">
        <v>1</v>
      </c>
      <c r="D353" s="529">
        <f>+'Actualizacion de precios'!C43</f>
        <v>18441.641245743245</v>
      </c>
      <c r="E353" s="570">
        <f>G353-F353</f>
        <v>2944.4637283119464</v>
      </c>
      <c r="F353" s="526">
        <f>C353*(D353/1.19)</f>
        <v>15497.177517431299</v>
      </c>
      <c r="G353" s="569">
        <f>+C353*(D353)</f>
        <v>18441.641245743245</v>
      </c>
      <c r="H353" s="518"/>
      <c r="I353" s="565">
        <f>'ppto sistema septico'!V44</f>
        <v>2</v>
      </c>
      <c r="J353" s="547">
        <f>I353*(F353+F354+F356)</f>
        <v>59844.271001249159</v>
      </c>
      <c r="K353" s="547">
        <f>I353*(G353+G354+G356)</f>
        <v>71214.682491486485</v>
      </c>
      <c r="L353" s="496">
        <f>K353-J353</f>
        <v>11370.411490237326</v>
      </c>
    </row>
    <row r="354" spans="1:12" ht="12.75" customHeight="1">
      <c r="A354" s="536" t="s">
        <v>161</v>
      </c>
      <c r="B354" s="477" t="s">
        <v>70</v>
      </c>
      <c r="C354" s="525">
        <v>1</v>
      </c>
      <c r="D354" s="529">
        <f>'Actualizacion de precios'!C21</f>
        <v>12048</v>
      </c>
      <c r="E354" s="570">
        <f>G354-F354</f>
        <v>1923.6302521008402</v>
      </c>
      <c r="F354" s="526">
        <f>C354*(D354/1.19)</f>
        <v>10124.36974789916</v>
      </c>
      <c r="G354" s="561">
        <f>+C354*(D354)</f>
        <v>12048</v>
      </c>
      <c r="H354" s="518"/>
    </row>
    <row r="355" spans="1:12" ht="12.75" customHeight="1">
      <c r="A355" s="536" t="s">
        <v>122</v>
      </c>
      <c r="B355" s="477" t="s">
        <v>112</v>
      </c>
      <c r="C355" s="548">
        <v>1E-3</v>
      </c>
      <c r="D355" s="604">
        <f>'Salarios y transporte'!C28</f>
        <v>166359.82516363639</v>
      </c>
      <c r="E355" s="530"/>
      <c r="F355" s="529">
        <f>+D355*C355</f>
        <v>166.3598251636364</v>
      </c>
      <c r="G355" s="542">
        <f>+D355*C355</f>
        <v>166.3598251636364</v>
      </c>
      <c r="H355" s="518"/>
    </row>
    <row r="356" spans="1:12" ht="12.75" customHeight="1">
      <c r="A356" s="536" t="s">
        <v>362</v>
      </c>
      <c r="B356" s="477" t="s">
        <v>112</v>
      </c>
      <c r="C356" s="525">
        <v>0.15</v>
      </c>
      <c r="D356" s="506">
        <f>+D366</f>
        <v>34118</v>
      </c>
      <c r="E356" s="570">
        <f>G356-F356</f>
        <v>817.1117647058818</v>
      </c>
      <c r="F356" s="529">
        <f>+D356*C356/1.19</f>
        <v>4300.588235294118</v>
      </c>
      <c r="G356" s="542">
        <f>+D356*C356</f>
        <v>5117.7</v>
      </c>
      <c r="H356" s="518"/>
    </row>
    <row r="357" spans="1:12" ht="12.75" customHeight="1">
      <c r="A357" s="536" t="s">
        <v>135</v>
      </c>
      <c r="B357" s="477" t="s">
        <v>70</v>
      </c>
      <c r="C357" s="574">
        <v>3.3333300000000003E-2</v>
      </c>
      <c r="D357" s="575">
        <f>'Salarios y transporte'!C2</f>
        <v>127905</v>
      </c>
      <c r="E357" s="576"/>
      <c r="F357" s="575">
        <f>+D357/C357</f>
        <v>3837153.8371538366</v>
      </c>
      <c r="G357" s="577">
        <f>+D357*C357</f>
        <v>4263.4957365</v>
      </c>
      <c r="H357" s="518"/>
    </row>
    <row r="358" spans="1:12">
      <c r="A358" s="519" t="s">
        <v>111</v>
      </c>
      <c r="B358" s="520" t="s">
        <v>112</v>
      </c>
      <c r="C358" s="525">
        <v>0.05</v>
      </c>
      <c r="D358" s="529">
        <f>+G357</f>
        <v>4263.4957365</v>
      </c>
      <c r="E358" s="530"/>
      <c r="F358" s="529">
        <f>+D358*C358</f>
        <v>213.17478682500001</v>
      </c>
      <c r="G358" s="538">
        <f>+D358*C358</f>
        <v>213.17478682500001</v>
      </c>
    </row>
    <row r="359" spans="1:12" ht="8.1" customHeight="1" thickBot="1">
      <c r="A359" s="536"/>
      <c r="B359" s="477"/>
      <c r="C359" s="478"/>
      <c r="D359" s="529"/>
      <c r="E359" s="530"/>
      <c r="F359" s="529"/>
      <c r="G359" s="410"/>
      <c r="H359" s="518"/>
      <c r="K359" s="496"/>
    </row>
    <row r="360" spans="1:12" ht="13.5" customHeight="1" thickTop="1" thickBot="1">
      <c r="A360" s="383" t="s">
        <v>136</v>
      </c>
      <c r="B360" s="531"/>
      <c r="C360" s="532"/>
      <c r="D360" s="533"/>
      <c r="E360" s="534"/>
      <c r="F360" s="384">
        <f>SUM(F353:F359)</f>
        <v>3867455.5072664502</v>
      </c>
      <c r="G360" s="385">
        <f>SUM(G353:G359)</f>
        <v>40250.371594231881</v>
      </c>
      <c r="H360" s="518"/>
      <c r="K360" s="496"/>
    </row>
    <row r="361" spans="1:12" ht="12.75" customHeight="1" thickTop="1" thickBot="1">
      <c r="A361" s="544"/>
      <c r="B361" s="477"/>
      <c r="C361" s="525"/>
      <c r="D361" s="529"/>
      <c r="E361" s="530"/>
      <c r="F361" s="529"/>
      <c r="H361" s="518"/>
      <c r="K361" s="496"/>
    </row>
    <row r="362" spans="1:12" ht="30" customHeight="1" thickTop="1">
      <c r="A362" s="1170" t="s">
        <v>162</v>
      </c>
      <c r="B362" s="1171"/>
      <c r="C362" s="1171"/>
      <c r="D362" s="1171"/>
      <c r="E362" s="1171"/>
      <c r="F362" s="1171"/>
      <c r="G362" s="1172"/>
      <c r="H362" s="518"/>
    </row>
    <row r="363" spans="1:12" ht="12.75" customHeight="1">
      <c r="A363" s="536" t="s">
        <v>163</v>
      </c>
      <c r="B363" s="477" t="s">
        <v>70</v>
      </c>
      <c r="C363" s="525">
        <v>1</v>
      </c>
      <c r="D363" s="529">
        <f>'Actualizacion de precios'!C23</f>
        <v>31853</v>
      </c>
      <c r="E363" s="570">
        <f>G363-F363</f>
        <v>5085.7731092436952</v>
      </c>
      <c r="F363" s="526">
        <f>C363*(D363/1.19)</f>
        <v>26767.226890756305</v>
      </c>
      <c r="G363" s="569">
        <f>+C363*(D363)</f>
        <v>31853</v>
      </c>
      <c r="H363" s="518"/>
      <c r="I363" s="565">
        <f>'ppto sistema septico'!V45</f>
        <v>0</v>
      </c>
      <c r="J363" s="547">
        <f>I363*(F363+F364+F366)</f>
        <v>0</v>
      </c>
      <c r="K363" s="547">
        <f>I363*(G363+G364+G366)</f>
        <v>0</v>
      </c>
      <c r="L363" s="496">
        <f>K363-J363</f>
        <v>0</v>
      </c>
    </row>
    <row r="364" spans="1:12" ht="12.75" customHeight="1">
      <c r="A364" s="536" t="s">
        <v>164</v>
      </c>
      <c r="B364" s="477" t="s">
        <v>70</v>
      </c>
      <c r="C364" s="525">
        <v>1</v>
      </c>
      <c r="D364" s="529">
        <f>'Actualizacion de precios'!C22</f>
        <v>35394</v>
      </c>
      <c r="E364" s="570">
        <f>G364-F364</f>
        <v>5651.1428571428551</v>
      </c>
      <c r="F364" s="526">
        <f>C364*(D364/1.19)</f>
        <v>29742.857142857145</v>
      </c>
      <c r="G364" s="567">
        <f>+C364*(D364)</f>
        <v>35394</v>
      </c>
      <c r="H364" s="518"/>
    </row>
    <row r="365" spans="1:12" ht="12.75" customHeight="1">
      <c r="A365" s="536" t="s">
        <v>122</v>
      </c>
      <c r="B365" s="477" t="s">
        <v>112</v>
      </c>
      <c r="C365" s="548">
        <v>1E-3</v>
      </c>
      <c r="D365" s="604">
        <f>'Salarios y transporte'!C28</f>
        <v>166359.82516363639</v>
      </c>
      <c r="E365" s="530"/>
      <c r="F365" s="529">
        <f>+D365*C365</f>
        <v>166.3598251636364</v>
      </c>
      <c r="G365" s="542">
        <f>+D365*C365</f>
        <v>166.3598251636364</v>
      </c>
      <c r="H365" s="518"/>
    </row>
    <row r="366" spans="1:12" ht="12.75" customHeight="1">
      <c r="A366" s="536" t="s">
        <v>362</v>
      </c>
      <c r="B366" s="477" t="s">
        <v>112</v>
      </c>
      <c r="C366" s="525">
        <v>0.2</v>
      </c>
      <c r="D366" s="506">
        <f>'Actualizacion de precios'!C20</f>
        <v>34118</v>
      </c>
      <c r="E366" s="570">
        <f>G366-F366</f>
        <v>1089.482352941176</v>
      </c>
      <c r="F366" s="529">
        <f>+D366*C366/1.19</f>
        <v>5734.1176470588243</v>
      </c>
      <c r="G366" s="542">
        <f>+D366*C366</f>
        <v>6823.6</v>
      </c>
      <c r="H366" s="518"/>
    </row>
    <row r="367" spans="1:12" ht="12.75" customHeight="1">
      <c r="A367" s="536" t="s">
        <v>135</v>
      </c>
      <c r="B367" s="477" t="s">
        <v>145</v>
      </c>
      <c r="C367" s="574">
        <v>0.04</v>
      </c>
      <c r="D367" s="575">
        <f>+'Salarios y transporte'!C2</f>
        <v>127905</v>
      </c>
      <c r="E367" s="576"/>
      <c r="F367" s="575">
        <f>+D367*C367</f>
        <v>5116.2</v>
      </c>
      <c r="G367" s="577">
        <f>+D367*C367</f>
        <v>5116.2</v>
      </c>
      <c r="H367" s="518"/>
    </row>
    <row r="368" spans="1:12">
      <c r="A368" s="519" t="s">
        <v>111</v>
      </c>
      <c r="B368" s="520" t="s">
        <v>112</v>
      </c>
      <c r="C368" s="525">
        <v>0.05</v>
      </c>
      <c r="D368" s="529">
        <f>+G367</f>
        <v>5116.2</v>
      </c>
      <c r="E368" s="530"/>
      <c r="F368" s="529">
        <f>+D368*C368</f>
        <v>255.81</v>
      </c>
      <c r="G368" s="538">
        <f>+D368*C368</f>
        <v>255.81</v>
      </c>
    </row>
    <row r="369" spans="1:12" ht="8.1" customHeight="1" thickBot="1">
      <c r="A369" s="536"/>
      <c r="B369" s="477"/>
      <c r="C369" s="478"/>
      <c r="D369" s="529"/>
      <c r="E369" s="530"/>
      <c r="F369" s="529"/>
      <c r="G369" s="410"/>
      <c r="H369" s="518"/>
    </row>
    <row r="370" spans="1:12" ht="13.5" customHeight="1" thickTop="1" thickBot="1">
      <c r="A370" s="383" t="s">
        <v>136</v>
      </c>
      <c r="B370" s="531"/>
      <c r="C370" s="532"/>
      <c r="D370" s="533"/>
      <c r="E370" s="534"/>
      <c r="F370" s="384">
        <f>SUM(F363:F369)</f>
        <v>67782.571505835906</v>
      </c>
      <c r="G370" s="385">
        <f>SUM(G363:G369)</f>
        <v>79608.969825163644</v>
      </c>
      <c r="H370" s="518"/>
    </row>
    <row r="371" spans="1:12" ht="12.75" customHeight="1" thickTop="1" thickBot="1">
      <c r="A371" s="386"/>
      <c r="B371" s="387"/>
      <c r="C371" s="388"/>
      <c r="D371" s="389"/>
      <c r="E371" s="390"/>
      <c r="F371" s="389"/>
      <c r="G371" s="390"/>
      <c r="H371" s="518"/>
    </row>
    <row r="372" spans="1:12" ht="30" customHeight="1" thickTop="1">
      <c r="A372" s="1170" t="s">
        <v>381</v>
      </c>
      <c r="B372" s="1171"/>
      <c r="C372" s="1171"/>
      <c r="D372" s="1171"/>
      <c r="E372" s="1171"/>
      <c r="F372" s="1171"/>
      <c r="G372" s="1172"/>
      <c r="H372" s="518"/>
    </row>
    <row r="373" spans="1:12" ht="12.75" customHeight="1">
      <c r="A373" s="536" t="s">
        <v>128</v>
      </c>
      <c r="B373" s="477" t="s">
        <v>68</v>
      </c>
      <c r="C373" s="478">
        <v>1.05</v>
      </c>
      <c r="D373" s="506">
        <f>'Actualizacion de precios'!C32</f>
        <v>22586</v>
      </c>
      <c r="E373" s="570">
        <f>G373-F373</f>
        <v>3786.4764705882299</v>
      </c>
      <c r="F373" s="526">
        <f>C373*(D373/1.19)</f>
        <v>19928.823529411769</v>
      </c>
      <c r="G373" s="569">
        <f>+C373*(D373)</f>
        <v>23715.3</v>
      </c>
      <c r="H373" s="518"/>
      <c r="I373" s="565">
        <f>+'ppto sistema septico'!V46</f>
        <v>0</v>
      </c>
      <c r="J373" s="547">
        <f>I373*(F373+F374+F376)</f>
        <v>0</v>
      </c>
      <c r="K373" s="547">
        <f>I373*(G373+G374+G376)</f>
        <v>0</v>
      </c>
      <c r="L373" s="496">
        <f>K373-J373</f>
        <v>0</v>
      </c>
    </row>
    <row r="374" spans="1:12" ht="12.75" customHeight="1">
      <c r="A374" s="536" t="s">
        <v>378</v>
      </c>
      <c r="B374" s="477" t="s">
        <v>70</v>
      </c>
      <c r="C374" s="525">
        <v>1</v>
      </c>
      <c r="D374" s="529">
        <f>'Actualizacion de precios'!C27</f>
        <v>10809</v>
      </c>
      <c r="E374" s="570">
        <f>G374-F374</f>
        <v>1725.8067226890744</v>
      </c>
      <c r="F374" s="526">
        <f>C374*(D374/1.19)</f>
        <v>9083.1932773109256</v>
      </c>
      <c r="G374" s="567">
        <f>+C374*(D374)</f>
        <v>10809</v>
      </c>
      <c r="H374" s="518"/>
    </row>
    <row r="375" spans="1:12" ht="12.75" customHeight="1">
      <c r="A375" s="536" t="s">
        <v>122</v>
      </c>
      <c r="B375" s="477" t="s">
        <v>112</v>
      </c>
      <c r="C375" s="548">
        <v>1E-3</v>
      </c>
      <c r="D375" s="604">
        <f>'Salarios y transporte'!C28</f>
        <v>166359.82516363639</v>
      </c>
      <c r="E375" s="530"/>
      <c r="F375" s="529">
        <f>+D375*C375</f>
        <v>166.3598251636364</v>
      </c>
      <c r="G375" s="542">
        <f>+D375*C375</f>
        <v>166.3598251636364</v>
      </c>
      <c r="H375" s="518"/>
    </row>
    <row r="376" spans="1:12" ht="12.75" customHeight="1">
      <c r="A376" s="536" t="s">
        <v>362</v>
      </c>
      <c r="B376" s="477" t="s">
        <v>112</v>
      </c>
      <c r="C376" s="525">
        <v>0.2</v>
      </c>
      <c r="D376" s="506">
        <f>'Actualizacion de precios'!C20</f>
        <v>34118</v>
      </c>
      <c r="E376" s="570">
        <f>G376-F376</f>
        <v>1089.482352941176</v>
      </c>
      <c r="F376" s="529">
        <f>+D376*C376/1.19</f>
        <v>5734.1176470588243</v>
      </c>
      <c r="G376" s="542">
        <f>+D376*C376</f>
        <v>6823.6</v>
      </c>
      <c r="H376" s="518"/>
    </row>
    <row r="377" spans="1:12" ht="12.75" customHeight="1">
      <c r="A377" s="536" t="s">
        <v>135</v>
      </c>
      <c r="B377" s="477" t="s">
        <v>145</v>
      </c>
      <c r="C377" s="574">
        <v>0.04</v>
      </c>
      <c r="D377" s="575">
        <f>+'Salarios y transporte'!C2</f>
        <v>127905</v>
      </c>
      <c r="E377" s="576"/>
      <c r="F377" s="575">
        <f>+D377*C377</f>
        <v>5116.2</v>
      </c>
      <c r="G377" s="577">
        <f>+D377*C377</f>
        <v>5116.2</v>
      </c>
      <c r="H377" s="518"/>
    </row>
    <row r="378" spans="1:12">
      <c r="A378" s="519" t="s">
        <v>111</v>
      </c>
      <c r="B378" s="520" t="s">
        <v>112</v>
      </c>
      <c r="C378" s="525">
        <v>0.05</v>
      </c>
      <c r="D378" s="529">
        <f>+G377</f>
        <v>5116.2</v>
      </c>
      <c r="E378" s="530"/>
      <c r="F378" s="529">
        <f>+D378*C378</f>
        <v>255.81</v>
      </c>
      <c r="G378" s="538">
        <f>+D378*C378</f>
        <v>255.81</v>
      </c>
    </row>
    <row r="379" spans="1:12" ht="8.1" customHeight="1" thickBot="1">
      <c r="A379" s="536"/>
      <c r="B379" s="477"/>
      <c r="C379" s="478"/>
      <c r="D379" s="529"/>
      <c r="E379" s="530"/>
      <c r="F379" s="529"/>
      <c r="G379" s="410"/>
      <c r="H379" s="518"/>
    </row>
    <row r="380" spans="1:12" ht="13.5" customHeight="1" thickTop="1" thickBot="1">
      <c r="A380" s="383" t="s">
        <v>136</v>
      </c>
      <c r="B380" s="531"/>
      <c r="C380" s="532"/>
      <c r="D380" s="533"/>
      <c r="E380" s="534"/>
      <c r="F380" s="384">
        <f>SUM(F373:F379)</f>
        <v>40284.504278945147</v>
      </c>
      <c r="G380" s="385">
        <f>SUM(G373:G379)</f>
        <v>46886.269825163632</v>
      </c>
      <c r="H380" s="518"/>
    </row>
    <row r="381" spans="1:12" ht="13.5" customHeight="1" thickTop="1" thickBot="1">
      <c r="A381" s="404"/>
      <c r="B381" s="520"/>
      <c r="C381" s="525"/>
      <c r="D381" s="529"/>
      <c r="E381" s="530"/>
      <c r="F381" s="380"/>
      <c r="G381" s="411"/>
      <c r="H381" s="518"/>
    </row>
    <row r="382" spans="1:12" ht="25.5" customHeight="1" thickTop="1">
      <c r="A382" s="1161" t="s">
        <v>306</v>
      </c>
      <c r="B382" s="1162"/>
      <c r="C382" s="1162"/>
      <c r="D382" s="1162"/>
      <c r="E382" s="1162"/>
      <c r="F382" s="1162"/>
      <c r="G382" s="1163"/>
      <c r="H382" s="518"/>
    </row>
    <row r="383" spans="1:12">
      <c r="A383" s="519" t="s">
        <v>165</v>
      </c>
      <c r="B383" s="520" t="s">
        <v>77</v>
      </c>
      <c r="C383" s="525">
        <v>1</v>
      </c>
      <c r="D383" s="529">
        <f>+'Actualizacion de precios'!C41</f>
        <v>6219.3375999999998</v>
      </c>
      <c r="E383" s="570">
        <f>G383-F383</f>
        <v>993.00348235294132</v>
      </c>
      <c r="F383" s="526">
        <f>+D383*C383/1.19</f>
        <v>5226.3341176470585</v>
      </c>
      <c r="G383" s="542">
        <f>+C383*(D383)</f>
        <v>6219.3375999999998</v>
      </c>
      <c r="H383" s="518"/>
      <c r="I383" s="565">
        <f>'ppto sistema septico'!V50</f>
        <v>88.7</v>
      </c>
      <c r="J383" s="547">
        <f>I383*F383</f>
        <v>463575.83623529412</v>
      </c>
      <c r="K383" s="547">
        <f>I383*G383</f>
        <v>551655.24511999998</v>
      </c>
      <c r="L383" s="496">
        <f>K383-J383</f>
        <v>88079.408884705859</v>
      </c>
    </row>
    <row r="384" spans="1:12">
      <c r="A384" s="519" t="s">
        <v>122</v>
      </c>
      <c r="B384" s="520" t="s">
        <v>123</v>
      </c>
      <c r="C384" s="525">
        <v>5.0000000000000001E-3</v>
      </c>
      <c r="D384" s="604">
        <f>'Salarios y transporte'!C28</f>
        <v>166359.82516363639</v>
      </c>
      <c r="E384" s="530"/>
      <c r="F384" s="529">
        <f>+C384*D384</f>
        <v>831.79912581818189</v>
      </c>
      <c r="G384" s="528">
        <f>+C384*D384</f>
        <v>831.79912581818189</v>
      </c>
      <c r="H384" s="518"/>
    </row>
    <row r="385" spans="1:12" ht="12.75" customHeight="1">
      <c r="A385" s="536" t="s">
        <v>166</v>
      </c>
      <c r="B385" s="477" t="s">
        <v>77</v>
      </c>
      <c r="C385" s="578">
        <v>3.3333333333333333E-2</v>
      </c>
      <c r="D385" s="575">
        <f>'Salarios y transporte'!C5</f>
        <v>194603</v>
      </c>
      <c r="E385" s="576"/>
      <c r="F385" s="575">
        <f>+D385*C385</f>
        <v>6486.7666666666664</v>
      </c>
      <c r="G385" s="577">
        <f>+D385*C385</f>
        <v>6486.7666666666664</v>
      </c>
      <c r="H385" s="518"/>
    </row>
    <row r="386" spans="1:12">
      <c r="A386" s="519" t="s">
        <v>111</v>
      </c>
      <c r="B386" s="520" t="s">
        <v>112</v>
      </c>
      <c r="C386" s="525">
        <v>0.05</v>
      </c>
      <c r="D386" s="529">
        <f>+G385</f>
        <v>6486.7666666666664</v>
      </c>
      <c r="E386" s="530"/>
      <c r="F386" s="529">
        <f>+D386*C386</f>
        <v>324.33833333333337</v>
      </c>
      <c r="G386" s="528">
        <f>+D386*C386</f>
        <v>324.33833333333337</v>
      </c>
      <c r="H386" s="518"/>
    </row>
    <row r="387" spans="1:12" ht="18" customHeight="1" thickBot="1">
      <c r="A387" s="519"/>
      <c r="B387" s="520"/>
      <c r="C387" s="525"/>
      <c r="D387" s="529"/>
      <c r="E387" s="530"/>
      <c r="F387" s="529"/>
      <c r="G387" s="382"/>
      <c r="H387" s="518"/>
    </row>
    <row r="388" spans="1:12" ht="15.75" customHeight="1" thickTop="1" thickBot="1">
      <c r="A388" s="383" t="s">
        <v>167</v>
      </c>
      <c r="B388" s="531"/>
      <c r="C388" s="532"/>
      <c r="D388" s="533"/>
      <c r="E388" s="534"/>
      <c r="F388" s="384">
        <f>SUM(F383:F387)</f>
        <v>12869.238243465239</v>
      </c>
      <c r="G388" s="385">
        <f>SUM(G383:G387)</f>
        <v>13862.241725818181</v>
      </c>
      <c r="H388" s="518"/>
    </row>
    <row r="389" spans="1:12" ht="12.75" customHeight="1" thickTop="1" thickBot="1">
      <c r="A389" s="544"/>
      <c r="B389" s="477"/>
      <c r="C389" s="525"/>
      <c r="D389" s="529"/>
      <c r="E389" s="530"/>
      <c r="F389" s="529"/>
      <c r="H389" s="518"/>
    </row>
    <row r="390" spans="1:12" ht="30" customHeight="1" thickTop="1">
      <c r="A390" s="1170" t="s">
        <v>168</v>
      </c>
      <c r="B390" s="1171"/>
      <c r="C390" s="1171"/>
      <c r="D390" s="1171"/>
      <c r="E390" s="1171"/>
      <c r="F390" s="1171"/>
      <c r="G390" s="1172"/>
      <c r="H390" s="518"/>
    </row>
    <row r="391" spans="1:12">
      <c r="A391" s="568" t="s">
        <v>165</v>
      </c>
      <c r="B391" s="477" t="s">
        <v>70</v>
      </c>
      <c r="C391" s="537">
        <v>1</v>
      </c>
      <c r="D391" s="590">
        <f>+'Actualizacion de precios'!C42</f>
        <v>11538.24</v>
      </c>
      <c r="E391" s="570"/>
      <c r="F391" s="526">
        <f>+D391*C391/1.19</f>
        <v>9696</v>
      </c>
      <c r="G391" s="579">
        <f>+C391*(D391)</f>
        <v>11538.24</v>
      </c>
      <c r="H391" s="518"/>
      <c r="I391" s="518"/>
      <c r="J391" s="547"/>
      <c r="K391" s="547"/>
      <c r="L391" s="496"/>
    </row>
    <row r="392" spans="1:12">
      <c r="A392" s="536" t="s">
        <v>122</v>
      </c>
      <c r="B392" s="477" t="s">
        <v>169</v>
      </c>
      <c r="C392" s="580">
        <v>1.2345679012345679E-3</v>
      </c>
      <c r="D392" s="604">
        <f>'Salarios y transporte'!C28</f>
        <v>166359.82516363639</v>
      </c>
      <c r="E392" s="530"/>
      <c r="F392" s="529">
        <f>+C392*D392</f>
        <v>205.38250020202022</v>
      </c>
      <c r="G392" s="538">
        <f>+D392*C392</f>
        <v>205.38250020202022</v>
      </c>
      <c r="H392" s="518"/>
    </row>
    <row r="393" spans="1:12">
      <c r="A393" s="536" t="s">
        <v>170</v>
      </c>
      <c r="B393" s="477" t="s">
        <v>110</v>
      </c>
      <c r="C393" s="574">
        <v>3.7037037037037035E-2</v>
      </c>
      <c r="D393" s="575">
        <f>'Salarios y transporte'!C3</f>
        <v>66698</v>
      </c>
      <c r="E393" s="576"/>
      <c r="F393" s="575">
        <f>+D393*C393</f>
        <v>2470.2962962962961</v>
      </c>
      <c r="G393" s="581">
        <f>+D393*C393</f>
        <v>2470.2962962962961</v>
      </c>
      <c r="H393" s="518"/>
      <c r="I393" s="565">
        <f>'ppto sistema septico'!V51</f>
        <v>1134</v>
      </c>
      <c r="J393" s="547">
        <f>I393*F391</f>
        <v>10995264</v>
      </c>
      <c r="K393" s="547">
        <f>I393*G391</f>
        <v>13084364.16</v>
      </c>
      <c r="L393" s="547">
        <f>K393-J393</f>
        <v>2089100.1600000001</v>
      </c>
    </row>
    <row r="394" spans="1:12">
      <c r="A394" s="536" t="s">
        <v>111</v>
      </c>
      <c r="B394" s="477" t="s">
        <v>112</v>
      </c>
      <c r="C394" s="478">
        <v>0.05</v>
      </c>
      <c r="D394" s="529">
        <f>+G393</f>
        <v>2470.2962962962961</v>
      </c>
      <c r="E394" s="530"/>
      <c r="F394" s="529">
        <f>+D394*C394</f>
        <v>123.51481481481481</v>
      </c>
      <c r="G394" s="538">
        <f>+D394*C394</f>
        <v>123.51481481481481</v>
      </c>
      <c r="H394" s="518"/>
    </row>
    <row r="395" spans="1:12" ht="8.1" customHeight="1" thickBot="1">
      <c r="A395" s="536"/>
      <c r="B395" s="477"/>
      <c r="C395" s="478"/>
      <c r="D395" s="529"/>
      <c r="E395" s="530"/>
      <c r="F395" s="529"/>
      <c r="G395" s="382"/>
      <c r="H395" s="518"/>
    </row>
    <row r="396" spans="1:12" ht="24.75" customHeight="1" thickTop="1" thickBot="1">
      <c r="A396" s="383" t="s">
        <v>171</v>
      </c>
      <c r="B396" s="531"/>
      <c r="C396" s="532"/>
      <c r="D396" s="533"/>
      <c r="E396" s="534"/>
      <c r="F396" s="384">
        <f>SUM(F391:F395)</f>
        <v>12495.193611313131</v>
      </c>
      <c r="G396" s="385">
        <f>SUM(G391:G395)</f>
        <v>14337.43361131313</v>
      </c>
      <c r="H396" s="518"/>
    </row>
    <row r="397" spans="1:12" ht="14.25" thickTop="1" thickBot="1"/>
    <row r="398" spans="1:12" ht="30" customHeight="1" thickTop="1">
      <c r="A398" s="1170" t="s">
        <v>314</v>
      </c>
      <c r="B398" s="1171"/>
      <c r="C398" s="1171"/>
      <c r="D398" s="1171"/>
      <c r="E398" s="1171"/>
      <c r="F398" s="1171"/>
      <c r="G398" s="1172"/>
      <c r="H398" s="518"/>
    </row>
    <row r="399" spans="1:12">
      <c r="A399" s="568" t="s">
        <v>312</v>
      </c>
      <c r="B399" s="477" t="s">
        <v>68</v>
      </c>
      <c r="C399" s="537">
        <v>1.05</v>
      </c>
      <c r="D399" s="590">
        <f>+'Actualizacion de precios'!C38</f>
        <v>15126.4064</v>
      </c>
      <c r="E399" s="570"/>
      <c r="F399" s="526">
        <f>+D399*C399/1.19</f>
        <v>13346.82917647059</v>
      </c>
      <c r="G399" s="579">
        <f>+C399*(D399)</f>
        <v>15882.726720000001</v>
      </c>
      <c r="H399" s="518"/>
      <c r="I399" s="565">
        <f>'ppto sistema septico'!V52</f>
        <v>126.2</v>
      </c>
      <c r="J399" s="547">
        <f>I399*(F399+F402+F403+F404)</f>
        <v>11087516.550610006</v>
      </c>
      <c r="K399" s="547">
        <f>I399*(G399+G402+G403+G404)</f>
        <v>13194144.695225906</v>
      </c>
      <c r="L399" s="496">
        <f>K399-J399</f>
        <v>2106628.1446158998</v>
      </c>
    </row>
    <row r="400" spans="1:12">
      <c r="A400" s="536" t="s">
        <v>122</v>
      </c>
      <c r="B400" s="477" t="s">
        <v>169</v>
      </c>
      <c r="C400" s="580">
        <v>1.001001001001001E-3</v>
      </c>
      <c r="D400" s="604">
        <f>'Salarios y transporte'!C28</f>
        <v>166359.82516363639</v>
      </c>
      <c r="E400" s="530"/>
      <c r="F400" s="529">
        <f>+C400*D400</f>
        <v>166.52635151515153</v>
      </c>
      <c r="G400" s="538">
        <f>+D400*C400</f>
        <v>166.52635151515153</v>
      </c>
      <c r="H400" s="518"/>
    </row>
    <row r="401" spans="1:12">
      <c r="A401" s="536" t="s">
        <v>359</v>
      </c>
      <c r="B401" s="477" t="s">
        <v>110</v>
      </c>
      <c r="C401" s="574">
        <v>3.7037037037037035E-2</v>
      </c>
      <c r="D401" s="575">
        <f>'Salarios y transporte'!C5</f>
        <v>194603</v>
      </c>
      <c r="E401" s="576"/>
      <c r="F401" s="575">
        <f>+D401*C401</f>
        <v>7207.5185185185182</v>
      </c>
      <c r="G401" s="581">
        <f>+D401*C401</f>
        <v>7207.5185185185182</v>
      </c>
      <c r="H401" s="518"/>
    </row>
    <row r="402" spans="1:12">
      <c r="A402" s="536" t="s">
        <v>313</v>
      </c>
      <c r="B402" s="477" t="s">
        <v>70</v>
      </c>
      <c r="C402" s="537">
        <v>2</v>
      </c>
      <c r="D402" s="529">
        <f>+'Actualizacion de precios'!C8</f>
        <v>5623.1952000000001</v>
      </c>
      <c r="E402" s="530"/>
      <c r="F402" s="529">
        <f>+D402*C402/1.19</f>
        <v>9450.7482352941188</v>
      </c>
      <c r="G402" s="538">
        <f>+D402*C402</f>
        <v>11246.3904</v>
      </c>
      <c r="H402" s="518"/>
    </row>
    <row r="403" spans="1:12">
      <c r="A403" s="536" t="s">
        <v>376</v>
      </c>
      <c r="B403" s="477" t="s">
        <v>70</v>
      </c>
      <c r="C403" s="537">
        <v>2</v>
      </c>
      <c r="D403" s="529">
        <f>+'Actualizacion de precios'!C7</f>
        <v>33465.4208</v>
      </c>
      <c r="E403" s="530"/>
      <c r="F403" s="529">
        <f>+D403*C403/1.19</f>
        <v>56244.404705882356</v>
      </c>
      <c r="G403" s="538">
        <f>+D403*C403</f>
        <v>66930.8416</v>
      </c>
      <c r="H403" s="518"/>
    </row>
    <row r="404" spans="1:12">
      <c r="A404" s="536" t="s">
        <v>124</v>
      </c>
      <c r="B404" s="477" t="s">
        <v>361</v>
      </c>
      <c r="C404" s="537">
        <v>1.05</v>
      </c>
      <c r="D404" s="506">
        <f>'Actualizacion de precios'!C19</f>
        <v>11014</v>
      </c>
      <c r="E404" s="526">
        <f>G404-F404</f>
        <v>1674.7979191676659</v>
      </c>
      <c r="F404" s="526">
        <f>+D404/C404/1.19</f>
        <v>8814.7258903561433</v>
      </c>
      <c r="G404" s="538">
        <f>+D404/C404</f>
        <v>10489.523809523809</v>
      </c>
      <c r="H404" s="518"/>
      <c r="K404" s="496"/>
    </row>
    <row r="405" spans="1:12">
      <c r="A405" s="536" t="s">
        <v>111</v>
      </c>
      <c r="B405" s="477" t="s">
        <v>112</v>
      </c>
      <c r="C405" s="478">
        <v>0.05</v>
      </c>
      <c r="D405" s="529">
        <f>+G401</f>
        <v>7207.5185185185182</v>
      </c>
      <c r="E405" s="530"/>
      <c r="F405" s="529">
        <f>+D405*C405</f>
        <v>360.37592592592591</v>
      </c>
      <c r="G405" s="538">
        <f>+D405*C405</f>
        <v>360.37592592592591</v>
      </c>
      <c r="H405" s="518"/>
    </row>
    <row r="406" spans="1:12" ht="15" customHeight="1" thickBot="1">
      <c r="A406" s="536"/>
      <c r="B406" s="477"/>
      <c r="C406" s="478"/>
      <c r="D406" s="529"/>
      <c r="E406" s="530"/>
      <c r="F406" s="529"/>
      <c r="G406" s="382"/>
      <c r="H406" s="518"/>
    </row>
    <row r="407" spans="1:12" ht="24.75" customHeight="1" thickTop="1" thickBot="1">
      <c r="A407" s="383" t="s">
        <v>171</v>
      </c>
      <c r="B407" s="531"/>
      <c r="C407" s="532"/>
      <c r="D407" s="533"/>
      <c r="E407" s="534"/>
      <c r="F407" s="384">
        <f>SUM(F399:F406)</f>
        <v>95591.128803962798</v>
      </c>
      <c r="G407" s="385">
        <f>SUM(G399:G406)</f>
        <v>112283.90332548339</v>
      </c>
      <c r="H407" s="518"/>
    </row>
    <row r="408" spans="1:12" ht="14.25" thickTop="1" thickBot="1"/>
    <row r="409" spans="1:12" ht="30" customHeight="1" thickTop="1">
      <c r="A409" s="1170" t="s">
        <v>323</v>
      </c>
      <c r="B409" s="1171"/>
      <c r="C409" s="1171"/>
      <c r="D409" s="1171"/>
      <c r="E409" s="1171"/>
      <c r="F409" s="1171"/>
      <c r="G409" s="1172"/>
      <c r="H409" s="518"/>
    </row>
    <row r="410" spans="1:12">
      <c r="A410" s="568" t="s">
        <v>322</v>
      </c>
      <c r="B410" s="477" t="s">
        <v>324</v>
      </c>
      <c r="C410" s="537">
        <v>1.05</v>
      </c>
      <c r="D410" s="590">
        <f>+'Actualizacion de precios'!C46</f>
        <v>199900</v>
      </c>
      <c r="E410" s="570"/>
      <c r="F410" s="526">
        <f>+D410*C410/1.19</f>
        <v>176382.35294117648</v>
      </c>
      <c r="G410" s="579">
        <f>+C410*(D410)</f>
        <v>209895</v>
      </c>
      <c r="H410" s="518"/>
      <c r="I410" s="518"/>
      <c r="J410" s="547"/>
      <c r="K410" s="547"/>
      <c r="L410" s="496"/>
    </row>
    <row r="411" spans="1:12">
      <c r="A411" s="536" t="s">
        <v>122</v>
      </c>
      <c r="B411" s="477" t="s">
        <v>169</v>
      </c>
      <c r="C411" s="580">
        <v>1.001001001001001E-3</v>
      </c>
      <c r="D411" s="604">
        <f>'Salarios y transporte'!C28</f>
        <v>166359.82516363639</v>
      </c>
      <c r="E411" s="530"/>
      <c r="F411" s="529">
        <f>+C411*D411</f>
        <v>166.52635151515153</v>
      </c>
      <c r="G411" s="538">
        <f>+D411*C411</f>
        <v>166.52635151515153</v>
      </c>
      <c r="H411" s="518"/>
    </row>
    <row r="412" spans="1:12">
      <c r="A412" s="536" t="s">
        <v>170</v>
      </c>
      <c r="B412" s="477" t="s">
        <v>110</v>
      </c>
      <c r="C412" s="574">
        <v>3.7037037037037035E-2</v>
      </c>
      <c r="D412" s="575">
        <f>+'Salarios y transporte'!C3</f>
        <v>66698</v>
      </c>
      <c r="E412" s="576"/>
      <c r="F412" s="575">
        <f>+D412*C412</f>
        <v>2470.2962962962961</v>
      </c>
      <c r="G412" s="581">
        <f>+D412*C412</f>
        <v>2470.2962962962961</v>
      </c>
      <c r="H412" s="518"/>
      <c r="I412" s="565">
        <f>'ppto sistema septico'!V53</f>
        <v>1</v>
      </c>
      <c r="J412" s="547">
        <f>I412*F410</f>
        <v>176382.35294117648</v>
      </c>
      <c r="K412" s="547">
        <f>I412*G410</f>
        <v>209895</v>
      </c>
      <c r="L412" s="496">
        <f>K412-J412</f>
        <v>33512.647058823524</v>
      </c>
    </row>
    <row r="413" spans="1:12">
      <c r="A413" s="536" t="s">
        <v>111</v>
      </c>
      <c r="B413" s="477" t="s">
        <v>112</v>
      </c>
      <c r="C413" s="478">
        <v>0.05</v>
      </c>
      <c r="D413" s="529">
        <f>+G412</f>
        <v>2470.2962962962961</v>
      </c>
      <c r="E413" s="530"/>
      <c r="F413" s="529">
        <f>+D413*C413</f>
        <v>123.51481481481481</v>
      </c>
      <c r="G413" s="538">
        <f>+D413*C413</f>
        <v>123.51481481481481</v>
      </c>
      <c r="H413" s="518"/>
    </row>
    <row r="414" spans="1:12" ht="8.1" customHeight="1" thickBot="1">
      <c r="A414" s="536"/>
      <c r="B414" s="477"/>
      <c r="C414" s="478"/>
      <c r="D414" s="529"/>
      <c r="E414" s="530"/>
      <c r="F414" s="529"/>
      <c r="G414" s="382"/>
      <c r="H414" s="518"/>
    </row>
    <row r="415" spans="1:12" ht="24.75" customHeight="1" thickTop="1" thickBot="1">
      <c r="A415" s="383" t="s">
        <v>171</v>
      </c>
      <c r="B415" s="531"/>
      <c r="C415" s="532"/>
      <c r="D415" s="533"/>
      <c r="E415" s="534"/>
      <c r="F415" s="384">
        <f>SUM(F410:F414)</f>
        <v>179142.69040380273</v>
      </c>
      <c r="G415" s="385">
        <f>SUM(G410:G414)</f>
        <v>212655.33746262625</v>
      </c>
      <c r="H415" s="518"/>
    </row>
    <row r="416" spans="1:12" ht="24.75" customHeight="1" thickTop="1">
      <c r="A416" s="386"/>
      <c r="B416" s="520"/>
      <c r="C416" s="525"/>
      <c r="D416" s="529"/>
      <c r="E416" s="530"/>
      <c r="F416" s="389"/>
      <c r="G416" s="609"/>
      <c r="H416" s="518"/>
    </row>
    <row r="417" spans="1:8" ht="24.75" customHeight="1">
      <c r="A417" s="386"/>
      <c r="B417" s="520"/>
      <c r="C417" s="525"/>
      <c r="D417" s="529"/>
      <c r="E417" s="530"/>
      <c r="F417" s="389"/>
      <c r="G417" s="609"/>
      <c r="H417" s="518"/>
    </row>
    <row r="418" spans="1:8">
      <c r="A418" s="483" t="s">
        <v>437</v>
      </c>
      <c r="B418" s="514"/>
      <c r="C418" s="483" t="s">
        <v>438</v>
      </c>
      <c r="D418" s="515" t="s">
        <v>439</v>
      </c>
    </row>
    <row r="419" spans="1:8">
      <c r="A419" s="483"/>
      <c r="B419" s="516"/>
      <c r="C419" s="483" t="s">
        <v>440</v>
      </c>
      <c r="D419" s="515" t="s">
        <v>441</v>
      </c>
    </row>
  </sheetData>
  <mergeCells count="40">
    <mergeCell ref="A409:G409"/>
    <mergeCell ref="A96:G96"/>
    <mergeCell ref="A121:G121"/>
    <mergeCell ref="A146:G146"/>
    <mergeCell ref="A170:G170"/>
    <mergeCell ref="A194:G194"/>
    <mergeCell ref="A108:G108"/>
    <mergeCell ref="A134:G134"/>
    <mergeCell ref="A158:G158"/>
    <mergeCell ref="A398:G398"/>
    <mergeCell ref="A382:G382"/>
    <mergeCell ref="A390:G390"/>
    <mergeCell ref="A314:G314"/>
    <mergeCell ref="A326:G326"/>
    <mergeCell ref="A336:G336"/>
    <mergeCell ref="A344:G344"/>
    <mergeCell ref="A352:G352"/>
    <mergeCell ref="A362:G362"/>
    <mergeCell ref="A372:G372"/>
    <mergeCell ref="A301:G301"/>
    <mergeCell ref="A229:G229"/>
    <mergeCell ref="A285:G285"/>
    <mergeCell ref="A253:G253"/>
    <mergeCell ref="A277:G277"/>
    <mergeCell ref="A182:G182"/>
    <mergeCell ref="A206:G206"/>
    <mergeCell ref="A218:G218"/>
    <mergeCell ref="A241:G241"/>
    <mergeCell ref="A265:G265"/>
    <mergeCell ref="A1:G1"/>
    <mergeCell ref="A5:G5"/>
    <mergeCell ref="A11:G11"/>
    <mergeCell ref="A19:G19"/>
    <mergeCell ref="A25:G25"/>
    <mergeCell ref="A31:G31"/>
    <mergeCell ref="A41:G41"/>
    <mergeCell ref="A61:G61"/>
    <mergeCell ref="A72:G72"/>
    <mergeCell ref="A83:G83"/>
    <mergeCell ref="A51:G51"/>
  </mergeCells>
  <printOptions horizontalCentered="1"/>
  <pageMargins left="0.78740157480314965" right="0.78740157480314965" top="1.1811023622047245" bottom="1.1811023622047245" header="0" footer="0"/>
  <pageSetup scale="57" fitToHeight="4" orientation="portrait" r:id="rId1"/>
  <headerFooter alignWithMargins="0">
    <oddFooter>&amp;R&amp;P/&amp;N</oddFooter>
  </headerFooter>
  <rowBreaks count="2" manualBreakCount="2">
    <brk id="71" max="6" man="1"/>
    <brk id="133" max="6"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95"/>
  <sheetViews>
    <sheetView showGridLines="0" defaultGridColor="0" colorId="22" zoomScaleNormal="100" workbookViewId="0">
      <selection activeCell="C6" sqref="C6"/>
    </sheetView>
  </sheetViews>
  <sheetFormatPr baseColWidth="10" defaultColWidth="12" defaultRowHeight="16.350000000000001" customHeight="1"/>
  <cols>
    <col min="1" max="1" width="49.5" style="475" customWidth="1"/>
    <col min="2" max="2" width="12.6640625" style="475" customWidth="1"/>
    <col min="3" max="3" width="19.6640625" style="496" customWidth="1"/>
    <col min="4" max="4" width="54.33203125" style="475" customWidth="1"/>
    <col min="5" max="5" width="21.6640625" style="475" customWidth="1"/>
    <col min="6" max="6" width="18.6640625" style="475" customWidth="1"/>
    <col min="7" max="16384" width="12" style="475"/>
  </cols>
  <sheetData>
    <row r="1" spans="1:6" ht="27" customHeight="1">
      <c r="A1" s="1182" t="s">
        <v>828</v>
      </c>
      <c r="B1" s="1182"/>
      <c r="C1" s="1182"/>
    </row>
    <row r="2" spans="1:6" ht="16.350000000000001" customHeight="1">
      <c r="A2" s="716"/>
    </row>
    <row r="3" spans="1:6" ht="16.350000000000001" customHeight="1">
      <c r="A3" s="1181" t="s">
        <v>664</v>
      </c>
      <c r="B3" s="1181"/>
      <c r="C3" s="1181"/>
    </row>
    <row r="4" spans="1:6" s="484" customFormat="1" ht="36" customHeight="1">
      <c r="A4" s="492" t="s">
        <v>46</v>
      </c>
      <c r="B4" s="493" t="s">
        <v>103</v>
      </c>
      <c r="C4" s="494" t="s">
        <v>304</v>
      </c>
      <c r="E4" s="746"/>
      <c r="F4" s="484" t="s">
        <v>723</v>
      </c>
    </row>
    <row r="5" spans="1:6" ht="16.350000000000001" customHeight="1">
      <c r="A5" s="737" t="s">
        <v>76</v>
      </c>
      <c r="B5" s="738" t="s">
        <v>112</v>
      </c>
      <c r="C5" s="498">
        <f>16490+16490*13.12%</f>
        <v>18653.488000000001</v>
      </c>
      <c r="E5" s="483"/>
      <c r="F5" s="475" t="s">
        <v>690</v>
      </c>
    </row>
    <row r="6" spans="1:6" ht="16.350000000000001" customHeight="1">
      <c r="A6" s="737" t="s">
        <v>76</v>
      </c>
      <c r="B6" s="738" t="s">
        <v>129</v>
      </c>
      <c r="C6" s="498">
        <f>4476+4476*13.12%</f>
        <v>5063.2511999999997</v>
      </c>
    </row>
    <row r="7" spans="1:6" ht="16.350000000000001" customHeight="1">
      <c r="A7" s="739" t="s">
        <v>376</v>
      </c>
      <c r="B7" s="740" t="s">
        <v>70</v>
      </c>
      <c r="C7" s="498">
        <f>29584+29584*13.12%</f>
        <v>33465.4208</v>
      </c>
    </row>
    <row r="8" spans="1:6" ht="16.350000000000001" customHeight="1">
      <c r="A8" s="739" t="s">
        <v>313</v>
      </c>
      <c r="B8" s="740" t="s">
        <v>70</v>
      </c>
      <c r="C8" s="498">
        <f>4971+4971*13.12%</f>
        <v>5623.1952000000001</v>
      </c>
    </row>
    <row r="9" spans="1:6" ht="16.350000000000001" customHeight="1">
      <c r="A9" s="739" t="s">
        <v>234</v>
      </c>
      <c r="B9" s="740" t="s">
        <v>70</v>
      </c>
      <c r="C9" s="498">
        <f>28314+28314*13.12%</f>
        <v>32028.7968</v>
      </c>
    </row>
    <row r="10" spans="1:6" ht="16.350000000000001" customHeight="1">
      <c r="A10" s="739" t="s">
        <v>233</v>
      </c>
      <c r="B10" s="740" t="s">
        <v>70</v>
      </c>
      <c r="C10" s="498">
        <f>7230+7230*13.12%</f>
        <v>8178.576</v>
      </c>
    </row>
    <row r="11" spans="1:6" ht="16.350000000000001" customHeight="1">
      <c r="A11" s="499" t="s">
        <v>148</v>
      </c>
      <c r="B11" s="500" t="s">
        <v>70</v>
      </c>
      <c r="C11" s="498">
        <v>6846</v>
      </c>
    </row>
    <row r="12" spans="1:6" ht="16.350000000000001" customHeight="1">
      <c r="A12" s="482" t="s">
        <v>236</v>
      </c>
      <c r="B12" s="497" t="s">
        <v>70</v>
      </c>
      <c r="C12" s="498">
        <v>12061</v>
      </c>
    </row>
    <row r="13" spans="1:6" ht="16.350000000000001" customHeight="1">
      <c r="A13" s="739" t="s">
        <v>329</v>
      </c>
      <c r="B13" s="740" t="s">
        <v>70</v>
      </c>
      <c r="C13" s="498">
        <f>17800+17800*13.12%</f>
        <v>20135.36</v>
      </c>
    </row>
    <row r="14" spans="1:6" ht="16.350000000000001" customHeight="1">
      <c r="A14" s="737" t="s">
        <v>153</v>
      </c>
      <c r="B14" s="738" t="s">
        <v>68</v>
      </c>
      <c r="C14" s="498">
        <f>110444+110444*13.12%</f>
        <v>124934.2528</v>
      </c>
    </row>
    <row r="15" spans="1:6" ht="16.350000000000001" customHeight="1">
      <c r="A15" s="739" t="s">
        <v>142</v>
      </c>
      <c r="B15" s="740" t="s">
        <v>70</v>
      </c>
      <c r="C15" s="498">
        <v>0</v>
      </c>
    </row>
    <row r="16" spans="1:6" ht="16.350000000000001" customHeight="1">
      <c r="A16" s="739" t="s">
        <v>115</v>
      </c>
      <c r="B16" s="740" t="s">
        <v>365</v>
      </c>
      <c r="C16" s="498">
        <f>27724+27724*13.12%</f>
        <v>31361.388800000001</v>
      </c>
    </row>
    <row r="17" spans="1:3" ht="16.350000000000001" customHeight="1">
      <c r="A17" s="499" t="s">
        <v>432</v>
      </c>
      <c r="B17" s="500" t="s">
        <v>70</v>
      </c>
      <c r="C17" s="498">
        <v>4825</v>
      </c>
    </row>
    <row r="18" spans="1:3" ht="16.350000000000001" customHeight="1">
      <c r="A18" s="499" t="s">
        <v>433</v>
      </c>
      <c r="B18" s="500" t="s">
        <v>70</v>
      </c>
      <c r="C18" s="498">
        <v>10371</v>
      </c>
    </row>
    <row r="19" spans="1:3" ht="16.350000000000001" customHeight="1">
      <c r="A19" s="499" t="s">
        <v>124</v>
      </c>
      <c r="B19" s="500" t="s">
        <v>361</v>
      </c>
      <c r="C19" s="498">
        <f>(3957+7057)</f>
        <v>11014</v>
      </c>
    </row>
    <row r="20" spans="1:3" ht="16.350000000000001" customHeight="1">
      <c r="A20" s="499" t="s">
        <v>362</v>
      </c>
      <c r="B20" s="500" t="s">
        <v>112</v>
      </c>
      <c r="C20" s="498">
        <f>23666+10452</f>
        <v>34118</v>
      </c>
    </row>
    <row r="21" spans="1:3" ht="16.350000000000001" customHeight="1">
      <c r="A21" s="499" t="s">
        <v>161</v>
      </c>
      <c r="B21" s="500" t="s">
        <v>70</v>
      </c>
      <c r="C21" s="498">
        <v>12048</v>
      </c>
    </row>
    <row r="22" spans="1:3" ht="16.350000000000001" customHeight="1">
      <c r="A22" s="499" t="s">
        <v>164</v>
      </c>
      <c r="B22" s="500" t="s">
        <v>70</v>
      </c>
      <c r="C22" s="502">
        <v>35394</v>
      </c>
    </row>
    <row r="23" spans="1:3" ht="16.350000000000001" customHeight="1">
      <c r="A23" s="499" t="s">
        <v>163</v>
      </c>
      <c r="B23" s="500" t="s">
        <v>70</v>
      </c>
      <c r="C23" s="498">
        <v>31853</v>
      </c>
    </row>
    <row r="24" spans="1:3" ht="16.350000000000001" customHeight="1">
      <c r="A24" s="482" t="s">
        <v>133</v>
      </c>
      <c r="B24" s="497" t="s">
        <v>70</v>
      </c>
      <c r="C24" s="498">
        <v>10371</v>
      </c>
    </row>
    <row r="25" spans="1:3" ht="16.350000000000001" customHeight="1">
      <c r="A25" s="482" t="s">
        <v>139</v>
      </c>
      <c r="B25" s="497" t="s">
        <v>70</v>
      </c>
      <c r="C25" s="498">
        <v>18265</v>
      </c>
    </row>
    <row r="26" spans="1:3" ht="16.350000000000001" customHeight="1">
      <c r="A26" s="482" t="s">
        <v>141</v>
      </c>
      <c r="B26" s="497" t="s">
        <v>70</v>
      </c>
      <c r="C26" s="498">
        <v>2800</v>
      </c>
    </row>
    <row r="27" spans="1:3" ht="16.350000000000001" customHeight="1">
      <c r="A27" s="503" t="s">
        <v>134</v>
      </c>
      <c r="B27" s="504" t="s">
        <v>70</v>
      </c>
      <c r="C27" s="498">
        <v>10809</v>
      </c>
    </row>
    <row r="28" spans="1:3" ht="16.350000000000001" customHeight="1">
      <c r="A28" s="503" t="s">
        <v>140</v>
      </c>
      <c r="B28" s="504" t="s">
        <v>70</v>
      </c>
      <c r="C28" s="498">
        <v>20016</v>
      </c>
    </row>
    <row r="29" spans="1:3" ht="16.350000000000001" customHeight="1">
      <c r="A29" s="482" t="s">
        <v>132</v>
      </c>
      <c r="B29" s="497" t="s">
        <v>70</v>
      </c>
      <c r="C29" s="498">
        <v>13459</v>
      </c>
    </row>
    <row r="30" spans="1:3" ht="16.350000000000001" customHeight="1">
      <c r="A30" s="482" t="s">
        <v>138</v>
      </c>
      <c r="B30" s="497" t="s">
        <v>70</v>
      </c>
      <c r="C30" s="502">
        <v>29417</v>
      </c>
    </row>
    <row r="31" spans="1:3" ht="16.350000000000001" customHeight="1">
      <c r="A31" s="499" t="s">
        <v>121</v>
      </c>
      <c r="B31" s="500" t="s">
        <v>68</v>
      </c>
      <c r="C31" s="498">
        <f>90729/6</f>
        <v>15121.5</v>
      </c>
    </row>
    <row r="32" spans="1:3" ht="16.350000000000001" customHeight="1">
      <c r="A32" s="482" t="s">
        <v>128</v>
      </c>
      <c r="B32" s="497" t="s">
        <v>126</v>
      </c>
      <c r="C32" s="745">
        <f>135516/6</f>
        <v>22586</v>
      </c>
    </row>
    <row r="33" spans="1:5" ht="16.350000000000001" customHeight="1">
      <c r="A33" s="747" t="s">
        <v>387</v>
      </c>
      <c r="B33" s="740" t="s">
        <v>70</v>
      </c>
      <c r="C33" s="498">
        <f>53802+53802*13.12%</f>
        <v>60860.822399999997</v>
      </c>
    </row>
    <row r="34" spans="1:5" ht="16.350000000000001" customHeight="1">
      <c r="A34" s="739" t="s">
        <v>330</v>
      </c>
      <c r="B34" s="740" t="s">
        <v>70</v>
      </c>
      <c r="C34" s="498">
        <f>21504+21504*13.12%</f>
        <v>24325.324799999999</v>
      </c>
    </row>
    <row r="35" spans="1:5" ht="16.350000000000001" customHeight="1">
      <c r="A35" s="739" t="s">
        <v>328</v>
      </c>
      <c r="B35" s="740" t="s">
        <v>70</v>
      </c>
      <c r="C35" s="498">
        <f>31006+31006*13.12%</f>
        <v>35073.987200000003</v>
      </c>
    </row>
    <row r="36" spans="1:5" ht="16.350000000000001" customHeight="1">
      <c r="A36" s="499" t="s">
        <v>149</v>
      </c>
      <c r="B36" s="500" t="s">
        <v>70</v>
      </c>
      <c r="C36" s="498">
        <v>3251</v>
      </c>
    </row>
    <row r="37" spans="1:5" ht="16.350000000000001" customHeight="1">
      <c r="A37" s="743" t="s">
        <v>151</v>
      </c>
      <c r="B37" s="500" t="s">
        <v>70</v>
      </c>
      <c r="C37" s="742">
        <v>4693</v>
      </c>
    </row>
    <row r="38" spans="1:5" ht="16.350000000000001" customHeight="1">
      <c r="A38" s="744" t="s">
        <v>312</v>
      </c>
      <c r="B38" s="741" t="s">
        <v>68</v>
      </c>
      <c r="C38" s="498">
        <f>13372+13372*13.12%</f>
        <v>15126.4064</v>
      </c>
    </row>
    <row r="39" spans="1:5" ht="16.350000000000001" customHeight="1">
      <c r="A39" s="1180" t="s">
        <v>431</v>
      </c>
      <c r="B39" s="1180"/>
      <c r="C39" s="1180"/>
      <c r="D39" s="1180"/>
    </row>
    <row r="40" spans="1:5" ht="27.6" customHeight="1">
      <c r="A40" s="492" t="s">
        <v>102</v>
      </c>
      <c r="B40" s="493" t="s">
        <v>103</v>
      </c>
      <c r="C40" s="494" t="s">
        <v>304</v>
      </c>
      <c r="D40" s="492" t="s">
        <v>434</v>
      </c>
    </row>
    <row r="41" spans="1:5" ht="27.75" customHeight="1">
      <c r="A41" s="510" t="str">
        <f>+'A.P.U. 2023'!A382:G382</f>
        <v>S.T.I. GEOTEXTIL NT REFERENCIA 1600 (m2)</v>
      </c>
      <c r="B41" s="497" t="s">
        <v>77</v>
      </c>
      <c r="C41" s="501">
        <f>5498+5498*13.12%</f>
        <v>6219.3375999999998</v>
      </c>
      <c r="D41" s="512" t="s">
        <v>724</v>
      </c>
    </row>
    <row r="42" spans="1:5" s="407" customFormat="1" ht="42.75" customHeight="1">
      <c r="A42" s="509" t="str">
        <f>+'A.P.U. 2023'!A390:G390</f>
        <v>S.T.I. CAJAS PLÁSTICAS DE GASEOSA RECICLADAS DE 0,41mx0,34mx0,25m COMO MEDIO DE SOPORTE (m3)</v>
      </c>
      <c r="B42" s="500" t="s">
        <v>70</v>
      </c>
      <c r="C42" s="495">
        <f>10200+10200*13.12%</f>
        <v>11538.24</v>
      </c>
      <c r="D42" s="512" t="s">
        <v>724</v>
      </c>
      <c r="E42" s="595"/>
    </row>
    <row r="43" spans="1:5" s="407" customFormat="1" ht="30" customHeight="1">
      <c r="A43" s="499" t="s">
        <v>160</v>
      </c>
      <c r="B43" s="500" t="s">
        <v>70</v>
      </c>
      <c r="C43" s="501">
        <f>16302.7238735354+16302.7238735354*13.12%</f>
        <v>18441.641245743245</v>
      </c>
      <c r="D43" s="512" t="s">
        <v>724</v>
      </c>
    </row>
    <row r="44" spans="1:5" s="407" customFormat="1" ht="38.65" customHeight="1">
      <c r="A44" s="507" t="s">
        <v>333</v>
      </c>
      <c r="B44" s="497" t="s">
        <v>70</v>
      </c>
      <c r="C44" s="502">
        <f>89262.4385476333+89262.4385476333*13.12%</f>
        <v>100973.67048508278</v>
      </c>
      <c r="D44" s="512" t="s">
        <v>724</v>
      </c>
      <c r="E44" s="595"/>
    </row>
    <row r="45" spans="1:5" s="407" customFormat="1" ht="30.6" customHeight="1">
      <c r="A45" s="482" t="s">
        <v>331</v>
      </c>
      <c r="B45" s="497" t="s">
        <v>63</v>
      </c>
      <c r="C45" s="502">
        <f>851031.445675694+851031.445675694*13.12%</f>
        <v>962686.77134834509</v>
      </c>
      <c r="D45" s="512" t="s">
        <v>442</v>
      </c>
    </row>
    <row r="46" spans="1:5" s="407" customFormat="1" ht="41.65" customHeight="1">
      <c r="A46" s="505" t="s">
        <v>322</v>
      </c>
      <c r="B46" s="500" t="s">
        <v>324</v>
      </c>
      <c r="C46" s="495">
        <v>199900</v>
      </c>
      <c r="D46" s="596" t="s">
        <v>725</v>
      </c>
      <c r="E46" s="595"/>
    </row>
    <row r="47" spans="1:5" ht="51" customHeight="1">
      <c r="A47" s="499" t="s">
        <v>155</v>
      </c>
      <c r="B47" s="500" t="s">
        <v>68</v>
      </c>
      <c r="C47" s="501">
        <f>5811.59856501338+5811.59856501338*13.12%</f>
        <v>6574.0802967431355</v>
      </c>
      <c r="D47" s="512" t="s">
        <v>724</v>
      </c>
    </row>
    <row r="48" spans="1:5" ht="56.65" customHeight="1">
      <c r="A48" s="499" t="s">
        <v>158</v>
      </c>
      <c r="B48" s="500" t="s">
        <v>68</v>
      </c>
      <c r="C48" s="501">
        <f>11878.9697419581+11878.9697419581*13.12%</f>
        <v>13437.490572103003</v>
      </c>
      <c r="D48" s="512" t="s">
        <v>724</v>
      </c>
    </row>
    <row r="49" spans="1:5" ht="21.6" customHeight="1">
      <c r="A49" s="505" t="s">
        <v>150</v>
      </c>
      <c r="B49" s="500" t="s">
        <v>70</v>
      </c>
      <c r="C49" s="736">
        <v>85093</v>
      </c>
      <c r="D49" s="596" t="s">
        <v>443</v>
      </c>
      <c r="E49" s="595"/>
    </row>
    <row r="50" spans="1:5" ht="36.75" customHeight="1">
      <c r="A50" s="507" t="s">
        <v>308</v>
      </c>
      <c r="B50" s="508" t="s">
        <v>70</v>
      </c>
      <c r="C50" s="495">
        <f>81925+81925*13.12%</f>
        <v>92673.56</v>
      </c>
      <c r="D50" s="597" t="s">
        <v>453</v>
      </c>
      <c r="E50" s="595"/>
    </row>
    <row r="51" spans="1:5" ht="45.75" customHeight="1">
      <c r="A51" s="709" t="s">
        <v>332</v>
      </c>
      <c r="B51" s="500" t="s">
        <v>70</v>
      </c>
      <c r="C51" s="502">
        <v>290900</v>
      </c>
      <c r="D51" s="511" t="s">
        <v>728</v>
      </c>
    </row>
    <row r="52" spans="1:5" ht="27" hidden="1" customHeight="1">
      <c r="A52" s="499" t="s">
        <v>468</v>
      </c>
      <c r="B52" s="500" t="s">
        <v>63</v>
      </c>
      <c r="C52" s="502">
        <v>12500</v>
      </c>
      <c r="D52" s="511" t="s">
        <v>442</v>
      </c>
    </row>
    <row r="53" spans="1:5" ht="16.5" customHeight="1">
      <c r="A53" s="478"/>
      <c r="B53" s="477"/>
      <c r="C53" s="598"/>
      <c r="D53" s="599"/>
    </row>
    <row r="54" spans="1:5" ht="16.5" customHeight="1">
      <c r="A54" s="478" t="s">
        <v>150</v>
      </c>
      <c r="B54" s="477"/>
      <c r="C54" s="598"/>
      <c r="D54" s="599"/>
    </row>
    <row r="55" spans="1:5" ht="16.5" customHeight="1">
      <c r="A55" s="478" t="s">
        <v>726</v>
      </c>
      <c r="B55" s="477"/>
      <c r="C55" s="598"/>
      <c r="D55" s="599"/>
    </row>
    <row r="56" spans="1:5" ht="16.5" customHeight="1">
      <c r="A56" s="478"/>
      <c r="B56" s="477"/>
      <c r="C56" s="598"/>
      <c r="D56" s="599"/>
    </row>
    <row r="57" spans="1:5" ht="16.5" customHeight="1">
      <c r="A57" s="478"/>
      <c r="B57" s="477"/>
      <c r="C57" s="598"/>
      <c r="D57" s="599"/>
    </row>
    <row r="58" spans="1:5" ht="16.5" customHeight="1">
      <c r="A58" s="478"/>
      <c r="B58" s="477"/>
      <c r="C58" s="598"/>
      <c r="D58" s="599"/>
    </row>
    <row r="59" spans="1:5" ht="16.5" customHeight="1">
      <c r="A59" s="478"/>
      <c r="B59" s="477"/>
      <c r="C59" s="598"/>
      <c r="D59" s="599"/>
    </row>
    <row r="60" spans="1:5" ht="16.5" customHeight="1">
      <c r="A60" s="478"/>
      <c r="B60" s="477"/>
      <c r="C60" s="598"/>
      <c r="D60" s="599"/>
    </row>
    <row r="61" spans="1:5" ht="16.5" customHeight="1">
      <c r="A61" s="478"/>
      <c r="B61" s="477"/>
      <c r="C61" s="598"/>
      <c r="D61" s="599"/>
    </row>
    <row r="62" spans="1:5" ht="16.5" customHeight="1">
      <c r="A62" s="478"/>
      <c r="B62" s="477"/>
      <c r="C62" s="598"/>
      <c r="D62" s="599"/>
    </row>
    <row r="63" spans="1:5" ht="16.5" customHeight="1">
      <c r="A63" s="478"/>
      <c r="B63" s="477"/>
      <c r="C63" s="598"/>
      <c r="D63" s="599"/>
    </row>
    <row r="64" spans="1:5" ht="16.5" customHeight="1">
      <c r="A64" s="478"/>
      <c r="B64" s="477"/>
      <c r="C64" s="598"/>
      <c r="D64" s="599"/>
    </row>
    <row r="65" spans="1:4" ht="16.5" customHeight="1">
      <c r="A65" s="478"/>
      <c r="B65" s="477"/>
      <c r="C65" s="598"/>
      <c r="D65" s="599"/>
    </row>
    <row r="66" spans="1:4" ht="16.5" customHeight="1">
      <c r="A66" s="478"/>
      <c r="B66" s="477"/>
      <c r="C66" s="598"/>
      <c r="D66" s="599"/>
    </row>
    <row r="67" spans="1:4" ht="16.5" customHeight="1">
      <c r="A67" s="478"/>
      <c r="B67" s="477"/>
      <c r="C67" s="598"/>
      <c r="D67" s="599"/>
    </row>
    <row r="68" spans="1:4" ht="35.65" customHeight="1">
      <c r="A68" s="612" t="s">
        <v>727</v>
      </c>
      <c r="C68" s="475"/>
    </row>
    <row r="69" spans="1:4" ht="16.350000000000001" customHeight="1">
      <c r="C69" s="475"/>
    </row>
    <row r="70" spans="1:4" ht="16.350000000000001" customHeight="1">
      <c r="C70" s="475"/>
    </row>
    <row r="71" spans="1:4" ht="16.350000000000001" customHeight="1">
      <c r="C71" s="475"/>
    </row>
    <row r="86" spans="1:1" ht="69.599999999999994" customHeight="1"/>
    <row r="87" spans="1:1" ht="16.350000000000001" customHeight="1">
      <c r="A87" s="475" t="s">
        <v>322</v>
      </c>
    </row>
    <row r="88" spans="1:1" ht="16.350000000000001" customHeight="1">
      <c r="A88" s="475" t="s">
        <v>454</v>
      </c>
    </row>
    <row r="95" spans="1:1" ht="16.5" customHeight="1"/>
  </sheetData>
  <sortState ref="A40:C51">
    <sortCondition ref="A40:A51"/>
  </sortState>
  <mergeCells count="3">
    <mergeCell ref="A39:D39"/>
    <mergeCell ref="A3:C3"/>
    <mergeCell ref="A1:C1"/>
  </mergeCells>
  <hyperlinks>
    <hyperlink ref="D49" r:id="rId1"/>
    <hyperlink ref="D46" r:id="rId2"/>
    <hyperlink ref="D51" r:id="rId3"/>
  </hyperlinks>
  <printOptions horizontalCentered="1"/>
  <pageMargins left="0.78740157480314965" right="0.78740157480314965" top="1.1811023622047245" bottom="1.1811023622047245" header="0" footer="0"/>
  <pageSetup scale="57" fitToHeight="4" orientation="portrait" r:id="rId4"/>
  <headerFooter alignWithMargins="0">
    <oddFooter>&amp;R&amp;P/&amp;N</oddFooter>
  </headerFooter>
  <drawing r:id="rId5"/>
  <legacy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showGridLines="0" zoomScaleNormal="100" workbookViewId="0">
      <selection activeCell="C5" sqref="C5"/>
    </sheetView>
  </sheetViews>
  <sheetFormatPr baseColWidth="10" defaultColWidth="11.33203125" defaultRowHeight="12.75"/>
  <cols>
    <col min="1" max="1" width="59.1640625" style="487" customWidth="1"/>
    <col min="2" max="2" width="20.6640625" style="752" customWidth="1"/>
    <col min="3" max="3" width="19.6640625" style="752" customWidth="1"/>
    <col min="4" max="4" width="40.1640625" style="488" customWidth="1"/>
    <col min="5" max="16384" width="11.33203125" style="488"/>
  </cols>
  <sheetData>
    <row r="1" spans="1:7" ht="21" customHeight="1">
      <c r="A1" s="1187" t="s">
        <v>829</v>
      </c>
      <c r="B1" s="1188"/>
      <c r="C1" s="1188"/>
    </row>
    <row r="2" spans="1:7" ht="21" customHeight="1">
      <c r="A2" s="488"/>
      <c r="B2" s="488"/>
      <c r="C2" s="488"/>
    </row>
    <row r="3" spans="1:7" ht="16.5" customHeight="1">
      <c r="A3" s="1183" t="s">
        <v>731</v>
      </c>
      <c r="B3" s="1184"/>
      <c r="C3" s="1185"/>
    </row>
    <row r="4" spans="1:7">
      <c r="A4" s="490" t="s">
        <v>427</v>
      </c>
      <c r="B4" s="489" t="s">
        <v>730</v>
      </c>
      <c r="C4" s="605" t="s">
        <v>732</v>
      </c>
    </row>
    <row r="5" spans="1:7" ht="89.25" customHeight="1">
      <c r="A5" s="485" t="s">
        <v>699</v>
      </c>
      <c r="B5" s="753">
        <v>3194527.3110402501</v>
      </c>
      <c r="C5" s="754">
        <v>3363362.0221476713</v>
      </c>
      <c r="D5" s="881"/>
      <c r="E5" s="881"/>
    </row>
    <row r="6" spans="1:7" ht="93" customHeight="1">
      <c r="A6" s="485" t="s">
        <v>700</v>
      </c>
      <c r="B6" s="753">
        <v>3967834.2675000001</v>
      </c>
      <c r="C6" s="754">
        <v>4185235.3125901576</v>
      </c>
      <c r="G6" s="488" t="s">
        <v>428</v>
      </c>
    </row>
    <row r="7" spans="1:7" ht="99" customHeight="1">
      <c r="A7" s="485" t="s">
        <v>701</v>
      </c>
      <c r="B7" s="753">
        <v>5213417.0575000001</v>
      </c>
      <c r="C7" s="754">
        <v>5849730.8671653224</v>
      </c>
    </row>
    <row r="8" spans="1:7" ht="97.35" customHeight="1">
      <c r="A8" s="485" t="s">
        <v>703</v>
      </c>
      <c r="B8" s="753">
        <v>7017761.5474999994</v>
      </c>
      <c r="C8" s="754">
        <v>8197169.8248474048</v>
      </c>
    </row>
    <row r="9" spans="1:7" ht="93.6" customHeight="1">
      <c r="A9" s="485" t="s">
        <v>702</v>
      </c>
      <c r="B9" s="753">
        <v>9601323.75</v>
      </c>
      <c r="C9" s="754">
        <v>10990727.74597152</v>
      </c>
    </row>
    <row r="10" spans="1:7" ht="95.1" customHeight="1">
      <c r="A10" s="485" t="s">
        <v>704</v>
      </c>
      <c r="B10" s="753">
        <v>12316723.814999999</v>
      </c>
      <c r="C10" s="754">
        <v>15032575.454349907</v>
      </c>
    </row>
    <row r="11" spans="1:7" ht="97.35" customHeight="1">
      <c r="A11" s="485" t="s">
        <v>705</v>
      </c>
      <c r="B11" s="753">
        <v>16810618.060000002</v>
      </c>
      <c r="C11" s="754">
        <v>19893569.743289504</v>
      </c>
    </row>
    <row r="12" spans="1:7" ht="93.6" customHeight="1">
      <c r="A12" s="485" t="s">
        <v>706</v>
      </c>
      <c r="B12" s="753">
        <v>21011515.502500001</v>
      </c>
      <c r="C12" s="754">
        <v>25060551.662085772</v>
      </c>
    </row>
    <row r="13" spans="1:7" ht="30" customHeight="1">
      <c r="A13" s="485" t="s">
        <v>430</v>
      </c>
      <c r="B13" s="753">
        <v>5376647.8224999998</v>
      </c>
      <c r="C13" s="754">
        <f>+B13+B13*13.12%</f>
        <v>6082064.0168119995</v>
      </c>
    </row>
    <row r="14" spans="1:7" ht="33.75" customHeight="1">
      <c r="A14" s="491" t="s">
        <v>307</v>
      </c>
      <c r="B14" s="753">
        <v>5020388.8574999999</v>
      </c>
      <c r="C14" s="754">
        <f>+B14+B14*13.12%</f>
        <v>5679063.8756039999</v>
      </c>
    </row>
    <row r="15" spans="1:7">
      <c r="A15" s="613" t="s">
        <v>429</v>
      </c>
    </row>
    <row r="16" spans="1:7">
      <c r="A16" s="613"/>
    </row>
    <row r="17" spans="1:3" ht="28.5" customHeight="1">
      <c r="A17" s="1186" t="s">
        <v>733</v>
      </c>
      <c r="B17" s="1186"/>
      <c r="C17" s="1186"/>
    </row>
    <row r="18" spans="1:3" ht="27.75" customHeight="1">
      <c r="A18" s="490" t="s">
        <v>584</v>
      </c>
      <c r="B18" s="489" t="s">
        <v>730</v>
      </c>
      <c r="C18" s="605" t="s">
        <v>732</v>
      </c>
    </row>
    <row r="19" spans="1:3" ht="44.65" customHeight="1">
      <c r="A19" s="485" t="str">
        <f>'A.P.U. 2023'!A97</f>
        <v>Trampa de grasas prefabricada en P.R.F.V (Poliéster Reforzado con Fibra De Vidrio) con capacidad para atender una población de tres a nueve (3 a 9) habitantes.</v>
      </c>
      <c r="B19" s="753">
        <v>419842.5</v>
      </c>
      <c r="C19" s="754">
        <v>536821.31968976185</v>
      </c>
    </row>
    <row r="20" spans="1:3" ht="49.15" customHeight="1">
      <c r="A20" s="485" t="str">
        <f>'A.P.U. 2023'!A122</f>
        <v>Trampa de grasas prefabricada en P.R.F.V (Poliéster Reforzado con Fibra De Vidrio) con capacidad para atender una población de diez a quince (10 a 15) habitantes.</v>
      </c>
      <c r="B20" s="753">
        <v>450782.5</v>
      </c>
      <c r="C20" s="754">
        <v>596612.89836218278</v>
      </c>
    </row>
    <row r="21" spans="1:3" ht="54" customHeight="1">
      <c r="A21" s="485" t="str">
        <f>'A.P.U. 2023'!A147</f>
        <v>Trampa de grasas prefabricada en P.R.F.V (Poliéster Reforzado con Fibra De Vidrio) con capacidad para atender una población de dieciséis a veinte (16 a 20) habitantes.</v>
      </c>
      <c r="B21" s="753">
        <v>529917.5</v>
      </c>
      <c r="C21" s="754">
        <v>750512.53798099596</v>
      </c>
    </row>
    <row r="22" spans="1:3" ht="56.1" customHeight="1">
      <c r="A22" s="485" t="str">
        <f>'A.P.U. 2023'!A171</f>
        <v>Trampa de grasas prefabricada en P.R.F.V (Poliéster Reforzado con Fibra De Vidrio) con capacidad para atender una población de veinti uno a treinta (21 a 30) habitantes.</v>
      </c>
      <c r="B22" s="753">
        <v>806820</v>
      </c>
      <c r="C22" s="754">
        <v>849118.14252238791</v>
      </c>
    </row>
    <row r="23" spans="1:3" ht="56.65" customHeight="1">
      <c r="A23" s="485" t="str">
        <f>'A.P.U. 2023'!A195</f>
        <v>Trampa de grasas prefabricada en P.R.F.V (Poliéster Reforzado con Fibra De Vidrio) con capacidad para atender una población de treinta y uno a cuarenta (31 a 40) habitantes.</v>
      </c>
      <c r="B23" s="753">
        <v>917886.66666666663</v>
      </c>
      <c r="C23" s="754">
        <v>1491309.9218980446</v>
      </c>
    </row>
    <row r="24" spans="1:3" ht="73.5" customHeight="1">
      <c r="A24" s="485" t="str">
        <f>'A.P.U. 2023'!A219</f>
        <v>Trampa de grasas prefabricada en P.R.F.V (Poliéster Reforzado con Fibra De Vidrio) con capacidad para atender una población de cuarenta y uno a cincuenta (41 a 50) habitantes.</v>
      </c>
      <c r="B24" s="753">
        <v>1100750</v>
      </c>
      <c r="C24" s="754">
        <v>1784901.0193087156</v>
      </c>
    </row>
    <row r="25" spans="1:3" ht="63" customHeight="1">
      <c r="A25" s="485" t="str">
        <f>'A.P.U. 2023'!A242</f>
        <v>Trampa de grasas prefabricada en P.R.F.V (Poliéster Reforzado con Fibra De Vidrio) con capacidad para atender una población de cincuenta y uno a setenta (51 a 70) habitantes.</v>
      </c>
      <c r="B25" s="753">
        <v>1473220</v>
      </c>
      <c r="C25" s="754">
        <v>2756556.761526796</v>
      </c>
    </row>
    <row r="26" spans="1:3" ht="67.5" customHeight="1">
      <c r="A26" s="485" t="str">
        <f>'A.P.U. 2023'!A266</f>
        <v>Trampa de grasas prefabricada en P.R.F.V (Poliéster Reforzado con Fibra De Vidrio) con capacidad para atender una población de setenta y uno a noventa (71 a 90) habitantes.</v>
      </c>
      <c r="B26" s="753">
        <v>1844500</v>
      </c>
      <c r="C26" s="754">
        <v>3586383.8091833587</v>
      </c>
    </row>
    <row r="27" spans="1:3" ht="25.5" customHeight="1">
      <c r="A27" s="636" t="s">
        <v>767</v>
      </c>
    </row>
    <row r="28" spans="1:3" ht="117.75" customHeight="1">
      <c r="A28" s="486"/>
    </row>
    <row r="29" spans="1:3" ht="117.75" customHeight="1">
      <c r="A29" s="486"/>
    </row>
    <row r="30" spans="1:3" ht="117.75" customHeight="1">
      <c r="A30" s="486"/>
    </row>
    <row r="31" spans="1:3" ht="117.75" customHeight="1">
      <c r="A31" s="486"/>
    </row>
    <row r="32" spans="1:3" ht="117.75" customHeight="1">
      <c r="A32" s="486"/>
    </row>
    <row r="33" spans="1:1" ht="117.75" customHeight="1">
      <c r="A33" s="486"/>
    </row>
    <row r="34" spans="1:1" ht="117.75" customHeight="1">
      <c r="A34" s="486"/>
    </row>
    <row r="35" spans="1:1" ht="117.75" customHeight="1">
      <c r="A35" s="486"/>
    </row>
    <row r="36" spans="1:1" ht="117.75" customHeight="1">
      <c r="A36" s="486"/>
    </row>
    <row r="37" spans="1:1" ht="117.75" customHeight="1">
      <c r="A37" s="486"/>
    </row>
    <row r="38" spans="1:1" ht="117.75" customHeight="1">
      <c r="A38" s="486"/>
    </row>
    <row r="39" spans="1:1" ht="117.75" customHeight="1">
      <c r="A39" s="486"/>
    </row>
    <row r="40" spans="1:1" ht="117.75" customHeight="1">
      <c r="A40" s="486"/>
    </row>
    <row r="41" spans="1:1" ht="117.75" customHeight="1">
      <c r="A41" s="486"/>
    </row>
  </sheetData>
  <mergeCells count="3">
    <mergeCell ref="A3:C3"/>
    <mergeCell ref="A17:C17"/>
    <mergeCell ref="A1:C1"/>
  </mergeCells>
  <pageMargins left="0.19685039370078741" right="0.11811023622047245" top="0.15748031496062992" bottom="0.15748031496062992" header="0.11811023622047245" footer="0.19685039370078741"/>
  <pageSetup scale="44" orientation="landscape"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showGridLines="0" topLeftCell="A23" zoomScaleNormal="100" workbookViewId="0">
      <selection activeCell="H8" sqref="H8"/>
    </sheetView>
  </sheetViews>
  <sheetFormatPr baseColWidth="10" defaultColWidth="12" defaultRowHeight="15"/>
  <cols>
    <col min="1" max="1" width="8.33203125" style="693" customWidth="1"/>
    <col min="2" max="2" width="63.5" style="694" customWidth="1"/>
    <col min="3" max="4" width="18.1640625" style="695" customWidth="1"/>
    <col min="5" max="5" width="21.1640625" style="695" customWidth="1"/>
    <col min="6" max="8" width="22.33203125" style="695" customWidth="1"/>
    <col min="9" max="9" width="19.1640625" style="695" customWidth="1"/>
    <col min="10" max="10" width="21.5" style="695" customWidth="1"/>
    <col min="11" max="14" width="20.6640625" style="695" customWidth="1"/>
    <col min="15" max="16384" width="12" style="695"/>
  </cols>
  <sheetData>
    <row r="1" spans="1:14" ht="36.6" customHeight="1">
      <c r="B1" s="1197" t="s">
        <v>828</v>
      </c>
      <c r="C1" s="1197"/>
      <c r="D1" s="1197"/>
      <c r="E1" s="1197"/>
      <c r="F1" s="1197"/>
      <c r="G1" s="1197"/>
      <c r="H1" s="1197"/>
      <c r="M1" s="696"/>
      <c r="N1" s="696"/>
    </row>
    <row r="2" spans="1:14" ht="21" customHeight="1">
      <c r="B2" s="695"/>
      <c r="M2" s="696"/>
      <c r="N2" s="696"/>
    </row>
    <row r="3" spans="1:14" customFormat="1" ht="40.9" customHeight="1">
      <c r="A3" s="756"/>
      <c r="B3" s="1198" t="s">
        <v>734</v>
      </c>
      <c r="C3" s="1198"/>
      <c r="D3" s="1198"/>
      <c r="E3" s="1198"/>
      <c r="F3" s="1198"/>
      <c r="G3" s="1198"/>
      <c r="H3" s="1198"/>
    </row>
    <row r="4" spans="1:14" customFormat="1" ht="16.5" customHeight="1">
      <c r="A4" s="756"/>
      <c r="B4" s="1193" t="s">
        <v>658</v>
      </c>
      <c r="C4" s="757">
        <v>1</v>
      </c>
      <c r="D4" s="757">
        <v>2</v>
      </c>
      <c r="E4" s="757">
        <v>3</v>
      </c>
      <c r="F4" s="757">
        <v>4</v>
      </c>
      <c r="G4" s="758">
        <v>5</v>
      </c>
      <c r="H4" s="1194" t="s">
        <v>735</v>
      </c>
    </row>
    <row r="5" spans="1:14" customFormat="1" ht="22.9" customHeight="1">
      <c r="A5" s="756"/>
      <c r="B5" s="1193"/>
      <c r="C5" s="757" t="s">
        <v>736</v>
      </c>
      <c r="D5" s="757" t="s">
        <v>737</v>
      </c>
      <c r="E5" s="757" t="s">
        <v>738</v>
      </c>
      <c r="F5" s="757" t="s">
        <v>739</v>
      </c>
      <c r="G5" s="758" t="s">
        <v>740</v>
      </c>
      <c r="H5" s="1195"/>
    </row>
    <row r="6" spans="1:14" customFormat="1" ht="31.9" customHeight="1">
      <c r="A6" s="756"/>
      <c r="B6" s="1193"/>
      <c r="C6" s="758" t="s">
        <v>741</v>
      </c>
      <c r="D6" s="758" t="s">
        <v>742</v>
      </c>
      <c r="E6" s="758" t="s">
        <v>743</v>
      </c>
      <c r="F6" s="758" t="s">
        <v>744</v>
      </c>
      <c r="G6" s="758" t="s">
        <v>745</v>
      </c>
      <c r="H6" s="1196"/>
    </row>
    <row r="7" spans="1:14" customFormat="1" ht="43.5" customHeight="1">
      <c r="A7" s="756"/>
      <c r="B7" s="1193"/>
      <c r="C7" s="758" t="s">
        <v>656</v>
      </c>
      <c r="D7" s="758" t="s">
        <v>656</v>
      </c>
      <c r="E7" s="758" t="s">
        <v>656</v>
      </c>
      <c r="F7" s="758" t="s">
        <v>656</v>
      </c>
      <c r="G7" s="758" t="s">
        <v>656</v>
      </c>
      <c r="H7" s="758" t="s">
        <v>746</v>
      </c>
    </row>
    <row r="8" spans="1:14" customFormat="1" ht="99" customHeight="1">
      <c r="A8" s="759">
        <v>1</v>
      </c>
      <c r="B8" s="614" t="s">
        <v>747</v>
      </c>
      <c r="C8" s="699">
        <v>3213000</v>
      </c>
      <c r="D8" s="697">
        <v>4715000</v>
      </c>
      <c r="E8" s="699">
        <v>3195150</v>
      </c>
      <c r="F8" s="699">
        <v>3094000</v>
      </c>
      <c r="G8" s="699">
        <v>2873850</v>
      </c>
      <c r="H8" s="760">
        <f>+GEOMEAN(C8:G8)</f>
        <v>3363362.0221476713</v>
      </c>
    </row>
    <row r="9" spans="1:14" customFormat="1" ht="96.4" customHeight="1">
      <c r="A9" s="759">
        <v>2</v>
      </c>
      <c r="B9" s="614" t="s">
        <v>748</v>
      </c>
      <c r="C9" s="697">
        <v>4284000</v>
      </c>
      <c r="D9" s="697">
        <v>5068900</v>
      </c>
      <c r="E9" s="699">
        <v>4176900</v>
      </c>
      <c r="F9" s="699">
        <v>4165000</v>
      </c>
      <c r="G9" s="699">
        <v>3399125</v>
      </c>
      <c r="H9" s="760">
        <f t="shared" ref="H9:H17" si="0">+GEOMEAN(C9:G9)</f>
        <v>4185235.3125901576</v>
      </c>
    </row>
    <row r="10" spans="1:14" customFormat="1" ht="112.15" customHeight="1">
      <c r="A10" s="759">
        <v>3</v>
      </c>
      <c r="B10" s="614" t="s">
        <v>749</v>
      </c>
      <c r="C10" s="699">
        <v>5474000</v>
      </c>
      <c r="D10" s="697">
        <v>6898900</v>
      </c>
      <c r="E10" s="699">
        <v>5831000</v>
      </c>
      <c r="F10" s="699">
        <v>4879000</v>
      </c>
      <c r="G10" s="697">
        <v>6375598</v>
      </c>
      <c r="H10" s="760">
        <f t="shared" si="0"/>
        <v>5849730.8671653224</v>
      </c>
    </row>
    <row r="11" spans="1:14" customFormat="1" ht="113.45" customHeight="1">
      <c r="A11" s="759">
        <v>4</v>
      </c>
      <c r="B11" s="614" t="s">
        <v>750</v>
      </c>
      <c r="C11" s="697">
        <v>8568000</v>
      </c>
      <c r="D11" s="697">
        <v>8466000</v>
      </c>
      <c r="E11" s="697">
        <v>8687000</v>
      </c>
      <c r="F11" s="699">
        <v>6069000</v>
      </c>
      <c r="G11" s="697">
        <v>9677763</v>
      </c>
      <c r="H11" s="760">
        <f t="shared" si="0"/>
        <v>8197169.8248474048</v>
      </c>
    </row>
    <row r="12" spans="1:14" customFormat="1" ht="109.9" customHeight="1">
      <c r="A12" s="759">
        <v>5</v>
      </c>
      <c r="B12" s="614" t="s">
        <v>751</v>
      </c>
      <c r="C12" s="697">
        <v>12495000</v>
      </c>
      <c r="D12" s="697">
        <v>11739500</v>
      </c>
      <c r="E12" s="697">
        <v>11067000</v>
      </c>
      <c r="F12" s="699">
        <v>8984500</v>
      </c>
      <c r="G12" s="697">
        <v>10995692</v>
      </c>
      <c r="H12" s="760">
        <f t="shared" si="0"/>
        <v>10990727.74597152</v>
      </c>
    </row>
    <row r="13" spans="1:14" customFormat="1" ht="117.75" customHeight="1">
      <c r="A13" s="759">
        <v>6</v>
      </c>
      <c r="B13" s="614" t="s">
        <v>752</v>
      </c>
      <c r="C13" s="697">
        <v>17850000</v>
      </c>
      <c r="D13" s="697">
        <v>16964954</v>
      </c>
      <c r="E13" s="699">
        <v>14280000</v>
      </c>
      <c r="F13" s="699">
        <v>11959500</v>
      </c>
      <c r="G13" s="699">
        <v>14843449</v>
      </c>
      <c r="H13" s="760">
        <f t="shared" si="0"/>
        <v>15032575.454349907</v>
      </c>
    </row>
    <row r="14" spans="1:14" customFormat="1" ht="106.9" customHeight="1">
      <c r="A14" s="759">
        <v>7</v>
      </c>
      <c r="B14" s="614" t="s">
        <v>753</v>
      </c>
      <c r="C14" s="697">
        <v>26180000</v>
      </c>
      <c r="D14" s="699">
        <v>18848296</v>
      </c>
      <c r="E14" s="697">
        <v>20468000</v>
      </c>
      <c r="F14" s="699">
        <v>17731000</v>
      </c>
      <c r="G14" s="699">
        <v>17398557</v>
      </c>
      <c r="H14" s="760">
        <f t="shared" si="0"/>
        <v>19893569.743289504</v>
      </c>
    </row>
    <row r="15" spans="1:14" customFormat="1" ht="103.15" customHeight="1">
      <c r="A15" s="759">
        <v>8</v>
      </c>
      <c r="B15" s="614" t="s">
        <v>754</v>
      </c>
      <c r="C15" s="697">
        <v>34510000</v>
      </c>
      <c r="D15" s="699">
        <v>22932279</v>
      </c>
      <c r="E15" s="697">
        <v>28560000</v>
      </c>
      <c r="F15" s="699">
        <v>22015000</v>
      </c>
      <c r="G15" s="699">
        <v>19864794</v>
      </c>
      <c r="H15" s="760">
        <f t="shared" si="0"/>
        <v>25060551.662085772</v>
      </c>
    </row>
    <row r="16" spans="1:14" customFormat="1" ht="35.65" customHeight="1">
      <c r="A16" s="759">
        <v>9</v>
      </c>
      <c r="B16" s="614" t="s">
        <v>659</v>
      </c>
      <c r="C16" s="697">
        <v>6902000</v>
      </c>
      <c r="D16" s="697">
        <v>8395791</v>
      </c>
      <c r="E16" s="697">
        <v>7259000</v>
      </c>
      <c r="F16" s="699">
        <v>2784600</v>
      </c>
      <c r="G16" s="699">
        <v>2698957</v>
      </c>
      <c r="H16" s="760">
        <f t="shared" si="0"/>
        <v>5011577.2708920157</v>
      </c>
    </row>
    <row r="17" spans="1:9" customFormat="1" ht="33.4" customHeight="1">
      <c r="A17" s="759">
        <v>10</v>
      </c>
      <c r="B17" s="614" t="s">
        <v>755</v>
      </c>
      <c r="C17" s="697">
        <v>6545000</v>
      </c>
      <c r="D17" s="697">
        <v>8976097</v>
      </c>
      <c r="E17" s="697">
        <v>7378000</v>
      </c>
      <c r="F17" s="699">
        <v>2308600</v>
      </c>
      <c r="G17" s="699">
        <v>2404654</v>
      </c>
      <c r="H17" s="760">
        <f t="shared" si="0"/>
        <v>4745340.987958096</v>
      </c>
    </row>
    <row r="18" spans="1:9" customFormat="1" ht="33.4" customHeight="1">
      <c r="A18" s="761"/>
      <c r="B18" s="762"/>
      <c r="C18" s="762"/>
      <c r="D18" s="762"/>
      <c r="E18" s="762"/>
      <c r="F18" s="762"/>
      <c r="G18" s="762"/>
      <c r="H18" s="762"/>
      <c r="I18" s="762"/>
    </row>
    <row r="19" spans="1:9" customFormat="1" ht="33.4" customHeight="1">
      <c r="A19" s="761"/>
      <c r="B19" s="1189" t="s">
        <v>756</v>
      </c>
      <c r="C19" s="763" t="s">
        <v>757</v>
      </c>
      <c r="D19" s="763" t="s">
        <v>758</v>
      </c>
      <c r="E19" s="698"/>
      <c r="F19" s="698"/>
      <c r="G19" s="698"/>
      <c r="H19" s="698"/>
    </row>
    <row r="20" spans="1:9" customFormat="1" ht="15.6" customHeight="1">
      <c r="A20" s="761"/>
      <c r="B20" s="1189"/>
      <c r="C20" s="764" t="s">
        <v>759</v>
      </c>
      <c r="D20" s="765" t="s">
        <v>760</v>
      </c>
      <c r="E20" s="698"/>
      <c r="F20" s="698"/>
      <c r="G20" s="698"/>
      <c r="H20" s="698"/>
    </row>
    <row r="21" spans="1:9" customFormat="1" ht="33.4" customHeight="1">
      <c r="A21" s="761"/>
      <c r="B21" s="614" t="s">
        <v>659</v>
      </c>
      <c r="C21" s="766">
        <v>5376647.8224999998</v>
      </c>
      <c r="D21" s="766">
        <f>+C21+C21*13.12%</f>
        <v>6082064.0168119995</v>
      </c>
      <c r="E21" s="698"/>
      <c r="F21" s="698"/>
      <c r="G21" s="698"/>
      <c r="H21" s="698"/>
    </row>
    <row r="22" spans="1:9" customFormat="1" ht="33.4" customHeight="1">
      <c r="A22" s="761"/>
      <c r="B22" s="614" t="s">
        <v>755</v>
      </c>
      <c r="C22" s="766">
        <v>5020388.8574999999</v>
      </c>
      <c r="D22" s="766">
        <f>+C22+C22*13.12%</f>
        <v>5679063.8756039999</v>
      </c>
      <c r="E22" s="698"/>
      <c r="F22" s="698"/>
      <c r="G22" s="698"/>
      <c r="H22" s="698"/>
    </row>
    <row r="23" spans="1:9" customFormat="1" ht="33.4" customHeight="1">
      <c r="A23" s="761"/>
      <c r="B23" s="762"/>
      <c r="C23" s="698"/>
      <c r="D23" s="698"/>
      <c r="E23" s="698"/>
      <c r="F23" s="698"/>
      <c r="G23" s="698"/>
      <c r="H23" s="698"/>
    </row>
    <row r="24" spans="1:9" customFormat="1" ht="40.9" customHeight="1">
      <c r="A24" s="756"/>
      <c r="B24" s="1190" t="s">
        <v>761</v>
      </c>
      <c r="C24" s="1191"/>
      <c r="D24" s="1191"/>
      <c r="E24" s="1191"/>
      <c r="F24" s="1191"/>
      <c r="G24" s="1191"/>
      <c r="H24" s="1192"/>
    </row>
    <row r="25" spans="1:9" customFormat="1" ht="27" customHeight="1">
      <c r="A25" s="756"/>
      <c r="B25" s="1193" t="s">
        <v>762</v>
      </c>
      <c r="C25" s="758">
        <v>1</v>
      </c>
      <c r="D25" s="758">
        <v>2</v>
      </c>
      <c r="E25" s="758">
        <v>3</v>
      </c>
      <c r="F25" s="758">
        <v>4</v>
      </c>
      <c r="G25" s="767">
        <v>5</v>
      </c>
      <c r="H25" s="1194" t="s">
        <v>735</v>
      </c>
    </row>
    <row r="26" spans="1:9" customFormat="1" ht="22.9" customHeight="1">
      <c r="A26" s="756"/>
      <c r="B26" s="1193"/>
      <c r="C26" s="758" t="s">
        <v>736</v>
      </c>
      <c r="D26" s="758" t="s">
        <v>737</v>
      </c>
      <c r="E26" s="758" t="s">
        <v>738</v>
      </c>
      <c r="F26" s="758" t="s">
        <v>739</v>
      </c>
      <c r="G26" s="758" t="s">
        <v>740</v>
      </c>
      <c r="H26" s="1195"/>
    </row>
    <row r="27" spans="1:9" customFormat="1" ht="40.15" customHeight="1">
      <c r="A27" s="756"/>
      <c r="B27" s="1193"/>
      <c r="C27" s="758" t="s">
        <v>741</v>
      </c>
      <c r="D27" s="758" t="s">
        <v>763</v>
      </c>
      <c r="E27" s="758" t="s">
        <v>743</v>
      </c>
      <c r="F27" s="768" t="s">
        <v>744</v>
      </c>
      <c r="G27" s="758" t="s">
        <v>745</v>
      </c>
      <c r="H27" s="1196"/>
    </row>
    <row r="28" spans="1:9" customFormat="1" ht="34.9" customHeight="1">
      <c r="A28" s="756"/>
      <c r="B28" s="1193"/>
      <c r="C28" s="758" t="s">
        <v>656</v>
      </c>
      <c r="D28" s="758" t="s">
        <v>656</v>
      </c>
      <c r="E28" s="758" t="s">
        <v>656</v>
      </c>
      <c r="F28" s="758" t="s">
        <v>656</v>
      </c>
      <c r="G28" s="758" t="s">
        <v>656</v>
      </c>
      <c r="H28" s="758" t="s">
        <v>746</v>
      </c>
    </row>
    <row r="29" spans="1:9" customFormat="1" ht="57" customHeight="1">
      <c r="A29" s="759">
        <v>1</v>
      </c>
      <c r="B29" s="485" t="s">
        <v>764</v>
      </c>
      <c r="C29" s="697">
        <v>654500</v>
      </c>
      <c r="D29" s="697">
        <v>651000</v>
      </c>
      <c r="E29" s="699">
        <v>416500</v>
      </c>
      <c r="F29" s="699">
        <f>+E29+E29*19%</f>
        <v>495635</v>
      </c>
      <c r="G29" s="699">
        <v>506852</v>
      </c>
      <c r="H29" s="615">
        <f>+GEOMEAN(C29:G29)</f>
        <v>536821.31968976185</v>
      </c>
    </row>
    <row r="30" spans="1:9" customFormat="1" ht="49.9" customHeight="1">
      <c r="A30" s="759">
        <v>2</v>
      </c>
      <c r="B30" s="485" t="s">
        <v>765</v>
      </c>
      <c r="C30" s="697">
        <v>892500</v>
      </c>
      <c r="D30" s="697">
        <v>651000</v>
      </c>
      <c r="E30" s="699">
        <v>416500</v>
      </c>
      <c r="F30" s="699">
        <f t="shared" ref="F30:F36" si="1">+E30+E30*19%</f>
        <v>495635</v>
      </c>
      <c r="G30" s="697">
        <v>630227</v>
      </c>
      <c r="H30" s="615">
        <f t="shared" ref="H30:H36" si="2">+GEOMEAN(C30:G30)</f>
        <v>596612.89836218278</v>
      </c>
    </row>
    <row r="31" spans="1:9" customFormat="1" ht="49.9" customHeight="1">
      <c r="A31" s="759">
        <v>3</v>
      </c>
      <c r="B31" s="485" t="s">
        <v>573</v>
      </c>
      <c r="C31" s="697">
        <v>975800</v>
      </c>
      <c r="D31" s="699">
        <v>651000</v>
      </c>
      <c r="E31" s="699">
        <v>654500</v>
      </c>
      <c r="F31" s="697">
        <f t="shared" si="1"/>
        <v>778855</v>
      </c>
      <c r="G31" s="699">
        <v>735329</v>
      </c>
      <c r="H31" s="615">
        <f t="shared" si="2"/>
        <v>750512.53798099596</v>
      </c>
    </row>
    <row r="32" spans="1:9" customFormat="1" ht="49.9" customHeight="1">
      <c r="A32" s="759">
        <v>4</v>
      </c>
      <c r="B32" s="485" t="s">
        <v>575</v>
      </c>
      <c r="C32" s="697">
        <v>1428000</v>
      </c>
      <c r="D32" s="699">
        <v>651000</v>
      </c>
      <c r="E32" s="699">
        <v>654500</v>
      </c>
      <c r="F32" s="699">
        <f t="shared" si="1"/>
        <v>778855</v>
      </c>
      <c r="G32" s="697">
        <v>931462</v>
      </c>
      <c r="H32" s="615">
        <f t="shared" si="2"/>
        <v>849118.14252238791</v>
      </c>
    </row>
    <row r="33" spans="1:8" customFormat="1" ht="49.9" customHeight="1">
      <c r="A33" s="759">
        <v>5</v>
      </c>
      <c r="B33" s="485" t="s">
        <v>577</v>
      </c>
      <c r="C33" s="697">
        <v>1904000</v>
      </c>
      <c r="D33" s="699">
        <v>1060000</v>
      </c>
      <c r="E33" s="697">
        <v>1642200</v>
      </c>
      <c r="F33" s="697">
        <f t="shared" si="1"/>
        <v>1954218</v>
      </c>
      <c r="G33" s="699">
        <v>1138853</v>
      </c>
      <c r="H33" s="615">
        <f t="shared" si="2"/>
        <v>1491309.9218980446</v>
      </c>
    </row>
    <row r="34" spans="1:8" customFormat="1" ht="49.9" customHeight="1">
      <c r="A34" s="759">
        <v>6</v>
      </c>
      <c r="B34" s="485" t="s">
        <v>579</v>
      </c>
      <c r="C34" s="697">
        <v>2380000</v>
      </c>
      <c r="D34" s="766" t="s">
        <v>766</v>
      </c>
      <c r="E34" s="699">
        <v>1642200</v>
      </c>
      <c r="F34" s="697">
        <f t="shared" si="1"/>
        <v>1954218</v>
      </c>
      <c r="G34" s="699">
        <v>1328864</v>
      </c>
      <c r="H34" s="615">
        <f t="shared" si="2"/>
        <v>1784901.0193087156</v>
      </c>
    </row>
    <row r="35" spans="1:8" customFormat="1" ht="49.9" customHeight="1">
      <c r="A35" s="759">
        <v>7</v>
      </c>
      <c r="B35" s="485" t="s">
        <v>583</v>
      </c>
      <c r="C35" s="697">
        <v>3570000</v>
      </c>
      <c r="D35" s="766" t="s">
        <v>766</v>
      </c>
      <c r="E35" s="699">
        <v>2618000</v>
      </c>
      <c r="F35" s="697">
        <f t="shared" si="1"/>
        <v>3115420</v>
      </c>
      <c r="G35" s="699">
        <v>1982957</v>
      </c>
      <c r="H35" s="615">
        <f t="shared" si="2"/>
        <v>2756556.761526796</v>
      </c>
    </row>
    <row r="36" spans="1:8" customFormat="1" ht="49.9" customHeight="1">
      <c r="A36" s="759">
        <v>8</v>
      </c>
      <c r="B36" s="485" t="s">
        <v>582</v>
      </c>
      <c r="C36" s="697">
        <v>4760000</v>
      </c>
      <c r="D36" s="766" t="s">
        <v>766</v>
      </c>
      <c r="E36" s="699">
        <v>3094000</v>
      </c>
      <c r="F36" s="697">
        <f t="shared" si="1"/>
        <v>3681860</v>
      </c>
      <c r="G36" s="699">
        <v>3050932</v>
      </c>
      <c r="H36" s="615">
        <f t="shared" si="2"/>
        <v>3586383.8091833587</v>
      </c>
    </row>
  </sheetData>
  <mergeCells count="8">
    <mergeCell ref="B19:B20"/>
    <mergeCell ref="B24:H24"/>
    <mergeCell ref="B25:B28"/>
    <mergeCell ref="H25:H27"/>
    <mergeCell ref="B1:H1"/>
    <mergeCell ref="B3:H3"/>
    <mergeCell ref="B4:B7"/>
    <mergeCell ref="H4:H6"/>
  </mergeCells>
  <pageMargins left="0.19685039370078741" right="0.11811023622047245" top="0.15748031496062992" bottom="0.15748031496062992" header="0.11811023622047245" footer="0.19685039370078741"/>
  <pageSetup scale="4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theme="5" tint="0.39997558519241921"/>
  </sheetPr>
  <dimension ref="A1:M156"/>
  <sheetViews>
    <sheetView topLeftCell="A40" zoomScaleNormal="100" workbookViewId="0">
      <selection activeCell="A81" sqref="A81:XFD81"/>
    </sheetView>
  </sheetViews>
  <sheetFormatPr baseColWidth="10" defaultColWidth="12" defaultRowHeight="12.75"/>
  <cols>
    <col min="1" max="1" width="8" style="475" customWidth="1"/>
    <col min="2" max="2" width="39.6640625" style="475" customWidth="1"/>
    <col min="3" max="4" width="16.33203125" style="475" customWidth="1"/>
    <col min="5" max="5" width="17.5" style="475" customWidth="1"/>
    <col min="6" max="6" width="14.5" style="475" customWidth="1"/>
    <col min="7" max="7" width="15.6640625" style="475" customWidth="1"/>
    <col min="8" max="9" width="15.33203125" style="475" customWidth="1"/>
    <col min="10" max="10" width="18.6640625" style="475" customWidth="1"/>
    <col min="11" max="11" width="18.1640625" style="475" customWidth="1"/>
    <col min="12" max="12" width="22.6640625" style="475" customWidth="1"/>
    <col min="13" max="13" width="12" style="475"/>
    <col min="14" max="14" width="15.1640625" style="475" customWidth="1"/>
    <col min="15" max="16384" width="12" style="475"/>
  </cols>
  <sheetData>
    <row r="1" spans="2:13" ht="38.1" customHeight="1">
      <c r="B1" s="1212" t="s">
        <v>663</v>
      </c>
      <c r="C1" s="1212"/>
      <c r="E1" s="478" t="s">
        <v>768</v>
      </c>
    </row>
    <row r="2" spans="2:13" s="476" customFormat="1" ht="38.1" customHeight="1">
      <c r="B2" s="507" t="s">
        <v>78</v>
      </c>
      <c r="C2" s="602">
        <v>127905</v>
      </c>
      <c r="E2" s="1213"/>
      <c r="F2" s="1214"/>
    </row>
    <row r="3" spans="2:13" s="476" customFormat="1" ht="38.1" customHeight="1">
      <c r="B3" s="507" t="s">
        <v>79</v>
      </c>
      <c r="C3" s="602">
        <v>66698</v>
      </c>
      <c r="E3" s="479"/>
    </row>
    <row r="4" spans="2:13" s="476" customFormat="1" ht="38.1" customHeight="1">
      <c r="B4" s="507" t="s">
        <v>80</v>
      </c>
      <c r="C4" s="602">
        <f>+C3*2</f>
        <v>133396</v>
      </c>
      <c r="E4" s="479"/>
    </row>
    <row r="5" spans="2:13" s="476" customFormat="1" ht="38.1" customHeight="1">
      <c r="B5" s="507" t="s">
        <v>81</v>
      </c>
      <c r="C5" s="602">
        <f>+C3+C2</f>
        <v>194603</v>
      </c>
      <c r="E5" s="479"/>
      <c r="G5" s="481"/>
    </row>
    <row r="6" spans="2:13" s="476" customFormat="1" ht="38.1" customHeight="1">
      <c r="B6" s="507" t="s">
        <v>82</v>
      </c>
      <c r="C6" s="602">
        <f>+C2+C3*2</f>
        <v>261301</v>
      </c>
      <c r="E6" s="479"/>
    </row>
    <row r="7" spans="2:13" ht="38.1" customHeight="1">
      <c r="B7" s="507" t="s">
        <v>83</v>
      </c>
      <c r="C7" s="602">
        <f>+C2+3*C3</f>
        <v>327999</v>
      </c>
    </row>
    <row r="8" spans="2:13" ht="38.1" customHeight="1">
      <c r="B8" s="507" t="s">
        <v>84</v>
      </c>
      <c r="C8" s="702">
        <v>97301</v>
      </c>
    </row>
    <row r="9" spans="2:13" ht="60" customHeight="1">
      <c r="B9" s="1213" t="s">
        <v>662</v>
      </c>
      <c r="C9" s="1214"/>
    </row>
    <row r="10" spans="2:13" ht="20.25" customHeight="1">
      <c r="B10" s="682"/>
      <c r="C10" s="682"/>
    </row>
    <row r="11" spans="2:13" ht="27.75" customHeight="1">
      <c r="B11" s="1210" t="s">
        <v>55</v>
      </c>
      <c r="C11" s="1210"/>
      <c r="D11" s="1210"/>
      <c r="E11" s="1210"/>
      <c r="F11" s="1210"/>
      <c r="G11" s="1210"/>
      <c r="H11" s="1210"/>
      <c r="I11" s="1210"/>
      <c r="J11" s="1210"/>
      <c r="K11" s="1210"/>
      <c r="L11" s="1210"/>
      <c r="M11" s="1210"/>
    </row>
    <row r="12" spans="2:13" ht="16.149999999999999" customHeight="1">
      <c r="B12" s="683"/>
      <c r="C12" s="683"/>
      <c r="D12" s="683"/>
      <c r="E12" s="683"/>
      <c r="F12" s="683"/>
      <c r="G12" s="683"/>
      <c r="H12" s="683"/>
      <c r="I12" s="683"/>
      <c r="J12" s="683"/>
      <c r="K12" s="683"/>
      <c r="L12" s="683"/>
      <c r="M12" s="683"/>
    </row>
    <row r="13" spans="2:13" ht="16.149999999999999" customHeight="1">
      <c r="B13" s="1211" t="s">
        <v>643</v>
      </c>
      <c r="C13" s="1211"/>
      <c r="D13" s="1211"/>
      <c r="E13" s="1211"/>
      <c r="F13" s="1211"/>
      <c r="G13" s="1211"/>
      <c r="H13" s="1211"/>
      <c r="I13" s="1211"/>
      <c r="J13" s="1211"/>
      <c r="K13" s="1211"/>
      <c r="L13" s="1211"/>
      <c r="M13" s="1211"/>
    </row>
    <row r="14" spans="2:13" ht="16.149999999999999" customHeight="1" thickBot="1"/>
    <row r="15" spans="2:13" ht="22.15" customHeight="1">
      <c r="B15" s="1215" t="s">
        <v>610</v>
      </c>
      <c r="C15" s="1215"/>
      <c r="D15" s="1215"/>
      <c r="E15" s="1215"/>
      <c r="F15" s="1215"/>
      <c r="G15" s="1215"/>
      <c r="H15" s="1215"/>
      <c r="I15" s="1215"/>
      <c r="J15" s="1216"/>
    </row>
    <row r="16" spans="2:13" ht="31.15" customHeight="1">
      <c r="B16" s="706" t="s">
        <v>611</v>
      </c>
      <c r="C16" s="707" t="s">
        <v>457</v>
      </c>
      <c r="D16" s="707" t="s">
        <v>458</v>
      </c>
      <c r="E16" s="707" t="s">
        <v>459</v>
      </c>
      <c r="F16" s="707" t="s">
        <v>460</v>
      </c>
      <c r="G16" s="707" t="s">
        <v>461</v>
      </c>
      <c r="H16" s="707" t="s">
        <v>462</v>
      </c>
      <c r="I16" s="707" t="s">
        <v>463</v>
      </c>
      <c r="J16" s="707" t="s">
        <v>464</v>
      </c>
    </row>
    <row r="17" spans="1:13" ht="22.15" customHeight="1">
      <c r="A17" s="392">
        <v>1</v>
      </c>
      <c r="B17" s="645" t="s">
        <v>491</v>
      </c>
      <c r="C17" s="601">
        <f>VLOOKUP($B$17,$B$48:$K$126,3,FALSE)</f>
        <v>262783.41600000003</v>
      </c>
      <c r="D17" s="601">
        <f>VLOOKUP($B$17,$B$48:$K$126,4,FALSE)</f>
        <v>267110.25599999999</v>
      </c>
      <c r="E17" s="601">
        <f>VLOOKUP($B$17,$B$48:$K$126,5,FALSE)</f>
        <v>275763.93600000005</v>
      </c>
      <c r="F17" s="601">
        <f>VLOOKUP($B$17,$B$48:$K$126,6,FALSE)</f>
        <v>298840.41600000003</v>
      </c>
      <c r="G17" s="601">
        <f>VLOOKUP($B$17,$B$48:$K$126,7,FALSE)</f>
        <v>307494.09600000002</v>
      </c>
      <c r="H17" s="601">
        <f>VLOOKUP($B$17,$B$48:$K$126,8,FALSE)</f>
        <v>324801.45600000001</v>
      </c>
      <c r="I17" s="601">
        <f>VLOOKUP($B$17,$B$48:$K$126,9,FALSE)</f>
        <v>355089.33600000001</v>
      </c>
      <c r="J17" s="601">
        <f>VLOOKUP($B$17,$B$48:$K$126,10,FALSE)</f>
        <v>366627.576</v>
      </c>
    </row>
    <row r="18" spans="1:13" ht="21" customHeight="1">
      <c r="A18" s="392">
        <v>2</v>
      </c>
      <c r="B18" s="708" t="s">
        <v>635</v>
      </c>
      <c r="C18" s="601">
        <f t="shared" ref="C18:J18" si="0">VLOOKUP(B$18,B$155:J$156,2,FALSE)</f>
        <v>224800.53184000001</v>
      </c>
      <c r="D18" s="601">
        <f t="shared" si="0"/>
        <v>226546.78144000002</v>
      </c>
      <c r="E18" s="601">
        <f t="shared" si="0"/>
        <v>230039.28063999998</v>
      </c>
      <c r="F18" s="601">
        <f t="shared" si="0"/>
        <v>239352.61183999997</v>
      </c>
      <c r="G18" s="601">
        <f t="shared" si="0"/>
        <v>242845.11104000002</v>
      </c>
      <c r="H18" s="601">
        <f t="shared" si="0"/>
        <v>249830.10943999997</v>
      </c>
      <c r="I18" s="601">
        <f t="shared" si="0"/>
        <v>262053.85663999995</v>
      </c>
      <c r="J18" s="601">
        <f t="shared" si="0"/>
        <v>266710.52224000002</v>
      </c>
    </row>
    <row r="19" spans="1:13" ht="29.25" customHeight="1">
      <c r="B19" s="704" t="s">
        <v>648</v>
      </c>
      <c r="C19" s="705">
        <f>+'FICHAS '!N57</f>
        <v>5.7727272727272725</v>
      </c>
      <c r="D19" s="684"/>
      <c r="E19" s="684"/>
      <c r="F19" s="684"/>
      <c r="G19" s="684"/>
      <c r="H19" s="684"/>
      <c r="I19" s="684"/>
      <c r="J19" s="684"/>
    </row>
    <row r="20" spans="1:13" ht="27" customHeight="1">
      <c r="B20" s="684"/>
      <c r="C20" s="684"/>
      <c r="D20" s="684"/>
      <c r="E20" s="684"/>
      <c r="F20" s="684"/>
      <c r="G20" s="684"/>
      <c r="H20" s="684"/>
      <c r="I20" s="684"/>
      <c r="J20" s="684"/>
    </row>
    <row r="21" spans="1:13" ht="17.25" customHeight="1">
      <c r="B21" s="1202" t="s">
        <v>612</v>
      </c>
      <c r="C21" s="1202"/>
      <c r="D21" s="1202"/>
      <c r="E21" s="1202"/>
      <c r="F21" s="1202"/>
      <c r="G21" s="1202"/>
      <c r="H21" s="1202"/>
      <c r="I21" s="1202"/>
      <c r="J21" s="1202"/>
    </row>
    <row r="22" spans="1:13">
      <c r="A22" s="692">
        <v>4</v>
      </c>
      <c r="B22" s="646" t="s">
        <v>650</v>
      </c>
      <c r="C22" s="497">
        <f>'ppto sistema septico'!F8</f>
        <v>42</v>
      </c>
      <c r="D22" s="497">
        <f>'ppto sistema septico'!H8</f>
        <v>2</v>
      </c>
      <c r="E22" s="634">
        <f>'ppto sistema septico'!J8</f>
        <v>0</v>
      </c>
      <c r="F22" s="634">
        <f>'ppto sistema septico'!L8</f>
        <v>0</v>
      </c>
      <c r="G22" s="497">
        <f>'ppto sistema septico'!N8</f>
        <v>0</v>
      </c>
      <c r="H22" s="497">
        <f>'ppto sistema septico'!P8</f>
        <v>0</v>
      </c>
      <c r="I22" s="497">
        <f>'ppto sistema septico'!R8</f>
        <v>0</v>
      </c>
      <c r="J22" s="497">
        <f>'ppto sistema septico'!T8</f>
        <v>0</v>
      </c>
    </row>
    <row r="23" spans="1:13">
      <c r="A23" s="692">
        <v>5</v>
      </c>
      <c r="B23" s="646" t="s">
        <v>651</v>
      </c>
      <c r="C23" s="635">
        <f>ROUNDUP(C22/3,0)</f>
        <v>14</v>
      </c>
      <c r="D23" s="635">
        <f>ROUNDUP(D22/3,0)</f>
        <v>1</v>
      </c>
      <c r="E23" s="635">
        <f>ROUNDUP(E22/3,0)</f>
        <v>0</v>
      </c>
      <c r="F23" s="635">
        <f>ROUNDUP(F22/2,0)</f>
        <v>0</v>
      </c>
      <c r="G23" s="635">
        <f>ROUNDUP(G22/2,0)</f>
        <v>0</v>
      </c>
      <c r="H23" s="635">
        <f>ROUNDUP(H22/1,0)</f>
        <v>0</v>
      </c>
      <c r="I23" s="635">
        <f>ROUNDUP(I22/1,0)</f>
        <v>0</v>
      </c>
      <c r="J23" s="635">
        <f>ROUNDUP(J22/1,0)</f>
        <v>0</v>
      </c>
    </row>
    <row r="24" spans="1:13">
      <c r="A24" s="692" t="s">
        <v>649</v>
      </c>
      <c r="B24" s="646" t="s">
        <v>466</v>
      </c>
      <c r="C24" s="633">
        <f t="shared" ref="C24:J24" si="1">C17+C18</f>
        <v>487583.94784000004</v>
      </c>
      <c r="D24" s="633">
        <f t="shared" si="1"/>
        <v>493657.03743999999</v>
      </c>
      <c r="E24" s="633">
        <f t="shared" si="1"/>
        <v>505803.21664</v>
      </c>
      <c r="F24" s="633">
        <f t="shared" si="1"/>
        <v>538193.02784</v>
      </c>
      <c r="G24" s="633">
        <f t="shared" si="1"/>
        <v>550339.20704000001</v>
      </c>
      <c r="H24" s="633">
        <f t="shared" si="1"/>
        <v>574631.56544000003</v>
      </c>
      <c r="I24" s="633">
        <f t="shared" si="1"/>
        <v>617143.19264000002</v>
      </c>
      <c r="J24" s="633">
        <f t="shared" si="1"/>
        <v>633338.09823999996</v>
      </c>
    </row>
    <row r="25" spans="1:13">
      <c r="A25" s="692" t="s">
        <v>652</v>
      </c>
      <c r="B25" s="646" t="s">
        <v>548</v>
      </c>
      <c r="C25" s="619">
        <f t="shared" ref="C25:J25" si="2">C24*C23</f>
        <v>6826175.2697600005</v>
      </c>
      <c r="D25" s="619">
        <f t="shared" si="2"/>
        <v>493657.03743999999</v>
      </c>
      <c r="E25" s="619">
        <f t="shared" si="2"/>
        <v>0</v>
      </c>
      <c r="F25" s="619">
        <f t="shared" si="2"/>
        <v>0</v>
      </c>
      <c r="G25" s="619">
        <f t="shared" si="2"/>
        <v>0</v>
      </c>
      <c r="H25" s="619">
        <f t="shared" si="2"/>
        <v>0</v>
      </c>
      <c r="I25" s="619">
        <f t="shared" si="2"/>
        <v>0</v>
      </c>
      <c r="J25" s="619">
        <f t="shared" si="2"/>
        <v>0</v>
      </c>
    </row>
    <row r="26" spans="1:13">
      <c r="A26" s="692" t="s">
        <v>653</v>
      </c>
      <c r="B26" s="646" t="s">
        <v>549</v>
      </c>
      <c r="C26" s="647">
        <f t="shared" ref="C26:J26" si="3">IFERROR(C25/C22,"0")</f>
        <v>162527.98261333336</v>
      </c>
      <c r="D26" s="647">
        <f t="shared" si="3"/>
        <v>246828.51871999999</v>
      </c>
      <c r="E26" s="647" t="str">
        <f t="shared" si="3"/>
        <v>0</v>
      </c>
      <c r="F26" s="647" t="str">
        <f t="shared" si="3"/>
        <v>0</v>
      </c>
      <c r="G26" s="647" t="str">
        <f t="shared" si="3"/>
        <v>0</v>
      </c>
      <c r="H26" s="647" t="str">
        <f t="shared" si="3"/>
        <v>0</v>
      </c>
      <c r="I26" s="647" t="str">
        <f t="shared" si="3"/>
        <v>0</v>
      </c>
      <c r="J26" s="647" t="str">
        <f t="shared" si="3"/>
        <v>0</v>
      </c>
    </row>
    <row r="27" spans="1:13" ht="25.5">
      <c r="A27" s="692" t="s">
        <v>654</v>
      </c>
      <c r="B27" s="646" t="s">
        <v>613</v>
      </c>
      <c r="C27" s="648">
        <f>SUM(C25:J25)</f>
        <v>7319832.3072000006</v>
      </c>
    </row>
    <row r="28" spans="1:13" ht="25.5" customHeight="1">
      <c r="A28" s="692" t="s">
        <v>655</v>
      </c>
      <c r="B28" s="646" t="s">
        <v>393</v>
      </c>
      <c r="C28" s="649">
        <f>C27/('ppto sistema septico'!F8+'ppto sistema septico'!H8+'ppto sistema septico'!J8+'ppto sistema septico'!L8+'ppto sistema septico'!N8+'ppto sistema septico'!P8+'ppto sistema septico'!R8+'ppto sistema septico'!T8)</f>
        <v>166359.82516363639</v>
      </c>
    </row>
    <row r="30" spans="1:13" ht="20.25" customHeight="1">
      <c r="B30" s="1211" t="s">
        <v>642</v>
      </c>
      <c r="C30" s="1211"/>
      <c r="D30" s="1211"/>
      <c r="E30" s="1211"/>
      <c r="F30" s="1211"/>
      <c r="G30" s="1211"/>
      <c r="H30" s="1211"/>
      <c r="I30" s="1211"/>
      <c r="J30" s="1211"/>
      <c r="K30" s="1211"/>
      <c r="L30" s="1211"/>
      <c r="M30" s="1211"/>
    </row>
    <row r="31" spans="1:13" ht="20.25" customHeight="1">
      <c r="B31" s="683"/>
      <c r="C31" s="683"/>
      <c r="D31" s="683"/>
      <c r="E31" s="683"/>
      <c r="F31" s="683"/>
      <c r="G31" s="683"/>
      <c r="H31" s="683"/>
      <c r="I31" s="683"/>
      <c r="J31" s="683"/>
      <c r="K31" s="683"/>
      <c r="L31" s="683"/>
      <c r="M31" s="683"/>
    </row>
    <row r="32" spans="1:13" ht="27" customHeight="1">
      <c r="B32" s="1199" t="s">
        <v>828</v>
      </c>
      <c r="C32" s="1199"/>
      <c r="D32" s="1199"/>
      <c r="E32" s="1199"/>
      <c r="F32" s="1199"/>
      <c r="G32" s="1199"/>
      <c r="H32" s="1199"/>
      <c r="I32" s="1199"/>
    </row>
    <row r="33" spans="1:12" ht="27" customHeight="1">
      <c r="B33" s="1203" t="s">
        <v>122</v>
      </c>
      <c r="C33" s="1206" t="s">
        <v>769</v>
      </c>
      <c r="D33" s="1206"/>
      <c r="E33" s="1206"/>
      <c r="F33" s="1206"/>
      <c r="G33" s="1206"/>
      <c r="H33" s="1207" t="s">
        <v>770</v>
      </c>
      <c r="I33" s="1207"/>
      <c r="K33" s="632"/>
    </row>
    <row r="34" spans="1:12" ht="13.15" customHeight="1">
      <c r="B34" s="1204"/>
      <c r="C34" s="616">
        <v>1</v>
      </c>
      <c r="D34" s="616">
        <v>2</v>
      </c>
      <c r="E34" s="616">
        <v>3</v>
      </c>
      <c r="F34" s="1208" t="s">
        <v>455</v>
      </c>
      <c r="G34" s="1208"/>
      <c r="H34" s="1209" t="s">
        <v>455</v>
      </c>
      <c r="I34" s="1209"/>
    </row>
    <row r="35" spans="1:12" ht="25.5" customHeight="1">
      <c r="B35" s="1205"/>
      <c r="C35" s="616" t="s">
        <v>641</v>
      </c>
      <c r="D35" s="616" t="s">
        <v>639</v>
      </c>
      <c r="E35" s="616" t="s">
        <v>640</v>
      </c>
      <c r="F35" s="616" t="s">
        <v>606</v>
      </c>
      <c r="G35" s="616" t="s">
        <v>607</v>
      </c>
      <c r="H35" s="769" t="s">
        <v>771</v>
      </c>
      <c r="I35" s="769" t="s">
        <v>772</v>
      </c>
    </row>
    <row r="36" spans="1:12" ht="92.25" customHeight="1">
      <c r="B36" s="614" t="s">
        <v>628</v>
      </c>
      <c r="C36" s="615">
        <v>4760</v>
      </c>
      <c r="D36" s="615">
        <v>4350</v>
      </c>
      <c r="E36" s="615">
        <v>10200</v>
      </c>
      <c r="F36" s="766">
        <f t="shared" ref="F36:F43" si="4">AVERAGE(C36:E36)</f>
        <v>6436.666666666667</v>
      </c>
      <c r="G36" s="766">
        <f>AVERAGE(C36:D36)</f>
        <v>4555</v>
      </c>
      <c r="H36" s="770">
        <f>+F36+F36*13.12%</f>
        <v>7281.1573333333336</v>
      </c>
      <c r="I36" s="770">
        <f>+G36+G36*13.12%</f>
        <v>5152.616</v>
      </c>
    </row>
    <row r="37" spans="1:12" ht="99" customHeight="1">
      <c r="B37" s="614" t="s">
        <v>629</v>
      </c>
      <c r="C37" s="615">
        <v>4760</v>
      </c>
      <c r="D37" s="615">
        <v>4500</v>
      </c>
      <c r="E37" s="615">
        <v>10200</v>
      </c>
      <c r="F37" s="766">
        <f t="shared" si="4"/>
        <v>6486.666666666667</v>
      </c>
      <c r="G37" s="766">
        <f t="shared" ref="G37:G43" si="5">AVERAGE(C37:D37)</f>
        <v>4630</v>
      </c>
      <c r="H37" s="770">
        <f t="shared" ref="H37:I43" si="6">+F37+F37*13.12%</f>
        <v>7337.717333333334</v>
      </c>
      <c r="I37" s="770">
        <f t="shared" si="6"/>
        <v>5237.4560000000001</v>
      </c>
    </row>
    <row r="38" spans="1:12" ht="113.25" customHeight="1">
      <c r="B38" s="614" t="s">
        <v>630</v>
      </c>
      <c r="C38" s="615">
        <v>4760</v>
      </c>
      <c r="D38" s="615">
        <v>4800</v>
      </c>
      <c r="E38" s="615">
        <v>10200</v>
      </c>
      <c r="F38" s="766">
        <f t="shared" si="4"/>
        <v>6586.666666666667</v>
      </c>
      <c r="G38" s="766">
        <f t="shared" si="5"/>
        <v>4780</v>
      </c>
      <c r="H38" s="770">
        <f t="shared" si="6"/>
        <v>7450.8373333333338</v>
      </c>
      <c r="I38" s="770">
        <f t="shared" si="6"/>
        <v>5407.1360000000004</v>
      </c>
    </row>
    <row r="39" spans="1:12" ht="105" customHeight="1">
      <c r="B39" s="614" t="s">
        <v>631</v>
      </c>
      <c r="C39" s="615">
        <v>4760</v>
      </c>
      <c r="D39" s="615">
        <v>5600</v>
      </c>
      <c r="E39" s="615">
        <v>10200</v>
      </c>
      <c r="F39" s="766">
        <f t="shared" si="4"/>
        <v>6853.333333333333</v>
      </c>
      <c r="G39" s="766">
        <f t="shared" si="5"/>
        <v>5180</v>
      </c>
      <c r="H39" s="770">
        <f t="shared" si="6"/>
        <v>7752.4906666666666</v>
      </c>
      <c r="I39" s="770">
        <f t="shared" si="6"/>
        <v>5859.616</v>
      </c>
    </row>
    <row r="40" spans="1:12" ht="108.75" customHeight="1">
      <c r="B40" s="614" t="s">
        <v>632</v>
      </c>
      <c r="C40" s="615">
        <v>4760</v>
      </c>
      <c r="D40" s="615">
        <v>5900</v>
      </c>
      <c r="E40" s="615">
        <v>10200</v>
      </c>
      <c r="F40" s="766">
        <f t="shared" si="4"/>
        <v>6953.333333333333</v>
      </c>
      <c r="G40" s="766">
        <f t="shared" si="5"/>
        <v>5330</v>
      </c>
      <c r="H40" s="770">
        <f t="shared" si="6"/>
        <v>7865.6106666666665</v>
      </c>
      <c r="I40" s="770">
        <f t="shared" si="6"/>
        <v>6029.2960000000003</v>
      </c>
    </row>
    <row r="41" spans="1:12" ht="111.75" customHeight="1">
      <c r="B41" s="614" t="s">
        <v>636</v>
      </c>
      <c r="C41" s="615">
        <v>4760</v>
      </c>
      <c r="D41" s="615">
        <v>6500</v>
      </c>
      <c r="E41" s="615">
        <v>10200</v>
      </c>
      <c r="F41" s="766">
        <f t="shared" si="4"/>
        <v>7153.333333333333</v>
      </c>
      <c r="G41" s="766">
        <f t="shared" si="5"/>
        <v>5630</v>
      </c>
      <c r="H41" s="770">
        <f t="shared" si="6"/>
        <v>8091.8506666666663</v>
      </c>
      <c r="I41" s="770">
        <f t="shared" si="6"/>
        <v>6368.6559999999999</v>
      </c>
    </row>
    <row r="42" spans="1:12" ht="108" customHeight="1">
      <c r="B42" s="614" t="s">
        <v>637</v>
      </c>
      <c r="C42" s="615">
        <v>4760</v>
      </c>
      <c r="D42" s="615">
        <v>7550</v>
      </c>
      <c r="E42" s="615">
        <v>10200</v>
      </c>
      <c r="F42" s="766">
        <f t="shared" si="4"/>
        <v>7503.333333333333</v>
      </c>
      <c r="G42" s="766">
        <f t="shared" si="5"/>
        <v>6155</v>
      </c>
      <c r="H42" s="770">
        <f t="shared" si="6"/>
        <v>8487.7706666666654</v>
      </c>
      <c r="I42" s="770">
        <f t="shared" si="6"/>
        <v>6962.5360000000001</v>
      </c>
    </row>
    <row r="43" spans="1:12" ht="100.5" customHeight="1">
      <c r="B43" s="614" t="s">
        <v>638</v>
      </c>
      <c r="C43" s="615">
        <v>4760</v>
      </c>
      <c r="D43" s="615">
        <v>7950</v>
      </c>
      <c r="E43" s="615">
        <v>10200</v>
      </c>
      <c r="F43" s="766">
        <f t="shared" si="4"/>
        <v>7636.666666666667</v>
      </c>
      <c r="G43" s="766">
        <f t="shared" si="5"/>
        <v>6355</v>
      </c>
      <c r="H43" s="770">
        <f t="shared" si="6"/>
        <v>8638.5973333333332</v>
      </c>
      <c r="I43" s="770">
        <f t="shared" si="6"/>
        <v>7188.7759999999998</v>
      </c>
    </row>
    <row r="44" spans="1:12">
      <c r="B44" s="617"/>
      <c r="C44" s="618"/>
    </row>
    <row r="45" spans="1:12" ht="18.75" customHeight="1">
      <c r="A45" s="403">
        <v>1</v>
      </c>
      <c r="B45" s="686" t="s">
        <v>644</v>
      </c>
      <c r="C45" s="685"/>
      <c r="D45" s="685"/>
      <c r="E45" s="685"/>
      <c r="F45" s="685"/>
      <c r="G45" s="685"/>
      <c r="H45" s="685"/>
      <c r="I45" s="685"/>
      <c r="J45" s="685"/>
      <c r="K45" s="685"/>
      <c r="L45" s="685"/>
    </row>
    <row r="46" spans="1:12" ht="27" customHeight="1">
      <c r="B46" s="1200" t="s">
        <v>467</v>
      </c>
      <c r="C46" s="1200"/>
      <c r="D46" s="1200"/>
      <c r="E46" s="1200"/>
      <c r="F46" s="1200"/>
      <c r="G46" s="1200"/>
      <c r="H46" s="1200"/>
      <c r="I46" s="1200"/>
      <c r="J46" s="1200"/>
      <c r="K46" s="1200"/>
    </row>
    <row r="47" spans="1:12" ht="28.5" customHeight="1" thickBot="1">
      <c r="B47" s="641" t="s">
        <v>174</v>
      </c>
      <c r="C47" s="642" t="s">
        <v>456</v>
      </c>
      <c r="D47" s="643" t="s">
        <v>457</v>
      </c>
      <c r="E47" s="643" t="s">
        <v>458</v>
      </c>
      <c r="F47" s="643" t="s">
        <v>459</v>
      </c>
      <c r="G47" s="643" t="s">
        <v>460</v>
      </c>
      <c r="H47" s="643" t="s">
        <v>461</v>
      </c>
      <c r="I47" s="643" t="s">
        <v>462</v>
      </c>
      <c r="J47" s="643" t="s">
        <v>463</v>
      </c>
      <c r="K47" s="643" t="s">
        <v>464</v>
      </c>
    </row>
    <row r="48" spans="1:12" ht="14.65" hidden="1" customHeight="1" thickBot="1">
      <c r="B48" s="620" t="s">
        <v>469</v>
      </c>
      <c r="C48" s="621">
        <v>0</v>
      </c>
      <c r="D48" s="615">
        <f t="shared" ref="D48" si="7">C48*G$36</f>
        <v>0</v>
      </c>
      <c r="E48" s="615">
        <f>C48*G$37</f>
        <v>0</v>
      </c>
      <c r="F48" s="615">
        <f>C48*G$38</f>
        <v>0</v>
      </c>
      <c r="G48" s="615">
        <f>C48*G$39</f>
        <v>0</v>
      </c>
      <c r="H48" s="615">
        <f>C48*G$40</f>
        <v>0</v>
      </c>
      <c r="I48" s="615">
        <f>C48*G$41</f>
        <v>0</v>
      </c>
      <c r="J48" s="615">
        <f>C48*G$42</f>
        <v>0</v>
      </c>
      <c r="K48" s="615">
        <f>C48*G$43</f>
        <v>0</v>
      </c>
    </row>
    <row r="49" spans="1:11" ht="15.75" hidden="1" thickBot="1">
      <c r="A49" s="687" t="s">
        <v>645</v>
      </c>
      <c r="B49" s="622" t="s">
        <v>470</v>
      </c>
      <c r="C49" s="623">
        <v>2</v>
      </c>
      <c r="D49" s="615">
        <f>+C49*I$36</f>
        <v>10305.232</v>
      </c>
      <c r="E49" s="615">
        <f>+C49*I$37</f>
        <v>10474.912</v>
      </c>
      <c r="F49" s="615">
        <f>+C49*I$38</f>
        <v>10814.272000000001</v>
      </c>
      <c r="G49" s="615">
        <f>+C49*I$39</f>
        <v>11719.232</v>
      </c>
      <c r="H49" s="615">
        <f>+C49*I$40</f>
        <v>12058.592000000001</v>
      </c>
      <c r="I49" s="615">
        <f>+C49*I$41</f>
        <v>12737.312</v>
      </c>
      <c r="J49" s="615">
        <f>+C49*I$42</f>
        <v>13925.072</v>
      </c>
      <c r="K49" s="615">
        <f>+C49*I$43</f>
        <v>14377.552</v>
      </c>
    </row>
    <row r="50" spans="1:11" ht="15.75" hidden="1" thickBot="1">
      <c r="A50" s="687" t="s">
        <v>645</v>
      </c>
      <c r="B50" s="622" t="s">
        <v>471</v>
      </c>
      <c r="C50" s="623">
        <v>5</v>
      </c>
      <c r="D50" s="615">
        <f t="shared" ref="D50:D110" si="8">+C50*I$36</f>
        <v>25763.08</v>
      </c>
      <c r="E50" s="615">
        <f t="shared" ref="E50:E110" si="9">+C50*I$37</f>
        <v>26187.279999999999</v>
      </c>
      <c r="F50" s="615">
        <f t="shared" ref="F50:F110" si="10">+C50*I$38</f>
        <v>27035.68</v>
      </c>
      <c r="G50" s="615">
        <f t="shared" ref="G50:G110" si="11">+C50*I$39</f>
        <v>29298.080000000002</v>
      </c>
      <c r="H50" s="615">
        <f t="shared" ref="H50:H110" si="12">+C50*I$40</f>
        <v>30146.480000000003</v>
      </c>
      <c r="I50" s="615">
        <f t="shared" ref="I50:I110" si="13">+C50*I$41</f>
        <v>31843.279999999999</v>
      </c>
      <c r="J50" s="615">
        <f t="shared" ref="J50:J110" si="14">+C50*I$42</f>
        <v>34812.68</v>
      </c>
      <c r="K50" s="615">
        <f t="shared" ref="K50:K110" si="15">+C50*I$43</f>
        <v>35943.879999999997</v>
      </c>
    </row>
    <row r="51" spans="1:11" ht="15.75" hidden="1" thickBot="1">
      <c r="A51" s="687" t="s">
        <v>645</v>
      </c>
      <c r="B51" s="622" t="s">
        <v>472</v>
      </c>
      <c r="C51" s="623">
        <v>5</v>
      </c>
      <c r="D51" s="615">
        <f t="shared" si="8"/>
        <v>25763.08</v>
      </c>
      <c r="E51" s="615">
        <f t="shared" si="9"/>
        <v>26187.279999999999</v>
      </c>
      <c r="F51" s="615">
        <f t="shared" si="10"/>
        <v>27035.68</v>
      </c>
      <c r="G51" s="615">
        <f t="shared" si="11"/>
        <v>29298.080000000002</v>
      </c>
      <c r="H51" s="615">
        <f t="shared" si="12"/>
        <v>30146.480000000003</v>
      </c>
      <c r="I51" s="615">
        <f t="shared" si="13"/>
        <v>31843.279999999999</v>
      </c>
      <c r="J51" s="615">
        <f t="shared" si="14"/>
        <v>34812.68</v>
      </c>
      <c r="K51" s="615">
        <f t="shared" si="15"/>
        <v>35943.879999999997</v>
      </c>
    </row>
    <row r="52" spans="1:11" ht="15.75" hidden="1" thickBot="1">
      <c r="A52" s="687" t="s">
        <v>645</v>
      </c>
      <c r="B52" s="622" t="s">
        <v>473</v>
      </c>
      <c r="C52" s="623">
        <v>7.5</v>
      </c>
      <c r="D52" s="615">
        <f t="shared" si="8"/>
        <v>38644.620000000003</v>
      </c>
      <c r="E52" s="615">
        <f t="shared" si="9"/>
        <v>39280.92</v>
      </c>
      <c r="F52" s="615">
        <f t="shared" si="10"/>
        <v>40553.520000000004</v>
      </c>
      <c r="G52" s="615">
        <f t="shared" si="11"/>
        <v>43947.12</v>
      </c>
      <c r="H52" s="615">
        <f t="shared" si="12"/>
        <v>45219.72</v>
      </c>
      <c r="I52" s="615">
        <f t="shared" si="13"/>
        <v>47764.92</v>
      </c>
      <c r="J52" s="615">
        <f t="shared" si="14"/>
        <v>52219.020000000004</v>
      </c>
      <c r="K52" s="615">
        <f t="shared" si="15"/>
        <v>53915.82</v>
      </c>
    </row>
    <row r="53" spans="1:11" ht="15.75" hidden="1" thickBot="1">
      <c r="A53" s="687" t="s">
        <v>645</v>
      </c>
      <c r="B53" s="622" t="s">
        <v>474</v>
      </c>
      <c r="C53" s="623">
        <v>9.5</v>
      </c>
      <c r="D53" s="615">
        <f t="shared" si="8"/>
        <v>48949.851999999999</v>
      </c>
      <c r="E53" s="615">
        <f t="shared" si="9"/>
        <v>49755.832000000002</v>
      </c>
      <c r="F53" s="615">
        <f t="shared" si="10"/>
        <v>51367.792000000001</v>
      </c>
      <c r="G53" s="615">
        <f t="shared" si="11"/>
        <v>55666.351999999999</v>
      </c>
      <c r="H53" s="615">
        <f t="shared" si="12"/>
        <v>57278.312000000005</v>
      </c>
      <c r="I53" s="615">
        <f t="shared" si="13"/>
        <v>60502.231999999996</v>
      </c>
      <c r="J53" s="615">
        <f t="shared" si="14"/>
        <v>66144.092000000004</v>
      </c>
      <c r="K53" s="615">
        <f t="shared" si="15"/>
        <v>68293.372000000003</v>
      </c>
    </row>
    <row r="54" spans="1:11" ht="15.75" hidden="1" thickBot="1">
      <c r="A54" s="687" t="s">
        <v>645</v>
      </c>
      <c r="B54" s="622" t="s">
        <v>475</v>
      </c>
      <c r="C54" s="623">
        <v>10.6</v>
      </c>
      <c r="D54" s="615">
        <f t="shared" si="8"/>
        <v>54617.729599999999</v>
      </c>
      <c r="E54" s="615">
        <f t="shared" si="9"/>
        <v>55517.033600000002</v>
      </c>
      <c r="F54" s="615">
        <f t="shared" si="10"/>
        <v>57315.641600000003</v>
      </c>
      <c r="G54" s="615">
        <f t="shared" si="11"/>
        <v>62111.929599999996</v>
      </c>
      <c r="H54" s="615">
        <f t="shared" si="12"/>
        <v>63910.537600000003</v>
      </c>
      <c r="I54" s="615">
        <f t="shared" si="13"/>
        <v>67507.753599999996</v>
      </c>
      <c r="J54" s="615">
        <f t="shared" si="14"/>
        <v>73802.881599999993</v>
      </c>
      <c r="K54" s="615">
        <f t="shared" si="15"/>
        <v>76201.025599999994</v>
      </c>
    </row>
    <row r="55" spans="1:11" ht="15.75" hidden="1" thickBot="1">
      <c r="A55" s="687" t="s">
        <v>645</v>
      </c>
      <c r="B55" s="622" t="s">
        <v>476</v>
      </c>
      <c r="C55" s="623">
        <v>16.2</v>
      </c>
      <c r="D55" s="615">
        <f t="shared" si="8"/>
        <v>83472.379199999996</v>
      </c>
      <c r="E55" s="615">
        <f t="shared" si="9"/>
        <v>84846.787199999992</v>
      </c>
      <c r="F55" s="615">
        <f t="shared" si="10"/>
        <v>87595.603199999998</v>
      </c>
      <c r="G55" s="615">
        <f t="shared" si="11"/>
        <v>94925.77919999999</v>
      </c>
      <c r="H55" s="615">
        <f t="shared" si="12"/>
        <v>97674.595199999996</v>
      </c>
      <c r="I55" s="615">
        <f t="shared" si="13"/>
        <v>103172.22719999999</v>
      </c>
      <c r="J55" s="615">
        <f t="shared" si="14"/>
        <v>112793.08319999999</v>
      </c>
      <c r="K55" s="615">
        <f t="shared" si="15"/>
        <v>116458.1712</v>
      </c>
    </row>
    <row r="56" spans="1:11" ht="15.75" hidden="1" thickBot="1">
      <c r="A56" s="687" t="s">
        <v>645</v>
      </c>
      <c r="B56" s="622" t="s">
        <v>477</v>
      </c>
      <c r="C56" s="623">
        <v>17.8</v>
      </c>
      <c r="D56" s="615">
        <f t="shared" si="8"/>
        <v>91716.564800000007</v>
      </c>
      <c r="E56" s="615">
        <f t="shared" si="9"/>
        <v>93226.716800000009</v>
      </c>
      <c r="F56" s="615">
        <f t="shared" si="10"/>
        <v>96247.020800000013</v>
      </c>
      <c r="G56" s="615">
        <f t="shared" si="11"/>
        <v>104301.1648</v>
      </c>
      <c r="H56" s="615">
        <f t="shared" si="12"/>
        <v>107321.4688</v>
      </c>
      <c r="I56" s="615">
        <f t="shared" si="13"/>
        <v>113362.07680000001</v>
      </c>
      <c r="J56" s="615">
        <f t="shared" si="14"/>
        <v>123933.14080000001</v>
      </c>
      <c r="K56" s="615">
        <f t="shared" si="15"/>
        <v>127960.21280000001</v>
      </c>
    </row>
    <row r="57" spans="1:11" ht="15.75" hidden="1" thickBot="1">
      <c r="A57" s="687" t="s">
        <v>645</v>
      </c>
      <c r="B57" s="622" t="s">
        <v>478</v>
      </c>
      <c r="C57" s="623">
        <v>21.6</v>
      </c>
      <c r="D57" s="615">
        <f t="shared" si="8"/>
        <v>111296.5056</v>
      </c>
      <c r="E57" s="615">
        <f t="shared" si="9"/>
        <v>113129.04960000001</v>
      </c>
      <c r="F57" s="615">
        <f t="shared" si="10"/>
        <v>116794.13760000002</v>
      </c>
      <c r="G57" s="615">
        <f t="shared" si="11"/>
        <v>126567.7056</v>
      </c>
      <c r="H57" s="615">
        <f t="shared" si="12"/>
        <v>130232.79360000002</v>
      </c>
      <c r="I57" s="615">
        <f t="shared" si="13"/>
        <v>137562.96960000001</v>
      </c>
      <c r="J57" s="615">
        <f t="shared" si="14"/>
        <v>150390.7776</v>
      </c>
      <c r="K57" s="615">
        <f t="shared" si="15"/>
        <v>155277.56160000002</v>
      </c>
    </row>
    <row r="58" spans="1:11" ht="15.75" hidden="1" thickBot="1">
      <c r="A58" s="687" t="s">
        <v>645</v>
      </c>
      <c r="B58" s="622" t="s">
        <v>479</v>
      </c>
      <c r="C58" s="623">
        <v>30.3</v>
      </c>
      <c r="D58" s="615">
        <f t="shared" si="8"/>
        <v>156124.2648</v>
      </c>
      <c r="E58" s="615">
        <f t="shared" si="9"/>
        <v>158694.91680000001</v>
      </c>
      <c r="F58" s="615">
        <f t="shared" si="10"/>
        <v>163836.22080000001</v>
      </c>
      <c r="G58" s="615">
        <f t="shared" si="11"/>
        <v>177546.36480000001</v>
      </c>
      <c r="H58" s="615">
        <f t="shared" si="12"/>
        <v>182687.66880000001</v>
      </c>
      <c r="I58" s="615">
        <f t="shared" si="13"/>
        <v>192970.27679999999</v>
      </c>
      <c r="J58" s="615">
        <f t="shared" si="14"/>
        <v>210964.84080000001</v>
      </c>
      <c r="K58" s="615">
        <f t="shared" si="15"/>
        <v>217819.91279999999</v>
      </c>
    </row>
    <row r="59" spans="1:11" ht="15.75" hidden="1" thickBot="1">
      <c r="A59" s="687" t="s">
        <v>645</v>
      </c>
      <c r="B59" s="622" t="s">
        <v>480</v>
      </c>
      <c r="C59" s="623">
        <v>30.7</v>
      </c>
      <c r="D59" s="615">
        <f t="shared" si="8"/>
        <v>158185.3112</v>
      </c>
      <c r="E59" s="615">
        <f t="shared" si="9"/>
        <v>160789.89920000001</v>
      </c>
      <c r="F59" s="615">
        <f t="shared" si="10"/>
        <v>165999.07520000002</v>
      </c>
      <c r="G59" s="615">
        <f t="shared" si="11"/>
        <v>179890.21119999999</v>
      </c>
      <c r="H59" s="615">
        <f t="shared" si="12"/>
        <v>185099.3872</v>
      </c>
      <c r="I59" s="615">
        <f t="shared" si="13"/>
        <v>195517.73919999998</v>
      </c>
      <c r="J59" s="615">
        <f t="shared" si="14"/>
        <v>213749.85519999999</v>
      </c>
      <c r="K59" s="615">
        <f t="shared" si="15"/>
        <v>220695.42319999999</v>
      </c>
    </row>
    <row r="60" spans="1:11" ht="15.75" hidden="1" thickBot="1">
      <c r="A60" s="687" t="s">
        <v>645</v>
      </c>
      <c r="B60" s="622" t="s">
        <v>481</v>
      </c>
      <c r="C60" s="623">
        <v>31.9</v>
      </c>
      <c r="D60" s="615">
        <f t="shared" si="8"/>
        <v>164368.4504</v>
      </c>
      <c r="E60" s="615">
        <f t="shared" si="9"/>
        <v>167074.84640000001</v>
      </c>
      <c r="F60" s="615">
        <f t="shared" si="10"/>
        <v>172487.6384</v>
      </c>
      <c r="G60" s="615">
        <f t="shared" si="11"/>
        <v>186921.75039999999</v>
      </c>
      <c r="H60" s="615">
        <f t="shared" si="12"/>
        <v>192334.54240000001</v>
      </c>
      <c r="I60" s="615">
        <f t="shared" si="13"/>
        <v>203160.12639999998</v>
      </c>
      <c r="J60" s="615">
        <f t="shared" si="14"/>
        <v>222104.89840000001</v>
      </c>
      <c r="K60" s="615">
        <f t="shared" si="15"/>
        <v>229321.95439999999</v>
      </c>
    </row>
    <row r="61" spans="1:11" ht="15.75" hidden="1" thickBot="1">
      <c r="A61" s="687" t="s">
        <v>645</v>
      </c>
      <c r="B61" s="622" t="s">
        <v>482</v>
      </c>
      <c r="C61" s="623">
        <v>32.299999999999997</v>
      </c>
      <c r="D61" s="615">
        <f t="shared" si="8"/>
        <v>166429.49679999999</v>
      </c>
      <c r="E61" s="615">
        <f t="shared" si="9"/>
        <v>169169.82879999999</v>
      </c>
      <c r="F61" s="615">
        <f t="shared" si="10"/>
        <v>174650.49280000001</v>
      </c>
      <c r="G61" s="615">
        <f t="shared" si="11"/>
        <v>189265.59679999997</v>
      </c>
      <c r="H61" s="615">
        <f t="shared" si="12"/>
        <v>194746.26079999999</v>
      </c>
      <c r="I61" s="615">
        <f t="shared" si="13"/>
        <v>205707.58879999997</v>
      </c>
      <c r="J61" s="615">
        <f t="shared" si="14"/>
        <v>224889.91279999999</v>
      </c>
      <c r="K61" s="615">
        <f t="shared" si="15"/>
        <v>232197.46479999999</v>
      </c>
    </row>
    <row r="62" spans="1:11" ht="15.75" hidden="1" thickBot="1">
      <c r="A62" s="687" t="s">
        <v>645</v>
      </c>
      <c r="B62" s="622" t="s">
        <v>483</v>
      </c>
      <c r="C62" s="623">
        <v>33.1</v>
      </c>
      <c r="D62" s="615">
        <f t="shared" si="8"/>
        <v>170551.58960000001</v>
      </c>
      <c r="E62" s="615">
        <f t="shared" si="9"/>
        <v>173359.7936</v>
      </c>
      <c r="F62" s="615">
        <f t="shared" si="10"/>
        <v>178976.20160000003</v>
      </c>
      <c r="G62" s="615">
        <f t="shared" si="11"/>
        <v>193953.28960000002</v>
      </c>
      <c r="H62" s="615">
        <f t="shared" si="12"/>
        <v>199569.69760000001</v>
      </c>
      <c r="I62" s="615">
        <f t="shared" si="13"/>
        <v>210802.51360000001</v>
      </c>
      <c r="J62" s="615">
        <f t="shared" si="14"/>
        <v>230459.94160000002</v>
      </c>
      <c r="K62" s="615">
        <f t="shared" si="15"/>
        <v>237948.48560000001</v>
      </c>
    </row>
    <row r="63" spans="1:11" ht="15.75" hidden="1" thickBot="1">
      <c r="A63" s="687" t="s">
        <v>645</v>
      </c>
      <c r="B63" s="622" t="s">
        <v>484</v>
      </c>
      <c r="C63" s="623">
        <v>33.5</v>
      </c>
      <c r="D63" s="615">
        <f t="shared" si="8"/>
        <v>172612.636</v>
      </c>
      <c r="E63" s="615">
        <f t="shared" si="9"/>
        <v>175454.77600000001</v>
      </c>
      <c r="F63" s="615">
        <f t="shared" si="10"/>
        <v>181139.05600000001</v>
      </c>
      <c r="G63" s="615">
        <f t="shared" si="11"/>
        <v>196297.136</v>
      </c>
      <c r="H63" s="615">
        <f t="shared" si="12"/>
        <v>201981.416</v>
      </c>
      <c r="I63" s="615">
        <f t="shared" si="13"/>
        <v>213349.976</v>
      </c>
      <c r="J63" s="615">
        <f t="shared" si="14"/>
        <v>233244.95600000001</v>
      </c>
      <c r="K63" s="615">
        <f t="shared" si="15"/>
        <v>240823.99599999998</v>
      </c>
    </row>
    <row r="64" spans="1:11" ht="15.75" hidden="1" thickBot="1">
      <c r="A64" s="687" t="s">
        <v>645</v>
      </c>
      <c r="B64" s="622" t="s">
        <v>485</v>
      </c>
      <c r="C64" s="623">
        <v>35.9</v>
      </c>
      <c r="D64" s="615">
        <f t="shared" si="8"/>
        <v>184978.91439999998</v>
      </c>
      <c r="E64" s="615">
        <f t="shared" si="9"/>
        <v>188024.6704</v>
      </c>
      <c r="F64" s="615">
        <f t="shared" si="10"/>
        <v>194116.18240000002</v>
      </c>
      <c r="G64" s="615">
        <f t="shared" si="11"/>
        <v>210360.2144</v>
      </c>
      <c r="H64" s="615">
        <f t="shared" si="12"/>
        <v>216451.72640000001</v>
      </c>
      <c r="I64" s="615">
        <f t="shared" si="13"/>
        <v>228634.75039999999</v>
      </c>
      <c r="J64" s="615">
        <f t="shared" si="14"/>
        <v>249955.04240000001</v>
      </c>
      <c r="K64" s="615">
        <f t="shared" si="15"/>
        <v>258077.05839999998</v>
      </c>
    </row>
    <row r="65" spans="1:11" ht="15.75" hidden="1" thickBot="1">
      <c r="A65" s="687" t="s">
        <v>645</v>
      </c>
      <c r="B65" s="622" t="s">
        <v>486</v>
      </c>
      <c r="C65" s="623">
        <v>40.9</v>
      </c>
      <c r="D65" s="615">
        <f t="shared" si="8"/>
        <v>210741.9944</v>
      </c>
      <c r="E65" s="615">
        <f t="shared" si="9"/>
        <v>214211.9504</v>
      </c>
      <c r="F65" s="615">
        <f t="shared" si="10"/>
        <v>221151.86240000001</v>
      </c>
      <c r="G65" s="615">
        <f t="shared" si="11"/>
        <v>239658.29439999998</v>
      </c>
      <c r="H65" s="615">
        <f t="shared" si="12"/>
        <v>246598.2064</v>
      </c>
      <c r="I65" s="615">
        <f t="shared" si="13"/>
        <v>260478.03039999999</v>
      </c>
      <c r="J65" s="615">
        <f t="shared" si="14"/>
        <v>284767.72239999997</v>
      </c>
      <c r="K65" s="615">
        <f t="shared" si="15"/>
        <v>294020.93839999998</v>
      </c>
    </row>
    <row r="66" spans="1:11" ht="15.75" hidden="1" thickBot="1">
      <c r="A66" s="687" t="s">
        <v>645</v>
      </c>
      <c r="B66" s="622" t="s">
        <v>487</v>
      </c>
      <c r="C66" s="623">
        <v>42.3</v>
      </c>
      <c r="D66" s="615">
        <f t="shared" si="8"/>
        <v>217955.6568</v>
      </c>
      <c r="E66" s="615">
        <f t="shared" si="9"/>
        <v>221544.38879999999</v>
      </c>
      <c r="F66" s="615">
        <f t="shared" si="10"/>
        <v>228721.85279999999</v>
      </c>
      <c r="G66" s="615">
        <f t="shared" si="11"/>
        <v>247861.75679999997</v>
      </c>
      <c r="H66" s="615">
        <f t="shared" si="12"/>
        <v>255039.22079999998</v>
      </c>
      <c r="I66" s="615">
        <f t="shared" si="13"/>
        <v>269394.14879999997</v>
      </c>
      <c r="J66" s="615">
        <f t="shared" si="14"/>
        <v>294515.27279999998</v>
      </c>
      <c r="K66" s="615">
        <f t="shared" si="15"/>
        <v>304085.22479999997</v>
      </c>
    </row>
    <row r="67" spans="1:11" ht="15.75" hidden="1" thickBot="1">
      <c r="A67" s="687" t="s">
        <v>645</v>
      </c>
      <c r="B67" s="622" t="s">
        <v>488</v>
      </c>
      <c r="C67" s="623">
        <v>42.8</v>
      </c>
      <c r="D67" s="615">
        <f t="shared" si="8"/>
        <v>220531.96479999999</v>
      </c>
      <c r="E67" s="615">
        <f t="shared" si="9"/>
        <v>224163.11679999999</v>
      </c>
      <c r="F67" s="615">
        <f t="shared" si="10"/>
        <v>231425.42079999999</v>
      </c>
      <c r="G67" s="615">
        <f t="shared" si="11"/>
        <v>250791.56479999999</v>
      </c>
      <c r="H67" s="615">
        <f t="shared" si="12"/>
        <v>258053.8688</v>
      </c>
      <c r="I67" s="615">
        <f t="shared" si="13"/>
        <v>272578.4768</v>
      </c>
      <c r="J67" s="615">
        <f t="shared" si="14"/>
        <v>297996.54079999996</v>
      </c>
      <c r="K67" s="615">
        <f t="shared" si="15"/>
        <v>307679.61279999994</v>
      </c>
    </row>
    <row r="68" spans="1:11" ht="15.75" hidden="1" thickBot="1">
      <c r="A68" s="687" t="s">
        <v>645</v>
      </c>
      <c r="B68" s="622" t="s">
        <v>489</v>
      </c>
      <c r="C68" s="623">
        <v>45.2</v>
      </c>
      <c r="D68" s="615">
        <f t="shared" si="8"/>
        <v>232898.24320000003</v>
      </c>
      <c r="E68" s="615">
        <f t="shared" si="9"/>
        <v>236733.01120000001</v>
      </c>
      <c r="F68" s="615">
        <f t="shared" si="10"/>
        <v>244402.54720000003</v>
      </c>
      <c r="G68" s="615">
        <f t="shared" si="11"/>
        <v>264854.64319999999</v>
      </c>
      <c r="H68" s="615">
        <f t="shared" si="12"/>
        <v>272524.17920000001</v>
      </c>
      <c r="I68" s="615">
        <f t="shared" si="13"/>
        <v>287863.2512</v>
      </c>
      <c r="J68" s="615">
        <f t="shared" si="14"/>
        <v>314706.62720000005</v>
      </c>
      <c r="K68" s="615">
        <f t="shared" si="15"/>
        <v>324932.6752</v>
      </c>
    </row>
    <row r="69" spans="1:11" ht="15.75" hidden="1" thickBot="1">
      <c r="A69" s="687" t="s">
        <v>645</v>
      </c>
      <c r="B69" s="622" t="s">
        <v>490</v>
      </c>
      <c r="C69" s="623">
        <v>46.2</v>
      </c>
      <c r="D69" s="615">
        <f t="shared" si="8"/>
        <v>238050.85920000001</v>
      </c>
      <c r="E69" s="615">
        <f t="shared" si="9"/>
        <v>241970.46720000001</v>
      </c>
      <c r="F69" s="615">
        <f t="shared" si="10"/>
        <v>249809.68320000003</v>
      </c>
      <c r="G69" s="615">
        <f t="shared" si="11"/>
        <v>270714.25920000003</v>
      </c>
      <c r="H69" s="615">
        <f t="shared" si="12"/>
        <v>278553.47520000004</v>
      </c>
      <c r="I69" s="615">
        <f t="shared" si="13"/>
        <v>294231.90720000002</v>
      </c>
      <c r="J69" s="615">
        <f t="shared" si="14"/>
        <v>321669.16320000001</v>
      </c>
      <c r="K69" s="615">
        <f t="shared" si="15"/>
        <v>332121.45120000001</v>
      </c>
    </row>
    <row r="70" spans="1:11" ht="15.75" thickBot="1">
      <c r="A70" s="687" t="s">
        <v>645</v>
      </c>
      <c r="B70" s="624" t="s">
        <v>491</v>
      </c>
      <c r="C70" s="638">
        <v>51</v>
      </c>
      <c r="D70" s="615">
        <f t="shared" si="8"/>
        <v>262783.41600000003</v>
      </c>
      <c r="E70" s="615">
        <f t="shared" si="9"/>
        <v>267110.25599999999</v>
      </c>
      <c r="F70" s="615">
        <f t="shared" si="10"/>
        <v>275763.93600000005</v>
      </c>
      <c r="G70" s="615">
        <f t="shared" si="11"/>
        <v>298840.41600000003</v>
      </c>
      <c r="H70" s="615">
        <f t="shared" si="12"/>
        <v>307494.09600000002</v>
      </c>
      <c r="I70" s="615">
        <f t="shared" si="13"/>
        <v>324801.45600000001</v>
      </c>
      <c r="J70" s="615">
        <f t="shared" si="14"/>
        <v>355089.33600000001</v>
      </c>
      <c r="K70" s="615">
        <f t="shared" si="15"/>
        <v>366627.576</v>
      </c>
    </row>
    <row r="71" spans="1:11" ht="15.75" hidden="1" thickBot="1">
      <c r="A71" s="687" t="s">
        <v>645</v>
      </c>
      <c r="B71" s="624" t="s">
        <v>492</v>
      </c>
      <c r="C71" s="625">
        <v>51.2</v>
      </c>
      <c r="D71" s="615">
        <f t="shared" si="8"/>
        <v>263813.93920000002</v>
      </c>
      <c r="E71" s="615">
        <f t="shared" si="9"/>
        <v>268157.74720000004</v>
      </c>
      <c r="F71" s="615">
        <f t="shared" si="10"/>
        <v>276845.36320000002</v>
      </c>
      <c r="G71" s="615">
        <f t="shared" si="11"/>
        <v>300012.33919999999</v>
      </c>
      <c r="H71" s="615">
        <f t="shared" si="12"/>
        <v>308699.95520000003</v>
      </c>
      <c r="I71" s="615">
        <f t="shared" si="13"/>
        <v>326075.18720000004</v>
      </c>
      <c r="J71" s="615">
        <f t="shared" si="14"/>
        <v>356481.8432</v>
      </c>
      <c r="K71" s="615">
        <f t="shared" si="15"/>
        <v>368065.33120000002</v>
      </c>
    </row>
    <row r="72" spans="1:11" ht="15.75" hidden="1" thickBot="1">
      <c r="A72" s="687" t="s">
        <v>645</v>
      </c>
      <c r="B72" s="624" t="s">
        <v>493</v>
      </c>
      <c r="C72" s="625">
        <v>51.3</v>
      </c>
      <c r="D72" s="615">
        <f t="shared" si="8"/>
        <v>264329.20079999999</v>
      </c>
      <c r="E72" s="615">
        <f t="shared" si="9"/>
        <v>268681.49280000001</v>
      </c>
      <c r="F72" s="615">
        <f t="shared" si="10"/>
        <v>277386.07679999998</v>
      </c>
      <c r="G72" s="615">
        <f t="shared" si="11"/>
        <v>300598.30079999997</v>
      </c>
      <c r="H72" s="615">
        <f t="shared" si="12"/>
        <v>309302.8848</v>
      </c>
      <c r="I72" s="615">
        <f t="shared" si="13"/>
        <v>326712.0528</v>
      </c>
      <c r="J72" s="615">
        <f t="shared" si="14"/>
        <v>357178.0968</v>
      </c>
      <c r="K72" s="615">
        <f t="shared" si="15"/>
        <v>368784.20879999996</v>
      </c>
    </row>
    <row r="73" spans="1:11" ht="15.75" hidden="1" thickBot="1">
      <c r="A73" s="687" t="s">
        <v>645</v>
      </c>
      <c r="B73" s="624" t="s">
        <v>494</v>
      </c>
      <c r="C73" s="625">
        <v>51.6</v>
      </c>
      <c r="D73" s="615">
        <f t="shared" si="8"/>
        <v>265874.98560000001</v>
      </c>
      <c r="E73" s="615">
        <f t="shared" si="9"/>
        <v>270252.72960000002</v>
      </c>
      <c r="F73" s="615">
        <f t="shared" si="10"/>
        <v>279008.21760000003</v>
      </c>
      <c r="G73" s="615">
        <f t="shared" si="11"/>
        <v>302356.18560000003</v>
      </c>
      <c r="H73" s="615">
        <f t="shared" si="12"/>
        <v>311111.67360000004</v>
      </c>
      <c r="I73" s="615">
        <f t="shared" si="13"/>
        <v>328622.6496</v>
      </c>
      <c r="J73" s="615">
        <f t="shared" si="14"/>
        <v>359266.85759999999</v>
      </c>
      <c r="K73" s="615">
        <f t="shared" si="15"/>
        <v>370940.84159999999</v>
      </c>
    </row>
    <row r="74" spans="1:11" ht="15.75" hidden="1" thickBot="1">
      <c r="A74" s="687" t="s">
        <v>645</v>
      </c>
      <c r="B74" s="624" t="s">
        <v>495</v>
      </c>
      <c r="C74" s="625">
        <v>56.4</v>
      </c>
      <c r="D74" s="615">
        <f t="shared" si="8"/>
        <v>290607.54239999998</v>
      </c>
      <c r="E74" s="615">
        <f t="shared" si="9"/>
        <v>295392.5184</v>
      </c>
      <c r="F74" s="615">
        <f t="shared" si="10"/>
        <v>304962.47039999999</v>
      </c>
      <c r="G74" s="615">
        <f t="shared" si="11"/>
        <v>330482.34239999996</v>
      </c>
      <c r="H74" s="615">
        <f t="shared" si="12"/>
        <v>340052.29440000001</v>
      </c>
      <c r="I74" s="615">
        <f t="shared" si="13"/>
        <v>359192.19839999999</v>
      </c>
      <c r="J74" s="615">
        <f t="shared" si="14"/>
        <v>392687.03039999999</v>
      </c>
      <c r="K74" s="615">
        <f t="shared" si="15"/>
        <v>405446.96639999998</v>
      </c>
    </row>
    <row r="75" spans="1:11" ht="15.75" hidden="1" thickBot="1">
      <c r="A75" s="687" t="s">
        <v>645</v>
      </c>
      <c r="B75" s="624" t="s">
        <v>496</v>
      </c>
      <c r="C75" s="625">
        <v>64.900000000000006</v>
      </c>
      <c r="D75" s="615">
        <f t="shared" si="8"/>
        <v>334404.77840000001</v>
      </c>
      <c r="E75" s="615">
        <f t="shared" si="9"/>
        <v>339910.89440000005</v>
      </c>
      <c r="F75" s="615">
        <f t="shared" si="10"/>
        <v>350923.12640000007</v>
      </c>
      <c r="G75" s="615">
        <f t="shared" si="11"/>
        <v>380289.07840000006</v>
      </c>
      <c r="H75" s="615">
        <f t="shared" si="12"/>
        <v>391301.31040000007</v>
      </c>
      <c r="I75" s="615">
        <f t="shared" si="13"/>
        <v>413325.77440000005</v>
      </c>
      <c r="J75" s="615">
        <f t="shared" si="14"/>
        <v>451868.58640000003</v>
      </c>
      <c r="K75" s="615">
        <f t="shared" si="15"/>
        <v>466551.56240000005</v>
      </c>
    </row>
    <row r="76" spans="1:11" ht="15.75" hidden="1" thickBot="1">
      <c r="A76" s="687" t="s">
        <v>645</v>
      </c>
      <c r="B76" s="624" t="s">
        <v>497</v>
      </c>
      <c r="C76" s="638">
        <v>68</v>
      </c>
      <c r="D76" s="615">
        <f t="shared" si="8"/>
        <v>350377.88799999998</v>
      </c>
      <c r="E76" s="615">
        <f t="shared" si="9"/>
        <v>356147.00800000003</v>
      </c>
      <c r="F76" s="615">
        <f t="shared" si="10"/>
        <v>367685.24800000002</v>
      </c>
      <c r="G76" s="615">
        <f t="shared" si="11"/>
        <v>398453.88799999998</v>
      </c>
      <c r="H76" s="615">
        <f t="shared" si="12"/>
        <v>409992.12800000003</v>
      </c>
      <c r="I76" s="615">
        <f t="shared" si="13"/>
        <v>433068.60800000001</v>
      </c>
      <c r="J76" s="615">
        <f t="shared" si="14"/>
        <v>473452.44799999997</v>
      </c>
      <c r="K76" s="615">
        <f t="shared" si="15"/>
        <v>488836.76799999998</v>
      </c>
    </row>
    <row r="77" spans="1:11" ht="15.75" hidden="1" thickBot="1">
      <c r="A77" s="687" t="s">
        <v>645</v>
      </c>
      <c r="B77" s="624" t="s">
        <v>498</v>
      </c>
      <c r="C77" s="625">
        <v>72.400000000000006</v>
      </c>
      <c r="D77" s="615">
        <f t="shared" si="8"/>
        <v>373049.39840000001</v>
      </c>
      <c r="E77" s="615">
        <f t="shared" si="9"/>
        <v>379191.81440000003</v>
      </c>
      <c r="F77" s="615">
        <f t="shared" si="10"/>
        <v>391476.64640000009</v>
      </c>
      <c r="G77" s="615">
        <f t="shared" si="11"/>
        <v>424236.19840000005</v>
      </c>
      <c r="H77" s="615">
        <f t="shared" si="12"/>
        <v>436521.03040000005</v>
      </c>
      <c r="I77" s="615">
        <f t="shared" si="13"/>
        <v>461090.69440000004</v>
      </c>
      <c r="J77" s="615">
        <f t="shared" si="14"/>
        <v>504087.60640000005</v>
      </c>
      <c r="K77" s="615">
        <f t="shared" si="15"/>
        <v>520467.3824</v>
      </c>
    </row>
    <row r="78" spans="1:11" ht="15.75" hidden="1" thickBot="1">
      <c r="A78" s="687" t="s">
        <v>645</v>
      </c>
      <c r="B78" s="624" t="s">
        <v>499</v>
      </c>
      <c r="C78" s="625">
        <v>73.5</v>
      </c>
      <c r="D78" s="615">
        <f t="shared" si="8"/>
        <v>378717.27600000001</v>
      </c>
      <c r="E78" s="615">
        <f t="shared" si="9"/>
        <v>384953.016</v>
      </c>
      <c r="F78" s="615">
        <f t="shared" si="10"/>
        <v>397424.49600000004</v>
      </c>
      <c r="G78" s="615">
        <f t="shared" si="11"/>
        <v>430681.77600000001</v>
      </c>
      <c r="H78" s="615">
        <f t="shared" si="12"/>
        <v>443153.25599999999</v>
      </c>
      <c r="I78" s="615">
        <f t="shared" si="13"/>
        <v>468096.21600000001</v>
      </c>
      <c r="J78" s="615">
        <f t="shared" si="14"/>
        <v>511746.39600000001</v>
      </c>
      <c r="K78" s="615">
        <f t="shared" si="15"/>
        <v>528375.03599999996</v>
      </c>
    </row>
    <row r="79" spans="1:11" ht="15.75" hidden="1" thickBot="1">
      <c r="A79" s="687" t="s">
        <v>645</v>
      </c>
      <c r="B79" s="624" t="s">
        <v>500</v>
      </c>
      <c r="C79" s="638">
        <v>74</v>
      </c>
      <c r="D79" s="615">
        <f t="shared" si="8"/>
        <v>381293.58399999997</v>
      </c>
      <c r="E79" s="615">
        <f t="shared" si="9"/>
        <v>387571.74400000001</v>
      </c>
      <c r="F79" s="615">
        <f t="shared" si="10"/>
        <v>400128.06400000001</v>
      </c>
      <c r="G79" s="615">
        <f t="shared" si="11"/>
        <v>433611.58399999997</v>
      </c>
      <c r="H79" s="615">
        <f t="shared" si="12"/>
        <v>446167.90400000004</v>
      </c>
      <c r="I79" s="615">
        <f t="shared" si="13"/>
        <v>471280.54399999999</v>
      </c>
      <c r="J79" s="615">
        <f t="shared" si="14"/>
        <v>515227.66399999999</v>
      </c>
      <c r="K79" s="615">
        <f t="shared" si="15"/>
        <v>531969.424</v>
      </c>
    </row>
    <row r="80" spans="1:11" ht="15.75" hidden="1" thickBot="1">
      <c r="A80" s="687" t="s">
        <v>645</v>
      </c>
      <c r="B80" s="624" t="s">
        <v>501</v>
      </c>
      <c r="C80" s="625">
        <v>79.099999999999994</v>
      </c>
      <c r="D80" s="615">
        <f t="shared" si="8"/>
        <v>407571.92559999996</v>
      </c>
      <c r="E80" s="615">
        <f t="shared" si="9"/>
        <v>414282.7696</v>
      </c>
      <c r="F80" s="615">
        <f t="shared" si="10"/>
        <v>427704.45760000002</v>
      </c>
      <c r="G80" s="615">
        <f t="shared" si="11"/>
        <v>463495.62559999997</v>
      </c>
      <c r="H80" s="615">
        <f t="shared" si="12"/>
        <v>476917.31359999999</v>
      </c>
      <c r="I80" s="615">
        <f t="shared" si="13"/>
        <v>503760.68959999998</v>
      </c>
      <c r="J80" s="615">
        <f t="shared" si="14"/>
        <v>550736.59759999998</v>
      </c>
      <c r="K80" s="615">
        <f t="shared" si="15"/>
        <v>568632.18159999989</v>
      </c>
    </row>
    <row r="81" spans="1:11" ht="15.75" hidden="1" thickBot="1">
      <c r="A81" s="687" t="s">
        <v>645</v>
      </c>
      <c r="B81" s="624" t="s">
        <v>502</v>
      </c>
      <c r="C81" s="625">
        <v>86.2</v>
      </c>
      <c r="D81" s="615">
        <f t="shared" si="8"/>
        <v>444155.49920000002</v>
      </c>
      <c r="E81" s="615">
        <f t="shared" si="9"/>
        <v>451468.7072</v>
      </c>
      <c r="F81" s="615">
        <f t="shared" si="10"/>
        <v>466095.12320000003</v>
      </c>
      <c r="G81" s="615">
        <f t="shared" si="11"/>
        <v>505098.89920000004</v>
      </c>
      <c r="H81" s="615">
        <f t="shared" si="12"/>
        <v>519725.31520000007</v>
      </c>
      <c r="I81" s="615">
        <f t="shared" si="13"/>
        <v>548978.14720000001</v>
      </c>
      <c r="J81" s="615">
        <f t="shared" si="14"/>
        <v>600170.60320000001</v>
      </c>
      <c r="K81" s="615">
        <f t="shared" si="15"/>
        <v>619672.49120000005</v>
      </c>
    </row>
    <row r="82" spans="1:11" ht="15.75" hidden="1" thickBot="1">
      <c r="A82" s="687" t="s">
        <v>645</v>
      </c>
      <c r="B82" s="624" t="s">
        <v>503</v>
      </c>
      <c r="C82" s="625">
        <v>86.9</v>
      </c>
      <c r="D82" s="615">
        <f t="shared" si="8"/>
        <v>447762.33040000004</v>
      </c>
      <c r="E82" s="615">
        <f t="shared" si="9"/>
        <v>455134.92640000005</v>
      </c>
      <c r="F82" s="615">
        <f t="shared" si="10"/>
        <v>469880.11840000009</v>
      </c>
      <c r="G82" s="615">
        <f t="shared" si="11"/>
        <v>509200.63040000002</v>
      </c>
      <c r="H82" s="615">
        <f t="shared" si="12"/>
        <v>523945.82240000006</v>
      </c>
      <c r="I82" s="615">
        <f t="shared" si="13"/>
        <v>553436.20640000002</v>
      </c>
      <c r="J82" s="615">
        <f t="shared" si="14"/>
        <v>605044.37840000005</v>
      </c>
      <c r="K82" s="615">
        <f t="shared" si="15"/>
        <v>624704.63439999998</v>
      </c>
    </row>
    <row r="83" spans="1:11" ht="15.75" hidden="1" thickBot="1">
      <c r="A83" s="687" t="s">
        <v>645</v>
      </c>
      <c r="B83" s="624" t="s">
        <v>504</v>
      </c>
      <c r="C83" s="625">
        <v>89.5</v>
      </c>
      <c r="D83" s="615">
        <f t="shared" si="8"/>
        <v>461159.13199999998</v>
      </c>
      <c r="E83" s="615">
        <f t="shared" si="9"/>
        <v>468752.31200000003</v>
      </c>
      <c r="F83" s="615">
        <f t="shared" si="10"/>
        <v>483938.67200000002</v>
      </c>
      <c r="G83" s="615">
        <f t="shared" si="11"/>
        <v>524435.63199999998</v>
      </c>
      <c r="H83" s="615">
        <f t="shared" si="12"/>
        <v>539621.99199999997</v>
      </c>
      <c r="I83" s="615">
        <f t="shared" si="13"/>
        <v>569994.71199999994</v>
      </c>
      <c r="J83" s="615">
        <f t="shared" si="14"/>
        <v>623146.97199999995</v>
      </c>
      <c r="K83" s="615">
        <f t="shared" si="15"/>
        <v>643395.45199999993</v>
      </c>
    </row>
    <row r="84" spans="1:11" ht="15.75" hidden="1" thickBot="1">
      <c r="A84" s="687" t="s">
        <v>645</v>
      </c>
      <c r="B84" s="624" t="s">
        <v>505</v>
      </c>
      <c r="C84" s="625">
        <v>89.7</v>
      </c>
      <c r="D84" s="615">
        <f t="shared" si="8"/>
        <v>462189.65520000004</v>
      </c>
      <c r="E84" s="615">
        <f t="shared" si="9"/>
        <v>469799.80320000002</v>
      </c>
      <c r="F84" s="615">
        <f t="shared" si="10"/>
        <v>485020.09920000006</v>
      </c>
      <c r="G84" s="615">
        <f t="shared" si="11"/>
        <v>525607.55520000006</v>
      </c>
      <c r="H84" s="615">
        <f t="shared" si="12"/>
        <v>540827.85120000003</v>
      </c>
      <c r="I84" s="615">
        <f t="shared" si="13"/>
        <v>571268.44319999998</v>
      </c>
      <c r="J84" s="615">
        <f t="shared" si="14"/>
        <v>624539.47920000006</v>
      </c>
      <c r="K84" s="615">
        <f t="shared" si="15"/>
        <v>644833.20720000006</v>
      </c>
    </row>
    <row r="85" spans="1:11" ht="15.75" hidden="1" thickBot="1">
      <c r="A85" s="687" t="s">
        <v>645</v>
      </c>
      <c r="B85" s="624" t="s">
        <v>506</v>
      </c>
      <c r="C85" s="625">
        <v>89.9</v>
      </c>
      <c r="D85" s="615">
        <f t="shared" si="8"/>
        <v>463220.17840000003</v>
      </c>
      <c r="E85" s="615">
        <f t="shared" si="9"/>
        <v>470847.29440000001</v>
      </c>
      <c r="F85" s="615">
        <f t="shared" si="10"/>
        <v>486101.52640000009</v>
      </c>
      <c r="G85" s="615">
        <f t="shared" si="11"/>
        <v>526779.47840000002</v>
      </c>
      <c r="H85" s="615">
        <f t="shared" si="12"/>
        <v>542033.7104000001</v>
      </c>
      <c r="I85" s="615">
        <f t="shared" si="13"/>
        <v>572542.17440000002</v>
      </c>
      <c r="J85" s="615">
        <f t="shared" si="14"/>
        <v>625931.98640000005</v>
      </c>
      <c r="K85" s="615">
        <f t="shared" si="15"/>
        <v>646270.96240000008</v>
      </c>
    </row>
    <row r="86" spans="1:11" ht="15.75" hidden="1" thickBot="1">
      <c r="A86" s="687" t="s">
        <v>645</v>
      </c>
      <c r="B86" s="624" t="s">
        <v>507</v>
      </c>
      <c r="C86" s="625">
        <v>91.3</v>
      </c>
      <c r="D86" s="615">
        <f t="shared" si="8"/>
        <v>470433.84080000001</v>
      </c>
      <c r="E86" s="615">
        <f t="shared" si="9"/>
        <v>478179.7328</v>
      </c>
      <c r="F86" s="615">
        <f t="shared" si="10"/>
        <v>493671.51680000004</v>
      </c>
      <c r="G86" s="615">
        <f t="shared" si="11"/>
        <v>534982.94079999998</v>
      </c>
      <c r="H86" s="615">
        <f t="shared" si="12"/>
        <v>550474.72479999997</v>
      </c>
      <c r="I86" s="615">
        <f t="shared" si="13"/>
        <v>581458.29279999994</v>
      </c>
      <c r="J86" s="615">
        <f t="shared" si="14"/>
        <v>635679.5368</v>
      </c>
      <c r="K86" s="615">
        <f t="shared" si="15"/>
        <v>656335.24879999994</v>
      </c>
    </row>
    <row r="87" spans="1:11" ht="15.75" hidden="1" thickBot="1">
      <c r="A87" s="687" t="s">
        <v>645</v>
      </c>
      <c r="B87" s="624" t="s">
        <v>508</v>
      </c>
      <c r="C87" s="625">
        <v>94.2</v>
      </c>
      <c r="D87" s="615">
        <f t="shared" si="8"/>
        <v>485376.42720000003</v>
      </c>
      <c r="E87" s="615">
        <f t="shared" si="9"/>
        <v>493368.35520000005</v>
      </c>
      <c r="F87" s="615">
        <f t="shared" si="10"/>
        <v>509352.21120000008</v>
      </c>
      <c r="G87" s="615">
        <f t="shared" si="11"/>
        <v>551975.82720000006</v>
      </c>
      <c r="H87" s="615">
        <f t="shared" si="12"/>
        <v>567959.68320000009</v>
      </c>
      <c r="I87" s="615">
        <f t="shared" si="13"/>
        <v>599927.39520000003</v>
      </c>
      <c r="J87" s="615">
        <f t="shared" si="14"/>
        <v>655870.89120000007</v>
      </c>
      <c r="K87" s="615">
        <f t="shared" si="15"/>
        <v>677182.69920000003</v>
      </c>
    </row>
    <row r="88" spans="1:11" ht="15.75" hidden="1" thickBot="1">
      <c r="A88" s="687" t="s">
        <v>645</v>
      </c>
      <c r="B88" s="624" t="s">
        <v>509</v>
      </c>
      <c r="C88" s="625">
        <v>94.3</v>
      </c>
      <c r="D88" s="615">
        <f t="shared" si="8"/>
        <v>485891.6888</v>
      </c>
      <c r="E88" s="615">
        <f t="shared" si="9"/>
        <v>493892.10080000001</v>
      </c>
      <c r="F88" s="615">
        <f t="shared" si="10"/>
        <v>509892.92480000004</v>
      </c>
      <c r="G88" s="615">
        <f t="shared" si="11"/>
        <v>552561.78879999998</v>
      </c>
      <c r="H88" s="615">
        <f t="shared" si="12"/>
        <v>568562.6128</v>
      </c>
      <c r="I88" s="615">
        <f t="shared" si="13"/>
        <v>600564.26079999993</v>
      </c>
      <c r="J88" s="615">
        <f t="shared" si="14"/>
        <v>656567.14480000001</v>
      </c>
      <c r="K88" s="615">
        <f t="shared" si="15"/>
        <v>677901.57679999992</v>
      </c>
    </row>
    <row r="89" spans="1:11" ht="15.75" hidden="1" thickBot="1">
      <c r="A89" s="687" t="s">
        <v>645</v>
      </c>
      <c r="B89" s="624" t="s">
        <v>510</v>
      </c>
      <c r="C89" s="625">
        <v>95.2</v>
      </c>
      <c r="D89" s="615">
        <f t="shared" si="8"/>
        <v>490529.04320000001</v>
      </c>
      <c r="E89" s="615">
        <f t="shared" si="9"/>
        <v>498605.81120000005</v>
      </c>
      <c r="F89" s="615">
        <f t="shared" si="10"/>
        <v>514759.34720000008</v>
      </c>
      <c r="G89" s="615">
        <f t="shared" si="11"/>
        <v>557835.44319999998</v>
      </c>
      <c r="H89" s="615">
        <f t="shared" si="12"/>
        <v>573988.97920000006</v>
      </c>
      <c r="I89" s="615">
        <f t="shared" si="13"/>
        <v>606296.05119999999</v>
      </c>
      <c r="J89" s="615">
        <f t="shared" si="14"/>
        <v>662833.42720000003</v>
      </c>
      <c r="K89" s="615">
        <f t="shared" si="15"/>
        <v>684371.47519999999</v>
      </c>
    </row>
    <row r="90" spans="1:11" ht="15.75" hidden="1" thickBot="1">
      <c r="A90" s="687" t="s">
        <v>645</v>
      </c>
      <c r="B90" s="624" t="s">
        <v>511</v>
      </c>
      <c r="C90" s="625">
        <v>96.8</v>
      </c>
      <c r="D90" s="615">
        <f t="shared" si="8"/>
        <v>498773.22879999998</v>
      </c>
      <c r="E90" s="615">
        <f t="shared" si="9"/>
        <v>506985.74079999997</v>
      </c>
      <c r="F90" s="615">
        <f t="shared" si="10"/>
        <v>523410.7648</v>
      </c>
      <c r="G90" s="615">
        <f t="shared" si="11"/>
        <v>567210.82880000002</v>
      </c>
      <c r="H90" s="615">
        <f t="shared" si="12"/>
        <v>583635.85279999999</v>
      </c>
      <c r="I90" s="615">
        <f t="shared" si="13"/>
        <v>616485.90079999994</v>
      </c>
      <c r="J90" s="615">
        <f t="shared" si="14"/>
        <v>673973.48479999998</v>
      </c>
      <c r="K90" s="615">
        <f t="shared" si="15"/>
        <v>695873.51679999998</v>
      </c>
    </row>
    <row r="91" spans="1:11" ht="15.75" hidden="1" thickBot="1">
      <c r="A91" s="687" t="s">
        <v>645</v>
      </c>
      <c r="B91" s="624" t="s">
        <v>512</v>
      </c>
      <c r="C91" s="625">
        <v>103.5</v>
      </c>
      <c r="D91" s="615">
        <f t="shared" si="8"/>
        <v>533295.75600000005</v>
      </c>
      <c r="E91" s="615">
        <f t="shared" si="9"/>
        <v>542076.696</v>
      </c>
      <c r="F91" s="615">
        <f t="shared" si="10"/>
        <v>559638.576</v>
      </c>
      <c r="G91" s="615">
        <f t="shared" si="11"/>
        <v>606470.25600000005</v>
      </c>
      <c r="H91" s="615">
        <f t="shared" si="12"/>
        <v>624032.13600000006</v>
      </c>
      <c r="I91" s="615">
        <f t="shared" si="13"/>
        <v>659155.89599999995</v>
      </c>
      <c r="J91" s="615">
        <f t="shared" si="14"/>
        <v>720622.47600000002</v>
      </c>
      <c r="K91" s="615">
        <f t="shared" si="15"/>
        <v>744038.31599999999</v>
      </c>
    </row>
    <row r="92" spans="1:11" ht="15.75" hidden="1" thickBot="1">
      <c r="A92" s="687" t="s">
        <v>645</v>
      </c>
      <c r="B92" s="624" t="s">
        <v>513</v>
      </c>
      <c r="C92" s="625">
        <v>105.1</v>
      </c>
      <c r="D92" s="615">
        <f t="shared" si="8"/>
        <v>541539.94160000002</v>
      </c>
      <c r="E92" s="615">
        <f t="shared" si="9"/>
        <v>550456.62560000003</v>
      </c>
      <c r="F92" s="615">
        <f t="shared" si="10"/>
        <v>568289.99360000005</v>
      </c>
      <c r="G92" s="615">
        <f t="shared" si="11"/>
        <v>615845.64159999997</v>
      </c>
      <c r="H92" s="615">
        <f t="shared" si="12"/>
        <v>633679.00959999999</v>
      </c>
      <c r="I92" s="615">
        <f t="shared" si="13"/>
        <v>669345.74559999991</v>
      </c>
      <c r="J92" s="615">
        <f t="shared" si="14"/>
        <v>731762.53359999997</v>
      </c>
      <c r="K92" s="615">
        <f t="shared" si="15"/>
        <v>755540.35759999999</v>
      </c>
    </row>
    <row r="93" spans="1:11" ht="15.75" hidden="1" thickBot="1">
      <c r="A93" s="687" t="s">
        <v>645</v>
      </c>
      <c r="B93" s="624" t="s">
        <v>514</v>
      </c>
      <c r="C93" s="625">
        <v>107.1</v>
      </c>
      <c r="D93" s="615">
        <f t="shared" si="8"/>
        <v>551845.17359999998</v>
      </c>
      <c r="E93" s="615">
        <f t="shared" si="9"/>
        <v>560931.53760000004</v>
      </c>
      <c r="F93" s="615">
        <f t="shared" si="10"/>
        <v>579104.26560000004</v>
      </c>
      <c r="G93" s="615">
        <f t="shared" si="11"/>
        <v>627564.87359999993</v>
      </c>
      <c r="H93" s="615">
        <f t="shared" si="12"/>
        <v>645737.60160000005</v>
      </c>
      <c r="I93" s="615">
        <f t="shared" si="13"/>
        <v>682083.05759999994</v>
      </c>
      <c r="J93" s="615">
        <f t="shared" si="14"/>
        <v>745687.60560000001</v>
      </c>
      <c r="K93" s="615">
        <f t="shared" si="15"/>
        <v>769917.9095999999</v>
      </c>
    </row>
    <row r="94" spans="1:11" ht="15.75" hidden="1" thickBot="1">
      <c r="A94" s="687" t="s">
        <v>645</v>
      </c>
      <c r="B94" s="624" t="s">
        <v>515</v>
      </c>
      <c r="C94" s="625">
        <v>107.4</v>
      </c>
      <c r="D94" s="615">
        <f t="shared" si="8"/>
        <v>553390.9584</v>
      </c>
      <c r="E94" s="615">
        <f t="shared" si="9"/>
        <v>562502.77439999999</v>
      </c>
      <c r="F94" s="615">
        <f t="shared" si="10"/>
        <v>580726.40640000009</v>
      </c>
      <c r="G94" s="615">
        <f t="shared" si="11"/>
        <v>629322.75840000005</v>
      </c>
      <c r="H94" s="615">
        <f t="shared" si="12"/>
        <v>647546.39040000003</v>
      </c>
      <c r="I94" s="615">
        <f t="shared" si="13"/>
        <v>683993.6544</v>
      </c>
      <c r="J94" s="615">
        <f t="shared" si="14"/>
        <v>747776.36640000006</v>
      </c>
      <c r="K94" s="615">
        <f t="shared" si="15"/>
        <v>772074.54240000003</v>
      </c>
    </row>
    <row r="95" spans="1:11" ht="15.75" hidden="1" thickBot="1">
      <c r="A95" s="687" t="s">
        <v>645</v>
      </c>
      <c r="B95" s="624" t="s">
        <v>516</v>
      </c>
      <c r="C95" s="625">
        <v>108.5</v>
      </c>
      <c r="D95" s="615">
        <f t="shared" si="8"/>
        <v>559058.83600000001</v>
      </c>
      <c r="E95" s="615">
        <f t="shared" si="9"/>
        <v>568263.97600000002</v>
      </c>
      <c r="F95" s="615">
        <f t="shared" si="10"/>
        <v>586674.25600000005</v>
      </c>
      <c r="G95" s="615">
        <f t="shared" si="11"/>
        <v>635768.33600000001</v>
      </c>
      <c r="H95" s="615">
        <f t="shared" si="12"/>
        <v>654178.61600000004</v>
      </c>
      <c r="I95" s="615">
        <f t="shared" si="13"/>
        <v>690999.17599999998</v>
      </c>
      <c r="J95" s="615">
        <f t="shared" si="14"/>
        <v>755435.15599999996</v>
      </c>
      <c r="K95" s="615">
        <f t="shared" si="15"/>
        <v>779982.196</v>
      </c>
    </row>
    <row r="96" spans="1:11" ht="15.75" hidden="1" thickBot="1">
      <c r="A96" s="687" t="s">
        <v>645</v>
      </c>
      <c r="B96" s="624" t="s">
        <v>517</v>
      </c>
      <c r="C96" s="625">
        <v>110.1</v>
      </c>
      <c r="D96" s="615">
        <f t="shared" si="8"/>
        <v>567303.02159999998</v>
      </c>
      <c r="E96" s="615">
        <f t="shared" si="9"/>
        <v>576643.90559999994</v>
      </c>
      <c r="F96" s="615">
        <f t="shared" si="10"/>
        <v>595325.67359999998</v>
      </c>
      <c r="G96" s="615">
        <f t="shared" si="11"/>
        <v>645143.72159999993</v>
      </c>
      <c r="H96" s="615">
        <f t="shared" si="12"/>
        <v>663825.48959999997</v>
      </c>
      <c r="I96" s="615">
        <f t="shared" si="13"/>
        <v>701189.02559999994</v>
      </c>
      <c r="J96" s="615">
        <f t="shared" si="14"/>
        <v>766575.21360000002</v>
      </c>
      <c r="K96" s="615">
        <f t="shared" si="15"/>
        <v>791484.23759999999</v>
      </c>
    </row>
    <row r="97" spans="1:11" ht="15.75" hidden="1" thickBot="1">
      <c r="A97" s="687" t="s">
        <v>645</v>
      </c>
      <c r="B97" s="624" t="s">
        <v>518</v>
      </c>
      <c r="C97" s="625">
        <v>110.3</v>
      </c>
      <c r="D97" s="615">
        <f t="shared" si="8"/>
        <v>568333.54480000003</v>
      </c>
      <c r="E97" s="615">
        <f t="shared" si="9"/>
        <v>577691.39679999999</v>
      </c>
      <c r="F97" s="615">
        <f t="shared" si="10"/>
        <v>596407.10080000001</v>
      </c>
      <c r="G97" s="615">
        <f t="shared" si="11"/>
        <v>646315.64480000001</v>
      </c>
      <c r="H97" s="615">
        <f t="shared" si="12"/>
        <v>665031.34880000004</v>
      </c>
      <c r="I97" s="615">
        <f t="shared" si="13"/>
        <v>702462.75679999997</v>
      </c>
      <c r="J97" s="615">
        <f t="shared" si="14"/>
        <v>767967.72080000001</v>
      </c>
      <c r="K97" s="615">
        <f t="shared" si="15"/>
        <v>792921.99280000001</v>
      </c>
    </row>
    <row r="98" spans="1:11" ht="15.75" hidden="1" thickBot="1">
      <c r="A98" s="687" t="s">
        <v>645</v>
      </c>
      <c r="B98" s="624" t="s">
        <v>519</v>
      </c>
      <c r="C98" s="625">
        <v>111.2</v>
      </c>
      <c r="D98" s="615">
        <f t="shared" si="8"/>
        <v>572970.89919999999</v>
      </c>
      <c r="E98" s="615">
        <f t="shared" si="9"/>
        <v>582405.10720000009</v>
      </c>
      <c r="F98" s="615">
        <f t="shared" si="10"/>
        <v>601273.52320000005</v>
      </c>
      <c r="G98" s="615">
        <f t="shared" si="11"/>
        <v>651589.29920000001</v>
      </c>
      <c r="H98" s="615">
        <f t="shared" si="12"/>
        <v>670457.71520000009</v>
      </c>
      <c r="I98" s="615">
        <f t="shared" si="13"/>
        <v>708194.54720000003</v>
      </c>
      <c r="J98" s="615">
        <f t="shared" si="14"/>
        <v>774234.00320000004</v>
      </c>
      <c r="K98" s="615">
        <f t="shared" si="15"/>
        <v>799391.89119999995</v>
      </c>
    </row>
    <row r="99" spans="1:11" ht="15.75" hidden="1" thickBot="1">
      <c r="A99" s="687" t="s">
        <v>645</v>
      </c>
      <c r="B99" s="624" t="s">
        <v>520</v>
      </c>
      <c r="C99" s="625">
        <v>111.7</v>
      </c>
      <c r="D99" s="615">
        <f t="shared" si="8"/>
        <v>575547.20720000006</v>
      </c>
      <c r="E99" s="615">
        <f t="shared" si="9"/>
        <v>585023.83519999997</v>
      </c>
      <c r="F99" s="615">
        <f t="shared" si="10"/>
        <v>603977.09120000002</v>
      </c>
      <c r="G99" s="615">
        <f t="shared" si="11"/>
        <v>654519.10719999997</v>
      </c>
      <c r="H99" s="615">
        <f t="shared" si="12"/>
        <v>673472.36320000002</v>
      </c>
      <c r="I99" s="615">
        <f t="shared" si="13"/>
        <v>711378.87520000001</v>
      </c>
      <c r="J99" s="615">
        <f t="shared" si="14"/>
        <v>777715.27120000008</v>
      </c>
      <c r="K99" s="615">
        <f t="shared" si="15"/>
        <v>802986.27919999999</v>
      </c>
    </row>
    <row r="100" spans="1:11" ht="15.75" hidden="1" thickBot="1">
      <c r="A100" s="687" t="s">
        <v>645</v>
      </c>
      <c r="B100" s="624" t="s">
        <v>521</v>
      </c>
      <c r="C100" s="625">
        <v>114.2</v>
      </c>
      <c r="D100" s="615">
        <f t="shared" si="8"/>
        <v>588428.74719999998</v>
      </c>
      <c r="E100" s="615">
        <f t="shared" si="9"/>
        <v>598117.47519999999</v>
      </c>
      <c r="F100" s="615">
        <f t="shared" si="10"/>
        <v>617494.93120000011</v>
      </c>
      <c r="G100" s="615">
        <f t="shared" si="11"/>
        <v>669168.14720000001</v>
      </c>
      <c r="H100" s="615">
        <f t="shared" si="12"/>
        <v>688545.60320000001</v>
      </c>
      <c r="I100" s="615">
        <f t="shared" si="13"/>
        <v>727300.51520000002</v>
      </c>
      <c r="J100" s="615">
        <f t="shared" si="14"/>
        <v>795121.61120000004</v>
      </c>
      <c r="K100" s="615">
        <f t="shared" si="15"/>
        <v>820958.21920000005</v>
      </c>
    </row>
    <row r="101" spans="1:11" ht="15.75" hidden="1" thickBot="1">
      <c r="A101" s="687" t="s">
        <v>645</v>
      </c>
      <c r="B101" s="624" t="s">
        <v>522</v>
      </c>
      <c r="C101" s="638">
        <v>118</v>
      </c>
      <c r="D101" s="615">
        <f t="shared" si="8"/>
        <v>608008.68799999997</v>
      </c>
      <c r="E101" s="615">
        <f t="shared" si="9"/>
        <v>618019.80799999996</v>
      </c>
      <c r="F101" s="615">
        <f t="shared" si="10"/>
        <v>638042.04800000007</v>
      </c>
      <c r="G101" s="615">
        <f t="shared" si="11"/>
        <v>691434.68799999997</v>
      </c>
      <c r="H101" s="615">
        <f t="shared" si="12"/>
        <v>711456.92800000007</v>
      </c>
      <c r="I101" s="615">
        <f t="shared" si="13"/>
        <v>751501.40799999994</v>
      </c>
      <c r="J101" s="615">
        <f t="shared" si="14"/>
        <v>821579.24800000002</v>
      </c>
      <c r="K101" s="615">
        <f t="shared" si="15"/>
        <v>848275.56799999997</v>
      </c>
    </row>
    <row r="102" spans="1:11" ht="15.75" hidden="1" thickBot="1">
      <c r="A102" s="687" t="s">
        <v>645</v>
      </c>
      <c r="B102" s="624" t="s">
        <v>523</v>
      </c>
      <c r="C102" s="625">
        <v>123.6</v>
      </c>
      <c r="D102" s="615">
        <f t="shared" si="8"/>
        <v>636863.33759999997</v>
      </c>
      <c r="E102" s="615">
        <f t="shared" si="9"/>
        <v>647349.56160000002</v>
      </c>
      <c r="F102" s="615">
        <f t="shared" si="10"/>
        <v>668322.00959999999</v>
      </c>
      <c r="G102" s="615">
        <f t="shared" si="11"/>
        <v>724248.53759999992</v>
      </c>
      <c r="H102" s="615">
        <f t="shared" si="12"/>
        <v>745220.98560000001</v>
      </c>
      <c r="I102" s="615">
        <f t="shared" si="13"/>
        <v>787165.88159999996</v>
      </c>
      <c r="J102" s="615">
        <f t="shared" si="14"/>
        <v>860569.44959999993</v>
      </c>
      <c r="K102" s="615">
        <f t="shared" si="15"/>
        <v>888532.7135999999</v>
      </c>
    </row>
    <row r="103" spans="1:11" ht="15.75" hidden="1" thickBot="1">
      <c r="A103" s="687" t="s">
        <v>645</v>
      </c>
      <c r="B103" s="624" t="s">
        <v>524</v>
      </c>
      <c r="C103" s="625">
        <v>124.9</v>
      </c>
      <c r="D103" s="615">
        <f t="shared" si="8"/>
        <v>643561.73840000003</v>
      </c>
      <c r="E103" s="615">
        <f t="shared" si="9"/>
        <v>654158.25440000009</v>
      </c>
      <c r="F103" s="615">
        <f t="shared" si="10"/>
        <v>675351.2864000001</v>
      </c>
      <c r="G103" s="615">
        <f t="shared" si="11"/>
        <v>731866.03840000008</v>
      </c>
      <c r="H103" s="615">
        <f t="shared" si="12"/>
        <v>753059.07040000008</v>
      </c>
      <c r="I103" s="615">
        <f t="shared" si="13"/>
        <v>795445.13439999998</v>
      </c>
      <c r="J103" s="615">
        <f t="shared" si="14"/>
        <v>869620.74640000006</v>
      </c>
      <c r="K103" s="615">
        <f t="shared" si="15"/>
        <v>897878.12239999999</v>
      </c>
    </row>
    <row r="104" spans="1:11" ht="15.75" hidden="1" thickBot="1">
      <c r="A104" s="687" t="s">
        <v>645</v>
      </c>
      <c r="B104" s="624" t="s">
        <v>525</v>
      </c>
      <c r="C104" s="625">
        <v>126.5</v>
      </c>
      <c r="D104" s="615">
        <f t="shared" si="8"/>
        <v>651805.924</v>
      </c>
      <c r="E104" s="615">
        <f t="shared" si="9"/>
        <v>662538.18400000001</v>
      </c>
      <c r="F104" s="615">
        <f t="shared" si="10"/>
        <v>684002.70400000003</v>
      </c>
      <c r="G104" s="615">
        <f t="shared" si="11"/>
        <v>741241.424</v>
      </c>
      <c r="H104" s="615">
        <f t="shared" si="12"/>
        <v>762705.94400000002</v>
      </c>
      <c r="I104" s="615">
        <f t="shared" si="13"/>
        <v>805634.98399999994</v>
      </c>
      <c r="J104" s="615">
        <f t="shared" si="14"/>
        <v>880760.804</v>
      </c>
      <c r="K104" s="615">
        <f t="shared" si="15"/>
        <v>909380.16399999999</v>
      </c>
    </row>
    <row r="105" spans="1:11" ht="15.75" hidden="1" thickBot="1">
      <c r="A105" s="687" t="s">
        <v>645</v>
      </c>
      <c r="B105" s="624" t="s">
        <v>526</v>
      </c>
      <c r="C105" s="625">
        <v>127.2</v>
      </c>
      <c r="D105" s="615">
        <f t="shared" si="8"/>
        <v>655412.75520000001</v>
      </c>
      <c r="E105" s="615">
        <f t="shared" si="9"/>
        <v>666204.40320000006</v>
      </c>
      <c r="F105" s="615">
        <f t="shared" si="10"/>
        <v>687787.69920000003</v>
      </c>
      <c r="G105" s="615">
        <f t="shared" si="11"/>
        <v>745343.15520000004</v>
      </c>
      <c r="H105" s="615">
        <f t="shared" si="12"/>
        <v>766926.45120000001</v>
      </c>
      <c r="I105" s="615">
        <f t="shared" si="13"/>
        <v>810093.04319999996</v>
      </c>
      <c r="J105" s="615">
        <f t="shared" si="14"/>
        <v>885634.57920000004</v>
      </c>
      <c r="K105" s="615">
        <f t="shared" si="15"/>
        <v>914412.30720000004</v>
      </c>
    </row>
    <row r="106" spans="1:11" ht="15.75" hidden="1" thickBot="1">
      <c r="A106" s="687" t="s">
        <v>645</v>
      </c>
      <c r="B106" s="624" t="s">
        <v>527</v>
      </c>
      <c r="C106" s="625">
        <v>129.80000000000001</v>
      </c>
      <c r="D106" s="615">
        <f t="shared" si="8"/>
        <v>668809.55680000002</v>
      </c>
      <c r="E106" s="615">
        <f t="shared" si="9"/>
        <v>679821.7888000001</v>
      </c>
      <c r="F106" s="615">
        <f t="shared" si="10"/>
        <v>701846.25280000013</v>
      </c>
      <c r="G106" s="615">
        <f t="shared" si="11"/>
        <v>760578.15680000011</v>
      </c>
      <c r="H106" s="615">
        <f t="shared" si="12"/>
        <v>782602.62080000015</v>
      </c>
      <c r="I106" s="615">
        <f t="shared" si="13"/>
        <v>826651.54880000011</v>
      </c>
      <c r="J106" s="615">
        <f t="shared" si="14"/>
        <v>903737.17280000006</v>
      </c>
      <c r="K106" s="615">
        <f t="shared" si="15"/>
        <v>933103.12480000011</v>
      </c>
    </row>
    <row r="107" spans="1:11" ht="15.75" hidden="1" thickBot="1">
      <c r="A107" s="687" t="s">
        <v>645</v>
      </c>
      <c r="B107" s="624" t="s">
        <v>528</v>
      </c>
      <c r="C107" s="625">
        <v>129.69999999999999</v>
      </c>
      <c r="D107" s="615">
        <f t="shared" si="8"/>
        <v>668294.29519999993</v>
      </c>
      <c r="E107" s="615">
        <f t="shared" si="9"/>
        <v>679298.04319999996</v>
      </c>
      <c r="F107" s="615">
        <f t="shared" si="10"/>
        <v>701305.5392</v>
      </c>
      <c r="G107" s="615">
        <f t="shared" si="11"/>
        <v>759992.19519999996</v>
      </c>
      <c r="H107" s="615">
        <f t="shared" si="12"/>
        <v>781999.6912</v>
      </c>
      <c r="I107" s="615">
        <f t="shared" si="13"/>
        <v>826014.68319999997</v>
      </c>
      <c r="J107" s="615">
        <f t="shared" si="14"/>
        <v>903040.91919999989</v>
      </c>
      <c r="K107" s="615">
        <f t="shared" si="15"/>
        <v>932384.24719999987</v>
      </c>
    </row>
    <row r="108" spans="1:11" ht="15.75" hidden="1" thickBot="1">
      <c r="A108" s="687" t="s">
        <v>645</v>
      </c>
      <c r="B108" s="624" t="s">
        <v>529</v>
      </c>
      <c r="C108" s="625">
        <v>134.1</v>
      </c>
      <c r="D108" s="615">
        <f t="shared" si="8"/>
        <v>690965.80559999996</v>
      </c>
      <c r="E108" s="615">
        <f t="shared" si="9"/>
        <v>702342.84959999996</v>
      </c>
      <c r="F108" s="615">
        <f t="shared" si="10"/>
        <v>725096.93760000006</v>
      </c>
      <c r="G108" s="615">
        <f t="shared" si="11"/>
        <v>785774.50559999992</v>
      </c>
      <c r="H108" s="615">
        <f t="shared" si="12"/>
        <v>808528.59360000002</v>
      </c>
      <c r="I108" s="615">
        <f t="shared" si="13"/>
        <v>854036.7696</v>
      </c>
      <c r="J108" s="615">
        <f t="shared" si="14"/>
        <v>933676.07759999996</v>
      </c>
      <c r="K108" s="615">
        <f t="shared" si="15"/>
        <v>964014.86159999995</v>
      </c>
    </row>
    <row r="109" spans="1:11" ht="15.75" hidden="1" thickBot="1">
      <c r="A109" s="687" t="s">
        <v>645</v>
      </c>
      <c r="B109" s="624" t="s">
        <v>530</v>
      </c>
      <c r="C109" s="625">
        <v>136.4</v>
      </c>
      <c r="D109" s="615">
        <f t="shared" si="8"/>
        <v>702816.82240000006</v>
      </c>
      <c r="E109" s="615">
        <f t="shared" si="9"/>
        <v>714388.99840000004</v>
      </c>
      <c r="F109" s="615">
        <f t="shared" si="10"/>
        <v>737533.35040000011</v>
      </c>
      <c r="G109" s="615">
        <f t="shared" si="11"/>
        <v>799251.62239999999</v>
      </c>
      <c r="H109" s="615">
        <f t="shared" si="12"/>
        <v>822395.97440000006</v>
      </c>
      <c r="I109" s="615">
        <f t="shared" si="13"/>
        <v>868684.67839999998</v>
      </c>
      <c r="J109" s="615">
        <f t="shared" si="14"/>
        <v>949689.91040000005</v>
      </c>
      <c r="K109" s="615">
        <f t="shared" si="15"/>
        <v>980549.04639999999</v>
      </c>
    </row>
    <row r="110" spans="1:11" ht="15.75" hidden="1" thickBot="1">
      <c r="A110" s="687" t="s">
        <v>645</v>
      </c>
      <c r="B110" s="624" t="s">
        <v>531</v>
      </c>
      <c r="C110" s="625">
        <v>138.1</v>
      </c>
      <c r="D110" s="615">
        <f t="shared" si="8"/>
        <v>711576.2696</v>
      </c>
      <c r="E110" s="615">
        <f t="shared" si="9"/>
        <v>723292.67359999998</v>
      </c>
      <c r="F110" s="615">
        <f t="shared" si="10"/>
        <v>746725.48160000006</v>
      </c>
      <c r="G110" s="615">
        <f t="shared" si="11"/>
        <v>809212.96959999995</v>
      </c>
      <c r="H110" s="615">
        <f t="shared" si="12"/>
        <v>832645.77760000003</v>
      </c>
      <c r="I110" s="615">
        <f t="shared" si="13"/>
        <v>879511.39359999995</v>
      </c>
      <c r="J110" s="615">
        <f t="shared" si="14"/>
        <v>961526.22159999993</v>
      </c>
      <c r="K110" s="615">
        <f t="shared" si="15"/>
        <v>992769.96559999988</v>
      </c>
    </row>
    <row r="111" spans="1:11" ht="15.75" hidden="1" thickBot="1">
      <c r="A111" s="688" t="s">
        <v>646</v>
      </c>
      <c r="B111" s="626" t="s">
        <v>532</v>
      </c>
      <c r="C111" s="639">
        <v>150</v>
      </c>
      <c r="D111" s="615">
        <f>+C111*H$36</f>
        <v>1092173.6000000001</v>
      </c>
      <c r="E111" s="615">
        <f>+C111*H$37</f>
        <v>1100657.6000000001</v>
      </c>
      <c r="F111" s="615">
        <f>+C111*H$38</f>
        <v>1117625.6000000001</v>
      </c>
      <c r="G111" s="615">
        <f>+C111*H$39</f>
        <v>1162873.6000000001</v>
      </c>
      <c r="H111" s="615">
        <f>+C111*H$40</f>
        <v>1179841.5999999999</v>
      </c>
      <c r="I111" s="615">
        <f>+C111*H$41</f>
        <v>1213777.5999999999</v>
      </c>
      <c r="J111" s="615">
        <f>+C111*H$42</f>
        <v>1273165.5999999999</v>
      </c>
      <c r="K111" s="615">
        <f>+C111*H$43</f>
        <v>1295789.5999999999</v>
      </c>
    </row>
    <row r="112" spans="1:11" ht="15.75" hidden="1" thickBot="1">
      <c r="A112" s="688" t="s">
        <v>646</v>
      </c>
      <c r="B112" s="626" t="s">
        <v>533</v>
      </c>
      <c r="C112" s="639">
        <v>164</v>
      </c>
      <c r="D112" s="615">
        <f t="shared" ref="D112:D126" si="16">+C112*H$36</f>
        <v>1194109.8026666667</v>
      </c>
      <c r="E112" s="615">
        <f t="shared" ref="E112:E126" si="17">+C112*H$37</f>
        <v>1203385.6426666668</v>
      </c>
      <c r="F112" s="615">
        <f t="shared" ref="F112:F126" si="18">+C112*H$38</f>
        <v>1221937.3226666667</v>
      </c>
      <c r="G112" s="615">
        <f t="shared" ref="G112:G126" si="19">+C112*H$39</f>
        <v>1271408.4693333334</v>
      </c>
      <c r="H112" s="615">
        <f t="shared" ref="H112:H126" si="20">+C112*H$40</f>
        <v>1289960.1493333334</v>
      </c>
      <c r="I112" s="615">
        <f t="shared" ref="I112:I126" si="21">+C112*H$41</f>
        <v>1327063.5093333332</v>
      </c>
      <c r="J112" s="615">
        <f t="shared" ref="J112:J126" si="22">+C112*H$42</f>
        <v>1391994.3893333331</v>
      </c>
      <c r="K112" s="615">
        <f t="shared" ref="K112:K126" si="23">+C112*H$43</f>
        <v>1416729.9626666666</v>
      </c>
    </row>
    <row r="113" spans="1:11" ht="15.75" hidden="1" thickBot="1">
      <c r="A113" s="688" t="s">
        <v>646</v>
      </c>
      <c r="B113" s="626" t="s">
        <v>534</v>
      </c>
      <c r="C113" s="627">
        <v>166.6</v>
      </c>
      <c r="D113" s="615">
        <f t="shared" si="16"/>
        <v>1213040.8117333334</v>
      </c>
      <c r="E113" s="615">
        <f t="shared" si="17"/>
        <v>1222463.7077333333</v>
      </c>
      <c r="F113" s="615">
        <f t="shared" si="18"/>
        <v>1241309.4997333335</v>
      </c>
      <c r="G113" s="615">
        <f t="shared" si="19"/>
        <v>1291564.9450666667</v>
      </c>
      <c r="H113" s="615">
        <f t="shared" si="20"/>
        <v>1310410.7370666666</v>
      </c>
      <c r="I113" s="615">
        <f t="shared" si="21"/>
        <v>1348102.3210666666</v>
      </c>
      <c r="J113" s="615">
        <f t="shared" si="22"/>
        <v>1414062.5930666665</v>
      </c>
      <c r="K113" s="615">
        <f t="shared" si="23"/>
        <v>1439190.3157333334</v>
      </c>
    </row>
    <row r="114" spans="1:11" ht="15.75" hidden="1" thickBot="1">
      <c r="A114" s="688" t="s">
        <v>646</v>
      </c>
      <c r="B114" s="626" t="s">
        <v>535</v>
      </c>
      <c r="C114" s="627">
        <v>167.2</v>
      </c>
      <c r="D114" s="615">
        <f t="shared" si="16"/>
        <v>1217409.5061333333</v>
      </c>
      <c r="E114" s="615">
        <f t="shared" si="17"/>
        <v>1226866.3381333333</v>
      </c>
      <c r="F114" s="615">
        <f t="shared" si="18"/>
        <v>1245780.0021333334</v>
      </c>
      <c r="G114" s="615">
        <f t="shared" si="19"/>
        <v>1296216.4394666667</v>
      </c>
      <c r="H114" s="615">
        <f t="shared" si="20"/>
        <v>1315130.1034666665</v>
      </c>
      <c r="I114" s="615">
        <f t="shared" si="21"/>
        <v>1352957.4314666665</v>
      </c>
      <c r="J114" s="615">
        <f t="shared" si="22"/>
        <v>1419155.2554666663</v>
      </c>
      <c r="K114" s="615">
        <f t="shared" si="23"/>
        <v>1444373.4741333332</v>
      </c>
    </row>
    <row r="115" spans="1:11" ht="15.75" hidden="1" thickBot="1">
      <c r="A115" s="688" t="s">
        <v>646</v>
      </c>
      <c r="B115" s="626" t="s">
        <v>536</v>
      </c>
      <c r="C115" s="627">
        <v>177.3</v>
      </c>
      <c r="D115" s="615">
        <f t="shared" si="16"/>
        <v>1290949.1952000002</v>
      </c>
      <c r="E115" s="615">
        <f t="shared" si="17"/>
        <v>1300977.2832000002</v>
      </c>
      <c r="F115" s="615">
        <f t="shared" si="18"/>
        <v>1321033.4592000002</v>
      </c>
      <c r="G115" s="615">
        <f t="shared" si="19"/>
        <v>1374516.5952000001</v>
      </c>
      <c r="H115" s="615">
        <f t="shared" si="20"/>
        <v>1394572.7712000001</v>
      </c>
      <c r="I115" s="615">
        <f t="shared" si="21"/>
        <v>1434685.1232</v>
      </c>
      <c r="J115" s="615">
        <f t="shared" si="22"/>
        <v>1504881.7392</v>
      </c>
      <c r="K115" s="615">
        <f t="shared" si="23"/>
        <v>1531623.3072000002</v>
      </c>
    </row>
    <row r="116" spans="1:11" ht="15.75" hidden="1" thickBot="1">
      <c r="A116" s="688" t="s">
        <v>646</v>
      </c>
      <c r="B116" s="626" t="s">
        <v>537</v>
      </c>
      <c r="C116" s="627">
        <v>181.6</v>
      </c>
      <c r="D116" s="615">
        <f t="shared" si="16"/>
        <v>1322258.1717333333</v>
      </c>
      <c r="E116" s="615">
        <f t="shared" si="17"/>
        <v>1332529.4677333334</v>
      </c>
      <c r="F116" s="615">
        <f t="shared" si="18"/>
        <v>1353072.0597333333</v>
      </c>
      <c r="G116" s="615">
        <f t="shared" si="19"/>
        <v>1407852.3050666666</v>
      </c>
      <c r="H116" s="615">
        <f t="shared" si="20"/>
        <v>1428394.8970666665</v>
      </c>
      <c r="I116" s="615">
        <f t="shared" si="21"/>
        <v>1469480.0810666666</v>
      </c>
      <c r="J116" s="615">
        <f t="shared" si="22"/>
        <v>1541379.1530666663</v>
      </c>
      <c r="K116" s="615">
        <f t="shared" si="23"/>
        <v>1568769.2757333333</v>
      </c>
    </row>
    <row r="117" spans="1:11" ht="15.75" hidden="1" thickBot="1">
      <c r="A117" s="688" t="s">
        <v>646</v>
      </c>
      <c r="B117" s="626" t="s">
        <v>538</v>
      </c>
      <c r="C117" s="627">
        <v>187.2</v>
      </c>
      <c r="D117" s="615">
        <f t="shared" si="16"/>
        <v>1363032.6528</v>
      </c>
      <c r="E117" s="615">
        <f t="shared" si="17"/>
        <v>1373620.6847999999</v>
      </c>
      <c r="F117" s="615">
        <f t="shared" si="18"/>
        <v>1394796.7487999999</v>
      </c>
      <c r="G117" s="615">
        <f t="shared" si="19"/>
        <v>1451266.2527999999</v>
      </c>
      <c r="H117" s="615">
        <f t="shared" si="20"/>
        <v>1472442.3167999999</v>
      </c>
      <c r="I117" s="615">
        <f t="shared" si="21"/>
        <v>1514794.4447999999</v>
      </c>
      <c r="J117" s="615">
        <f t="shared" si="22"/>
        <v>1588910.6687999996</v>
      </c>
      <c r="K117" s="615">
        <f t="shared" si="23"/>
        <v>1617145.4208</v>
      </c>
    </row>
    <row r="118" spans="1:11" ht="15.75" hidden="1" thickBot="1">
      <c r="A118" s="688" t="s">
        <v>646</v>
      </c>
      <c r="B118" s="626" t="s">
        <v>539</v>
      </c>
      <c r="C118" s="627">
        <v>190.6</v>
      </c>
      <c r="D118" s="615">
        <f t="shared" si="16"/>
        <v>1387788.5877333332</v>
      </c>
      <c r="E118" s="615">
        <f t="shared" si="17"/>
        <v>1398568.9237333334</v>
      </c>
      <c r="F118" s="615">
        <f t="shared" si="18"/>
        <v>1420129.5957333334</v>
      </c>
      <c r="G118" s="615">
        <f t="shared" si="19"/>
        <v>1477624.7210666665</v>
      </c>
      <c r="H118" s="615">
        <f t="shared" si="20"/>
        <v>1499185.3930666666</v>
      </c>
      <c r="I118" s="615">
        <f t="shared" si="21"/>
        <v>1542306.7370666666</v>
      </c>
      <c r="J118" s="615">
        <f t="shared" si="22"/>
        <v>1617769.0890666663</v>
      </c>
      <c r="K118" s="615">
        <f t="shared" si="23"/>
        <v>1646516.6517333332</v>
      </c>
    </row>
    <row r="119" spans="1:11" ht="15.75" hidden="1" thickBot="1">
      <c r="A119" s="688" t="s">
        <v>646</v>
      </c>
      <c r="B119" s="628" t="s">
        <v>540</v>
      </c>
      <c r="C119" s="629">
        <v>212.3</v>
      </c>
      <c r="D119" s="615">
        <f t="shared" si="16"/>
        <v>1545789.7018666668</v>
      </c>
      <c r="E119" s="615">
        <f t="shared" si="17"/>
        <v>1557797.3898666669</v>
      </c>
      <c r="F119" s="615">
        <f t="shared" si="18"/>
        <v>1581812.7658666668</v>
      </c>
      <c r="G119" s="615">
        <f t="shared" si="19"/>
        <v>1645853.7685333334</v>
      </c>
      <c r="H119" s="615">
        <f t="shared" si="20"/>
        <v>1669869.1445333334</v>
      </c>
      <c r="I119" s="615">
        <f t="shared" si="21"/>
        <v>1717899.8965333332</v>
      </c>
      <c r="J119" s="615">
        <f t="shared" si="22"/>
        <v>1801953.7125333331</v>
      </c>
      <c r="K119" s="615">
        <f t="shared" si="23"/>
        <v>1833974.2138666667</v>
      </c>
    </row>
    <row r="120" spans="1:11" ht="15.75" hidden="1" thickBot="1">
      <c r="A120" s="688" t="s">
        <v>646</v>
      </c>
      <c r="B120" s="628" t="s">
        <v>541</v>
      </c>
      <c r="C120" s="629">
        <v>219.7</v>
      </c>
      <c r="D120" s="615">
        <f t="shared" si="16"/>
        <v>1599670.2661333333</v>
      </c>
      <c r="E120" s="615">
        <f t="shared" si="17"/>
        <v>1612096.4981333334</v>
      </c>
      <c r="F120" s="615">
        <f t="shared" si="18"/>
        <v>1636948.9621333333</v>
      </c>
      <c r="G120" s="615">
        <f t="shared" si="19"/>
        <v>1703222.1994666667</v>
      </c>
      <c r="H120" s="615">
        <f t="shared" si="20"/>
        <v>1728074.6634666666</v>
      </c>
      <c r="I120" s="615">
        <f t="shared" si="21"/>
        <v>1777779.5914666664</v>
      </c>
      <c r="J120" s="615">
        <f t="shared" si="22"/>
        <v>1864763.2154666663</v>
      </c>
      <c r="K120" s="615">
        <f t="shared" si="23"/>
        <v>1897899.8341333333</v>
      </c>
    </row>
    <row r="121" spans="1:11" ht="15.75" hidden="1" thickBot="1">
      <c r="A121" s="688" t="s">
        <v>646</v>
      </c>
      <c r="B121" s="628" t="s">
        <v>542</v>
      </c>
      <c r="C121" s="629">
        <v>219.8</v>
      </c>
      <c r="D121" s="615">
        <f t="shared" si="16"/>
        <v>1600398.3818666667</v>
      </c>
      <c r="E121" s="615">
        <f t="shared" si="17"/>
        <v>1612830.269866667</v>
      </c>
      <c r="F121" s="615">
        <f t="shared" si="18"/>
        <v>1637694.0458666668</v>
      </c>
      <c r="G121" s="615">
        <f t="shared" si="19"/>
        <v>1703997.4485333334</v>
      </c>
      <c r="H121" s="615">
        <f t="shared" si="20"/>
        <v>1728861.2245333334</v>
      </c>
      <c r="I121" s="615">
        <f t="shared" si="21"/>
        <v>1778588.7765333334</v>
      </c>
      <c r="J121" s="615">
        <f t="shared" si="22"/>
        <v>1865611.9925333331</v>
      </c>
      <c r="K121" s="615">
        <f t="shared" si="23"/>
        <v>1898763.6938666666</v>
      </c>
    </row>
    <row r="122" spans="1:11" ht="15.75" hidden="1" thickBot="1">
      <c r="A122" s="688" t="s">
        <v>646</v>
      </c>
      <c r="B122" s="628" t="s">
        <v>543</v>
      </c>
      <c r="C122" s="629">
        <v>275.10000000000002</v>
      </c>
      <c r="D122" s="615">
        <f t="shared" si="16"/>
        <v>2003046.3824000002</v>
      </c>
      <c r="E122" s="615">
        <f t="shared" si="17"/>
        <v>2018606.0384000004</v>
      </c>
      <c r="F122" s="615">
        <f t="shared" si="18"/>
        <v>2049725.3504000003</v>
      </c>
      <c r="G122" s="615">
        <f t="shared" si="19"/>
        <v>2132710.1824000003</v>
      </c>
      <c r="H122" s="615">
        <f t="shared" si="20"/>
        <v>2163829.4944000002</v>
      </c>
      <c r="I122" s="615">
        <f t="shared" si="21"/>
        <v>2226068.1184</v>
      </c>
      <c r="J122" s="615">
        <f t="shared" si="22"/>
        <v>2334985.7103999997</v>
      </c>
      <c r="K122" s="615">
        <f t="shared" si="23"/>
        <v>2376478.1264</v>
      </c>
    </row>
    <row r="123" spans="1:11" ht="15.75" hidden="1" thickBot="1">
      <c r="A123" s="688" t="s">
        <v>646</v>
      </c>
      <c r="B123" s="628" t="s">
        <v>544</v>
      </c>
      <c r="C123" s="629">
        <v>330.4</v>
      </c>
      <c r="D123" s="615">
        <f t="shared" si="16"/>
        <v>2405694.3829333331</v>
      </c>
      <c r="E123" s="615">
        <f t="shared" si="17"/>
        <v>2424381.8069333332</v>
      </c>
      <c r="F123" s="615">
        <f t="shared" si="18"/>
        <v>2461756.6549333334</v>
      </c>
      <c r="G123" s="615">
        <f t="shared" si="19"/>
        <v>2561422.9162666663</v>
      </c>
      <c r="H123" s="615">
        <f t="shared" si="20"/>
        <v>2598797.7642666665</v>
      </c>
      <c r="I123" s="615">
        <f t="shared" si="21"/>
        <v>2673547.4602666665</v>
      </c>
      <c r="J123" s="615">
        <f t="shared" si="22"/>
        <v>2804359.4282666659</v>
      </c>
      <c r="K123" s="615">
        <f t="shared" si="23"/>
        <v>2854192.558933333</v>
      </c>
    </row>
    <row r="124" spans="1:11" ht="15.75" hidden="1" thickBot="1">
      <c r="A124" s="688" t="s">
        <v>646</v>
      </c>
      <c r="B124" s="628" t="s">
        <v>545</v>
      </c>
      <c r="C124" s="629">
        <v>349.7</v>
      </c>
      <c r="D124" s="615">
        <f t="shared" si="16"/>
        <v>2546220.7194666667</v>
      </c>
      <c r="E124" s="615">
        <f t="shared" si="17"/>
        <v>2565999.7514666668</v>
      </c>
      <c r="F124" s="615">
        <f t="shared" si="18"/>
        <v>2605557.8154666666</v>
      </c>
      <c r="G124" s="615">
        <f t="shared" si="19"/>
        <v>2711045.9861333333</v>
      </c>
      <c r="H124" s="615">
        <f t="shared" si="20"/>
        <v>2750604.0501333331</v>
      </c>
      <c r="I124" s="615">
        <f t="shared" si="21"/>
        <v>2829720.1781333331</v>
      </c>
      <c r="J124" s="615">
        <f t="shared" si="22"/>
        <v>2968173.402133333</v>
      </c>
      <c r="K124" s="615">
        <f t="shared" si="23"/>
        <v>3020917.4874666664</v>
      </c>
    </row>
    <row r="125" spans="1:11" ht="15.75" hidden="1" thickBot="1">
      <c r="A125" s="688" t="s">
        <v>646</v>
      </c>
      <c r="B125" s="628" t="s">
        <v>546</v>
      </c>
      <c r="C125" s="629">
        <v>355.9</v>
      </c>
      <c r="D125" s="615">
        <f t="shared" si="16"/>
        <v>2591363.8949333332</v>
      </c>
      <c r="E125" s="615">
        <f t="shared" si="17"/>
        <v>2611493.5989333335</v>
      </c>
      <c r="F125" s="615">
        <f t="shared" si="18"/>
        <v>2651753.0069333334</v>
      </c>
      <c r="G125" s="615">
        <f t="shared" si="19"/>
        <v>2759111.4282666664</v>
      </c>
      <c r="H125" s="615">
        <f t="shared" si="20"/>
        <v>2799370.8362666667</v>
      </c>
      <c r="I125" s="615">
        <f t="shared" si="21"/>
        <v>2879889.6522666663</v>
      </c>
      <c r="J125" s="615">
        <f t="shared" si="22"/>
        <v>3020797.5802666661</v>
      </c>
      <c r="K125" s="615">
        <f t="shared" si="23"/>
        <v>3074476.7909333329</v>
      </c>
    </row>
    <row r="126" spans="1:11" ht="15.75" hidden="1" thickBot="1">
      <c r="A126" s="688" t="s">
        <v>646</v>
      </c>
      <c r="B126" s="628" t="s">
        <v>547</v>
      </c>
      <c r="C126" s="640">
        <v>360</v>
      </c>
      <c r="D126" s="615">
        <f t="shared" si="16"/>
        <v>2621216.64</v>
      </c>
      <c r="E126" s="615">
        <f t="shared" si="17"/>
        <v>2641578.2400000002</v>
      </c>
      <c r="F126" s="615">
        <f t="shared" si="18"/>
        <v>2682301.4400000004</v>
      </c>
      <c r="G126" s="615">
        <f t="shared" si="19"/>
        <v>2790896.64</v>
      </c>
      <c r="H126" s="615">
        <f t="shared" si="20"/>
        <v>2831619.84</v>
      </c>
      <c r="I126" s="615">
        <f t="shared" si="21"/>
        <v>2913066.2399999998</v>
      </c>
      <c r="J126" s="615">
        <f t="shared" si="22"/>
        <v>3055597.4399999995</v>
      </c>
      <c r="K126" s="615">
        <f t="shared" si="23"/>
        <v>3109895.04</v>
      </c>
    </row>
    <row r="128" spans="1:11" ht="23.1" customHeight="1">
      <c r="B128" s="1201" t="s">
        <v>608</v>
      </c>
      <c r="C128" s="1201"/>
      <c r="D128" s="1201"/>
      <c r="E128" s="1201"/>
      <c r="F128" s="1201"/>
      <c r="G128" s="1201"/>
      <c r="H128" s="1201"/>
      <c r="I128" s="1201"/>
    </row>
    <row r="129" spans="1:10" ht="23.1" customHeight="1">
      <c r="B129" s="644"/>
      <c r="C129" s="644"/>
      <c r="D129" s="644"/>
      <c r="E129" s="644"/>
      <c r="F129" s="644"/>
      <c r="G129" s="644"/>
      <c r="H129" s="644"/>
      <c r="I129" s="644"/>
    </row>
    <row r="130" spans="1:10" ht="27" customHeight="1">
      <c r="A130" s="403">
        <v>2</v>
      </c>
      <c r="B130" s="689" t="s">
        <v>647</v>
      </c>
      <c r="C130" s="690"/>
      <c r="D130" s="690"/>
      <c r="E130" s="690"/>
      <c r="F130" s="690"/>
      <c r="G130" s="690"/>
      <c r="H130" s="690"/>
      <c r="I130" s="690"/>
      <c r="J130" s="691"/>
    </row>
    <row r="131" spans="1:10" ht="32.65" customHeight="1">
      <c r="B131" s="1200" t="s">
        <v>609</v>
      </c>
      <c r="C131" s="1200"/>
      <c r="D131" s="1200"/>
      <c r="E131" s="1200"/>
      <c r="F131" s="1200"/>
      <c r="G131" s="1200"/>
      <c r="H131" s="1200"/>
      <c r="I131" s="1200"/>
      <c r="J131" s="1200"/>
    </row>
    <row r="132" spans="1:10" ht="99.6" customHeight="1">
      <c r="B132" s="675" t="s">
        <v>465</v>
      </c>
      <c r="C132" s="676" t="s">
        <v>691</v>
      </c>
      <c r="D132" s="676" t="s">
        <v>692</v>
      </c>
      <c r="E132" s="676" t="s">
        <v>693</v>
      </c>
      <c r="F132" s="676" t="s">
        <v>694</v>
      </c>
      <c r="G132" s="676" t="s">
        <v>695</v>
      </c>
      <c r="H132" s="676" t="s">
        <v>696</v>
      </c>
      <c r="I132" s="676" t="s">
        <v>697</v>
      </c>
      <c r="J132" s="676" t="s">
        <v>698</v>
      </c>
    </row>
    <row r="133" spans="1:10" ht="15" hidden="1">
      <c r="B133" s="678">
        <f t="shared" ref="B133:B153" si="24">C49</f>
        <v>2</v>
      </c>
      <c r="C133" s="677">
        <f>B133*H$36</f>
        <v>14562.314666666667</v>
      </c>
      <c r="D133" s="677">
        <f>B133*H$37</f>
        <v>14675.434666666668</v>
      </c>
      <c r="E133" s="677">
        <f>B133*H$38</f>
        <v>14901.674666666668</v>
      </c>
      <c r="F133" s="677">
        <f>B133*H$39</f>
        <v>15504.981333333333</v>
      </c>
      <c r="G133" s="677">
        <f>B133*H$40</f>
        <v>15731.221333333333</v>
      </c>
      <c r="H133" s="677">
        <f>B133*H$41</f>
        <v>16183.701333333333</v>
      </c>
      <c r="I133" s="677">
        <f>B133*H$42</f>
        <v>16975.541333333331</v>
      </c>
      <c r="J133" s="677">
        <f>B133*H$43</f>
        <v>17277.194666666666</v>
      </c>
    </row>
    <row r="134" spans="1:10" ht="15" hidden="1">
      <c r="B134" s="678">
        <f t="shared" si="24"/>
        <v>5</v>
      </c>
      <c r="C134" s="677">
        <f t="shared" ref="C134:C153" si="25">B134*H$36</f>
        <v>36405.786666666667</v>
      </c>
      <c r="D134" s="677">
        <f t="shared" ref="D134:D153" si="26">B134*H$37</f>
        <v>36688.58666666667</v>
      </c>
      <c r="E134" s="677">
        <f t="shared" ref="E134:E153" si="27">B134*H$38</f>
        <v>37254.186666666668</v>
      </c>
      <c r="F134" s="677">
        <f t="shared" ref="F134:F153" si="28">B134*H$39</f>
        <v>38762.453333333331</v>
      </c>
      <c r="G134" s="677">
        <f t="shared" ref="G134:G153" si="29">B134*H$40</f>
        <v>39328.05333333333</v>
      </c>
      <c r="H134" s="677">
        <f t="shared" ref="H134:H153" si="30">B134*H$41</f>
        <v>40459.253333333334</v>
      </c>
      <c r="I134" s="677">
        <f t="shared" ref="I134:I153" si="31">B134*H$42</f>
        <v>42438.853333333325</v>
      </c>
      <c r="J134" s="677">
        <f t="shared" ref="J134:J153" si="32">B134*H$43</f>
        <v>43192.986666666664</v>
      </c>
    </row>
    <row r="135" spans="1:10" ht="15" hidden="1">
      <c r="B135" s="678">
        <f t="shared" si="24"/>
        <v>5</v>
      </c>
      <c r="C135" s="677">
        <f t="shared" si="25"/>
        <v>36405.786666666667</v>
      </c>
      <c r="D135" s="677">
        <f t="shared" si="26"/>
        <v>36688.58666666667</v>
      </c>
      <c r="E135" s="677">
        <f t="shared" si="27"/>
        <v>37254.186666666668</v>
      </c>
      <c r="F135" s="677">
        <f t="shared" si="28"/>
        <v>38762.453333333331</v>
      </c>
      <c r="G135" s="677">
        <f t="shared" si="29"/>
        <v>39328.05333333333</v>
      </c>
      <c r="H135" s="677">
        <f t="shared" si="30"/>
        <v>40459.253333333334</v>
      </c>
      <c r="I135" s="677">
        <f t="shared" si="31"/>
        <v>42438.853333333325</v>
      </c>
      <c r="J135" s="677">
        <f t="shared" si="32"/>
        <v>43192.986666666664</v>
      </c>
    </row>
    <row r="136" spans="1:10" ht="15" hidden="1">
      <c r="B136" s="678">
        <f t="shared" si="24"/>
        <v>7.5</v>
      </c>
      <c r="C136" s="677">
        <f t="shared" si="25"/>
        <v>54608.68</v>
      </c>
      <c r="D136" s="677">
        <f t="shared" si="26"/>
        <v>55032.880000000005</v>
      </c>
      <c r="E136" s="677">
        <f t="shared" si="27"/>
        <v>55881.280000000006</v>
      </c>
      <c r="F136" s="677">
        <f t="shared" si="28"/>
        <v>58143.68</v>
      </c>
      <c r="G136" s="677">
        <f t="shared" si="29"/>
        <v>58992.08</v>
      </c>
      <c r="H136" s="677">
        <f t="shared" si="30"/>
        <v>60688.88</v>
      </c>
      <c r="I136" s="677">
        <f t="shared" si="31"/>
        <v>63658.279999999992</v>
      </c>
      <c r="J136" s="677">
        <f t="shared" si="32"/>
        <v>64789.479999999996</v>
      </c>
    </row>
    <row r="137" spans="1:10" ht="15" hidden="1">
      <c r="B137" s="678">
        <f t="shared" si="24"/>
        <v>9.5</v>
      </c>
      <c r="C137" s="677">
        <f t="shared" si="25"/>
        <v>69170.994666666666</v>
      </c>
      <c r="D137" s="677">
        <f t="shared" si="26"/>
        <v>69708.314666666673</v>
      </c>
      <c r="E137" s="677">
        <f t="shared" si="27"/>
        <v>70782.954666666672</v>
      </c>
      <c r="F137" s="677">
        <f t="shared" si="28"/>
        <v>73648.661333333337</v>
      </c>
      <c r="G137" s="677">
        <f t="shared" si="29"/>
        <v>74723.301333333337</v>
      </c>
      <c r="H137" s="677">
        <f t="shared" si="30"/>
        <v>76872.581333333335</v>
      </c>
      <c r="I137" s="677">
        <f t="shared" si="31"/>
        <v>80633.821333333326</v>
      </c>
      <c r="J137" s="677">
        <f t="shared" si="32"/>
        <v>82066.674666666659</v>
      </c>
    </row>
    <row r="138" spans="1:10" ht="15" hidden="1">
      <c r="B138" s="678">
        <f t="shared" si="24"/>
        <v>10.6</v>
      </c>
      <c r="C138" s="677">
        <f t="shared" si="25"/>
        <v>77180.267733333327</v>
      </c>
      <c r="D138" s="677">
        <f t="shared" si="26"/>
        <v>77779.803733333334</v>
      </c>
      <c r="E138" s="677">
        <f t="shared" si="27"/>
        <v>78978.875733333334</v>
      </c>
      <c r="F138" s="677">
        <f t="shared" si="28"/>
        <v>82176.401066666658</v>
      </c>
      <c r="G138" s="677">
        <f t="shared" si="29"/>
        <v>83375.473066666658</v>
      </c>
      <c r="H138" s="677">
        <f t="shared" si="30"/>
        <v>85773.617066666659</v>
      </c>
      <c r="I138" s="677">
        <f t="shared" si="31"/>
        <v>89970.369066666652</v>
      </c>
      <c r="J138" s="677">
        <f t="shared" si="32"/>
        <v>91569.131733333328</v>
      </c>
    </row>
    <row r="139" spans="1:10" ht="15" hidden="1">
      <c r="B139" s="678">
        <f t="shared" si="24"/>
        <v>16.2</v>
      </c>
      <c r="C139" s="677">
        <f t="shared" si="25"/>
        <v>117954.7488</v>
      </c>
      <c r="D139" s="677">
        <f t="shared" si="26"/>
        <v>118871.0208</v>
      </c>
      <c r="E139" s="677">
        <f t="shared" si="27"/>
        <v>120703.56480000001</v>
      </c>
      <c r="F139" s="677">
        <f t="shared" si="28"/>
        <v>125590.34879999999</v>
      </c>
      <c r="G139" s="677">
        <f t="shared" si="29"/>
        <v>127422.89279999999</v>
      </c>
      <c r="H139" s="677">
        <f t="shared" si="30"/>
        <v>131087.98079999999</v>
      </c>
      <c r="I139" s="677">
        <f t="shared" si="31"/>
        <v>137501.88479999997</v>
      </c>
      <c r="J139" s="677">
        <f t="shared" si="32"/>
        <v>139945.27679999999</v>
      </c>
    </row>
    <row r="140" spans="1:10" ht="15" hidden="1">
      <c r="B140" s="678">
        <f t="shared" si="24"/>
        <v>17.8</v>
      </c>
      <c r="C140" s="677">
        <f t="shared" si="25"/>
        <v>129604.60053333335</v>
      </c>
      <c r="D140" s="677">
        <f t="shared" si="26"/>
        <v>130611.36853333336</v>
      </c>
      <c r="E140" s="677">
        <f t="shared" si="27"/>
        <v>132624.90453333335</v>
      </c>
      <c r="F140" s="677">
        <f t="shared" si="28"/>
        <v>137994.33386666668</v>
      </c>
      <c r="G140" s="677">
        <f t="shared" si="29"/>
        <v>140007.86986666668</v>
      </c>
      <c r="H140" s="677">
        <f t="shared" si="30"/>
        <v>144034.94186666666</v>
      </c>
      <c r="I140" s="677">
        <f t="shared" si="31"/>
        <v>151082.31786666665</v>
      </c>
      <c r="J140" s="677">
        <f t="shared" si="32"/>
        <v>153767.03253333335</v>
      </c>
    </row>
    <row r="141" spans="1:10" ht="15" hidden="1">
      <c r="B141" s="678">
        <f t="shared" si="24"/>
        <v>21.6</v>
      </c>
      <c r="C141" s="677">
        <f t="shared" si="25"/>
        <v>157272.99840000001</v>
      </c>
      <c r="D141" s="677">
        <f t="shared" si="26"/>
        <v>158494.69440000004</v>
      </c>
      <c r="E141" s="677">
        <f t="shared" si="27"/>
        <v>160938.08640000003</v>
      </c>
      <c r="F141" s="677">
        <f t="shared" si="28"/>
        <v>167453.7984</v>
      </c>
      <c r="G141" s="677">
        <f t="shared" si="29"/>
        <v>169897.19040000002</v>
      </c>
      <c r="H141" s="677">
        <f t="shared" si="30"/>
        <v>174783.97440000001</v>
      </c>
      <c r="I141" s="677">
        <f t="shared" si="31"/>
        <v>183335.84639999998</v>
      </c>
      <c r="J141" s="677">
        <f t="shared" si="32"/>
        <v>186593.70240000001</v>
      </c>
    </row>
    <row r="142" spans="1:10" ht="15" hidden="1">
      <c r="B142" s="678">
        <f t="shared" si="24"/>
        <v>30.3</v>
      </c>
      <c r="C142" s="677">
        <f t="shared" si="25"/>
        <v>220619.06720000002</v>
      </c>
      <c r="D142" s="677">
        <f t="shared" si="26"/>
        <v>222332.83520000003</v>
      </c>
      <c r="E142" s="677">
        <f t="shared" si="27"/>
        <v>225760.37120000002</v>
      </c>
      <c r="F142" s="677">
        <f t="shared" si="28"/>
        <v>234900.46720000001</v>
      </c>
      <c r="G142" s="677">
        <f t="shared" si="29"/>
        <v>238328.00320000001</v>
      </c>
      <c r="H142" s="677">
        <f t="shared" si="30"/>
        <v>245183.07519999999</v>
      </c>
      <c r="I142" s="677">
        <f t="shared" si="31"/>
        <v>257179.45119999998</v>
      </c>
      <c r="J142" s="677">
        <f t="shared" si="32"/>
        <v>261749.49919999999</v>
      </c>
    </row>
    <row r="143" spans="1:10" ht="15" hidden="1">
      <c r="B143" s="678">
        <f t="shared" si="24"/>
        <v>30.7</v>
      </c>
      <c r="C143" s="677">
        <f t="shared" si="25"/>
        <v>223531.53013333335</v>
      </c>
      <c r="D143" s="677">
        <f t="shared" si="26"/>
        <v>225267.92213333334</v>
      </c>
      <c r="E143" s="677">
        <f t="shared" si="27"/>
        <v>228740.70613333335</v>
      </c>
      <c r="F143" s="677">
        <f t="shared" si="28"/>
        <v>238001.46346666667</v>
      </c>
      <c r="G143" s="677">
        <f t="shared" si="29"/>
        <v>241474.24746666665</v>
      </c>
      <c r="H143" s="677">
        <f t="shared" si="30"/>
        <v>248419.81546666665</v>
      </c>
      <c r="I143" s="677">
        <f t="shared" si="31"/>
        <v>260574.55946666663</v>
      </c>
      <c r="J143" s="677">
        <f t="shared" si="32"/>
        <v>265204.93813333334</v>
      </c>
    </row>
    <row r="144" spans="1:10" ht="15" hidden="1">
      <c r="B144" s="678">
        <f t="shared" si="24"/>
        <v>31.9</v>
      </c>
      <c r="C144" s="677">
        <f t="shared" si="25"/>
        <v>232268.91893333333</v>
      </c>
      <c r="D144" s="677">
        <f t="shared" si="26"/>
        <v>234073.18293333333</v>
      </c>
      <c r="E144" s="677">
        <f t="shared" si="27"/>
        <v>237681.71093333335</v>
      </c>
      <c r="F144" s="677">
        <f t="shared" si="28"/>
        <v>247304.45226666666</v>
      </c>
      <c r="G144" s="677">
        <f t="shared" si="29"/>
        <v>250912.98026666665</v>
      </c>
      <c r="H144" s="677">
        <f t="shared" si="30"/>
        <v>258130.03626666663</v>
      </c>
      <c r="I144" s="677">
        <f t="shared" si="31"/>
        <v>270759.8842666666</v>
      </c>
      <c r="J144" s="677">
        <f t="shared" si="32"/>
        <v>275571.25493333332</v>
      </c>
    </row>
    <row r="145" spans="2:10" ht="15" hidden="1">
      <c r="B145" s="678">
        <f t="shared" si="24"/>
        <v>32.299999999999997</v>
      </c>
      <c r="C145" s="677">
        <f t="shared" si="25"/>
        <v>235181.38186666666</v>
      </c>
      <c r="D145" s="677">
        <f t="shared" si="26"/>
        <v>237008.26986666667</v>
      </c>
      <c r="E145" s="677">
        <f t="shared" si="27"/>
        <v>240662.04586666665</v>
      </c>
      <c r="F145" s="677">
        <f t="shared" si="28"/>
        <v>250405.44853333331</v>
      </c>
      <c r="G145" s="677">
        <f t="shared" si="29"/>
        <v>254059.2245333333</v>
      </c>
      <c r="H145" s="677">
        <f t="shared" si="30"/>
        <v>261366.77653333329</v>
      </c>
      <c r="I145" s="677">
        <f t="shared" si="31"/>
        <v>274154.99253333325</v>
      </c>
      <c r="J145" s="677">
        <f t="shared" si="32"/>
        <v>279026.69386666664</v>
      </c>
    </row>
    <row r="146" spans="2:10" ht="15" hidden="1">
      <c r="B146" s="678">
        <f t="shared" si="24"/>
        <v>33.1</v>
      </c>
      <c r="C146" s="677">
        <f t="shared" si="25"/>
        <v>241006.30773333335</v>
      </c>
      <c r="D146" s="677">
        <f t="shared" si="26"/>
        <v>242878.44373333338</v>
      </c>
      <c r="E146" s="677">
        <f t="shared" si="27"/>
        <v>246622.71573333337</v>
      </c>
      <c r="F146" s="677">
        <f t="shared" si="28"/>
        <v>256607.44106666668</v>
      </c>
      <c r="G146" s="677">
        <f t="shared" si="29"/>
        <v>260351.71306666668</v>
      </c>
      <c r="H146" s="677">
        <f t="shared" si="30"/>
        <v>267840.25706666667</v>
      </c>
      <c r="I146" s="677">
        <f t="shared" si="31"/>
        <v>280945.20906666666</v>
      </c>
      <c r="J146" s="677">
        <f t="shared" si="32"/>
        <v>285937.57173333335</v>
      </c>
    </row>
    <row r="147" spans="2:10" ht="15" hidden="1">
      <c r="B147" s="678">
        <f t="shared" si="24"/>
        <v>33.5</v>
      </c>
      <c r="C147" s="677">
        <f t="shared" si="25"/>
        <v>243918.77066666668</v>
      </c>
      <c r="D147" s="677">
        <f t="shared" si="26"/>
        <v>245813.53066666669</v>
      </c>
      <c r="E147" s="677">
        <f t="shared" si="27"/>
        <v>249603.05066666668</v>
      </c>
      <c r="F147" s="677">
        <f t="shared" si="28"/>
        <v>259708.43733333334</v>
      </c>
      <c r="G147" s="677">
        <f t="shared" si="29"/>
        <v>263497.95733333332</v>
      </c>
      <c r="H147" s="677">
        <f t="shared" si="30"/>
        <v>271076.9973333333</v>
      </c>
      <c r="I147" s="677">
        <f t="shared" si="31"/>
        <v>284340.31733333331</v>
      </c>
      <c r="J147" s="677">
        <f t="shared" si="32"/>
        <v>289393.01066666667</v>
      </c>
    </row>
    <row r="148" spans="2:10" ht="15" hidden="1">
      <c r="B148" s="678">
        <f t="shared" si="24"/>
        <v>35.9</v>
      </c>
      <c r="C148" s="677">
        <f t="shared" si="25"/>
        <v>261393.54826666665</v>
      </c>
      <c r="D148" s="677">
        <f t="shared" si="26"/>
        <v>263424.05226666667</v>
      </c>
      <c r="E148" s="677">
        <f t="shared" si="27"/>
        <v>267485.0602666667</v>
      </c>
      <c r="F148" s="677">
        <f t="shared" si="28"/>
        <v>278314.41493333335</v>
      </c>
      <c r="G148" s="677">
        <f t="shared" si="29"/>
        <v>282375.42293333332</v>
      </c>
      <c r="H148" s="677">
        <f t="shared" si="30"/>
        <v>290497.43893333332</v>
      </c>
      <c r="I148" s="677">
        <f t="shared" si="31"/>
        <v>304710.96693333326</v>
      </c>
      <c r="J148" s="677">
        <f t="shared" si="32"/>
        <v>310125.64426666667</v>
      </c>
    </row>
    <row r="149" spans="2:10" ht="15" hidden="1">
      <c r="B149" s="678">
        <f t="shared" si="24"/>
        <v>40.9</v>
      </c>
      <c r="C149" s="677">
        <f t="shared" si="25"/>
        <v>297799.33493333333</v>
      </c>
      <c r="D149" s="677">
        <f t="shared" si="26"/>
        <v>300112.63893333334</v>
      </c>
      <c r="E149" s="677">
        <f t="shared" si="27"/>
        <v>304739.24693333334</v>
      </c>
      <c r="F149" s="677">
        <f t="shared" si="28"/>
        <v>317076.86826666666</v>
      </c>
      <c r="G149" s="677">
        <f t="shared" si="29"/>
        <v>321703.47626666666</v>
      </c>
      <c r="H149" s="677">
        <f t="shared" si="30"/>
        <v>330956.69226666662</v>
      </c>
      <c r="I149" s="677">
        <f t="shared" si="31"/>
        <v>347149.82026666659</v>
      </c>
      <c r="J149" s="677">
        <f t="shared" si="32"/>
        <v>353318.6309333333</v>
      </c>
    </row>
    <row r="150" spans="2:10" ht="15" hidden="1">
      <c r="B150" s="678">
        <f t="shared" si="24"/>
        <v>42.3</v>
      </c>
      <c r="C150" s="677">
        <f t="shared" si="25"/>
        <v>307992.95519999997</v>
      </c>
      <c r="D150" s="677">
        <f t="shared" si="26"/>
        <v>310385.44319999998</v>
      </c>
      <c r="E150" s="677">
        <f t="shared" si="27"/>
        <v>315170.4192</v>
      </c>
      <c r="F150" s="677">
        <f t="shared" si="28"/>
        <v>327930.35519999999</v>
      </c>
      <c r="G150" s="677">
        <f t="shared" si="29"/>
        <v>332715.33119999996</v>
      </c>
      <c r="H150" s="677">
        <f t="shared" si="30"/>
        <v>342285.28319999995</v>
      </c>
      <c r="I150" s="677">
        <f t="shared" si="31"/>
        <v>359032.69919999992</v>
      </c>
      <c r="J150" s="677">
        <f t="shared" si="32"/>
        <v>365412.66719999997</v>
      </c>
    </row>
    <row r="151" spans="2:10" ht="15" hidden="1">
      <c r="B151" s="678">
        <f t="shared" si="24"/>
        <v>42.8</v>
      </c>
      <c r="C151" s="677">
        <f t="shared" si="25"/>
        <v>311633.53386666666</v>
      </c>
      <c r="D151" s="677">
        <f t="shared" si="26"/>
        <v>314054.30186666665</v>
      </c>
      <c r="E151" s="677">
        <f t="shared" si="27"/>
        <v>318895.83786666667</v>
      </c>
      <c r="F151" s="677">
        <f t="shared" si="28"/>
        <v>331806.60053333332</v>
      </c>
      <c r="G151" s="677">
        <f t="shared" si="29"/>
        <v>336648.13653333328</v>
      </c>
      <c r="H151" s="677">
        <f t="shared" si="30"/>
        <v>346331.20853333327</v>
      </c>
      <c r="I151" s="677">
        <f t="shared" si="31"/>
        <v>363276.58453333325</v>
      </c>
      <c r="J151" s="677">
        <f t="shared" si="32"/>
        <v>369731.96586666664</v>
      </c>
    </row>
    <row r="152" spans="2:10" ht="15" hidden="1">
      <c r="B152" s="678">
        <f t="shared" si="24"/>
        <v>45.2</v>
      </c>
      <c r="C152" s="677">
        <f t="shared" si="25"/>
        <v>329108.3114666667</v>
      </c>
      <c r="D152" s="677">
        <f t="shared" si="26"/>
        <v>331664.82346666674</v>
      </c>
      <c r="E152" s="677">
        <f t="shared" si="27"/>
        <v>336777.84746666672</v>
      </c>
      <c r="F152" s="677">
        <f t="shared" si="28"/>
        <v>350412.57813333336</v>
      </c>
      <c r="G152" s="677">
        <f t="shared" si="29"/>
        <v>355525.60213333333</v>
      </c>
      <c r="H152" s="677">
        <f t="shared" si="30"/>
        <v>365751.65013333334</v>
      </c>
      <c r="I152" s="677">
        <f t="shared" si="31"/>
        <v>383647.23413333332</v>
      </c>
      <c r="J152" s="677">
        <f t="shared" si="32"/>
        <v>390464.5994666667</v>
      </c>
    </row>
    <row r="153" spans="2:10" ht="15" hidden="1">
      <c r="B153" s="678">
        <f t="shared" si="24"/>
        <v>46.2</v>
      </c>
      <c r="C153" s="677">
        <f t="shared" si="25"/>
        <v>336389.46880000003</v>
      </c>
      <c r="D153" s="677">
        <f t="shared" si="26"/>
        <v>339002.54080000008</v>
      </c>
      <c r="E153" s="677">
        <f t="shared" si="27"/>
        <v>344228.68480000005</v>
      </c>
      <c r="F153" s="677">
        <f t="shared" si="28"/>
        <v>358165.06880000001</v>
      </c>
      <c r="G153" s="677">
        <f t="shared" si="29"/>
        <v>363391.21280000004</v>
      </c>
      <c r="H153" s="677">
        <f t="shared" si="30"/>
        <v>373843.50079999998</v>
      </c>
      <c r="I153" s="677">
        <f t="shared" si="31"/>
        <v>392135.0048</v>
      </c>
      <c r="J153" s="677">
        <f t="shared" si="32"/>
        <v>399103.19680000003</v>
      </c>
    </row>
    <row r="154" spans="2:10" ht="32.25" customHeight="1">
      <c r="B154" s="679" t="s">
        <v>633</v>
      </c>
      <c r="C154" s="681">
        <f>AVERAGE(C133:C153)</f>
        <v>187333.77653333335</v>
      </c>
      <c r="D154" s="681">
        <f t="shared" ref="D154:J154" si="33">AVERAGE(D133:D153)</f>
        <v>188788.98453333337</v>
      </c>
      <c r="E154" s="681">
        <f t="shared" si="33"/>
        <v>191699.40053333333</v>
      </c>
      <c r="F154" s="681">
        <f t="shared" si="33"/>
        <v>199460.50986666666</v>
      </c>
      <c r="G154" s="681">
        <f t="shared" si="33"/>
        <v>202370.92586666669</v>
      </c>
      <c r="H154" s="681">
        <f t="shared" si="33"/>
        <v>208191.75786666665</v>
      </c>
      <c r="I154" s="681">
        <f t="shared" si="33"/>
        <v>218378.21386666663</v>
      </c>
      <c r="J154" s="681">
        <f t="shared" si="33"/>
        <v>222258.76853333335</v>
      </c>
    </row>
    <row r="155" spans="2:10">
      <c r="B155" s="680" t="s">
        <v>634</v>
      </c>
      <c r="C155" s="681">
        <f>C154</f>
        <v>187333.77653333335</v>
      </c>
      <c r="D155" s="681">
        <f t="shared" ref="D155:J155" si="34">D154</f>
        <v>188788.98453333337</v>
      </c>
      <c r="E155" s="681">
        <f t="shared" si="34"/>
        <v>191699.40053333333</v>
      </c>
      <c r="F155" s="681">
        <f t="shared" si="34"/>
        <v>199460.50986666666</v>
      </c>
      <c r="G155" s="681">
        <f t="shared" si="34"/>
        <v>202370.92586666669</v>
      </c>
      <c r="H155" s="681">
        <f t="shared" si="34"/>
        <v>208191.75786666665</v>
      </c>
      <c r="I155" s="681">
        <f t="shared" si="34"/>
        <v>218378.21386666663</v>
      </c>
      <c r="J155" s="681">
        <f t="shared" si="34"/>
        <v>222258.76853333335</v>
      </c>
    </row>
    <row r="156" spans="2:10">
      <c r="B156" s="680" t="s">
        <v>635</v>
      </c>
      <c r="C156" s="681">
        <f>C155*1.2</f>
        <v>224800.53184000001</v>
      </c>
      <c r="D156" s="681">
        <f t="shared" ref="D156:J156" si="35">D155*1.2</f>
        <v>226546.78144000002</v>
      </c>
      <c r="E156" s="681">
        <f t="shared" si="35"/>
        <v>230039.28063999998</v>
      </c>
      <c r="F156" s="681">
        <f t="shared" si="35"/>
        <v>239352.61183999997</v>
      </c>
      <c r="G156" s="681">
        <f t="shared" si="35"/>
        <v>242845.11104000002</v>
      </c>
      <c r="H156" s="681">
        <f t="shared" si="35"/>
        <v>249830.10943999997</v>
      </c>
      <c r="I156" s="681">
        <f t="shared" si="35"/>
        <v>262053.85663999995</v>
      </c>
      <c r="J156" s="681">
        <f t="shared" si="35"/>
        <v>266710.52224000002</v>
      </c>
    </row>
  </sheetData>
  <autoFilter ref="B47:K126">
    <filterColumn colId="0">
      <filters>
        <filter val="Gómez Plata"/>
        <filter val="Santa Fe de Antioquia"/>
      </filters>
    </filterColumn>
    <sortState ref="B48:K126">
      <sortCondition ref="C47"/>
    </sortState>
  </autoFilter>
  <mergeCells count="17">
    <mergeCell ref="B11:M11"/>
    <mergeCell ref="B13:M13"/>
    <mergeCell ref="B30:M30"/>
    <mergeCell ref="B1:C1"/>
    <mergeCell ref="B9:C9"/>
    <mergeCell ref="E2:F2"/>
    <mergeCell ref="B15:J15"/>
    <mergeCell ref="B32:I32"/>
    <mergeCell ref="B131:J131"/>
    <mergeCell ref="B128:I128"/>
    <mergeCell ref="B21:J21"/>
    <mergeCell ref="B33:B35"/>
    <mergeCell ref="B46:K46"/>
    <mergeCell ref="C33:G33"/>
    <mergeCell ref="H33:I33"/>
    <mergeCell ref="F34:G34"/>
    <mergeCell ref="H34:I34"/>
  </mergeCells>
  <phoneticPr fontId="77" type="noConversion"/>
  <dataValidations count="3">
    <dataValidation type="list" allowBlank="1" showInputMessage="1" showErrorMessage="1" sqref="B21">
      <formula1>#REF!</formula1>
    </dataValidation>
    <dataValidation type="list" allowBlank="1" showInputMessage="1" showErrorMessage="1" sqref="B18">
      <formula1>$B$155:$B$156</formula1>
    </dataValidation>
    <dataValidation type="list" allowBlank="1" showInputMessage="1" showErrorMessage="1" error="MUNICIPIO NO VÁLIDO" prompt="SELECCIONE EL MPIO" sqref="B17">
      <formula1>$B$48:$B$126</formula1>
    </dataValidation>
  </dataValidations>
  <pageMargins left="0.7" right="0.7" top="0.75" bottom="0.75" header="0.3" footer="0.3"/>
  <pageSetup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27"/>
  <sheetViews>
    <sheetView topLeftCell="A15" zoomScale="120" zoomScaleNormal="120" workbookViewId="0">
      <selection activeCell="F20" sqref="F20"/>
    </sheetView>
  </sheetViews>
  <sheetFormatPr baseColWidth="10" defaultColWidth="10.6640625" defaultRowHeight="10.5"/>
  <cols>
    <col min="1" max="1" width="6.33203125" style="412" customWidth="1"/>
    <col min="2" max="2" width="39.33203125" style="412" customWidth="1"/>
    <col min="3" max="3" width="19.33203125" style="412" customWidth="1"/>
    <col min="4" max="4" width="13.6640625" style="412" customWidth="1"/>
    <col min="5" max="5" width="1" style="412" customWidth="1"/>
    <col min="6" max="6" width="24" style="412" customWidth="1"/>
    <col min="7" max="7" width="1.1640625" style="412" customWidth="1"/>
    <col min="8" max="16384" width="10.6640625" style="412"/>
  </cols>
  <sheetData>
    <row r="1" spans="1:7" ht="22.5" customHeight="1" thickBot="1">
      <c r="A1" s="1217" t="s">
        <v>301</v>
      </c>
      <c r="B1" s="1217"/>
      <c r="C1" s="1217"/>
      <c r="D1" s="1217"/>
      <c r="E1" s="1217"/>
      <c r="F1" s="1217"/>
    </row>
    <row r="2" spans="1:7" ht="17.100000000000001" customHeight="1">
      <c r="A2" s="413"/>
      <c r="B2" s="414"/>
      <c r="C2" s="415" t="s">
        <v>255</v>
      </c>
      <c r="D2" s="416" t="s">
        <v>256</v>
      </c>
      <c r="E2" s="417"/>
      <c r="F2" s="418" t="s">
        <v>257</v>
      </c>
      <c r="G2" s="419" t="s">
        <v>9</v>
      </c>
    </row>
    <row r="3" spans="1:7" ht="12.75">
      <c r="A3" s="420" t="s">
        <v>258</v>
      </c>
      <c r="B3" s="421" t="s">
        <v>259</v>
      </c>
      <c r="C3" s="422"/>
      <c r="D3" s="423"/>
      <c r="E3" s="422"/>
      <c r="F3" s="424"/>
      <c r="G3" s="425"/>
    </row>
    <row r="4" spans="1:7" ht="17.100000000000001" customHeight="1">
      <c r="A4" s="426" t="s">
        <v>260</v>
      </c>
      <c r="B4" s="427" t="s">
        <v>261</v>
      </c>
      <c r="C4" s="422"/>
      <c r="D4" s="427" t="s">
        <v>262</v>
      </c>
      <c r="E4" s="428"/>
      <c r="F4" s="429" t="s">
        <v>9</v>
      </c>
      <c r="G4" s="430"/>
    </row>
    <row r="5" spans="1:7" ht="12.75">
      <c r="A5" s="431" t="s">
        <v>9</v>
      </c>
      <c r="B5" s="422" t="s">
        <v>263</v>
      </c>
      <c r="C5" s="422" t="s">
        <v>262</v>
      </c>
      <c r="E5" s="422"/>
      <c r="F5" s="432"/>
      <c r="G5" s="430"/>
    </row>
    <row r="6" spans="1:7" ht="12.75">
      <c r="A6" s="431"/>
      <c r="B6" s="422"/>
      <c r="C6" s="422"/>
      <c r="E6" s="422"/>
      <c r="F6" s="432"/>
      <c r="G6" s="430"/>
    </row>
    <row r="7" spans="1:7" ht="12.75">
      <c r="A7" s="426" t="s">
        <v>264</v>
      </c>
      <c r="B7" s="427" t="s">
        <v>265</v>
      </c>
      <c r="D7" s="427" t="s">
        <v>262</v>
      </c>
      <c r="E7" s="427" t="s">
        <v>9</v>
      </c>
      <c r="F7" s="429" t="s">
        <v>9</v>
      </c>
      <c r="G7" s="430"/>
    </row>
    <row r="8" spans="1:7" ht="12" customHeight="1">
      <c r="A8" s="431" t="s">
        <v>266</v>
      </c>
      <c r="B8" s="422" t="s">
        <v>267</v>
      </c>
      <c r="C8" s="422" t="s">
        <v>262</v>
      </c>
      <c r="E8" s="422"/>
      <c r="F8" s="432">
        <v>2</v>
      </c>
      <c r="G8" s="430"/>
    </row>
    <row r="9" spans="1:7" ht="12.75">
      <c r="A9" s="431" t="s">
        <v>268</v>
      </c>
      <c r="B9" s="422" t="s">
        <v>269</v>
      </c>
      <c r="C9" s="422" t="s">
        <v>262</v>
      </c>
      <c r="E9" s="422"/>
      <c r="F9" s="432">
        <v>15</v>
      </c>
      <c r="G9" s="430"/>
    </row>
    <row r="10" spans="1:7" ht="12.75">
      <c r="A10" s="431" t="s">
        <v>270</v>
      </c>
      <c r="B10" s="422" t="s">
        <v>263</v>
      </c>
      <c r="C10" s="422" t="s">
        <v>262</v>
      </c>
      <c r="E10" s="422"/>
      <c r="F10" s="432"/>
      <c r="G10" s="430"/>
    </row>
    <row r="11" spans="1:7" ht="12.75">
      <c r="A11" s="426"/>
      <c r="B11" s="427" t="s">
        <v>271</v>
      </c>
      <c r="C11" s="427"/>
      <c r="D11" s="428"/>
      <c r="E11" s="427"/>
      <c r="F11" s="433">
        <v>17</v>
      </c>
      <c r="G11" s="430"/>
    </row>
    <row r="12" spans="1:7" ht="12.75">
      <c r="A12" s="434" t="s">
        <v>272</v>
      </c>
      <c r="B12" s="427" t="s">
        <v>273</v>
      </c>
      <c r="D12" s="427" t="s">
        <v>262</v>
      </c>
      <c r="E12" s="427" t="s">
        <v>9</v>
      </c>
      <c r="F12" s="429" t="s">
        <v>9</v>
      </c>
      <c r="G12" s="435"/>
    </row>
    <row r="13" spans="1:7" ht="12.75">
      <c r="A13" s="436" t="s">
        <v>274</v>
      </c>
      <c r="B13" s="422" t="s">
        <v>275</v>
      </c>
      <c r="C13" s="422" t="s">
        <v>262</v>
      </c>
      <c r="F13" s="437"/>
      <c r="G13" s="435"/>
    </row>
    <row r="14" spans="1:7" ht="12.75">
      <c r="A14" s="436" t="s">
        <v>276</v>
      </c>
      <c r="B14" s="422" t="s">
        <v>277</v>
      </c>
      <c r="C14" s="422" t="s">
        <v>262</v>
      </c>
      <c r="F14" s="437"/>
      <c r="G14" s="435"/>
    </row>
    <row r="15" spans="1:7" ht="51">
      <c r="A15" s="438" t="s">
        <v>278</v>
      </c>
      <c r="B15" s="439" t="s">
        <v>279</v>
      </c>
      <c r="C15" s="422" t="s">
        <v>262</v>
      </c>
      <c r="F15" s="437"/>
      <c r="G15" s="435"/>
    </row>
    <row r="16" spans="1:7" ht="12.75">
      <c r="A16" s="434"/>
      <c r="B16" s="427" t="s">
        <v>280</v>
      </c>
      <c r="C16" s="427"/>
      <c r="D16" s="428"/>
      <c r="E16" s="428"/>
      <c r="F16" s="440">
        <v>2</v>
      </c>
      <c r="G16" s="435"/>
    </row>
    <row r="17" spans="1:106" ht="12.75">
      <c r="A17" s="434" t="s">
        <v>281</v>
      </c>
      <c r="B17" s="427" t="s">
        <v>282</v>
      </c>
      <c r="D17" s="427" t="s">
        <v>262</v>
      </c>
      <c r="E17" s="428"/>
      <c r="F17" s="429" t="s">
        <v>9</v>
      </c>
      <c r="G17" s="435"/>
    </row>
    <row r="18" spans="1:106" ht="38.25">
      <c r="A18" s="438" t="s">
        <v>283</v>
      </c>
      <c r="B18" s="441" t="s">
        <v>284</v>
      </c>
      <c r="C18" s="422" t="s">
        <v>262</v>
      </c>
      <c r="F18" s="442"/>
      <c r="G18" s="435"/>
    </row>
    <row r="19" spans="1:106" ht="12.75">
      <c r="A19" s="436" t="s">
        <v>271</v>
      </c>
      <c r="B19" s="422"/>
      <c r="C19" s="422"/>
      <c r="F19" s="437">
        <v>2</v>
      </c>
      <c r="G19" s="435"/>
    </row>
    <row r="20" spans="1:106" ht="12.75">
      <c r="A20" s="436"/>
      <c r="B20" s="443" t="s">
        <v>285</v>
      </c>
      <c r="D20" s="427" t="s">
        <v>262</v>
      </c>
      <c r="F20" s="444">
        <v>0.21</v>
      </c>
      <c r="G20" s="435"/>
    </row>
    <row r="21" spans="1:106" ht="6" customHeight="1">
      <c r="A21" s="436"/>
      <c r="F21" s="437"/>
      <c r="G21" s="435"/>
    </row>
    <row r="22" spans="1:106" ht="9.75" customHeight="1">
      <c r="A22" s="436"/>
      <c r="B22" s="412" t="s">
        <v>9</v>
      </c>
      <c r="F22" s="437"/>
      <c r="G22" s="435"/>
    </row>
    <row r="23" spans="1:106" ht="14.25" customHeight="1">
      <c r="A23" s="420" t="s">
        <v>286</v>
      </c>
      <c r="B23" s="421" t="s">
        <v>287</v>
      </c>
      <c r="C23" s="422"/>
      <c r="D23" s="427" t="s">
        <v>262</v>
      </c>
      <c r="E23" s="422"/>
      <c r="F23" s="445">
        <v>0.04</v>
      </c>
      <c r="G23" s="425"/>
    </row>
    <row r="24" spans="1:106" ht="10.5" customHeight="1">
      <c r="A24" s="436"/>
      <c r="B24" s="412" t="s">
        <v>9</v>
      </c>
      <c r="F24" s="437"/>
      <c r="G24" s="435"/>
    </row>
    <row r="25" spans="1:106" ht="12" customHeight="1">
      <c r="A25" s="436"/>
      <c r="B25" s="446" t="s">
        <v>288</v>
      </c>
      <c r="C25" s="428"/>
      <c r="D25" s="443" t="s">
        <v>0</v>
      </c>
      <c r="E25" s="428"/>
      <c r="F25" s="447">
        <f>F20+F23</f>
        <v>0.25</v>
      </c>
      <c r="G25" s="435"/>
    </row>
    <row r="26" spans="1:106" ht="7.5" customHeight="1">
      <c r="A26" s="436"/>
      <c r="F26" s="437"/>
      <c r="G26" s="435"/>
    </row>
    <row r="27" spans="1:106" s="450" customFormat="1" ht="36.75" customHeight="1" thickBot="1">
      <c r="A27" s="1218"/>
      <c r="B27" s="1219"/>
      <c r="C27" s="1219"/>
      <c r="D27" s="1219"/>
      <c r="E27" s="1219"/>
      <c r="F27" s="1220"/>
      <c r="G27" s="448"/>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c r="AT27" s="449"/>
      <c r="AU27" s="449"/>
      <c r="AV27" s="449"/>
      <c r="AW27" s="449"/>
      <c r="AX27" s="449"/>
      <c r="AY27" s="449"/>
      <c r="AZ27" s="449"/>
      <c r="BA27" s="449"/>
      <c r="BB27" s="449"/>
      <c r="BC27" s="449"/>
      <c r="BD27" s="449"/>
      <c r="BE27" s="449"/>
      <c r="BF27" s="449"/>
      <c r="BG27" s="449"/>
      <c r="BH27" s="449"/>
      <c r="BI27" s="449"/>
      <c r="BJ27" s="449"/>
      <c r="BK27" s="449"/>
      <c r="BL27" s="449"/>
      <c r="BM27" s="449"/>
      <c r="BN27" s="449"/>
      <c r="BO27" s="449"/>
      <c r="BP27" s="449"/>
      <c r="BQ27" s="449"/>
      <c r="BR27" s="449"/>
      <c r="BS27" s="449"/>
      <c r="BT27" s="449"/>
      <c r="BU27" s="449"/>
      <c r="BV27" s="449"/>
      <c r="BW27" s="449"/>
      <c r="BX27" s="449"/>
      <c r="BY27" s="449"/>
      <c r="BZ27" s="449"/>
      <c r="CA27" s="449"/>
      <c r="CB27" s="449"/>
      <c r="CC27" s="449"/>
      <c r="CD27" s="449"/>
      <c r="CE27" s="449"/>
      <c r="CF27" s="449"/>
      <c r="CG27" s="449"/>
      <c r="CH27" s="449"/>
      <c r="CI27" s="449"/>
      <c r="CJ27" s="449"/>
      <c r="CK27" s="449"/>
      <c r="CL27" s="449"/>
      <c r="CM27" s="449"/>
      <c r="CN27" s="449"/>
      <c r="CO27" s="449"/>
      <c r="CP27" s="449"/>
      <c r="CQ27" s="449"/>
      <c r="CR27" s="449"/>
      <c r="CS27" s="449"/>
      <c r="CT27" s="449"/>
      <c r="CU27" s="449"/>
      <c r="CV27" s="449"/>
      <c r="CW27" s="449"/>
      <c r="CX27" s="449"/>
      <c r="CY27" s="449"/>
      <c r="CZ27" s="449"/>
      <c r="DA27" s="449"/>
      <c r="DB27" s="449"/>
    </row>
  </sheetData>
  <mergeCells count="2">
    <mergeCell ref="A1:F1"/>
    <mergeCell ref="A27:F27"/>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653B06659DB1A34CB19663DB64451A23" ma:contentTypeVersion="1" ma:contentTypeDescription="Crear nuevo documento." ma:contentTypeScope="" ma:versionID="4e1b4b99feedddd199be838b674d0929">
  <xsd:schema xmlns:xsd="http://www.w3.org/2001/XMLSchema" xmlns:xs="http://www.w3.org/2001/XMLSchema" xmlns:p="http://schemas.microsoft.com/office/2006/metadata/properties" xmlns:ns2="a7181bfc-b75a-48fa-96e2-ba0254719cd3" targetNamespace="http://schemas.microsoft.com/office/2006/metadata/properties" ma:root="true" ma:fieldsID="79cc97e3f929837835aca9eb9f03bd3d" ns2:_="">
    <xsd:import namespace="a7181bfc-b75a-48fa-96e2-ba0254719cd3"/>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181bfc-b75a-48fa-96e2-ba0254719cd3"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C28EB5-FB02-4D04-A0CE-B3C41B9328D7}">
  <ds:schemaRefs>
    <ds:schemaRef ds:uri="http://schemas.microsoft.com/office/2006/documentManagement/types"/>
    <ds:schemaRef ds:uri="a7181bfc-b75a-48fa-96e2-ba0254719cd3"/>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DD24D89B-8555-4874-8F89-2F834A39E1F7}">
  <ds:schemaRefs>
    <ds:schemaRef ds:uri="http://schemas.microsoft.com/sharepoint/v3/contenttype/forms"/>
  </ds:schemaRefs>
</ds:datastoreItem>
</file>

<file path=customXml/itemProps3.xml><?xml version="1.0" encoding="utf-8"?>
<ds:datastoreItem xmlns:ds="http://schemas.openxmlformats.org/officeDocument/2006/customXml" ds:itemID="{73F951E3-12FB-4EA3-97AC-BEBF1AC9E7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181bfc-b75a-48fa-96e2-ba0254719c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4</vt:i4>
      </vt:variant>
    </vt:vector>
  </HeadingPairs>
  <TitlesOfParts>
    <vt:vector size="14" baseType="lpstr">
      <vt:lpstr>Plan ejecución</vt:lpstr>
      <vt:lpstr>Presupuesto Convenio </vt:lpstr>
      <vt:lpstr>ppto sistema septico</vt:lpstr>
      <vt:lpstr>FICHAS </vt:lpstr>
      <vt:lpstr>A.P.U. 2023</vt:lpstr>
      <vt:lpstr>Actualizacion de precios</vt:lpstr>
      <vt:lpstr>VALOR UNITARIO SS Y TG</vt:lpstr>
      <vt:lpstr>ESTUDIO MERCADO 2023</vt:lpstr>
      <vt:lpstr>Salarios y transporte</vt:lpstr>
      <vt:lpstr>A.U</vt:lpstr>
      <vt:lpstr>ag</vt:lpstr>
      <vt:lpstr>'Plan ejecución'!Área_de_impresión</vt:lpstr>
      <vt:lpstr>'ppto sistema septico'!Área_de_impresión</vt:lpstr>
      <vt:lpstr>'Presupuesto Convenio '!Área_de_impresión</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creator>CORANTIOQUIA</dc:creator>
  <cp:lastModifiedBy>DLL RL</cp:lastModifiedBy>
  <cp:lastPrinted>2022-07-29T16:05:54Z</cp:lastPrinted>
  <dcterms:created xsi:type="dcterms:W3CDTF">2007-01-17T19:41:47Z</dcterms:created>
  <dcterms:modified xsi:type="dcterms:W3CDTF">2023-09-04T22:41:41Z</dcterms:modified>
</cp:coreProperties>
</file>