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indy\OneDrive\Desktop\CENTRO DE BIENESTRA ADULTO MAYOR\"/>
    </mc:Choice>
  </mc:AlternateContent>
  <xr:revisionPtr revIDLastSave="0" documentId="13_ncr:1_{F30E9ACD-026A-4627-91B2-AFD5C1709058}" xr6:coauthVersionLast="47" xr6:coauthVersionMax="47" xr10:uidLastSave="{00000000-0000-0000-0000-000000000000}"/>
  <bookViews>
    <workbookView xWindow="-108" yWindow="-108" windowWidth="23256" windowHeight="12456" tabRatio="673" firstSheet="2" activeTab="4" xr2:uid="{00000000-000D-0000-FFFF-FFFF00000000}"/>
  </bookViews>
  <sheets>
    <sheet name="Balance 2022 " sheetId="8" state="hidden" r:id="rId1"/>
    <sheet name="CB distribución adición" sheetId="1" state="hidden" r:id="rId2"/>
    <sheet name="Fechas-Convenios adición" sheetId="4" r:id="rId3"/>
    <sheet name="Fechas-Convenios final año" sheetId="9" r:id="rId4"/>
    <sheet name="CB final nuevo " sheetId="6" r:id="rId5"/>
  </sheets>
  <externalReferences>
    <externalReference r:id="rId6"/>
  </externalReferences>
  <definedNames>
    <definedName name="_xlnm._FilterDatabase" localSheetId="2" hidden="1">'Fechas-Convenios adición'!$A$3:$C$15</definedName>
    <definedName name="_xlnm._FilterDatabase" localSheetId="3" hidden="1">'Fechas-Convenios final año'!$A$3:$C$15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2" i="6" l="1"/>
  <c r="B27" i="6"/>
  <c r="C15" i="9"/>
  <c r="C13" i="9"/>
  <c r="C12" i="9"/>
  <c r="C11" i="9"/>
  <c r="C10" i="9"/>
  <c r="C9" i="9"/>
  <c r="C8" i="9"/>
  <c r="C7" i="9"/>
  <c r="C6" i="9"/>
  <c r="C4" i="9"/>
  <c r="C17" i="6"/>
  <c r="J10" i="6" l="1"/>
  <c r="H10" i="6"/>
  <c r="D7" i="6" l="1"/>
  <c r="B4" i="6"/>
  <c r="C30" i="1"/>
  <c r="C26" i="6" l="1"/>
  <c r="C25" i="6"/>
  <c r="C24" i="6"/>
  <c r="C23" i="6"/>
  <c r="E23" i="6" s="1"/>
  <c r="J23" i="6" s="1"/>
  <c r="C22" i="6"/>
  <c r="C21" i="6"/>
  <c r="C20" i="6"/>
  <c r="C19" i="6"/>
  <c r="C18" i="6"/>
  <c r="L23" i="6" l="1"/>
  <c r="F23" i="6"/>
  <c r="E17" i="6"/>
  <c r="E20" i="6"/>
  <c r="E25" i="6"/>
  <c r="E18" i="6"/>
  <c r="E21" i="6"/>
  <c r="E24" i="6"/>
  <c r="E19" i="6"/>
  <c r="E26" i="6"/>
  <c r="E22" i="6"/>
  <c r="F17" i="6" l="1"/>
  <c r="H17" i="6"/>
  <c r="L17" i="6"/>
  <c r="J17" i="6"/>
  <c r="J24" i="6"/>
  <c r="F24" i="6"/>
  <c r="L24" i="6"/>
  <c r="J21" i="6"/>
  <c r="F21" i="6"/>
  <c r="L21" i="6"/>
  <c r="L26" i="6"/>
  <c r="J26" i="6"/>
  <c r="F26" i="6"/>
  <c r="L19" i="6"/>
  <c r="J19" i="6"/>
  <c r="F19" i="6"/>
  <c r="L18" i="6"/>
  <c r="F18" i="6"/>
  <c r="J18" i="6"/>
  <c r="J25" i="6"/>
  <c r="F25" i="6"/>
  <c r="L25" i="6"/>
  <c r="J22" i="6"/>
  <c r="F22" i="6"/>
  <c r="L22" i="6"/>
  <c r="L20" i="6"/>
  <c r="J20" i="6"/>
  <c r="F20" i="6"/>
  <c r="F27" i="6" l="1"/>
  <c r="J27" i="6"/>
  <c r="L27" i="6"/>
  <c r="E7" i="4"/>
  <c r="E6" i="4"/>
  <c r="E4" i="4"/>
  <c r="H4" i="4" s="1"/>
  <c r="E4" i="9" s="1"/>
  <c r="E12" i="4"/>
  <c r="F12" i="4" s="1"/>
  <c r="I12" i="4"/>
  <c r="H12" i="4" l="1"/>
  <c r="E12" i="9" s="1"/>
  <c r="G29" i="8" l="1"/>
  <c r="C7" i="1"/>
  <c r="C6" i="1"/>
  <c r="C5" i="1"/>
  <c r="C4" i="1"/>
  <c r="C3" i="1"/>
  <c r="C41" i="8"/>
  <c r="C40" i="8"/>
  <c r="C39" i="8"/>
  <c r="C37" i="8"/>
  <c r="C42" i="8" s="1"/>
  <c r="D33" i="8"/>
  <c r="C33" i="8"/>
  <c r="C31" i="8"/>
  <c r="C27" i="8"/>
  <c r="G25" i="8" s="1"/>
  <c r="G26" i="8"/>
  <c r="C14" i="8"/>
  <c r="C3" i="8"/>
  <c r="C32" i="8" s="1"/>
  <c r="C34" i="8" s="1"/>
  <c r="G28" i="8" l="1"/>
  <c r="G27" i="8"/>
  <c r="G30" i="8" s="1"/>
  <c r="C8" i="1"/>
  <c r="C45" i="8"/>
  <c r="C20" i="8"/>
  <c r="C46" i="8" l="1"/>
  <c r="G31" i="8"/>
  <c r="C13" i="1"/>
  <c r="D20" i="1"/>
  <c r="N20" i="1" s="1"/>
  <c r="D23" i="1"/>
  <c r="N23" i="1" s="1"/>
  <c r="D28" i="1"/>
  <c r="N28" i="1" s="1"/>
  <c r="D27" i="1"/>
  <c r="N27" i="1" s="1"/>
  <c r="D22" i="1"/>
  <c r="N22" i="1" s="1"/>
  <c r="D21" i="1"/>
  <c r="N21" i="1" s="1"/>
  <c r="D18" i="1"/>
  <c r="N18" i="1" s="1"/>
  <c r="D24" i="1"/>
  <c r="N24" i="1" s="1"/>
  <c r="D25" i="1"/>
  <c r="N25" i="1" s="1"/>
  <c r="D29" i="1"/>
  <c r="N29" i="1" s="1"/>
  <c r="D19" i="1"/>
  <c r="N19" i="1" s="1"/>
  <c r="D26" i="1"/>
  <c r="N26" i="1" s="1"/>
  <c r="E20" i="1"/>
  <c r="E23" i="1"/>
  <c r="E28" i="1"/>
  <c r="E27" i="1"/>
  <c r="E22" i="1"/>
  <c r="E21" i="1"/>
  <c r="E18" i="1"/>
  <c r="E24" i="1"/>
  <c r="E25" i="1"/>
  <c r="E29" i="1"/>
  <c r="E19" i="1"/>
  <c r="E26" i="1"/>
  <c r="J27" i="1" l="1"/>
  <c r="H27" i="1"/>
  <c r="H19" i="1"/>
  <c r="J19" i="1"/>
  <c r="H28" i="1"/>
  <c r="J28" i="1"/>
  <c r="J23" i="1"/>
  <c r="H23" i="1"/>
  <c r="H21" i="1"/>
  <c r="J21" i="1"/>
  <c r="H26" i="1"/>
  <c r="J26" i="1"/>
  <c r="J29" i="1"/>
  <c r="H29" i="1"/>
  <c r="J25" i="1"/>
  <c r="H25" i="1"/>
  <c r="J20" i="1"/>
  <c r="H20" i="1"/>
  <c r="J24" i="1"/>
  <c r="H24" i="1"/>
  <c r="J18" i="1"/>
  <c r="H18" i="1"/>
  <c r="F18" i="1"/>
  <c r="J22" i="1"/>
  <c r="H22" i="1"/>
  <c r="L19" i="1"/>
  <c r="L27" i="1"/>
  <c r="L21" i="1"/>
  <c r="L18" i="1"/>
  <c r="L25" i="1"/>
  <c r="L26" i="1"/>
  <c r="L20" i="1"/>
  <c r="L28" i="1"/>
  <c r="L29" i="1"/>
  <c r="L22" i="1"/>
  <c r="L23" i="1"/>
  <c r="L24" i="1"/>
  <c r="L30" i="1" l="1"/>
  <c r="I15" i="4"/>
  <c r="E15" i="4"/>
  <c r="H15" i="4" s="1"/>
  <c r="E15" i="9" s="1"/>
  <c r="I11" i="4"/>
  <c r="E11" i="4"/>
  <c r="H11" i="4" s="1"/>
  <c r="E11" i="9" s="1"/>
  <c r="I10" i="4"/>
  <c r="E10" i="4"/>
  <c r="H10" i="4" s="1"/>
  <c r="E10" i="9" s="1"/>
  <c r="I4" i="4"/>
  <c r="I7" i="4"/>
  <c r="H7" i="4"/>
  <c r="E7" i="9" s="1"/>
  <c r="I8" i="4"/>
  <c r="E8" i="4"/>
  <c r="H8" i="4" s="1"/>
  <c r="E8" i="9" s="1"/>
  <c r="I13" i="4"/>
  <c r="E13" i="4"/>
  <c r="F13" i="4" s="1"/>
  <c r="I9" i="4"/>
  <c r="E9" i="4"/>
  <c r="F9" i="4" s="1"/>
  <c r="I6" i="4"/>
  <c r="H6" i="4"/>
  <c r="E6" i="9" s="1"/>
  <c r="L3" i="1"/>
  <c r="O29" i="1" l="1"/>
  <c r="O18" i="1"/>
  <c r="Q18" i="1" s="1"/>
  <c r="S18" i="1" s="1"/>
  <c r="O22" i="1"/>
  <c r="O25" i="1"/>
  <c r="O26" i="1"/>
  <c r="O28" i="1"/>
  <c r="O27" i="1"/>
  <c r="O19" i="1"/>
  <c r="O20" i="1"/>
  <c r="O21" i="1"/>
  <c r="O23" i="1"/>
  <c r="O24" i="1"/>
  <c r="F7" i="4"/>
  <c r="F15" i="4"/>
  <c r="H9" i="4"/>
  <c r="E9" i="9" s="1"/>
  <c r="F6" i="4"/>
  <c r="F8" i="4"/>
  <c r="F4" i="4"/>
  <c r="F11" i="4"/>
  <c r="F10" i="4"/>
  <c r="H13" i="4"/>
  <c r="E13" i="9" s="1"/>
  <c r="O30" i="1" l="1"/>
  <c r="O31" i="1" s="1"/>
  <c r="F20" i="1"/>
  <c r="G19" i="1" s="1"/>
  <c r="F23" i="1"/>
  <c r="G20" i="1" s="1"/>
  <c r="F28" i="1"/>
  <c r="G21" i="1" s="1"/>
  <c r="F27" i="1"/>
  <c r="G22" i="1" s="1"/>
  <c r="F21" i="1"/>
  <c r="G24" i="1" s="1"/>
  <c r="G25" i="1"/>
  <c r="F24" i="1"/>
  <c r="G26" i="1" s="1"/>
  <c r="F25" i="1"/>
  <c r="G27" i="1" s="1"/>
  <c r="F29" i="1"/>
  <c r="G28" i="1" s="1"/>
  <c r="F19" i="1"/>
  <c r="G29" i="1" s="1"/>
  <c r="F26" i="1"/>
  <c r="G18" i="1" s="1"/>
  <c r="J10" i="1" l="1"/>
  <c r="L10" i="1" l="1"/>
  <c r="C14" i="1" l="1"/>
  <c r="Q26" i="1" l="1"/>
  <c r="S26" i="1" s="1"/>
  <c r="Q27" i="1"/>
  <c r="S27" i="1" s="1"/>
  <c r="Q24" i="1"/>
  <c r="S24" i="1" s="1"/>
  <c r="Q19" i="1"/>
  <c r="S19" i="1" s="1"/>
  <c r="Q25" i="1"/>
  <c r="S25" i="1" s="1"/>
  <c r="Q28" i="1" l="1"/>
  <c r="S28" i="1" s="1"/>
  <c r="Q20" i="1"/>
  <c r="S20" i="1" s="1"/>
  <c r="Q29" i="1"/>
  <c r="S29" i="1" s="1"/>
  <c r="Q22" i="1"/>
  <c r="S22" i="1" s="1"/>
  <c r="Q21" i="1"/>
  <c r="S21" i="1" s="1"/>
  <c r="N30" i="1" l="1"/>
  <c r="J30" i="1"/>
  <c r="F22" i="1"/>
  <c r="G23" i="1" s="1"/>
  <c r="H30" i="1"/>
  <c r="O32" i="1" s="1"/>
  <c r="J31" i="1" l="1"/>
  <c r="C10" i="1" s="1"/>
  <c r="C11" i="1" s="1"/>
  <c r="B3" i="6" s="1"/>
  <c r="B7" i="6" s="1"/>
  <c r="Q23" i="1"/>
  <c r="J32" i="1" l="1"/>
  <c r="S23" i="1"/>
  <c r="Q30" i="1"/>
  <c r="S30" i="1" s="1"/>
  <c r="H21" i="6"/>
  <c r="H20" i="6"/>
  <c r="H22" i="6"/>
  <c r="H26" i="6"/>
  <c r="H18" i="6"/>
  <c r="H25" i="6"/>
  <c r="H19" i="6"/>
  <c r="H23" i="6"/>
  <c r="H24" i="6"/>
  <c r="J3" i="6"/>
  <c r="H9" i="6"/>
  <c r="B13" i="6"/>
  <c r="J9" i="6" l="1"/>
  <c r="M17" i="6"/>
  <c r="H27" i="6"/>
  <c r="H28" i="6" s="1"/>
  <c r="H29" i="6" s="1"/>
  <c r="M23" i="6"/>
  <c r="O23" i="6" s="1"/>
  <c r="Q23" i="6" s="1"/>
  <c r="M19" i="6"/>
  <c r="O19" i="6" s="1"/>
  <c r="Q19" i="6" s="1"/>
  <c r="M21" i="6"/>
  <c r="O21" i="6" s="1"/>
  <c r="Q21" i="6" s="1"/>
  <c r="M24" i="6"/>
  <c r="O24" i="6" s="1"/>
  <c r="Q24" i="6" s="1"/>
  <c r="M25" i="6"/>
  <c r="O25" i="6" s="1"/>
  <c r="Q25" i="6" s="1"/>
  <c r="M22" i="6"/>
  <c r="O22" i="6" s="1"/>
  <c r="Q22" i="6" s="1"/>
  <c r="M20" i="6"/>
  <c r="O20" i="6" s="1"/>
  <c r="Q20" i="6" s="1"/>
  <c r="M26" i="6"/>
  <c r="O26" i="6" s="1"/>
  <c r="Q26" i="6" s="1"/>
  <c r="M18" i="6"/>
  <c r="O18" i="6" s="1"/>
  <c r="Q18" i="6" s="1"/>
  <c r="B9" i="6" l="1"/>
  <c r="B10" i="6" s="1"/>
  <c r="O17" i="6"/>
  <c r="M27" i="6"/>
  <c r="M28" i="6" s="1"/>
  <c r="M29" i="6" s="1"/>
  <c r="D9" i="6" l="1"/>
  <c r="Q17" i="6"/>
  <c r="O27" i="6"/>
  <c r="Q27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John Miguel Sandoval Acevedo</author>
  </authors>
  <commentList>
    <comment ref="B10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John Miguel Sandoval Acevedo:</t>
        </r>
        <r>
          <rPr>
            <sz val="9"/>
            <color indexed="81"/>
            <rFont val="Tahoma"/>
            <family val="2"/>
          </rPr>
          <t xml:space="preserve">
El deficit bajo, por saldos no ejecutados, falta liberar cdp de jerusalem y el resto se buscará con propios - </t>
        </r>
      </text>
    </comment>
  </commentList>
</comments>
</file>

<file path=xl/sharedStrings.xml><?xml version="1.0" encoding="utf-8"?>
<sst xmlns="http://schemas.openxmlformats.org/spreadsheetml/2006/main" count="178" uniqueCount="103">
  <si>
    <t xml:space="preserve">Resumen presupuesto </t>
  </si>
  <si>
    <t>Valor Cupo 2022</t>
  </si>
  <si>
    <t xml:space="preserve">Aporte MB </t>
  </si>
  <si>
    <t>Aporte ESAL</t>
  </si>
  <si>
    <t>Vigencia años anterioresPPTO Rendimientos</t>
  </si>
  <si>
    <t xml:space="preserve">Total </t>
  </si>
  <si>
    <t xml:space="preserve">Aporte Día estampilla Dtal </t>
  </si>
  <si>
    <t>Aporte Día estampilla MB</t>
  </si>
  <si>
    <t>TOTALES</t>
  </si>
  <si>
    <t>NOMBRE DE LA FUNDACIÓN</t>
  </si>
  <si>
    <t xml:space="preserve">TOTAL CUPOS </t>
  </si>
  <si>
    <t>APORTE
(EST- MB)</t>
  </si>
  <si>
    <t>APORTE
(EST-DEPTAL)</t>
  </si>
  <si>
    <t>APORTE ESAL</t>
  </si>
  <si>
    <t>CENTRO BIENESTAR DEL ANCIANO</t>
  </si>
  <si>
    <t>FUNDACION CENTRO DIA TERESA DE JHS</t>
  </si>
  <si>
    <t>ASILO SAN RAFAEL</t>
  </si>
  <si>
    <t>FAVAC</t>
  </si>
  <si>
    <t>FUNDACION CRISTO REDENTOR</t>
  </si>
  <si>
    <t>ASILO SAN ANTONIO</t>
  </si>
  <si>
    <t>FUNTALUZ</t>
  </si>
  <si>
    <t>SANTA RITA DE ACASIA</t>
  </si>
  <si>
    <t xml:space="preserve">AVAC </t>
  </si>
  <si>
    <t xml:space="preserve">FUNDELUZ </t>
  </si>
  <si>
    <t xml:space="preserve">HOGAR JERUSALEN  </t>
  </si>
  <si>
    <t xml:space="preserve">SHALOM </t>
  </si>
  <si>
    <t>La suma de las cifras en color azul son los aportes del Municipio de Bucaramanga</t>
  </si>
  <si>
    <t xml:space="preserve">FECHA DE TERMINACIÓN </t>
  </si>
  <si>
    <t xml:space="preserve">FUNDACIÓN </t>
  </si>
  <si>
    <t xml:space="preserve">No. CONVENIO </t>
  </si>
  <si>
    <t xml:space="preserve">ADULTO MAYOR </t>
  </si>
  <si>
    <t>Días Adicional</t>
  </si>
  <si>
    <t># Convenio</t>
  </si>
  <si>
    <t>PRUEBA</t>
  </si>
  <si>
    <t>Rendimientos Y PROPIOS</t>
  </si>
  <si>
    <t>FECHA INICIO</t>
  </si>
  <si>
    <t>PLAZO</t>
  </si>
  <si>
    <t>FECHA ADICIÓN</t>
  </si>
  <si>
    <t>PLAZO ADICIÓN</t>
  </si>
  <si>
    <t>FECHA FINAL ADICIÓN</t>
  </si>
  <si>
    <t>TOTAL DÍAS CONVENIOS</t>
  </si>
  <si>
    <t>Días inicial</t>
  </si>
  <si>
    <t>Valor Convenio adicional</t>
  </si>
  <si>
    <t>Total contrato</t>
  </si>
  <si>
    <t>FINANCIACION ADICIÓN</t>
  </si>
  <si>
    <t>Saldos 2022 Estampilla municipal CB</t>
  </si>
  <si>
    <t>Saldos de balance mayor recaudo 2022</t>
  </si>
  <si>
    <t>Concepto</t>
  </si>
  <si>
    <t>valores</t>
  </si>
  <si>
    <t xml:space="preserve"> Mayor Recaudo vigencia  2022</t>
  </si>
  <si>
    <t xml:space="preserve">(-)Fonpet(20%) pendiente por girar 2022 del Mayor Recaudo </t>
  </si>
  <si>
    <t>Saldo a distribuir 2022</t>
  </si>
  <si>
    <t xml:space="preserve">Modalidad Centro vida (70%) </t>
  </si>
  <si>
    <t xml:space="preserve">Modalidad Centro de Bienestar del Anciano (30%) </t>
  </si>
  <si>
    <t>Superavit o deficit de recursos</t>
  </si>
  <si>
    <t>Valor adición convenios</t>
  </si>
  <si>
    <t>2.3.2.02.02.009.4104008.93491.520</t>
  </si>
  <si>
    <t>2.3.2.02.01.002.4104008.2399926.520</t>
  </si>
  <si>
    <t>2.3.2.02.02.009.4104008.93304.520</t>
  </si>
  <si>
    <t>CENTRO DE BIENESTAR</t>
  </si>
  <si>
    <t>CENTRO VIDA</t>
  </si>
  <si>
    <t>SALDOS PRESUPUESTALES 2022</t>
  </si>
  <si>
    <t>LIBERACIÓN DE RESERVAS 2021 EN 2022</t>
  </si>
  <si>
    <t>CENTRO DE BIENESTAR RENDIMIENTOS FINANCIEROS LIBERADOS</t>
  </si>
  <si>
    <t>Rendimientos financieros Mayor recaudo</t>
  </si>
  <si>
    <t>TOTAL ESTAMPILLAS BALANCE 2022</t>
  </si>
  <si>
    <t>DISTRIBUCIÓN RECURSOS DEL BALANCE ESTAMPILLAS 2022</t>
  </si>
  <si>
    <t>Rubros sumados</t>
  </si>
  <si>
    <t>Fonpet hacienda</t>
  </si>
  <si>
    <t>Traslado a FONPET</t>
  </si>
  <si>
    <t>Valor</t>
  </si>
  <si>
    <t>Rubros</t>
  </si>
  <si>
    <t>Recursos del balance 2022 - Mayor recaudo</t>
  </si>
  <si>
    <t>Sec Hacienda lo define</t>
  </si>
  <si>
    <t>Modalidad Centro vida</t>
  </si>
  <si>
    <t>2.3.2.02.02.009.4104008.93304.558</t>
  </si>
  <si>
    <t>Total</t>
  </si>
  <si>
    <t>Ok</t>
  </si>
  <si>
    <t>Saldos presupuestales Centro vida 2022</t>
  </si>
  <si>
    <t>Liberación de reservas Centro vida</t>
  </si>
  <si>
    <t>Total Centro vida</t>
  </si>
  <si>
    <t>Modalidad Centro de Bienestar del Anciano</t>
  </si>
  <si>
    <t>Saldos presupuestales Centro de Bienestar 2022</t>
  </si>
  <si>
    <t>Liberación de reservas Centro de Bienestar</t>
  </si>
  <si>
    <t>Liberación de reservas rendimientos financieros Centro de Bienestar</t>
  </si>
  <si>
    <t>Total Centro de Bienestar</t>
  </si>
  <si>
    <t>Totales estampillas Balance 2022</t>
  </si>
  <si>
    <t>Diferencias</t>
  </si>
  <si>
    <t>Liberación reservas 2021 en 2022</t>
  </si>
  <si>
    <t>Liberación reservas 2021 en 2022 rendimientos</t>
  </si>
  <si>
    <t>SANTA RITA DE CASIA</t>
  </si>
  <si>
    <t>balance no usado en la adición de agt 2023</t>
  </si>
  <si>
    <t>Saldos Ppto 2023</t>
  </si>
  <si>
    <t>NUEVO CONVENIO PARA CENTRO DE BIENESTAR</t>
  </si>
  <si>
    <t>FECHAS CONVENIOS CENTRO DE BIENESTAR NUEVOS</t>
  </si>
  <si>
    <t># Días Convenio adicional</t>
  </si>
  <si>
    <t>Propios 201</t>
  </si>
  <si>
    <t>Propios 501</t>
  </si>
  <si>
    <t>NÚMERO DE DÍAS</t>
  </si>
  <si>
    <t>Total DIAS contrato</t>
  </si>
  <si>
    <t xml:space="preserve">Valor TOTAL Convenio </t>
  </si>
  <si>
    <t>NOMBRE DE LA ESAL</t>
  </si>
  <si>
    <t>FINANCIACION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</si>
</sst>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[$$-240A]\ * #,##0_ ;_-[$$-240A]\ * \-#,##0\ ;_-[$$-240A]\ * &quot;-&quot;??_ ;_-@_ "/>
    <numFmt numFmtId="165" formatCode="_-* #,##0.0000000_-;\-* #,##0.0000000_-;_-* &quot;-&quot;??_-;_-@_-"/>
    <numFmt numFmtId="166" formatCode="_-* #,##0_-;\-* #,##0_-;_-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1"/>
      <color rgb="FF000000"/>
      <name val="Arial Narrow"/>
      <family val="2"/>
    </font>
    <font>
      <sz val="16"/>
      <color theme="0"/>
      <name val="Arial Narrow"/>
      <family val="2"/>
    </font>
    <font>
      <sz val="11"/>
      <color rgb="FFFF0000"/>
      <name val="Arial Narrow"/>
      <family val="2"/>
    </font>
    <font>
      <b/>
      <sz val="11"/>
      <color rgb="FFFF0000"/>
      <name val="Arial Narrow"/>
      <family val="2"/>
    </font>
    <font>
      <b/>
      <sz val="11"/>
      <color theme="1"/>
      <name val="Arial Narrow"/>
      <family val="2"/>
    </font>
    <font>
      <b/>
      <sz val="10"/>
      <color rgb="FF000000"/>
      <name val="Arial Narrow"/>
      <family val="2"/>
    </font>
    <font>
      <b/>
      <sz val="11"/>
      <name val="Arial Narrow"/>
      <family val="2"/>
    </font>
    <font>
      <sz val="11"/>
      <color theme="0"/>
      <name val="Arial Narrow"/>
      <family val="2"/>
    </font>
    <font>
      <i/>
      <sz val="11"/>
      <color theme="1"/>
      <name val="Arial Narrow"/>
      <family val="2"/>
    </font>
    <font>
      <sz val="11"/>
      <name val="Arial Narrow"/>
      <family val="2"/>
    </font>
    <font>
      <b/>
      <sz val="9"/>
      <color theme="1"/>
      <name val="Arial Narrow"/>
      <family val="2"/>
    </font>
    <font>
      <b/>
      <sz val="9"/>
      <color theme="0"/>
      <name val="Arial Narrow"/>
      <family val="2"/>
    </font>
    <font>
      <b/>
      <sz val="9"/>
      <color rgb="FFFF0000"/>
      <name val="Arial Narrow"/>
      <family val="2"/>
    </font>
    <font>
      <sz val="10"/>
      <color rgb="FF000000"/>
      <name val="Arial Narro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theme="1"/>
      <name val="Arial Narrow"/>
      <family val="2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theme="8" tint="0.79998168889431442"/>
        <bgColor rgb="FF000000"/>
      </patternFill>
    </fill>
    <fill>
      <patternFill patternType="solid">
        <fgColor theme="4" tint="-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rgb="FFD6DCE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rgb="FFF4CCCC"/>
      </patternFill>
    </fill>
    <fill>
      <patternFill patternType="solid">
        <fgColor theme="9" tint="0.79998168889431442"/>
        <bgColor rgb="FFDEEAF6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9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horizontal="center" vertical="center" wrapText="1"/>
    </xf>
    <xf numFmtId="164" fontId="2" fillId="2" borderId="0" xfId="0" applyNumberFormat="1" applyFont="1" applyFill="1"/>
    <xf numFmtId="164" fontId="6" fillId="2" borderId="0" xfId="0" applyNumberFormat="1" applyFont="1" applyFill="1"/>
    <xf numFmtId="164" fontId="9" fillId="2" borderId="0" xfId="0" applyNumberFormat="1" applyFont="1" applyFill="1"/>
    <xf numFmtId="9" fontId="2" fillId="11" borderId="6" xfId="5" applyFont="1" applyFill="1" applyBorder="1" applyAlignment="1">
      <alignment horizontal="center"/>
    </xf>
    <xf numFmtId="44" fontId="5" fillId="2" borderId="0" xfId="3" applyFont="1" applyFill="1"/>
    <xf numFmtId="0" fontId="5" fillId="2" borderId="0" xfId="0" applyFont="1" applyFill="1"/>
    <xf numFmtId="44" fontId="5" fillId="2" borderId="0" xfId="0" applyNumberFormat="1" applyFont="1" applyFill="1"/>
    <xf numFmtId="0" fontId="11" fillId="10" borderId="6" xfId="0" applyFont="1" applyFill="1" applyBorder="1" applyAlignment="1">
      <alignment horizontal="right"/>
    </xf>
    <xf numFmtId="164" fontId="7" fillId="10" borderId="6" xfId="0" applyNumberFormat="1" applyFont="1" applyFill="1" applyBorder="1"/>
    <xf numFmtId="164" fontId="5" fillId="2" borderId="0" xfId="0" applyNumberFormat="1" applyFont="1" applyFill="1"/>
    <xf numFmtId="10" fontId="5" fillId="2" borderId="0" xfId="5" applyNumberFormat="1" applyFont="1" applyFill="1"/>
    <xf numFmtId="9" fontId="12" fillId="2" borderId="0" xfId="5" applyFont="1" applyFill="1"/>
    <xf numFmtId="0" fontId="12" fillId="2" borderId="0" xfId="0" applyFont="1" applyFill="1"/>
    <xf numFmtId="42" fontId="7" fillId="10" borderId="6" xfId="4" applyFont="1" applyFill="1" applyBorder="1"/>
    <xf numFmtId="43" fontId="5" fillId="2" borderId="0" xfId="1" applyFont="1" applyFill="1"/>
    <xf numFmtId="0" fontId="7" fillId="2" borderId="0" xfId="0" applyFont="1" applyFill="1" applyAlignment="1">
      <alignment horizontal="center"/>
    </xf>
    <xf numFmtId="0" fontId="13" fillId="2" borderId="7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13" fillId="13" borderId="6" xfId="0" applyFont="1" applyFill="1" applyBorder="1" applyAlignment="1">
      <alignment horizontal="center" vertical="center" wrapText="1"/>
    </xf>
    <xf numFmtId="42" fontId="2" fillId="11" borderId="6" xfId="4" applyFont="1" applyFill="1" applyBorder="1"/>
    <xf numFmtId="0" fontId="2" fillId="11" borderId="0" xfId="0" applyFont="1" applyFill="1"/>
    <xf numFmtId="42" fontId="2" fillId="13" borderId="6" xfId="0" applyNumberFormat="1" applyFont="1" applyFill="1" applyBorder="1"/>
    <xf numFmtId="42" fontId="2" fillId="2" borderId="0" xfId="0" applyNumberFormat="1" applyFont="1" applyFill="1"/>
    <xf numFmtId="42" fontId="7" fillId="10" borderId="6" xfId="0" applyNumberFormat="1" applyFont="1" applyFill="1" applyBorder="1"/>
    <xf numFmtId="42" fontId="7" fillId="11" borderId="6" xfId="0" applyNumberFormat="1" applyFont="1" applyFill="1" applyBorder="1"/>
    <xf numFmtId="42" fontId="7" fillId="13" borderId="6" xfId="0" applyNumberFormat="1" applyFont="1" applyFill="1" applyBorder="1"/>
    <xf numFmtId="42" fontId="7" fillId="2" borderId="0" xfId="0" applyNumberFormat="1" applyFont="1" applyFill="1"/>
    <xf numFmtId="9" fontId="7" fillId="13" borderId="6" xfId="5" applyFont="1" applyFill="1" applyBorder="1" applyAlignment="1">
      <alignment horizontal="center"/>
    </xf>
    <xf numFmtId="9" fontId="7" fillId="2" borderId="0" xfId="5" applyFont="1" applyFill="1" applyBorder="1" applyAlignment="1">
      <alignment horizontal="center"/>
    </xf>
    <xf numFmtId="0" fontId="10" fillId="2" borderId="0" xfId="0" applyFont="1" applyFill="1"/>
    <xf numFmtId="9" fontId="2" fillId="10" borderId="6" xfId="5" applyFont="1" applyFill="1" applyBorder="1" applyAlignment="1">
      <alignment horizontal="center"/>
    </xf>
    <xf numFmtId="43" fontId="2" fillId="2" borderId="0" xfId="1" applyFont="1" applyFill="1"/>
    <xf numFmtId="0" fontId="7" fillId="10" borderId="5" xfId="0" applyFont="1" applyFill="1" applyBorder="1" applyAlignment="1">
      <alignment horizontal="center"/>
    </xf>
    <xf numFmtId="0" fontId="7" fillId="15" borderId="5" xfId="0" applyFont="1" applyFill="1" applyBorder="1" applyAlignment="1">
      <alignment horizontal="center"/>
    </xf>
    <xf numFmtId="0" fontId="13" fillId="12" borderId="6" xfId="0" applyFont="1" applyFill="1" applyBorder="1" applyAlignment="1">
      <alignment horizontal="center" vertical="center" wrapText="1"/>
    </xf>
    <xf numFmtId="0" fontId="2" fillId="2" borderId="6" xfId="0" applyFont="1" applyFill="1" applyBorder="1"/>
    <xf numFmtId="0" fontId="13" fillId="2" borderId="8" xfId="0" applyFont="1" applyFill="1" applyBorder="1" applyAlignment="1">
      <alignment horizontal="center" vertical="center" wrapText="1"/>
    </xf>
    <xf numFmtId="42" fontId="2" fillId="2" borderId="8" xfId="4" applyFont="1" applyFill="1" applyBorder="1"/>
    <xf numFmtId="0" fontId="13" fillId="2" borderId="2" xfId="0" applyFont="1" applyFill="1" applyBorder="1" applyAlignment="1">
      <alignment horizontal="center" vertical="center" wrapText="1"/>
    </xf>
    <xf numFmtId="43" fontId="2" fillId="2" borderId="4" xfId="1" applyFont="1" applyFill="1" applyBorder="1" applyAlignment="1">
      <alignment vertical="center"/>
    </xf>
    <xf numFmtId="165" fontId="2" fillId="2" borderId="0" xfId="1" applyNumberFormat="1" applyFont="1" applyFill="1"/>
    <xf numFmtId="166" fontId="2" fillId="2" borderId="7" xfId="1" applyNumberFormat="1" applyFont="1" applyFill="1" applyBorder="1" applyAlignment="1">
      <alignment vertical="center"/>
    </xf>
    <xf numFmtId="166" fontId="2" fillId="2" borderId="0" xfId="1" applyNumberFormat="1" applyFont="1" applyFill="1"/>
    <xf numFmtId="0" fontId="2" fillId="2" borderId="0" xfId="0" applyFont="1" applyFill="1" applyAlignment="1">
      <alignment horizontal="right"/>
    </xf>
    <xf numFmtId="42" fontId="2" fillId="0" borderId="0" xfId="0" applyNumberFormat="1" applyFont="1"/>
    <xf numFmtId="164" fontId="2" fillId="0" borderId="0" xfId="0" applyNumberFormat="1" applyFont="1"/>
    <xf numFmtId="0" fontId="2" fillId="0" borderId="0" xfId="0" applyFont="1"/>
    <xf numFmtId="0" fontId="13" fillId="16" borderId="6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 wrapText="1"/>
    </xf>
    <xf numFmtId="14" fontId="2" fillId="2" borderId="0" xfId="0" applyNumberFormat="1" applyFont="1" applyFill="1"/>
    <xf numFmtId="0" fontId="7" fillId="13" borderId="0" xfId="0" applyFont="1" applyFill="1"/>
    <xf numFmtId="14" fontId="2" fillId="2" borderId="0" xfId="1" applyNumberFormat="1" applyFont="1" applyFill="1"/>
    <xf numFmtId="14" fontId="2" fillId="0" borderId="0" xfId="0" applyNumberFormat="1" applyFont="1"/>
    <xf numFmtId="0" fontId="7" fillId="11" borderId="9" xfId="0" applyFont="1" applyFill="1" applyBorder="1" applyAlignment="1">
      <alignment horizontal="center" vertical="center" wrapText="1"/>
    </xf>
    <xf numFmtId="0" fontId="2" fillId="2" borderId="9" xfId="0" applyFont="1" applyFill="1" applyBorder="1"/>
    <xf numFmtId="14" fontId="2" fillId="2" borderId="9" xfId="0" applyNumberFormat="1" applyFont="1" applyFill="1" applyBorder="1"/>
    <xf numFmtId="166" fontId="2" fillId="2" borderId="9" xfId="1" applyNumberFormat="1" applyFont="1" applyFill="1" applyBorder="1"/>
    <xf numFmtId="14" fontId="2" fillId="7" borderId="9" xfId="1" applyNumberFormat="1" applyFont="1" applyFill="1" applyBorder="1"/>
    <xf numFmtId="166" fontId="2" fillId="2" borderId="9" xfId="0" applyNumberFormat="1" applyFont="1" applyFill="1" applyBorder="1"/>
    <xf numFmtId="166" fontId="2" fillId="16" borderId="6" xfId="1" applyNumberFormat="1" applyFont="1" applyFill="1" applyBorder="1" applyAlignment="1">
      <alignment vertical="center"/>
    </xf>
    <xf numFmtId="0" fontId="13" fillId="0" borderId="6" xfId="0" applyFont="1" applyBorder="1" applyAlignment="1">
      <alignment horizontal="center" vertical="center" wrapText="1"/>
    </xf>
    <xf numFmtId="41" fontId="7" fillId="0" borderId="6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right"/>
    </xf>
    <xf numFmtId="0" fontId="7" fillId="8" borderId="13" xfId="0" applyFont="1" applyFill="1" applyBorder="1" applyAlignment="1">
      <alignment horizontal="right"/>
    </xf>
    <xf numFmtId="0" fontId="2" fillId="2" borderId="13" xfId="0" applyFont="1" applyFill="1" applyBorder="1"/>
    <xf numFmtId="0" fontId="2" fillId="2" borderId="6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14" borderId="6" xfId="0" applyFont="1" applyFill="1" applyBorder="1" applyAlignment="1">
      <alignment horizontal="center" vertical="center" wrapText="1"/>
    </xf>
    <xf numFmtId="43" fontId="2" fillId="0" borderId="0" xfId="1" applyFont="1"/>
    <xf numFmtId="44" fontId="2" fillId="2" borderId="0" xfId="3" applyFont="1" applyFill="1" applyBorder="1"/>
    <xf numFmtId="44" fontId="2" fillId="2" borderId="14" xfId="3" applyFont="1" applyFill="1" applyBorder="1"/>
    <xf numFmtId="0" fontId="14" fillId="0" borderId="0" xfId="0" applyFont="1" applyAlignment="1">
      <alignment horizontal="right"/>
    </xf>
    <xf numFmtId="164" fontId="10" fillId="0" borderId="0" xfId="0" applyNumberFormat="1" applyFont="1"/>
    <xf numFmtId="0" fontId="7" fillId="9" borderId="9" xfId="0" applyFont="1" applyFill="1" applyBorder="1"/>
    <xf numFmtId="43" fontId="7" fillId="0" borderId="0" xfId="1" applyFont="1"/>
    <xf numFmtId="0" fontId="7" fillId="7" borderId="0" xfId="0" applyFont="1" applyFill="1"/>
    <xf numFmtId="0" fontId="2" fillId="0" borderId="9" xfId="0" applyFont="1" applyBorder="1"/>
    <xf numFmtId="0" fontId="2" fillId="0" borderId="0" xfId="0" applyFont="1" applyAlignment="1">
      <alignment wrapText="1"/>
    </xf>
    <xf numFmtId="43" fontId="7" fillId="0" borderId="0" xfId="1" applyFont="1" applyAlignment="1">
      <alignment vertical="center"/>
    </xf>
    <xf numFmtId="0" fontId="8" fillId="16" borderId="9" xfId="0" applyFont="1" applyFill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43" fontId="16" fillId="0" borderId="9" xfId="1" applyFont="1" applyBorder="1" applyAlignment="1">
      <alignment vertical="center"/>
    </xf>
    <xf numFmtId="0" fontId="16" fillId="0" borderId="9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43" fontId="16" fillId="0" borderId="0" xfId="1" applyFont="1" applyBorder="1" applyAlignment="1">
      <alignment vertical="center"/>
    </xf>
    <xf numFmtId="0" fontId="2" fillId="0" borderId="9" xfId="0" applyFont="1" applyBorder="1" applyAlignment="1">
      <alignment horizontal="center"/>
    </xf>
    <xf numFmtId="43" fontId="2" fillId="0" borderId="9" xfId="1" applyFont="1" applyBorder="1"/>
    <xf numFmtId="43" fontId="2" fillId="0" borderId="0" xfId="0" applyNumberFormat="1" applyFont="1"/>
    <xf numFmtId="0" fontId="2" fillId="0" borderId="0" xfId="0" applyFont="1" applyAlignment="1">
      <alignment horizontal="center"/>
    </xf>
    <xf numFmtId="43" fontId="2" fillId="0" borderId="9" xfId="0" applyNumberFormat="1" applyFont="1" applyBorder="1"/>
    <xf numFmtId="0" fontId="7" fillId="0" borderId="9" xfId="0" applyFont="1" applyBorder="1"/>
    <xf numFmtId="0" fontId="7" fillId="0" borderId="9" xfId="0" applyFont="1" applyBorder="1" applyAlignment="1">
      <alignment horizontal="center"/>
    </xf>
    <xf numFmtId="43" fontId="7" fillId="0" borderId="9" xfId="1" applyFont="1" applyBorder="1" applyAlignment="1">
      <alignment horizontal="center"/>
    </xf>
    <xf numFmtId="0" fontId="2" fillId="0" borderId="9" xfId="0" applyFont="1" applyBorder="1" applyAlignment="1">
      <alignment vertical="center"/>
    </xf>
    <xf numFmtId="43" fontId="7" fillId="0" borderId="9" xfId="0" applyNumberFormat="1" applyFont="1" applyBorder="1"/>
    <xf numFmtId="0" fontId="7" fillId="0" borderId="9" xfId="0" applyFont="1" applyBorder="1" applyAlignment="1">
      <alignment vertical="center"/>
    </xf>
    <xf numFmtId="43" fontId="7" fillId="0" borderId="9" xfId="1" applyFont="1" applyBorder="1"/>
    <xf numFmtId="0" fontId="2" fillId="7" borderId="9" xfId="0" applyFont="1" applyFill="1" applyBorder="1"/>
    <xf numFmtId="43" fontId="7" fillId="7" borderId="9" xfId="0" applyNumberFormat="1" applyFont="1" applyFill="1" applyBorder="1"/>
    <xf numFmtId="43" fontId="2" fillId="7" borderId="9" xfId="1" applyFont="1" applyFill="1" applyBorder="1"/>
    <xf numFmtId="0" fontId="7" fillId="7" borderId="9" xfId="0" applyFont="1" applyFill="1" applyBorder="1"/>
    <xf numFmtId="43" fontId="7" fillId="7" borderId="9" xfId="1" applyFont="1" applyFill="1" applyBorder="1"/>
    <xf numFmtId="0" fontId="2" fillId="2" borderId="17" xfId="0" applyFont="1" applyFill="1" applyBorder="1" applyAlignment="1">
      <alignment horizontal="left" vertical="center" wrapText="1"/>
    </xf>
    <xf numFmtId="14" fontId="2" fillId="17" borderId="9" xfId="0" applyNumberFormat="1" applyFont="1" applyFill="1" applyBorder="1"/>
    <xf numFmtId="14" fontId="2" fillId="18" borderId="9" xfId="0" applyNumberFormat="1" applyFont="1" applyFill="1" applyBorder="1"/>
    <xf numFmtId="166" fontId="2" fillId="18" borderId="9" xfId="1" applyNumberFormat="1" applyFont="1" applyFill="1" applyBorder="1"/>
    <xf numFmtId="14" fontId="2" fillId="18" borderId="9" xfId="1" applyNumberFormat="1" applyFont="1" applyFill="1" applyBorder="1"/>
    <xf numFmtId="166" fontId="2" fillId="18" borderId="9" xfId="0" applyNumberFormat="1" applyFont="1" applyFill="1" applyBorder="1"/>
    <xf numFmtId="0" fontId="2" fillId="0" borderId="17" xfId="0" applyFont="1" applyBorder="1" applyAlignment="1">
      <alignment horizontal="left" vertical="center" wrapText="1"/>
    </xf>
    <xf numFmtId="0" fontId="6" fillId="17" borderId="0" xfId="0" applyFont="1" applyFill="1"/>
    <xf numFmtId="10" fontId="6" fillId="17" borderId="0" xfId="5" applyNumberFormat="1" applyFont="1" applyFill="1"/>
    <xf numFmtId="9" fontId="9" fillId="17" borderId="0" xfId="5" applyFont="1" applyFill="1"/>
    <xf numFmtId="0" fontId="9" fillId="17" borderId="0" xfId="0" applyFont="1" applyFill="1"/>
    <xf numFmtId="42" fontId="7" fillId="11" borderId="6" xfId="4" applyFont="1" applyFill="1" applyBorder="1"/>
    <xf numFmtId="0" fontId="2" fillId="0" borderId="9" xfId="0" applyFont="1" applyBorder="1" applyAlignment="1">
      <alignment horizontal="right"/>
    </xf>
    <xf numFmtId="43" fontId="6" fillId="2" borderId="0" xfId="1" applyFont="1" applyFill="1"/>
    <xf numFmtId="43" fontId="2" fillId="19" borderId="0" xfId="1" applyFont="1" applyFill="1"/>
    <xf numFmtId="166" fontId="2" fillId="2" borderId="7" xfId="1" applyNumberFormat="1" applyFont="1" applyFill="1" applyBorder="1" applyAlignment="1">
      <alignment horizontal="center" vertical="center"/>
    </xf>
    <xf numFmtId="0" fontId="7" fillId="16" borderId="0" xfId="0" applyFont="1" applyFill="1" applyAlignment="1">
      <alignment horizontal="center"/>
    </xf>
    <xf numFmtId="0" fontId="2" fillId="0" borderId="9" xfId="0" applyFont="1" applyBorder="1" applyAlignment="1">
      <alignment horizontal="left" vertical="center"/>
    </xf>
    <xf numFmtId="0" fontId="7" fillId="10" borderId="6" xfId="0" applyFont="1" applyFill="1" applyBorder="1" applyAlignment="1">
      <alignment horizontal="center" vertical="center"/>
    </xf>
    <xf numFmtId="42" fontId="7" fillId="9" borderId="6" xfId="0" applyNumberFormat="1" applyFont="1" applyFill="1" applyBorder="1" applyAlignment="1">
      <alignment horizontal="center"/>
    </xf>
    <xf numFmtId="0" fontId="7" fillId="9" borderId="5" xfId="0" applyFont="1" applyFill="1" applyBorder="1" applyAlignment="1">
      <alignment horizontal="center"/>
    </xf>
    <xf numFmtId="0" fontId="7" fillId="9" borderId="6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44" fontId="2" fillId="0" borderId="0" xfId="3" applyFont="1" applyBorder="1" applyAlignment="1">
      <alignment horizontal="center"/>
    </xf>
    <xf numFmtId="44" fontId="2" fillId="0" borderId="14" xfId="3" applyFont="1" applyBorder="1" applyAlignment="1">
      <alignment horizontal="center"/>
    </xf>
    <xf numFmtId="42" fontId="3" fillId="3" borderId="2" xfId="0" applyNumberFormat="1" applyFont="1" applyFill="1" applyBorder="1" applyAlignment="1">
      <alignment horizontal="center" vertical="center"/>
    </xf>
    <xf numFmtId="42" fontId="3" fillId="3" borderId="4" xfId="0" applyNumberFormat="1" applyFont="1" applyFill="1" applyBorder="1" applyAlignment="1">
      <alignment horizontal="center" vertical="center"/>
    </xf>
    <xf numFmtId="42" fontId="3" fillId="3" borderId="5" xfId="0" applyNumberFormat="1" applyFont="1" applyFill="1" applyBorder="1" applyAlignment="1">
      <alignment horizontal="center" vertical="center"/>
    </xf>
    <xf numFmtId="42" fontId="3" fillId="4" borderId="2" xfId="0" applyNumberFormat="1" applyFont="1" applyFill="1" applyBorder="1" applyAlignment="1">
      <alignment horizontal="center" vertical="center"/>
    </xf>
    <xf numFmtId="42" fontId="3" fillId="4" borderId="4" xfId="0" applyNumberFormat="1" applyFont="1" applyFill="1" applyBorder="1" applyAlignment="1">
      <alignment horizontal="center" vertical="center"/>
    </xf>
    <xf numFmtId="42" fontId="3" fillId="4" borderId="5" xfId="0" applyNumberFormat="1" applyFont="1" applyFill="1" applyBorder="1" applyAlignment="1">
      <alignment horizontal="center" vertical="center"/>
    </xf>
    <xf numFmtId="42" fontId="3" fillId="5" borderId="2" xfId="0" applyNumberFormat="1" applyFont="1" applyFill="1" applyBorder="1" applyAlignment="1">
      <alignment horizontal="center" vertical="center"/>
    </xf>
    <xf numFmtId="42" fontId="3" fillId="5" borderId="4" xfId="0" applyNumberFormat="1" applyFont="1" applyFill="1" applyBorder="1" applyAlignment="1">
      <alignment horizontal="center" vertical="center"/>
    </xf>
    <xf numFmtId="42" fontId="3" fillId="5" borderId="5" xfId="0" applyNumberFormat="1" applyFont="1" applyFill="1" applyBorder="1" applyAlignment="1">
      <alignment horizontal="center" vertical="center"/>
    </xf>
    <xf numFmtId="41" fontId="4" fillId="6" borderId="3" xfId="2" applyFont="1" applyFill="1" applyBorder="1" applyAlignment="1">
      <alignment horizontal="center" vertical="center"/>
    </xf>
    <xf numFmtId="41" fontId="4" fillId="6" borderId="0" xfId="2" applyFont="1" applyFill="1" applyBorder="1" applyAlignment="1">
      <alignment horizontal="center" vertical="center"/>
    </xf>
    <xf numFmtId="44" fontId="7" fillId="7" borderId="0" xfId="3" applyFont="1" applyFill="1" applyBorder="1" applyAlignment="1">
      <alignment horizontal="center"/>
    </xf>
    <xf numFmtId="44" fontId="7" fillId="7" borderId="14" xfId="3" applyFont="1" applyFill="1" applyBorder="1" applyAlignment="1">
      <alignment horizontal="center"/>
    </xf>
    <xf numFmtId="0" fontId="2" fillId="17" borderId="7" xfId="0" applyFont="1" applyFill="1" applyBorder="1" applyAlignment="1">
      <alignment horizontal="center"/>
    </xf>
    <xf numFmtId="0" fontId="2" fillId="17" borderId="1" xfId="0" applyFont="1" applyFill="1" applyBorder="1" applyAlignment="1">
      <alignment horizontal="center"/>
    </xf>
    <xf numFmtId="0" fontId="2" fillId="17" borderId="8" xfId="0" applyFont="1" applyFill="1" applyBorder="1" applyAlignment="1">
      <alignment horizontal="center"/>
    </xf>
    <xf numFmtId="9" fontId="7" fillId="2" borderId="7" xfId="5" applyFont="1" applyFill="1" applyBorder="1" applyAlignment="1">
      <alignment horizontal="center"/>
    </xf>
    <xf numFmtId="9" fontId="7" fillId="2" borderId="1" xfId="5" applyFont="1" applyFill="1" applyBorder="1" applyAlignment="1">
      <alignment horizontal="center"/>
    </xf>
    <xf numFmtId="9" fontId="7" fillId="2" borderId="8" xfId="5" applyFont="1" applyFill="1" applyBorder="1" applyAlignment="1">
      <alignment horizontal="center"/>
    </xf>
    <xf numFmtId="44" fontId="7" fillId="8" borderId="0" xfId="3" applyFont="1" applyFill="1" applyBorder="1" applyAlignment="1">
      <alignment horizontal="center"/>
    </xf>
    <xf numFmtId="44" fontId="7" fillId="8" borderId="14" xfId="3" applyFont="1" applyFill="1" applyBorder="1" applyAlignment="1">
      <alignment horizontal="center"/>
    </xf>
    <xf numFmtId="44" fontId="8" fillId="9" borderId="9" xfId="3" applyFont="1" applyFill="1" applyBorder="1" applyAlignment="1">
      <alignment horizontal="center" vertical="center"/>
    </xf>
    <xf numFmtId="44" fontId="8" fillId="19" borderId="9" xfId="3" applyFont="1" applyFill="1" applyBorder="1" applyAlignment="1">
      <alignment horizontal="center" vertical="center"/>
    </xf>
    <xf numFmtId="0" fontId="6" fillId="7" borderId="15" xfId="0" applyFont="1" applyFill="1" applyBorder="1" applyAlignment="1">
      <alignment horizontal="center"/>
    </xf>
    <xf numFmtId="0" fontId="6" fillId="7" borderId="3" xfId="0" applyFont="1" applyFill="1" applyBorder="1" applyAlignment="1">
      <alignment horizontal="center"/>
    </xf>
    <xf numFmtId="0" fontId="6" fillId="7" borderId="16" xfId="0" applyFont="1" applyFill="1" applyBorder="1" applyAlignment="1">
      <alignment horizontal="center"/>
    </xf>
    <xf numFmtId="0" fontId="6" fillId="17" borderId="0" xfId="0" applyFont="1" applyFill="1" applyAlignment="1">
      <alignment horizontal="center"/>
    </xf>
    <xf numFmtId="0" fontId="2" fillId="11" borderId="6" xfId="0" applyFont="1" applyFill="1" applyBorder="1" applyAlignment="1">
      <alignment horizontal="center"/>
    </xf>
    <xf numFmtId="44" fontId="19" fillId="18" borderId="9" xfId="3" applyFont="1" applyFill="1" applyBorder="1" applyAlignment="1">
      <alignment horizontal="center" vertical="center"/>
    </xf>
    <xf numFmtId="44" fontId="7" fillId="7" borderId="9" xfId="3" applyFont="1" applyFill="1" applyBorder="1" applyAlignment="1">
      <alignment horizontal="center"/>
    </xf>
    <xf numFmtId="44" fontId="2" fillId="0" borderId="9" xfId="3" applyFont="1" applyBorder="1" applyAlignment="1">
      <alignment horizontal="center"/>
    </xf>
    <xf numFmtId="0" fontId="2" fillId="2" borderId="18" xfId="0" applyFont="1" applyFill="1" applyBorder="1" applyAlignment="1">
      <alignment horizontal="center"/>
    </xf>
    <xf numFmtId="0" fontId="2" fillId="2" borderId="19" xfId="0" applyFont="1" applyFill="1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44" fontId="2" fillId="0" borderId="21" xfId="3" applyFont="1" applyBorder="1" applyAlignment="1">
      <alignment horizontal="center"/>
    </xf>
    <xf numFmtId="44" fontId="2" fillId="0" borderId="22" xfId="3" applyFont="1" applyBorder="1" applyAlignment="1">
      <alignment horizontal="center"/>
    </xf>
  </cellXfs>
  <cellStyles count="6">
    <cellStyle name="Millares" xfId="1" builtinId="3"/>
    <cellStyle name="Millares [0]" xfId="2" builtinId="6"/>
    <cellStyle name="Moneda" xfId="3" builtinId="4"/>
    <cellStyle name="Moneda [0]" xfId="4" builtinId="7"/>
    <cellStyle name="Normal" xfId="0" builtinId="0"/>
    <cellStyle name="Porcentaje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msan/Documents/Alcaldia%20de%20Bucaramanga/Presupuesto/(08)%20agt%202023%20-%20Ejecuci&#243;n%20presupuestal%20julio%202023%20Ad%20mayo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ULIO-2023"/>
      <sheetName val="DISPONIBILIDADES"/>
      <sheetName val="COMPROMISOS"/>
      <sheetName val="OBLIGACIONES"/>
      <sheetName val="OTROS"/>
      <sheetName val="PAC"/>
    </sheetNames>
    <sheetDataSet>
      <sheetData sheetId="0">
        <row r="15">
          <cell r="U15">
            <v>86912000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46"/>
  <sheetViews>
    <sheetView topLeftCell="A24" workbookViewId="0">
      <selection activeCell="C40" activeCellId="2" sqref="C37 C39 C40"/>
    </sheetView>
  </sheetViews>
  <sheetFormatPr baseColWidth="10" defaultRowHeight="13.8" x14ac:dyDescent="0.25"/>
  <cols>
    <col min="1" max="1" width="11.5546875" style="50"/>
    <col min="2" max="2" width="49.77734375" style="50" bestFit="1" customWidth="1"/>
    <col min="3" max="3" width="16.33203125" style="50" bestFit="1" customWidth="1"/>
    <col min="4" max="4" width="30" style="72" customWidth="1"/>
    <col min="5" max="5" width="14.33203125" style="50" bestFit="1" customWidth="1"/>
    <col min="6" max="6" width="29.77734375" style="50" bestFit="1" customWidth="1"/>
    <col min="7" max="7" width="14.33203125" style="50" bestFit="1" customWidth="1"/>
    <col min="8" max="16384" width="11.5546875" style="50"/>
  </cols>
  <sheetData>
    <row r="2" spans="2:3" x14ac:dyDescent="0.25">
      <c r="B2" s="79" t="s">
        <v>61</v>
      </c>
    </row>
    <row r="3" spans="2:3" x14ac:dyDescent="0.25">
      <c r="B3" s="50" t="s">
        <v>60</v>
      </c>
      <c r="C3" s="78">
        <f>119632103.03-583333.33</f>
        <v>119048769.7</v>
      </c>
    </row>
    <row r="4" spans="2:3" x14ac:dyDescent="0.25">
      <c r="B4" s="50" t="s">
        <v>59</v>
      </c>
      <c r="C4" s="78">
        <v>67824990</v>
      </c>
    </row>
    <row r="6" spans="2:3" x14ac:dyDescent="0.25">
      <c r="B6" s="79" t="s">
        <v>62</v>
      </c>
    </row>
    <row r="7" spans="2:3" x14ac:dyDescent="0.25">
      <c r="B7" s="50" t="s">
        <v>60</v>
      </c>
      <c r="C7" s="78">
        <v>18317671</v>
      </c>
    </row>
    <row r="8" spans="2:3" x14ac:dyDescent="0.25">
      <c r="B8" s="50" t="s">
        <v>59</v>
      </c>
      <c r="C8" s="78">
        <v>59404388</v>
      </c>
    </row>
    <row r="9" spans="2:3" ht="27.6" x14ac:dyDescent="0.25">
      <c r="B9" s="81" t="s">
        <v>63</v>
      </c>
      <c r="C9" s="82">
        <v>8000000</v>
      </c>
    </row>
    <row r="11" spans="2:3" x14ac:dyDescent="0.25">
      <c r="B11" s="83" t="s">
        <v>47</v>
      </c>
      <c r="C11" s="83" t="s">
        <v>48</v>
      </c>
    </row>
    <row r="12" spans="2:3" x14ac:dyDescent="0.25">
      <c r="B12" s="84" t="s">
        <v>49</v>
      </c>
      <c r="C12" s="85">
        <v>2544653303</v>
      </c>
    </row>
    <row r="13" spans="2:3" x14ac:dyDescent="0.25">
      <c r="B13" s="86" t="s">
        <v>50</v>
      </c>
      <c r="C13" s="85">
        <v>508930661</v>
      </c>
    </row>
    <row r="14" spans="2:3" x14ac:dyDescent="0.25">
      <c r="B14" s="86" t="s">
        <v>51</v>
      </c>
      <c r="C14" s="85">
        <f>+C12-C13</f>
        <v>2035722642</v>
      </c>
    </row>
    <row r="15" spans="2:3" x14ac:dyDescent="0.25">
      <c r="B15" s="87"/>
      <c r="C15" s="88"/>
    </row>
    <row r="16" spans="2:3" x14ac:dyDescent="0.25">
      <c r="B16" s="86" t="s">
        <v>52</v>
      </c>
      <c r="C16" s="85">
        <v>1425005849</v>
      </c>
    </row>
    <row r="17" spans="2:7" x14ac:dyDescent="0.25">
      <c r="B17" s="86" t="s">
        <v>53</v>
      </c>
      <c r="C17" s="85">
        <v>610716793</v>
      </c>
    </row>
    <row r="18" spans="2:7" x14ac:dyDescent="0.25">
      <c r="B18" s="89" t="s">
        <v>64</v>
      </c>
      <c r="C18" s="90">
        <v>241612767.91</v>
      </c>
    </row>
    <row r="20" spans="2:7" x14ac:dyDescent="0.25">
      <c r="B20" s="50" t="s">
        <v>65</v>
      </c>
      <c r="C20" s="91">
        <f>+C18+C12+C9+C8+C7+C4+C3</f>
        <v>3058861889.6099997</v>
      </c>
    </row>
    <row r="24" spans="2:7" x14ac:dyDescent="0.25">
      <c r="B24" s="122" t="s">
        <v>66</v>
      </c>
      <c r="C24" s="122"/>
      <c r="D24" s="122"/>
      <c r="F24" s="122" t="s">
        <v>67</v>
      </c>
      <c r="G24" s="122"/>
    </row>
    <row r="25" spans="2:7" x14ac:dyDescent="0.25">
      <c r="B25" s="92"/>
      <c r="C25" s="92"/>
      <c r="D25" s="92"/>
      <c r="F25" s="80" t="s">
        <v>68</v>
      </c>
      <c r="G25" s="93">
        <f>+C27</f>
        <v>508930661</v>
      </c>
    </row>
    <row r="26" spans="2:7" x14ac:dyDescent="0.25">
      <c r="B26" s="94" t="s">
        <v>69</v>
      </c>
      <c r="C26" s="95" t="s">
        <v>70</v>
      </c>
      <c r="D26" s="96" t="s">
        <v>71</v>
      </c>
      <c r="F26" s="90" t="s">
        <v>57</v>
      </c>
      <c r="G26" s="93">
        <f>+C30</f>
        <v>1120000000</v>
      </c>
    </row>
    <row r="27" spans="2:7" x14ac:dyDescent="0.25">
      <c r="B27" s="97" t="s">
        <v>72</v>
      </c>
      <c r="C27" s="98">
        <f>+C13</f>
        <v>508930661</v>
      </c>
      <c r="D27" s="80" t="s">
        <v>73</v>
      </c>
      <c r="F27" s="90" t="s">
        <v>56</v>
      </c>
      <c r="G27" s="93">
        <f>+C31+C32+C33</f>
        <v>442372289.69999999</v>
      </c>
    </row>
    <row r="28" spans="2:7" x14ac:dyDescent="0.25">
      <c r="D28" s="50"/>
      <c r="F28" s="90" t="s">
        <v>58</v>
      </c>
      <c r="G28" s="93">
        <f>+C37+C39+C40</f>
        <v>737946171</v>
      </c>
    </row>
    <row r="29" spans="2:7" x14ac:dyDescent="0.25">
      <c r="B29" s="99" t="s">
        <v>74</v>
      </c>
      <c r="C29" s="95" t="s">
        <v>70</v>
      </c>
      <c r="D29" s="96" t="s">
        <v>71</v>
      </c>
      <c r="F29" s="90" t="s">
        <v>75</v>
      </c>
      <c r="G29" s="93">
        <f>+C38+C41</f>
        <v>249612767.91</v>
      </c>
    </row>
    <row r="30" spans="2:7" x14ac:dyDescent="0.25">
      <c r="B30" s="123" t="s">
        <v>72</v>
      </c>
      <c r="C30" s="100">
        <v>1120000000</v>
      </c>
      <c r="D30" s="90" t="s">
        <v>57</v>
      </c>
      <c r="F30" s="80" t="s">
        <v>76</v>
      </c>
      <c r="G30" s="93">
        <f>SUM(G25:G29)</f>
        <v>3058861889.6099997</v>
      </c>
    </row>
    <row r="31" spans="2:7" x14ac:dyDescent="0.25">
      <c r="B31" s="123"/>
      <c r="C31" s="100">
        <f>+C16-C30</f>
        <v>305005849</v>
      </c>
      <c r="D31" s="90" t="s">
        <v>56</v>
      </c>
      <c r="F31" s="50" t="s">
        <v>77</v>
      </c>
      <c r="G31" s="91">
        <f>+G30-C45</f>
        <v>0</v>
      </c>
    </row>
    <row r="32" spans="2:7" x14ac:dyDescent="0.25">
      <c r="B32" s="80" t="s">
        <v>78</v>
      </c>
      <c r="C32" s="100">
        <f>+C3</f>
        <v>119048769.7</v>
      </c>
      <c r="D32" s="90" t="s">
        <v>56</v>
      </c>
    </row>
    <row r="33" spans="2:4" x14ac:dyDescent="0.25">
      <c r="B33" s="80" t="s">
        <v>79</v>
      </c>
      <c r="C33" s="98">
        <f>+C7</f>
        <v>18317671</v>
      </c>
      <c r="D33" s="90" t="str">
        <f>+D32</f>
        <v>2.3.2.02.02.009.4104008.93491.520</v>
      </c>
    </row>
    <row r="34" spans="2:4" x14ac:dyDescent="0.25">
      <c r="B34" s="101" t="s">
        <v>80</v>
      </c>
      <c r="C34" s="102">
        <f>SUM(C30:C33)</f>
        <v>1562372289.7</v>
      </c>
      <c r="D34" s="103"/>
    </row>
    <row r="36" spans="2:4" x14ac:dyDescent="0.25">
      <c r="B36" s="99" t="s">
        <v>81</v>
      </c>
      <c r="C36" s="95" t="s">
        <v>70</v>
      </c>
      <c r="D36" s="96" t="s">
        <v>71</v>
      </c>
    </row>
    <row r="37" spans="2:4" x14ac:dyDescent="0.25">
      <c r="B37" s="97" t="s">
        <v>72</v>
      </c>
      <c r="C37" s="100">
        <f>+C17</f>
        <v>610716793</v>
      </c>
      <c r="D37" s="90" t="s">
        <v>58</v>
      </c>
    </row>
    <row r="38" spans="2:4" x14ac:dyDescent="0.25">
      <c r="B38" s="80" t="s">
        <v>64</v>
      </c>
      <c r="C38" s="100">
        <v>241612767.91</v>
      </c>
      <c r="D38" s="90" t="s">
        <v>75</v>
      </c>
    </row>
    <row r="39" spans="2:4" x14ac:dyDescent="0.25">
      <c r="B39" s="80" t="s">
        <v>82</v>
      </c>
      <c r="C39" s="93">
        <f>+C4</f>
        <v>67824990</v>
      </c>
      <c r="D39" s="90" t="s">
        <v>58</v>
      </c>
    </row>
    <row r="40" spans="2:4" x14ac:dyDescent="0.25">
      <c r="B40" s="80" t="s">
        <v>83</v>
      </c>
      <c r="C40" s="93">
        <f>+C8</f>
        <v>59404388</v>
      </c>
      <c r="D40" s="90" t="s">
        <v>58</v>
      </c>
    </row>
    <row r="41" spans="2:4" x14ac:dyDescent="0.25">
      <c r="B41" s="80" t="s">
        <v>84</v>
      </c>
      <c r="C41" s="93">
        <f>+C9</f>
        <v>8000000</v>
      </c>
      <c r="D41" s="90" t="s">
        <v>75</v>
      </c>
    </row>
    <row r="42" spans="2:4" x14ac:dyDescent="0.25">
      <c r="B42" s="104" t="s">
        <v>85</v>
      </c>
      <c r="C42" s="102">
        <f>SUM(C37:C41)</f>
        <v>987558938.90999997</v>
      </c>
      <c r="D42" s="105"/>
    </row>
    <row r="45" spans="2:4" x14ac:dyDescent="0.25">
      <c r="B45" s="50" t="s">
        <v>86</v>
      </c>
      <c r="C45" s="91">
        <f>+C42+C34+C27</f>
        <v>3058861889.6100001</v>
      </c>
    </row>
    <row r="46" spans="2:4" x14ac:dyDescent="0.25">
      <c r="B46" s="50" t="s">
        <v>87</v>
      </c>
      <c r="C46" s="91">
        <f>+C45-C20</f>
        <v>0</v>
      </c>
    </row>
  </sheetData>
  <mergeCells count="3">
    <mergeCell ref="B24:D24"/>
    <mergeCell ref="F24:G24"/>
    <mergeCell ref="B30:B31"/>
  </mergeCells>
  <pageMargins left="0.7" right="0.7" top="0.75" bottom="0.75" header="0.3" footer="0.3"/>
  <pageSetup paperSize="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-0.249977111117893"/>
  </sheetPr>
  <dimension ref="A2:T38"/>
  <sheetViews>
    <sheetView workbookViewId="0">
      <selection activeCell="C10" sqref="C10:D10"/>
    </sheetView>
  </sheetViews>
  <sheetFormatPr baseColWidth="10" defaultColWidth="10.77734375" defaultRowHeight="13.8" x14ac:dyDescent="0.25"/>
  <cols>
    <col min="1" max="1" width="8.44140625" style="1" bestFit="1" customWidth="1"/>
    <col min="2" max="2" width="35.21875" style="1" customWidth="1"/>
    <col min="3" max="3" width="13.44140625" style="1" bestFit="1" customWidth="1"/>
    <col min="4" max="4" width="8" style="1" bestFit="1" customWidth="1"/>
    <col min="5" max="5" width="8.44140625" style="1" customWidth="1"/>
    <col min="6" max="6" width="6.44140625" style="1" bestFit="1" customWidth="1"/>
    <col min="7" max="7" width="8.88671875" style="1" customWidth="1"/>
    <col min="8" max="8" width="13.44140625" style="1" bestFit="1" customWidth="1"/>
    <col min="9" max="9" width="1" style="1" customWidth="1"/>
    <col min="10" max="10" width="12.109375" style="1" bestFit="1" customWidth="1"/>
    <col min="11" max="11" width="1.21875" style="1" customWidth="1"/>
    <col min="12" max="12" width="10.33203125" style="1" bestFit="1" customWidth="1"/>
    <col min="13" max="13" width="1" style="1" customWidth="1"/>
    <col min="14" max="14" width="13" style="1" bestFit="1" customWidth="1"/>
    <col min="15" max="15" width="12.109375" style="1" bestFit="1" customWidth="1"/>
    <col min="16" max="16" width="1.44140625" style="1" customWidth="1"/>
    <col min="17" max="17" width="13.44140625" style="1" bestFit="1" customWidth="1"/>
    <col min="18" max="18" width="1.21875" style="1" customWidth="1"/>
    <col min="19" max="19" width="6.5546875" style="1" bestFit="1" customWidth="1"/>
    <col min="20" max="16384" width="10.77734375" style="1"/>
  </cols>
  <sheetData>
    <row r="2" spans="2:17" x14ac:dyDescent="0.25">
      <c r="B2" s="128" t="s">
        <v>0</v>
      </c>
      <c r="C2" s="129"/>
      <c r="D2" s="130"/>
      <c r="H2" s="2" t="s">
        <v>1</v>
      </c>
      <c r="I2" s="2"/>
      <c r="J2" s="2" t="s">
        <v>2</v>
      </c>
      <c r="L2" s="2" t="s">
        <v>3</v>
      </c>
      <c r="N2" s="1" t="s">
        <v>95</v>
      </c>
    </row>
    <row r="3" spans="2:17" ht="13.95" customHeight="1" x14ac:dyDescent="0.25">
      <c r="B3" s="66" t="s">
        <v>45</v>
      </c>
      <c r="C3" s="131">
        <f>+'Balance 2022 '!C39</f>
        <v>67824990</v>
      </c>
      <c r="D3" s="132"/>
      <c r="H3" s="133">
        <v>30961</v>
      </c>
      <c r="J3" s="136">
        <v>15790</v>
      </c>
      <c r="L3" s="139">
        <f>H3-J3</f>
        <v>15171</v>
      </c>
      <c r="N3" s="142">
        <v>72</v>
      </c>
    </row>
    <row r="4" spans="2:17" ht="13.95" customHeight="1" x14ac:dyDescent="0.25">
      <c r="B4" s="66" t="s">
        <v>46</v>
      </c>
      <c r="C4" s="144">
        <f>+'Balance 2022 '!C37</f>
        <v>610716793</v>
      </c>
      <c r="D4" s="145"/>
      <c r="H4" s="134"/>
      <c r="J4" s="137"/>
      <c r="L4" s="140"/>
      <c r="N4" s="143"/>
    </row>
    <row r="5" spans="2:17" ht="13.95" customHeight="1" x14ac:dyDescent="0.25">
      <c r="B5" s="66" t="s">
        <v>4</v>
      </c>
      <c r="C5" s="131">
        <f>+'Balance 2022 '!C38</f>
        <v>241612767.91</v>
      </c>
      <c r="D5" s="132"/>
      <c r="H5" s="134"/>
      <c r="J5" s="137"/>
      <c r="L5" s="140"/>
    </row>
    <row r="6" spans="2:17" ht="13.95" customHeight="1" x14ac:dyDescent="0.25">
      <c r="B6" s="66" t="s">
        <v>88</v>
      </c>
      <c r="C6" s="131">
        <f>+'Balance 2022 '!C40</f>
        <v>59404388</v>
      </c>
      <c r="D6" s="132"/>
      <c r="H6" s="134"/>
      <c r="J6" s="137"/>
      <c r="L6" s="140"/>
    </row>
    <row r="7" spans="2:17" ht="13.95" customHeight="1" x14ac:dyDescent="0.25">
      <c r="B7" s="66" t="s">
        <v>89</v>
      </c>
      <c r="C7" s="131">
        <f>+'Balance 2022 '!C41</f>
        <v>8000000</v>
      </c>
      <c r="D7" s="132"/>
      <c r="H7" s="134"/>
      <c r="J7" s="137"/>
      <c r="L7" s="140"/>
    </row>
    <row r="8" spans="2:17" ht="13.95" customHeight="1" x14ac:dyDescent="0.25">
      <c r="B8" s="67" t="s">
        <v>5</v>
      </c>
      <c r="C8" s="152">
        <f>SUM(C3:D7)</f>
        <v>987558938.90999997</v>
      </c>
      <c r="D8" s="153"/>
      <c r="E8" s="4"/>
      <c r="H8" s="135"/>
      <c r="J8" s="138"/>
      <c r="L8" s="141"/>
    </row>
    <row r="9" spans="2:17" ht="5.0999999999999996" customHeight="1" x14ac:dyDescent="0.25">
      <c r="B9" s="68"/>
      <c r="C9" s="73"/>
      <c r="D9" s="74"/>
    </row>
    <row r="10" spans="2:17" x14ac:dyDescent="0.25">
      <c r="B10" s="77" t="s">
        <v>55</v>
      </c>
      <c r="C10" s="154">
        <f>+J31</f>
        <v>764788650</v>
      </c>
      <c r="D10" s="154"/>
      <c r="H10" s="5">
        <v>0</v>
      </c>
      <c r="J10" s="34">
        <f>J3/H3</f>
        <v>0.50999644714318015</v>
      </c>
      <c r="L10" s="6">
        <f>L3/H3</f>
        <v>0.49000355285681985</v>
      </c>
    </row>
    <row r="11" spans="2:17" x14ac:dyDescent="0.25">
      <c r="B11" s="77" t="s">
        <v>54</v>
      </c>
      <c r="C11" s="155">
        <f>+C8-C10</f>
        <v>222770288.90999997</v>
      </c>
      <c r="D11" s="155"/>
      <c r="H11" s="7"/>
      <c r="I11" s="7"/>
      <c r="J11" s="7"/>
      <c r="K11" s="7"/>
      <c r="L11" s="7"/>
      <c r="M11" s="8"/>
      <c r="N11" s="8"/>
      <c r="O11" s="8"/>
    </row>
    <row r="12" spans="2:17" x14ac:dyDescent="0.25">
      <c r="B12" s="47"/>
      <c r="D12" s="46"/>
      <c r="E12" s="8"/>
      <c r="F12" s="8"/>
      <c r="G12" s="8"/>
      <c r="H12" s="9"/>
      <c r="I12" s="8"/>
      <c r="J12" s="9"/>
      <c r="K12" s="8"/>
      <c r="L12" s="9"/>
      <c r="M12" s="8"/>
      <c r="N12" s="8"/>
      <c r="O12" s="8"/>
      <c r="P12" s="8"/>
      <c r="Q12" s="8"/>
    </row>
    <row r="13" spans="2:17" x14ac:dyDescent="0.25">
      <c r="B13" s="10" t="s">
        <v>6</v>
      </c>
      <c r="C13" s="11">
        <f>INT(H10/N3)</f>
        <v>0</v>
      </c>
      <c r="D13" s="12"/>
      <c r="E13" s="8"/>
      <c r="F13" s="8"/>
      <c r="G13" s="8"/>
      <c r="H13" s="13"/>
      <c r="I13" s="8"/>
      <c r="J13" s="14"/>
      <c r="K13" s="15"/>
      <c r="L13" s="14"/>
      <c r="M13" s="8"/>
      <c r="N13" s="8"/>
      <c r="O13" s="8"/>
      <c r="P13" s="8"/>
      <c r="Q13" s="8"/>
    </row>
    <row r="14" spans="2:17" x14ac:dyDescent="0.25">
      <c r="B14" s="10" t="s">
        <v>7</v>
      </c>
      <c r="C14" s="16">
        <f>J3-C13</f>
        <v>15790</v>
      </c>
      <c r="D14" s="12"/>
      <c r="E14" s="8"/>
      <c r="F14" s="8"/>
      <c r="G14" s="8"/>
      <c r="H14" s="8"/>
      <c r="I14" s="8"/>
      <c r="J14" s="17"/>
      <c r="K14" s="8"/>
      <c r="L14" s="8"/>
      <c r="M14" s="8"/>
      <c r="N14" s="8"/>
      <c r="O14" s="8"/>
      <c r="P14" s="8"/>
      <c r="Q14" s="8"/>
    </row>
    <row r="15" spans="2:17" x14ac:dyDescent="0.25">
      <c r="D15" s="12"/>
      <c r="E15" s="8"/>
      <c r="F15" s="8"/>
      <c r="G15" s="8"/>
      <c r="H15" s="8"/>
      <c r="I15" s="8"/>
      <c r="J15" s="17"/>
      <c r="K15" s="8"/>
      <c r="L15" s="8"/>
      <c r="M15" s="8"/>
      <c r="N15" s="8"/>
      <c r="O15" s="8"/>
      <c r="P15" s="8"/>
      <c r="Q15" s="8"/>
    </row>
    <row r="16" spans="2:17" x14ac:dyDescent="0.25">
      <c r="D16" s="8"/>
      <c r="E16" s="12"/>
      <c r="F16" s="8"/>
      <c r="G16" s="8"/>
      <c r="H16" s="12"/>
      <c r="J16" s="156" t="s">
        <v>44</v>
      </c>
      <c r="K16" s="157"/>
      <c r="L16" s="157"/>
      <c r="M16" s="157"/>
      <c r="N16" s="157"/>
      <c r="O16" s="158"/>
      <c r="P16" s="18"/>
      <c r="Q16" s="124" t="s">
        <v>8</v>
      </c>
    </row>
    <row r="17" spans="1:20" s="21" customFormat="1" ht="26.4" customHeight="1" x14ac:dyDescent="0.3">
      <c r="A17" s="20" t="s">
        <v>32</v>
      </c>
      <c r="B17" s="38" t="s">
        <v>9</v>
      </c>
      <c r="C17" s="20" t="s">
        <v>10</v>
      </c>
      <c r="D17" s="64" t="s">
        <v>41</v>
      </c>
      <c r="E17" s="51" t="s">
        <v>31</v>
      </c>
      <c r="F17" s="19" t="s">
        <v>43</v>
      </c>
      <c r="G17" s="42"/>
      <c r="H17" s="40" t="s">
        <v>42</v>
      </c>
      <c r="J17" s="20" t="s">
        <v>11</v>
      </c>
      <c r="L17" s="20" t="s">
        <v>12</v>
      </c>
      <c r="N17" s="52" t="s">
        <v>34</v>
      </c>
      <c r="O17" s="22" t="s">
        <v>13</v>
      </c>
      <c r="Q17" s="124"/>
      <c r="S17" s="21" t="s">
        <v>33</v>
      </c>
    </row>
    <row r="18" spans="1:20" x14ac:dyDescent="0.25">
      <c r="A18" s="39">
        <v>54</v>
      </c>
      <c r="B18" s="69" t="s">
        <v>14</v>
      </c>
      <c r="C18" s="70">
        <v>96</v>
      </c>
      <c r="D18" s="65">
        <f>+'Fechas-Convenios adición'!D4</f>
        <v>146</v>
      </c>
      <c r="E18" s="63">
        <f>+'Fechas-Convenios adición'!G4</f>
        <v>73</v>
      </c>
      <c r="F18" s="45">
        <f t="shared" ref="F18:F27" si="0">+E18+D18</f>
        <v>219</v>
      </c>
      <c r="G18" s="43">
        <f>+F26-'Fechas-Convenios adición'!I12</f>
        <v>0</v>
      </c>
      <c r="H18" s="41">
        <f>C18*E18*$H$3</f>
        <v>216974688</v>
      </c>
      <c r="J18" s="23">
        <f>C18*E18*$J$3</f>
        <v>110656320</v>
      </c>
      <c r="K18" s="24"/>
      <c r="L18" s="23">
        <f>C18*E18*$C$13</f>
        <v>0</v>
      </c>
      <c r="M18" s="24"/>
      <c r="N18" s="23">
        <f>C18*D18*$C$15</f>
        <v>0</v>
      </c>
      <c r="O18" s="25">
        <f>+$L$3*C18*E18</f>
        <v>106318368</v>
      </c>
      <c r="P18" s="26"/>
      <c r="Q18" s="27">
        <f>J18+L18+N18+O18</f>
        <v>216974688</v>
      </c>
      <c r="S18" s="48">
        <f>+Q18-H18</f>
        <v>0</v>
      </c>
      <c r="T18" s="44"/>
    </row>
    <row r="19" spans="1:20" x14ac:dyDescent="0.25">
      <c r="A19" s="39">
        <v>58</v>
      </c>
      <c r="B19" s="69" t="s">
        <v>15</v>
      </c>
      <c r="C19" s="71">
        <v>0</v>
      </c>
      <c r="D19" s="65">
        <f>+'Fechas-Convenios adición'!D5</f>
        <v>0</v>
      </c>
      <c r="E19" s="63">
        <f>+'Fechas-Convenios adición'!G5</f>
        <v>0</v>
      </c>
      <c r="F19" s="45">
        <f t="shared" si="0"/>
        <v>0</v>
      </c>
      <c r="G19" s="43">
        <f>+F20-'Fechas-Convenios adición'!I6</f>
        <v>0</v>
      </c>
      <c r="H19" s="41">
        <f t="shared" ref="H19:H29" si="1">C19*E19*$H$3</f>
        <v>0</v>
      </c>
      <c r="J19" s="23">
        <f t="shared" ref="J19:J29" si="2">C19*E19*$J$3</f>
        <v>0</v>
      </c>
      <c r="K19" s="24"/>
      <c r="L19" s="23">
        <f t="shared" ref="L19:L29" si="3">C19*E19*$C$13</f>
        <v>0</v>
      </c>
      <c r="M19" s="24"/>
      <c r="N19" s="23">
        <f t="shared" ref="N19:N29" si="4">C19*D19*$C$15</f>
        <v>0</v>
      </c>
      <c r="O19" s="25">
        <f t="shared" ref="O19:O28" si="5">+$L$3*C19*E19</f>
        <v>0</v>
      </c>
      <c r="P19" s="26"/>
      <c r="Q19" s="27">
        <f t="shared" ref="Q19:Q29" si="6">J19+L19+N19+O19</f>
        <v>0</v>
      </c>
      <c r="S19" s="48">
        <f t="shared" ref="S19:S30" si="7">+Q19-H19</f>
        <v>0</v>
      </c>
      <c r="T19" s="44"/>
    </row>
    <row r="20" spans="1:20" x14ac:dyDescent="0.25">
      <c r="A20" s="39">
        <v>49</v>
      </c>
      <c r="B20" s="69" t="s">
        <v>16</v>
      </c>
      <c r="C20" s="70">
        <v>170</v>
      </c>
      <c r="D20" s="65">
        <f>+'Fechas-Convenios adición'!D6</f>
        <v>145</v>
      </c>
      <c r="E20" s="63">
        <f>+'Fechas-Convenios adición'!G6</f>
        <v>72</v>
      </c>
      <c r="F20" s="45">
        <f t="shared" si="0"/>
        <v>217</v>
      </c>
      <c r="G20" s="43">
        <f>+F23-'Fechas-Convenios adición'!I9</f>
        <v>0</v>
      </c>
      <c r="H20" s="41">
        <f t="shared" si="1"/>
        <v>378962640</v>
      </c>
      <c r="J20" s="23">
        <f>C20*E20*$J$3</f>
        <v>193269600</v>
      </c>
      <c r="K20" s="24"/>
      <c r="L20" s="23">
        <f t="shared" si="3"/>
        <v>0</v>
      </c>
      <c r="M20" s="24"/>
      <c r="N20" s="23">
        <f t="shared" si="4"/>
        <v>0</v>
      </c>
      <c r="O20" s="25">
        <f t="shared" si="5"/>
        <v>185693040</v>
      </c>
      <c r="P20" s="26"/>
      <c r="Q20" s="27">
        <f t="shared" si="6"/>
        <v>378962640</v>
      </c>
      <c r="S20" s="48">
        <f t="shared" si="7"/>
        <v>0</v>
      </c>
      <c r="T20" s="44"/>
    </row>
    <row r="21" spans="1:20" x14ac:dyDescent="0.25">
      <c r="A21" s="39">
        <v>46</v>
      </c>
      <c r="B21" s="69" t="s">
        <v>17</v>
      </c>
      <c r="C21" s="70">
        <v>60</v>
      </c>
      <c r="D21" s="65">
        <f>+'Fechas-Convenios adición'!D7</f>
        <v>145</v>
      </c>
      <c r="E21" s="63">
        <f>+'Fechas-Convenios adición'!G7</f>
        <v>72</v>
      </c>
      <c r="F21" s="45">
        <f t="shared" si="0"/>
        <v>217</v>
      </c>
      <c r="G21" s="43">
        <f>+F28-'Fechas-Convenios adición'!I14</f>
        <v>0</v>
      </c>
      <c r="H21" s="41">
        <f t="shared" si="1"/>
        <v>133751520</v>
      </c>
      <c r="J21" s="23">
        <f t="shared" si="2"/>
        <v>68212800</v>
      </c>
      <c r="K21" s="24"/>
      <c r="L21" s="23">
        <f t="shared" si="3"/>
        <v>0</v>
      </c>
      <c r="M21" s="24"/>
      <c r="N21" s="23">
        <f t="shared" si="4"/>
        <v>0</v>
      </c>
      <c r="O21" s="25">
        <f t="shared" si="5"/>
        <v>65538720</v>
      </c>
      <c r="P21" s="26"/>
      <c r="Q21" s="27">
        <f t="shared" si="6"/>
        <v>133751520</v>
      </c>
      <c r="S21" s="48">
        <f t="shared" si="7"/>
        <v>0</v>
      </c>
      <c r="T21" s="44"/>
    </row>
    <row r="22" spans="1:20" x14ac:dyDescent="0.25">
      <c r="A22" s="39">
        <v>42</v>
      </c>
      <c r="B22" s="69" t="s">
        <v>18</v>
      </c>
      <c r="C22" s="70">
        <v>35</v>
      </c>
      <c r="D22" s="65">
        <f>+'Fechas-Convenios adición'!D8</f>
        <v>146</v>
      </c>
      <c r="E22" s="63">
        <f>+'Fechas-Convenios adición'!G8</f>
        <v>73</v>
      </c>
      <c r="F22" s="45">
        <f t="shared" si="0"/>
        <v>219</v>
      </c>
      <c r="G22" s="43">
        <f>+F27-'Fechas-Convenios adición'!I13</f>
        <v>0</v>
      </c>
      <c r="H22" s="41">
        <f t="shared" si="1"/>
        <v>79105355</v>
      </c>
      <c r="J22" s="23">
        <f>C22*E22*$J$3</f>
        <v>40343450</v>
      </c>
      <c r="K22" s="24"/>
      <c r="L22" s="23">
        <f t="shared" si="3"/>
        <v>0</v>
      </c>
      <c r="M22" s="24"/>
      <c r="N22" s="23">
        <f t="shared" si="4"/>
        <v>0</v>
      </c>
      <c r="O22" s="25">
        <f>+$L$3*C22*E22</f>
        <v>38761905</v>
      </c>
      <c r="P22" s="26"/>
      <c r="Q22" s="27">
        <f t="shared" si="6"/>
        <v>79105355</v>
      </c>
      <c r="S22" s="48">
        <f t="shared" si="7"/>
        <v>0</v>
      </c>
      <c r="T22" s="44"/>
    </row>
    <row r="23" spans="1:20" x14ac:dyDescent="0.25">
      <c r="A23" s="39">
        <v>50</v>
      </c>
      <c r="B23" s="69" t="s">
        <v>19</v>
      </c>
      <c r="C23" s="70">
        <v>75</v>
      </c>
      <c r="D23" s="65">
        <f>+'Fechas-Convenios adición'!D9</f>
        <v>145</v>
      </c>
      <c r="E23" s="63">
        <f>+'Fechas-Convenios adición'!G9</f>
        <v>72</v>
      </c>
      <c r="F23" s="45">
        <f t="shared" si="0"/>
        <v>217</v>
      </c>
      <c r="G23" s="43">
        <f>+F22-'Fechas-Convenios adición'!I8</f>
        <v>0</v>
      </c>
      <c r="H23" s="41">
        <f t="shared" si="1"/>
        <v>167189400</v>
      </c>
      <c r="J23" s="23">
        <f>C23*E23*$J$3</f>
        <v>85266000</v>
      </c>
      <c r="K23" s="24"/>
      <c r="L23" s="23">
        <f t="shared" si="3"/>
        <v>0</v>
      </c>
      <c r="M23" s="24"/>
      <c r="N23" s="23">
        <f t="shared" si="4"/>
        <v>0</v>
      </c>
      <c r="O23" s="25">
        <f t="shared" si="5"/>
        <v>81923400</v>
      </c>
      <c r="P23" s="26"/>
      <c r="Q23" s="27">
        <f t="shared" si="6"/>
        <v>167189400</v>
      </c>
      <c r="S23" s="48">
        <f t="shared" si="7"/>
        <v>0</v>
      </c>
      <c r="T23" s="44"/>
    </row>
    <row r="24" spans="1:20" x14ac:dyDescent="0.25">
      <c r="A24" s="39">
        <v>57</v>
      </c>
      <c r="B24" s="69" t="s">
        <v>20</v>
      </c>
      <c r="C24" s="70">
        <v>30</v>
      </c>
      <c r="D24" s="65">
        <f>+'Fechas-Convenios adición'!D10</f>
        <v>145</v>
      </c>
      <c r="E24" s="63">
        <f>+'Fechas-Convenios adición'!G10</f>
        <v>72</v>
      </c>
      <c r="F24" s="45">
        <f t="shared" si="0"/>
        <v>217</v>
      </c>
      <c r="G24" s="43">
        <f>+F21-'Fechas-Convenios adición'!I7</f>
        <v>0</v>
      </c>
      <c r="H24" s="41">
        <f t="shared" si="1"/>
        <v>66875760</v>
      </c>
      <c r="J24" s="23">
        <f t="shared" si="2"/>
        <v>34106400</v>
      </c>
      <c r="K24" s="24"/>
      <c r="L24" s="23">
        <f t="shared" si="3"/>
        <v>0</v>
      </c>
      <c r="M24" s="24"/>
      <c r="N24" s="23">
        <f t="shared" si="4"/>
        <v>0</v>
      </c>
      <c r="O24" s="25">
        <f t="shared" si="5"/>
        <v>32769360</v>
      </c>
      <c r="P24" s="26"/>
      <c r="Q24" s="27">
        <f t="shared" si="6"/>
        <v>66875760</v>
      </c>
      <c r="S24" s="48">
        <f t="shared" si="7"/>
        <v>0</v>
      </c>
      <c r="T24" s="44"/>
    </row>
    <row r="25" spans="1:20" x14ac:dyDescent="0.25">
      <c r="A25" s="39">
        <v>55</v>
      </c>
      <c r="B25" s="69" t="s">
        <v>21</v>
      </c>
      <c r="C25" s="70">
        <v>30</v>
      </c>
      <c r="D25" s="65">
        <f>+'Fechas-Convenios adición'!D11</f>
        <v>145</v>
      </c>
      <c r="E25" s="63">
        <f>+'Fechas-Convenios adición'!G11</f>
        <v>72</v>
      </c>
      <c r="F25" s="45">
        <f t="shared" si="0"/>
        <v>217</v>
      </c>
      <c r="G25" s="43">
        <f>+F18-'Fechas-Convenios adición'!I4</f>
        <v>0</v>
      </c>
      <c r="H25" s="41">
        <f t="shared" si="1"/>
        <v>66875760</v>
      </c>
      <c r="J25" s="23">
        <f>C25*E25*$J$3</f>
        <v>34106400</v>
      </c>
      <c r="K25" s="24"/>
      <c r="L25" s="23">
        <f t="shared" si="3"/>
        <v>0</v>
      </c>
      <c r="M25" s="24"/>
      <c r="N25" s="23">
        <f t="shared" si="4"/>
        <v>0</v>
      </c>
      <c r="O25" s="25">
        <f t="shared" si="5"/>
        <v>32769360</v>
      </c>
      <c r="P25" s="26"/>
      <c r="Q25" s="27">
        <f t="shared" si="6"/>
        <v>66875760</v>
      </c>
      <c r="S25" s="48">
        <f t="shared" si="7"/>
        <v>0</v>
      </c>
      <c r="T25" s="44"/>
    </row>
    <row r="26" spans="1:20" x14ac:dyDescent="0.25">
      <c r="A26" s="39">
        <v>48</v>
      </c>
      <c r="B26" s="69" t="s">
        <v>22</v>
      </c>
      <c r="C26" s="70">
        <v>15</v>
      </c>
      <c r="D26" s="65">
        <f>+'Fechas-Convenios adición'!D12</f>
        <v>146</v>
      </c>
      <c r="E26" s="63">
        <f>+'Fechas-Convenios adición'!G12</f>
        <v>73</v>
      </c>
      <c r="F26" s="45">
        <f t="shared" si="0"/>
        <v>219</v>
      </c>
      <c r="G26" s="43">
        <f>+F24-'Fechas-Convenios adición'!I10</f>
        <v>0</v>
      </c>
      <c r="H26" s="41">
        <f t="shared" si="1"/>
        <v>33902295</v>
      </c>
      <c r="J26" s="23">
        <f t="shared" si="2"/>
        <v>17290050</v>
      </c>
      <c r="K26" s="24"/>
      <c r="L26" s="23">
        <f t="shared" si="3"/>
        <v>0</v>
      </c>
      <c r="M26" s="24"/>
      <c r="N26" s="23">
        <f t="shared" si="4"/>
        <v>0</v>
      </c>
      <c r="O26" s="25">
        <f t="shared" si="5"/>
        <v>16612245</v>
      </c>
      <c r="P26" s="26"/>
      <c r="Q26" s="27">
        <f t="shared" si="6"/>
        <v>33902295</v>
      </c>
      <c r="S26" s="48">
        <f t="shared" si="7"/>
        <v>0</v>
      </c>
      <c r="T26" s="44"/>
    </row>
    <row r="27" spans="1:20" x14ac:dyDescent="0.25">
      <c r="A27" s="39">
        <v>52</v>
      </c>
      <c r="B27" s="69" t="s">
        <v>23</v>
      </c>
      <c r="C27" s="71">
        <v>110</v>
      </c>
      <c r="D27" s="65">
        <f>+'Fechas-Convenios adición'!D13</f>
        <v>145</v>
      </c>
      <c r="E27" s="63">
        <f>+'Fechas-Convenios adición'!G13</f>
        <v>72</v>
      </c>
      <c r="F27" s="45">
        <f t="shared" si="0"/>
        <v>217</v>
      </c>
      <c r="G27" s="43">
        <f>+F25-'Fechas-Convenios adición'!I11</f>
        <v>0</v>
      </c>
      <c r="H27" s="41">
        <f t="shared" si="1"/>
        <v>245211120</v>
      </c>
      <c r="J27" s="23">
        <f>C27*E27*$J$3</f>
        <v>125056800</v>
      </c>
      <c r="K27" s="24"/>
      <c r="L27" s="23">
        <f t="shared" si="3"/>
        <v>0</v>
      </c>
      <c r="M27" s="24"/>
      <c r="N27" s="23">
        <f t="shared" si="4"/>
        <v>0</v>
      </c>
      <c r="O27" s="25">
        <f t="shared" si="5"/>
        <v>120154320</v>
      </c>
      <c r="P27" s="26"/>
      <c r="Q27" s="27">
        <f t="shared" si="6"/>
        <v>245211120</v>
      </c>
      <c r="S27" s="48">
        <f t="shared" si="7"/>
        <v>0</v>
      </c>
      <c r="T27" s="44"/>
    </row>
    <row r="28" spans="1:20" x14ac:dyDescent="0.25">
      <c r="A28" s="39"/>
      <c r="B28" s="69" t="s">
        <v>24</v>
      </c>
      <c r="C28" s="70">
        <v>35</v>
      </c>
      <c r="D28" s="65">
        <f>+'Fechas-Convenios adición'!D14</f>
        <v>0</v>
      </c>
      <c r="E28" s="63">
        <f>+'Fechas-Convenios adición'!G14</f>
        <v>0</v>
      </c>
      <c r="F28" s="45">
        <f t="shared" ref="F28:F29" si="8">+E28+D28</f>
        <v>0</v>
      </c>
      <c r="G28" s="43">
        <f>+F29-'Fechas-Convenios adición'!I15</f>
        <v>0</v>
      </c>
      <c r="H28" s="41">
        <f t="shared" si="1"/>
        <v>0</v>
      </c>
      <c r="J28" s="23">
        <f t="shared" si="2"/>
        <v>0</v>
      </c>
      <c r="K28" s="24"/>
      <c r="L28" s="23">
        <f t="shared" si="3"/>
        <v>0</v>
      </c>
      <c r="M28" s="24"/>
      <c r="N28" s="23">
        <f t="shared" si="4"/>
        <v>0</v>
      </c>
      <c r="O28" s="25">
        <f t="shared" si="5"/>
        <v>0</v>
      </c>
      <c r="P28" s="26"/>
      <c r="Q28" s="27">
        <f t="shared" si="6"/>
        <v>0</v>
      </c>
      <c r="S28" s="48">
        <f t="shared" si="7"/>
        <v>0</v>
      </c>
      <c r="T28" s="44"/>
    </row>
    <row r="29" spans="1:20" x14ac:dyDescent="0.25">
      <c r="A29" s="39">
        <v>51</v>
      </c>
      <c r="B29" s="69" t="s">
        <v>25</v>
      </c>
      <c r="C29" s="70">
        <v>49</v>
      </c>
      <c r="D29" s="65">
        <f>+'Fechas-Convenios adición'!D15</f>
        <v>146</v>
      </c>
      <c r="E29" s="63">
        <f>+'Fechas-Convenios adición'!G15</f>
        <v>73</v>
      </c>
      <c r="F29" s="45">
        <f t="shared" si="8"/>
        <v>219</v>
      </c>
      <c r="G29" s="43">
        <f>+F19-'Fechas-Convenios adición'!I5</f>
        <v>0</v>
      </c>
      <c r="H29" s="41">
        <f t="shared" si="1"/>
        <v>110747497</v>
      </c>
      <c r="J29" s="23">
        <f t="shared" si="2"/>
        <v>56480830</v>
      </c>
      <c r="K29" s="24"/>
      <c r="L29" s="23">
        <f t="shared" si="3"/>
        <v>0</v>
      </c>
      <c r="M29" s="24"/>
      <c r="N29" s="23">
        <f t="shared" si="4"/>
        <v>0</v>
      </c>
      <c r="O29" s="25">
        <f>+$L$3*C29*E29</f>
        <v>54266667</v>
      </c>
      <c r="P29" s="26"/>
      <c r="Q29" s="27">
        <f t="shared" si="6"/>
        <v>110747497</v>
      </c>
      <c r="S29" s="48">
        <f t="shared" si="7"/>
        <v>0</v>
      </c>
      <c r="T29" s="44"/>
    </row>
    <row r="30" spans="1:20" x14ac:dyDescent="0.25">
      <c r="B30" s="36" t="s">
        <v>10</v>
      </c>
      <c r="C30" s="37">
        <f>SUM(C18:C29)</f>
        <v>705</v>
      </c>
      <c r="E30" s="46"/>
      <c r="F30" s="46"/>
      <c r="G30" s="35"/>
      <c r="H30" s="27">
        <f>SUM(H18:H29)</f>
        <v>1499596035</v>
      </c>
      <c r="J30" s="28">
        <f>SUM(J18:J29)</f>
        <v>764788650</v>
      </c>
      <c r="K30" s="24"/>
      <c r="L30" s="23">
        <f>SUM(L18:L29)</f>
        <v>0</v>
      </c>
      <c r="M30" s="24"/>
      <c r="N30" s="28">
        <f>SUM(N18:N29)</f>
        <v>0</v>
      </c>
      <c r="O30" s="29">
        <f>SUM(O18:O29)</f>
        <v>734807385</v>
      </c>
      <c r="P30" s="30"/>
      <c r="Q30" s="27">
        <f>SUM(Q18:Q29)</f>
        <v>1499596035</v>
      </c>
      <c r="S30" s="48">
        <f t="shared" si="7"/>
        <v>0</v>
      </c>
      <c r="T30" s="44"/>
    </row>
    <row r="31" spans="1:20" x14ac:dyDescent="0.25">
      <c r="J31" s="125">
        <f>J30+L30+N30</f>
        <v>764788650</v>
      </c>
      <c r="K31" s="126"/>
      <c r="L31" s="127"/>
      <c r="M31" s="126"/>
      <c r="N31" s="127"/>
      <c r="O31" s="29">
        <f>O30</f>
        <v>734807385</v>
      </c>
      <c r="P31" s="30"/>
      <c r="S31" s="49"/>
    </row>
    <row r="32" spans="1:20" ht="14.55" customHeight="1" x14ac:dyDescent="0.25">
      <c r="H32" s="3"/>
      <c r="J32" s="149">
        <f>(J31/H30)</f>
        <v>0.50999644714318015</v>
      </c>
      <c r="K32" s="150"/>
      <c r="L32" s="150"/>
      <c r="M32" s="150"/>
      <c r="N32" s="151"/>
      <c r="O32" s="31">
        <f>O31/H30</f>
        <v>0.49000355285681985</v>
      </c>
      <c r="P32" s="32"/>
      <c r="S32" s="50"/>
    </row>
    <row r="33" spans="2:19" x14ac:dyDescent="0.25">
      <c r="S33" s="50"/>
    </row>
    <row r="34" spans="2:19" ht="14.4" x14ac:dyDescent="0.3">
      <c r="J34" s="33"/>
      <c r="K34" s="33"/>
      <c r="L34" s="75"/>
      <c r="M34" s="50"/>
      <c r="N34" s="76"/>
      <c r="S34" s="50"/>
    </row>
    <row r="36" spans="2:19" x14ac:dyDescent="0.25">
      <c r="B36" s="146" t="s">
        <v>26</v>
      </c>
      <c r="C36" s="147"/>
      <c r="D36" s="147"/>
      <c r="E36" s="147"/>
      <c r="F36" s="147"/>
      <c r="G36" s="147"/>
      <c r="H36" s="148"/>
      <c r="L36" s="48"/>
      <c r="M36" s="50"/>
      <c r="N36" s="50"/>
      <c r="O36" s="50"/>
      <c r="P36" s="50"/>
      <c r="Q36" s="50"/>
    </row>
    <row r="37" spans="2:19" x14ac:dyDescent="0.25">
      <c r="L37" s="48"/>
      <c r="M37" s="50"/>
      <c r="N37" s="50"/>
      <c r="O37" s="50"/>
      <c r="P37" s="50"/>
      <c r="Q37" s="50"/>
    </row>
    <row r="38" spans="2:19" x14ac:dyDescent="0.25">
      <c r="L38" s="50"/>
      <c r="M38" s="50"/>
      <c r="N38" s="50"/>
      <c r="O38" s="50"/>
      <c r="P38" s="50"/>
      <c r="Q38" s="50"/>
    </row>
  </sheetData>
  <sortState xmlns:xlrd2="http://schemas.microsoft.com/office/spreadsheetml/2017/richdata2" ref="A18:F29">
    <sortCondition ref="A18:A29"/>
  </sortState>
  <mergeCells count="18">
    <mergeCell ref="B36:H36"/>
    <mergeCell ref="J32:N32"/>
    <mergeCell ref="C8:D8"/>
    <mergeCell ref="C10:D10"/>
    <mergeCell ref="C11:D11"/>
    <mergeCell ref="J16:O16"/>
    <mergeCell ref="Q16:Q17"/>
    <mergeCell ref="J31:N31"/>
    <mergeCell ref="B2:D2"/>
    <mergeCell ref="C3:D3"/>
    <mergeCell ref="H3:H8"/>
    <mergeCell ref="J3:J8"/>
    <mergeCell ref="L3:L8"/>
    <mergeCell ref="N3:N4"/>
    <mergeCell ref="C4:D4"/>
    <mergeCell ref="C5:D5"/>
    <mergeCell ref="C6:D6"/>
    <mergeCell ref="C7:D7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9"/>
  <sheetViews>
    <sheetView workbookViewId="0">
      <selection activeCell="H4" sqref="H4"/>
    </sheetView>
  </sheetViews>
  <sheetFormatPr baseColWidth="10" defaultColWidth="11.5546875" defaultRowHeight="13.8" x14ac:dyDescent="0.25"/>
  <cols>
    <col min="1" max="1" width="17.33203125" style="50" bestFit="1" customWidth="1"/>
    <col min="2" max="2" width="35" style="50" bestFit="1" customWidth="1"/>
    <col min="3" max="3" width="16.5546875" style="50" bestFit="1" customWidth="1"/>
    <col min="4" max="4" width="6.5546875" style="50" bestFit="1" customWidth="1"/>
    <col min="5" max="5" width="12.6640625" style="50" bestFit="1" customWidth="1"/>
    <col min="6" max="6" width="12.88671875" style="50" customWidth="1"/>
    <col min="7" max="7" width="8.6640625" style="50" bestFit="1" customWidth="1"/>
    <col min="8" max="8" width="11.88671875" style="50" bestFit="1" customWidth="1"/>
    <col min="9" max="9" width="10.88671875" style="1" bestFit="1" customWidth="1"/>
    <col min="10" max="16384" width="11.5546875" style="1"/>
  </cols>
  <sheetData>
    <row r="1" spans="1:10" x14ac:dyDescent="0.25">
      <c r="A1" s="1"/>
      <c r="B1" s="1"/>
      <c r="C1" s="53"/>
      <c r="D1" s="53"/>
      <c r="E1" s="53"/>
      <c r="F1" s="53"/>
      <c r="G1" s="53"/>
      <c r="H1" s="53"/>
    </row>
    <row r="2" spans="1:10" x14ac:dyDescent="0.25">
      <c r="A2" s="54" t="s">
        <v>30</v>
      </c>
      <c r="B2" s="1"/>
      <c r="C2" s="53"/>
      <c r="D2" s="53"/>
      <c r="E2" s="53"/>
      <c r="F2" s="53"/>
      <c r="G2" s="53"/>
      <c r="H2" s="53"/>
    </row>
    <row r="3" spans="1:10" s="2" customFormat="1" ht="28.05" customHeight="1" x14ac:dyDescent="0.3">
      <c r="A3" s="57" t="s">
        <v>29</v>
      </c>
      <c r="B3" s="57" t="s">
        <v>28</v>
      </c>
      <c r="C3" s="57" t="s">
        <v>35</v>
      </c>
      <c r="D3" s="57" t="s">
        <v>36</v>
      </c>
      <c r="E3" s="57" t="s">
        <v>27</v>
      </c>
      <c r="F3" s="57" t="s">
        <v>37</v>
      </c>
      <c r="G3" s="57" t="s">
        <v>38</v>
      </c>
      <c r="H3" s="57" t="s">
        <v>39</v>
      </c>
      <c r="I3" s="57" t="s">
        <v>40</v>
      </c>
    </row>
    <row r="4" spans="1:10" x14ac:dyDescent="0.25">
      <c r="A4" s="58">
        <v>54</v>
      </c>
      <c r="B4" s="106" t="s">
        <v>14</v>
      </c>
      <c r="C4" s="107">
        <v>45017</v>
      </c>
      <c r="D4" s="60">
        <v>146</v>
      </c>
      <c r="E4" s="59">
        <f>+C4+D4-1</f>
        <v>45162</v>
      </c>
      <c r="F4" s="59">
        <f>+E4+1</f>
        <v>45163</v>
      </c>
      <c r="G4" s="60">
        <v>73</v>
      </c>
      <c r="H4" s="61">
        <f>+E4+G4</f>
        <v>45235</v>
      </c>
      <c r="I4" s="62">
        <f>+G4+D4</f>
        <v>219</v>
      </c>
      <c r="J4" s="35"/>
    </row>
    <row r="5" spans="1:10" x14ac:dyDescent="0.25">
      <c r="A5" s="58">
        <v>58</v>
      </c>
      <c r="B5" s="106" t="s">
        <v>15</v>
      </c>
      <c r="C5" s="107">
        <v>45017</v>
      </c>
      <c r="D5" s="109"/>
      <c r="E5" s="108"/>
      <c r="F5" s="108"/>
      <c r="G5" s="109"/>
      <c r="H5" s="110"/>
      <c r="I5" s="111"/>
      <c r="J5" s="35"/>
    </row>
    <row r="6" spans="1:10" x14ac:dyDescent="0.25">
      <c r="A6" s="58">
        <v>49</v>
      </c>
      <c r="B6" s="106" t="s">
        <v>16</v>
      </c>
      <c r="C6" s="107">
        <v>45016</v>
      </c>
      <c r="D6" s="60">
        <v>145</v>
      </c>
      <c r="E6" s="59">
        <f t="shared" ref="E6:E13" si="0">+C6+D6-1</f>
        <v>45160</v>
      </c>
      <c r="F6" s="59">
        <f t="shared" ref="F6:F13" si="1">+E6+1</f>
        <v>45161</v>
      </c>
      <c r="G6" s="60">
        <v>72</v>
      </c>
      <c r="H6" s="61">
        <f t="shared" ref="H6:H13" si="2">+E6+G6</f>
        <v>45232</v>
      </c>
      <c r="I6" s="62">
        <f t="shared" ref="I6:I13" si="3">+G6+D6</f>
        <v>217</v>
      </c>
      <c r="J6" s="35"/>
    </row>
    <row r="7" spans="1:10" x14ac:dyDescent="0.25">
      <c r="A7" s="58">
        <v>46</v>
      </c>
      <c r="B7" s="106" t="s">
        <v>17</v>
      </c>
      <c r="C7" s="107">
        <v>45015</v>
      </c>
      <c r="D7" s="60">
        <v>145</v>
      </c>
      <c r="E7" s="59">
        <f t="shared" si="0"/>
        <v>45159</v>
      </c>
      <c r="F7" s="59">
        <f t="shared" si="1"/>
        <v>45160</v>
      </c>
      <c r="G7" s="60">
        <v>72</v>
      </c>
      <c r="H7" s="61">
        <f t="shared" si="2"/>
        <v>45231</v>
      </c>
      <c r="I7" s="62">
        <f t="shared" si="3"/>
        <v>217</v>
      </c>
      <c r="J7" s="35"/>
    </row>
    <row r="8" spans="1:10" x14ac:dyDescent="0.25">
      <c r="A8" s="58">
        <v>42</v>
      </c>
      <c r="B8" s="106" t="s">
        <v>18</v>
      </c>
      <c r="C8" s="107">
        <v>45016</v>
      </c>
      <c r="D8" s="60">
        <v>146</v>
      </c>
      <c r="E8" s="59">
        <f t="shared" si="0"/>
        <v>45161</v>
      </c>
      <c r="F8" s="59">
        <f t="shared" si="1"/>
        <v>45162</v>
      </c>
      <c r="G8" s="60">
        <v>73</v>
      </c>
      <c r="H8" s="61">
        <f t="shared" si="2"/>
        <v>45234</v>
      </c>
      <c r="I8" s="62">
        <f t="shared" si="3"/>
        <v>219</v>
      </c>
      <c r="J8" s="35"/>
    </row>
    <row r="9" spans="1:10" x14ac:dyDescent="0.25">
      <c r="A9" s="80">
        <v>50</v>
      </c>
      <c r="B9" s="112" t="s">
        <v>19</v>
      </c>
      <c r="C9" s="107">
        <v>45016</v>
      </c>
      <c r="D9" s="60">
        <v>145</v>
      </c>
      <c r="E9" s="59">
        <f t="shared" si="0"/>
        <v>45160</v>
      </c>
      <c r="F9" s="59">
        <f t="shared" si="1"/>
        <v>45161</v>
      </c>
      <c r="G9" s="60">
        <v>72</v>
      </c>
      <c r="H9" s="61">
        <f t="shared" si="2"/>
        <v>45232</v>
      </c>
      <c r="I9" s="62">
        <f t="shared" si="3"/>
        <v>217</v>
      </c>
      <c r="J9" s="35"/>
    </row>
    <row r="10" spans="1:10" x14ac:dyDescent="0.25">
      <c r="A10" s="58">
        <v>57</v>
      </c>
      <c r="B10" s="106" t="s">
        <v>20</v>
      </c>
      <c r="C10" s="107">
        <v>45017</v>
      </c>
      <c r="D10" s="60">
        <v>145</v>
      </c>
      <c r="E10" s="59">
        <f t="shared" si="0"/>
        <v>45161</v>
      </c>
      <c r="F10" s="59">
        <f t="shared" si="1"/>
        <v>45162</v>
      </c>
      <c r="G10" s="60">
        <v>72</v>
      </c>
      <c r="H10" s="61">
        <f t="shared" si="2"/>
        <v>45233</v>
      </c>
      <c r="I10" s="62">
        <f t="shared" si="3"/>
        <v>217</v>
      </c>
      <c r="J10" s="35"/>
    </row>
    <row r="11" spans="1:10" x14ac:dyDescent="0.25">
      <c r="A11" s="58">
        <v>55</v>
      </c>
      <c r="B11" s="106" t="s">
        <v>90</v>
      </c>
      <c r="C11" s="107">
        <v>45017</v>
      </c>
      <c r="D11" s="60">
        <v>145</v>
      </c>
      <c r="E11" s="59">
        <f t="shared" si="0"/>
        <v>45161</v>
      </c>
      <c r="F11" s="59">
        <f t="shared" si="1"/>
        <v>45162</v>
      </c>
      <c r="G11" s="60">
        <v>72</v>
      </c>
      <c r="H11" s="61">
        <f t="shared" si="2"/>
        <v>45233</v>
      </c>
      <c r="I11" s="62">
        <f t="shared" si="3"/>
        <v>217</v>
      </c>
      <c r="J11" s="35"/>
    </row>
    <row r="12" spans="1:10" x14ac:dyDescent="0.25">
      <c r="A12" s="58">
        <v>48</v>
      </c>
      <c r="B12" s="106" t="s">
        <v>22</v>
      </c>
      <c r="C12" s="107">
        <v>45017</v>
      </c>
      <c r="D12" s="60">
        <v>146</v>
      </c>
      <c r="E12" s="59">
        <f t="shared" si="0"/>
        <v>45162</v>
      </c>
      <c r="F12" s="59">
        <f t="shared" si="1"/>
        <v>45163</v>
      </c>
      <c r="G12" s="60">
        <v>73</v>
      </c>
      <c r="H12" s="61">
        <f t="shared" si="2"/>
        <v>45235</v>
      </c>
      <c r="I12" s="62">
        <f t="shared" si="3"/>
        <v>219</v>
      </c>
      <c r="J12" s="35"/>
    </row>
    <row r="13" spans="1:10" x14ac:dyDescent="0.25">
      <c r="A13" s="58">
        <v>52</v>
      </c>
      <c r="B13" s="106" t="s">
        <v>23</v>
      </c>
      <c r="C13" s="107">
        <v>45016</v>
      </c>
      <c r="D13" s="60">
        <v>145</v>
      </c>
      <c r="E13" s="59">
        <f t="shared" si="0"/>
        <v>45160</v>
      </c>
      <c r="F13" s="59">
        <f t="shared" si="1"/>
        <v>45161</v>
      </c>
      <c r="G13" s="60">
        <v>72</v>
      </c>
      <c r="H13" s="61">
        <f t="shared" si="2"/>
        <v>45232</v>
      </c>
      <c r="I13" s="62">
        <f t="shared" si="3"/>
        <v>217</v>
      </c>
      <c r="J13" s="35"/>
    </row>
    <row r="14" spans="1:10" x14ac:dyDescent="0.25">
      <c r="A14" s="80"/>
      <c r="B14" s="112" t="s">
        <v>24</v>
      </c>
      <c r="C14" s="107"/>
      <c r="D14" s="109"/>
      <c r="E14" s="108"/>
      <c r="F14" s="108"/>
      <c r="G14" s="109"/>
      <c r="H14" s="110"/>
      <c r="I14" s="111"/>
      <c r="J14" s="35"/>
    </row>
    <row r="15" spans="1:10" x14ac:dyDescent="0.25">
      <c r="A15" s="58">
        <v>51</v>
      </c>
      <c r="B15" s="112" t="s">
        <v>25</v>
      </c>
      <c r="C15" s="107">
        <v>45016</v>
      </c>
      <c r="D15" s="60">
        <v>146</v>
      </c>
      <c r="E15" s="59">
        <f t="shared" ref="E15" si="4">+C15+D15-1</f>
        <v>45161</v>
      </c>
      <c r="F15" s="59">
        <f t="shared" ref="F15" si="5">+E15+1</f>
        <v>45162</v>
      </c>
      <c r="G15" s="60">
        <v>73</v>
      </c>
      <c r="H15" s="61">
        <f t="shared" ref="H15" si="6">+E15+G15</f>
        <v>45234</v>
      </c>
      <c r="I15" s="62">
        <f t="shared" ref="I15" si="7">+G15+D15</f>
        <v>219</v>
      </c>
      <c r="J15" s="35"/>
    </row>
    <row r="16" spans="1:10" x14ac:dyDescent="0.25">
      <c r="A16" s="1"/>
      <c r="B16" s="1"/>
      <c r="C16" s="53"/>
      <c r="D16" s="53"/>
      <c r="E16" s="53"/>
      <c r="F16" s="53"/>
      <c r="G16" s="53"/>
      <c r="H16" s="53"/>
    </row>
    <row r="19" spans="3:7" x14ac:dyDescent="0.25">
      <c r="C19" s="56"/>
      <c r="D19" s="56"/>
      <c r="E19" s="56"/>
      <c r="F19" s="56"/>
      <c r="G19" s="56"/>
    </row>
  </sheetData>
  <autoFilter ref="A3:C15" xr:uid="{00000000-0009-0000-0000-000002000000}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19"/>
  <sheetViews>
    <sheetView workbookViewId="0">
      <selection activeCell="D6" sqref="D6"/>
    </sheetView>
  </sheetViews>
  <sheetFormatPr baseColWidth="10" defaultColWidth="11.5546875" defaultRowHeight="13.8" x14ac:dyDescent="0.25"/>
  <cols>
    <col min="1" max="1" width="17.33203125" style="50" bestFit="1" customWidth="1"/>
    <col min="2" max="2" width="35" style="50" bestFit="1" customWidth="1"/>
    <col min="3" max="3" width="16.5546875" style="50" bestFit="1" customWidth="1"/>
    <col min="4" max="4" width="6.5546875" style="50" bestFit="1" customWidth="1"/>
    <col min="5" max="5" width="12.6640625" style="50" bestFit="1" customWidth="1"/>
    <col min="6" max="16384" width="11.5546875" style="1"/>
  </cols>
  <sheetData>
    <row r="1" spans="1:7" x14ac:dyDescent="0.25">
      <c r="A1" s="1"/>
      <c r="B1" s="1"/>
      <c r="C1" s="53"/>
      <c r="D1" s="53"/>
      <c r="E1" s="53"/>
    </row>
    <row r="2" spans="1:7" x14ac:dyDescent="0.25">
      <c r="A2" s="54" t="s">
        <v>30</v>
      </c>
      <c r="B2" s="1"/>
      <c r="C2" s="53"/>
      <c r="D2" s="53"/>
      <c r="E2" s="53"/>
    </row>
    <row r="3" spans="1:7" s="2" customFormat="1" ht="28.05" customHeight="1" x14ac:dyDescent="0.3">
      <c r="A3" s="57" t="s">
        <v>29</v>
      </c>
      <c r="B3" s="57" t="s">
        <v>28</v>
      </c>
      <c r="C3" s="57" t="s">
        <v>35</v>
      </c>
      <c r="D3" s="57" t="s">
        <v>36</v>
      </c>
      <c r="E3" s="57" t="s">
        <v>27</v>
      </c>
    </row>
    <row r="4" spans="1:7" x14ac:dyDescent="0.25">
      <c r="A4" s="58"/>
      <c r="B4" s="106" t="s">
        <v>14</v>
      </c>
      <c r="C4" s="107">
        <f>+'Fechas-Convenios adición'!H4+2</f>
        <v>45237</v>
      </c>
      <c r="D4" s="60">
        <v>41</v>
      </c>
      <c r="E4" s="59">
        <f>+C4+D4-1</f>
        <v>45277</v>
      </c>
      <c r="F4" s="55"/>
      <c r="G4" s="61"/>
    </row>
    <row r="5" spans="1:7" x14ac:dyDescent="0.25">
      <c r="A5" s="58"/>
      <c r="B5" s="106" t="s">
        <v>15</v>
      </c>
      <c r="C5" s="107"/>
      <c r="D5" s="109"/>
      <c r="E5" s="108"/>
      <c r="F5" s="55"/>
      <c r="G5" s="110"/>
    </row>
    <row r="6" spans="1:7" x14ac:dyDescent="0.25">
      <c r="A6" s="58"/>
      <c r="B6" s="106" t="s">
        <v>16</v>
      </c>
      <c r="C6" s="107">
        <f>+'Fechas-Convenios adición'!H6+2</f>
        <v>45234</v>
      </c>
      <c r="D6" s="60">
        <v>44</v>
      </c>
      <c r="E6" s="59">
        <f t="shared" ref="E6:E13" si="0">+C6+D6-1</f>
        <v>45277</v>
      </c>
      <c r="F6" s="55"/>
      <c r="G6" s="61"/>
    </row>
    <row r="7" spans="1:7" x14ac:dyDescent="0.25">
      <c r="A7" s="58"/>
      <c r="B7" s="106" t="s">
        <v>17</v>
      </c>
      <c r="C7" s="107">
        <f>+'Fechas-Convenios adición'!H7+2</f>
        <v>45233</v>
      </c>
      <c r="D7" s="60">
        <v>45</v>
      </c>
      <c r="E7" s="59">
        <f t="shared" si="0"/>
        <v>45277</v>
      </c>
      <c r="F7" s="55"/>
      <c r="G7" s="61"/>
    </row>
    <row r="8" spans="1:7" x14ac:dyDescent="0.25">
      <c r="A8" s="58"/>
      <c r="B8" s="106" t="s">
        <v>18</v>
      </c>
      <c r="C8" s="107">
        <f>+'Fechas-Convenios adición'!H8+2</f>
        <v>45236</v>
      </c>
      <c r="D8" s="60">
        <v>42</v>
      </c>
      <c r="E8" s="59">
        <f t="shared" si="0"/>
        <v>45277</v>
      </c>
      <c r="F8" s="55"/>
      <c r="G8" s="61"/>
    </row>
    <row r="9" spans="1:7" x14ac:dyDescent="0.25">
      <c r="A9" s="80"/>
      <c r="B9" s="112" t="s">
        <v>19</v>
      </c>
      <c r="C9" s="107">
        <f>+'Fechas-Convenios adición'!H9+2</f>
        <v>45234</v>
      </c>
      <c r="D9" s="60">
        <v>44</v>
      </c>
      <c r="E9" s="59">
        <f t="shared" si="0"/>
        <v>45277</v>
      </c>
      <c r="F9" s="55"/>
      <c r="G9" s="61"/>
    </row>
    <row r="10" spans="1:7" x14ac:dyDescent="0.25">
      <c r="A10" s="58"/>
      <c r="B10" s="106" t="s">
        <v>20</v>
      </c>
      <c r="C10" s="107">
        <f>+'Fechas-Convenios adición'!H10+2</f>
        <v>45235</v>
      </c>
      <c r="D10" s="60">
        <v>43</v>
      </c>
      <c r="E10" s="59">
        <f t="shared" si="0"/>
        <v>45277</v>
      </c>
      <c r="F10" s="55"/>
      <c r="G10" s="61"/>
    </row>
    <row r="11" spans="1:7" x14ac:dyDescent="0.25">
      <c r="A11" s="58"/>
      <c r="B11" s="106" t="s">
        <v>90</v>
      </c>
      <c r="C11" s="107">
        <f>+'Fechas-Convenios adición'!H11+2</f>
        <v>45235</v>
      </c>
      <c r="D11" s="60">
        <v>43</v>
      </c>
      <c r="E11" s="59">
        <f t="shared" si="0"/>
        <v>45277</v>
      </c>
      <c r="F11" s="55"/>
      <c r="G11" s="61"/>
    </row>
    <row r="12" spans="1:7" x14ac:dyDescent="0.25">
      <c r="A12" s="58"/>
      <c r="B12" s="106" t="s">
        <v>22</v>
      </c>
      <c r="C12" s="107">
        <f>+'Fechas-Convenios adición'!H12+2</f>
        <v>45237</v>
      </c>
      <c r="D12" s="60">
        <v>41</v>
      </c>
      <c r="E12" s="59">
        <f t="shared" si="0"/>
        <v>45277</v>
      </c>
      <c r="F12" s="55"/>
      <c r="G12" s="61"/>
    </row>
    <row r="13" spans="1:7" x14ac:dyDescent="0.25">
      <c r="A13" s="58"/>
      <c r="B13" s="106" t="s">
        <v>23</v>
      </c>
      <c r="C13" s="107">
        <f>+'Fechas-Convenios adición'!H13+2</f>
        <v>45234</v>
      </c>
      <c r="D13" s="60">
        <v>44</v>
      </c>
      <c r="E13" s="59">
        <f t="shared" si="0"/>
        <v>45277</v>
      </c>
      <c r="F13" s="55"/>
      <c r="G13" s="61"/>
    </row>
    <row r="14" spans="1:7" x14ac:dyDescent="0.25">
      <c r="A14" s="80"/>
      <c r="B14" s="112" t="s">
        <v>24</v>
      </c>
      <c r="C14" s="107"/>
      <c r="D14" s="109"/>
      <c r="E14" s="108"/>
      <c r="F14" s="55"/>
      <c r="G14" s="110"/>
    </row>
    <row r="15" spans="1:7" x14ac:dyDescent="0.25">
      <c r="A15" s="58"/>
      <c r="B15" s="112" t="s">
        <v>25</v>
      </c>
      <c r="C15" s="107">
        <f>+'Fechas-Convenios adición'!H15+2</f>
        <v>45236</v>
      </c>
      <c r="D15" s="60">
        <v>42</v>
      </c>
      <c r="E15" s="59">
        <f t="shared" ref="E15" si="1">+C15+D15-1</f>
        <v>45277</v>
      </c>
      <c r="F15" s="55"/>
      <c r="G15" s="61"/>
    </row>
    <row r="16" spans="1:7" x14ac:dyDescent="0.25">
      <c r="A16" s="1"/>
      <c r="B16" s="1"/>
      <c r="C16" s="53"/>
      <c r="D16" s="53"/>
      <c r="E16" s="53"/>
    </row>
    <row r="18" spans="2:5" x14ac:dyDescent="0.25">
      <c r="B18" s="159" t="s">
        <v>94</v>
      </c>
      <c r="C18" s="159"/>
      <c r="D18" s="159"/>
      <c r="E18" s="159"/>
    </row>
    <row r="19" spans="2:5" x14ac:dyDescent="0.25">
      <c r="C19" s="56"/>
      <c r="D19" s="56"/>
      <c r="E19" s="56"/>
    </row>
  </sheetData>
  <autoFilter ref="A3:C15" xr:uid="{00000000-0009-0000-0000-000004000000}"/>
  <mergeCells count="1">
    <mergeCell ref="B18:E18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-0.249977111117893"/>
  </sheetPr>
  <dimension ref="A2:R32"/>
  <sheetViews>
    <sheetView tabSelected="1" workbookViewId="0">
      <selection activeCell="O7" sqref="O7"/>
    </sheetView>
  </sheetViews>
  <sheetFormatPr baseColWidth="10" defaultColWidth="10.77734375" defaultRowHeight="13.8" x14ac:dyDescent="0.25"/>
  <cols>
    <col min="1" max="1" width="35.21875" style="1" customWidth="1"/>
    <col min="2" max="3" width="10.77734375" style="1" bestFit="1" customWidth="1"/>
    <col min="4" max="4" width="13" style="1" bestFit="1" customWidth="1"/>
    <col min="5" max="5" width="9.77734375" style="1" customWidth="1"/>
    <col min="6" max="6" width="13.44140625" style="1" bestFit="1" customWidth="1"/>
    <col min="7" max="7" width="1" style="1" customWidth="1"/>
    <col min="8" max="8" width="12.109375" style="1" bestFit="1" customWidth="1"/>
    <col min="9" max="9" width="1.21875" style="1" customWidth="1"/>
    <col min="10" max="10" width="10.33203125" style="1" customWidth="1"/>
    <col min="11" max="11" width="1" style="1" customWidth="1"/>
    <col min="12" max="12" width="11.44140625" style="1" customWidth="1"/>
    <col min="13" max="13" width="12.109375" style="1" bestFit="1" customWidth="1"/>
    <col min="14" max="14" width="1.44140625" style="1" customWidth="1"/>
    <col min="15" max="15" width="13.44140625" style="1" bestFit="1" customWidth="1"/>
    <col min="16" max="16" width="1.21875" style="1" customWidth="1"/>
    <col min="17" max="17" width="6.5546875" style="1" bestFit="1" customWidth="1"/>
    <col min="18" max="16384" width="10.77734375" style="1"/>
  </cols>
  <sheetData>
    <row r="2" spans="1:17" x14ac:dyDescent="0.25">
      <c r="A2" s="164" t="s">
        <v>0</v>
      </c>
      <c r="B2" s="165"/>
      <c r="C2" s="166"/>
      <c r="F2" s="2" t="s">
        <v>1</v>
      </c>
      <c r="G2" s="2"/>
      <c r="H2" s="2" t="s">
        <v>2</v>
      </c>
      <c r="J2" s="2" t="s">
        <v>3</v>
      </c>
    </row>
    <row r="3" spans="1:17" ht="13.95" customHeight="1" x14ac:dyDescent="0.25">
      <c r="A3" s="118" t="s">
        <v>91</v>
      </c>
      <c r="B3" s="163">
        <f>+'CB distribución adición'!C11</f>
        <v>222770288.90999997</v>
      </c>
      <c r="C3" s="163"/>
      <c r="D3" s="35">
        <v>249612767.91</v>
      </c>
      <c r="F3" s="133">
        <v>31665</v>
      </c>
      <c r="H3" s="136">
        <v>16149</v>
      </c>
      <c r="J3" s="139">
        <f>F3-H3</f>
        <v>15516</v>
      </c>
      <c r="L3" s="142">
        <v>46</v>
      </c>
    </row>
    <row r="4" spans="1:17" ht="13.95" customHeight="1" x14ac:dyDescent="0.25">
      <c r="A4" s="118" t="s">
        <v>92</v>
      </c>
      <c r="B4" s="162">
        <f>+'[1]JULIO-2023'!$U$15</f>
        <v>86912000</v>
      </c>
      <c r="C4" s="162"/>
      <c r="D4" s="35">
        <v>140216384</v>
      </c>
      <c r="F4" s="134"/>
      <c r="H4" s="137"/>
      <c r="J4" s="140"/>
      <c r="L4" s="143"/>
    </row>
    <row r="5" spans="1:17" ht="13.95" customHeight="1" x14ac:dyDescent="0.25">
      <c r="A5" s="118" t="s">
        <v>96</v>
      </c>
      <c r="B5" s="163"/>
      <c r="C5" s="163"/>
      <c r="D5" s="35">
        <v>1721587</v>
      </c>
      <c r="F5" s="134"/>
      <c r="H5" s="137"/>
      <c r="J5" s="140"/>
    </row>
    <row r="6" spans="1:17" ht="13.95" customHeight="1" x14ac:dyDescent="0.25">
      <c r="A6" s="118" t="s">
        <v>97</v>
      </c>
      <c r="B6" s="167"/>
      <c r="C6" s="168"/>
      <c r="D6" s="35">
        <v>76951305.480000004</v>
      </c>
      <c r="F6" s="134"/>
      <c r="H6" s="137"/>
      <c r="J6" s="140"/>
    </row>
    <row r="7" spans="1:17" ht="13.95" customHeight="1" x14ac:dyDescent="0.25">
      <c r="A7" s="67" t="s">
        <v>5</v>
      </c>
      <c r="B7" s="152">
        <f>SUM(B3:C5)</f>
        <v>309682288.90999997</v>
      </c>
      <c r="C7" s="153"/>
      <c r="D7" s="119">
        <f>SUM(D3:E6)</f>
        <v>468502044.38999999</v>
      </c>
      <c r="F7" s="135"/>
      <c r="H7" s="138"/>
      <c r="J7" s="141"/>
      <c r="O7" s="26"/>
    </row>
    <row r="8" spans="1:17" ht="5.0999999999999996" customHeight="1" x14ac:dyDescent="0.25">
      <c r="A8" s="68"/>
      <c r="B8" s="73"/>
      <c r="C8" s="74"/>
      <c r="D8" s="35"/>
    </row>
    <row r="9" spans="1:17" x14ac:dyDescent="0.25">
      <c r="A9" s="77" t="s">
        <v>55</v>
      </c>
      <c r="B9" s="154">
        <f>+H28</f>
        <v>467981871</v>
      </c>
      <c r="C9" s="154"/>
      <c r="D9" s="120">
        <f>+D7-B9</f>
        <v>520173.38999998569</v>
      </c>
      <c r="F9" s="5">
        <v>0</v>
      </c>
      <c r="H9" s="34">
        <f>H3/F3</f>
        <v>0.50999526290857411</v>
      </c>
      <c r="J9" s="6">
        <f>J3/F3</f>
        <v>0.49000473709142589</v>
      </c>
      <c r="O9" s="26"/>
    </row>
    <row r="10" spans="1:17" x14ac:dyDescent="0.25">
      <c r="A10" s="77" t="s">
        <v>54</v>
      </c>
      <c r="B10" s="161">
        <f>+B7-B9</f>
        <v>-158299582.09000003</v>
      </c>
      <c r="C10" s="161"/>
      <c r="F10" s="7"/>
      <c r="G10" s="7"/>
      <c r="H10" s="7">
        <f>F3*51%</f>
        <v>16149.15</v>
      </c>
      <c r="I10" s="7"/>
      <c r="J10" s="7">
        <f>F3*49%</f>
        <v>15515.85</v>
      </c>
      <c r="K10" s="8"/>
      <c r="L10" s="8"/>
      <c r="M10" s="8"/>
    </row>
    <row r="11" spans="1:17" x14ac:dyDescent="0.25">
      <c r="A11" s="47"/>
      <c r="C11" s="46"/>
      <c r="D11" s="8"/>
      <c r="E11" s="8"/>
      <c r="F11" s="9"/>
      <c r="G11" s="8"/>
      <c r="H11" s="9"/>
      <c r="I11" s="8"/>
      <c r="J11" s="9"/>
      <c r="K11" s="8"/>
      <c r="L11" s="8"/>
      <c r="M11" s="8"/>
      <c r="N11" s="8"/>
      <c r="O11" s="8"/>
    </row>
    <row r="12" spans="1:17" x14ac:dyDescent="0.25">
      <c r="A12" s="10" t="s">
        <v>6</v>
      </c>
      <c r="B12" s="11">
        <f>INT(F9/L3)</f>
        <v>0</v>
      </c>
      <c r="C12" s="12"/>
      <c r="D12" s="8"/>
      <c r="E12" s="113" t="s">
        <v>93</v>
      </c>
      <c r="F12" s="114"/>
      <c r="G12" s="113"/>
      <c r="H12" s="115"/>
      <c r="I12" s="116"/>
      <c r="J12" s="115"/>
      <c r="K12" s="113"/>
      <c r="L12" s="113"/>
      <c r="M12" s="8"/>
      <c r="N12" s="8"/>
      <c r="O12" s="8"/>
    </row>
    <row r="13" spans="1:17" x14ac:dyDescent="0.25">
      <c r="A13" s="10" t="s">
        <v>7</v>
      </c>
      <c r="B13" s="16">
        <f>H3-B12</f>
        <v>16149</v>
      </c>
      <c r="C13" s="12"/>
      <c r="D13" s="8"/>
      <c r="E13" s="8"/>
      <c r="F13" s="8"/>
      <c r="G13" s="8"/>
      <c r="H13" s="17"/>
      <c r="I13" s="8"/>
      <c r="J13" s="8"/>
      <c r="K13" s="8"/>
      <c r="L13" s="8"/>
      <c r="M13" s="8"/>
      <c r="N13" s="8"/>
      <c r="O13" s="8"/>
    </row>
    <row r="14" spans="1:17" x14ac:dyDescent="0.25">
      <c r="C14" s="12"/>
      <c r="D14" s="8"/>
      <c r="E14" s="8"/>
      <c r="F14" s="8"/>
      <c r="G14" s="8"/>
      <c r="H14" s="17"/>
      <c r="I14" s="8"/>
      <c r="J14" s="8"/>
      <c r="K14" s="8"/>
      <c r="L14" s="8"/>
      <c r="M14" s="8"/>
      <c r="N14" s="8"/>
      <c r="O14" s="8"/>
    </row>
    <row r="15" spans="1:17" x14ac:dyDescent="0.25">
      <c r="C15" s="8"/>
      <c r="D15" s="12"/>
      <c r="E15" s="8"/>
      <c r="F15" s="12"/>
      <c r="H15" s="156" t="s">
        <v>102</v>
      </c>
      <c r="I15" s="157"/>
      <c r="J15" s="157"/>
      <c r="K15" s="157"/>
      <c r="L15" s="157"/>
      <c r="M15" s="158"/>
      <c r="N15" s="18"/>
      <c r="O15" s="124" t="s">
        <v>8</v>
      </c>
    </row>
    <row r="16" spans="1:17" s="21" customFormat="1" ht="26.4" customHeight="1" x14ac:dyDescent="0.3">
      <c r="A16" s="38" t="s">
        <v>101</v>
      </c>
      <c r="B16" s="20" t="s">
        <v>10</v>
      </c>
      <c r="C16" s="64" t="s">
        <v>98</v>
      </c>
      <c r="D16" s="51"/>
      <c r="E16" s="19" t="s">
        <v>99</v>
      </c>
      <c r="F16" s="40" t="s">
        <v>100</v>
      </c>
      <c r="H16" s="20" t="s">
        <v>11</v>
      </c>
      <c r="J16" s="20" t="s">
        <v>12</v>
      </c>
      <c r="L16" s="52" t="s">
        <v>34</v>
      </c>
      <c r="M16" s="22" t="s">
        <v>13</v>
      </c>
      <c r="O16" s="124"/>
      <c r="Q16" s="21" t="s">
        <v>33</v>
      </c>
    </row>
    <row r="17" spans="1:18" x14ac:dyDescent="0.25">
      <c r="A17" s="69" t="s">
        <v>14</v>
      </c>
      <c r="B17" s="70">
        <v>96</v>
      </c>
      <c r="C17" s="65">
        <f>+'Fechas-Convenios final año'!D4</f>
        <v>41</v>
      </c>
      <c r="D17" s="63"/>
      <c r="E17" s="121">
        <f t="shared" ref="E17:E25" si="0">+D17+C17</f>
        <v>41</v>
      </c>
      <c r="F17" s="41">
        <f>B17*E17*$F$3</f>
        <v>124633440</v>
      </c>
      <c r="H17" s="23">
        <f>B17*E17*$H$3</f>
        <v>63562464</v>
      </c>
      <c r="I17" s="24"/>
      <c r="J17" s="23">
        <f>B17*E17*$B$14</f>
        <v>0</v>
      </c>
      <c r="K17" s="24"/>
      <c r="L17" s="23">
        <f>B17*E17*$B$15</f>
        <v>0</v>
      </c>
      <c r="M17" s="25">
        <f>+$J$3*B17*E17</f>
        <v>61070976</v>
      </c>
      <c r="N17" s="26"/>
      <c r="O17" s="27">
        <f>H17+J17+L17+M17</f>
        <v>124633440</v>
      </c>
      <c r="Q17" s="48">
        <f>+O17-F17</f>
        <v>0</v>
      </c>
      <c r="R17" s="44"/>
    </row>
    <row r="18" spans="1:18" x14ac:dyDescent="0.25">
      <c r="A18" s="69" t="s">
        <v>16</v>
      </c>
      <c r="B18" s="70">
        <v>170</v>
      </c>
      <c r="C18" s="65">
        <f>+'Fechas-Convenios final año'!D6</f>
        <v>44</v>
      </c>
      <c r="D18" s="63"/>
      <c r="E18" s="121">
        <f t="shared" si="0"/>
        <v>44</v>
      </c>
      <c r="F18" s="41">
        <f t="shared" ref="F18:F26" si="1">B18*E18*$F$3</f>
        <v>236854200</v>
      </c>
      <c r="H18" s="23">
        <f t="shared" ref="H18:H26" si="2">B18*E18*$H$3</f>
        <v>120794520</v>
      </c>
      <c r="I18" s="24"/>
      <c r="J18" s="23">
        <f t="shared" ref="J18:J26" si="3">B18*E18*$B$14</f>
        <v>0</v>
      </c>
      <c r="K18" s="24"/>
      <c r="L18" s="23">
        <f t="shared" ref="L18:L26" si="4">B18*E18*$B$15</f>
        <v>0</v>
      </c>
      <c r="M18" s="25">
        <f t="shared" ref="M18:M26" si="5">+$J$3*B18*E18</f>
        <v>116059680</v>
      </c>
      <c r="N18" s="26"/>
      <c r="O18" s="27">
        <f t="shared" ref="O18:O26" si="6">H18+J18+L18+M18</f>
        <v>236854200</v>
      </c>
      <c r="Q18" s="48">
        <f t="shared" ref="Q18:Q27" si="7">+O18-F18</f>
        <v>0</v>
      </c>
      <c r="R18" s="44"/>
    </row>
    <row r="19" spans="1:18" x14ac:dyDescent="0.25">
      <c r="A19" s="69" t="s">
        <v>17</v>
      </c>
      <c r="B19" s="70">
        <v>60</v>
      </c>
      <c r="C19" s="65">
        <f>+'Fechas-Convenios final año'!D7</f>
        <v>45</v>
      </c>
      <c r="D19" s="63"/>
      <c r="E19" s="121">
        <f t="shared" si="0"/>
        <v>45</v>
      </c>
      <c r="F19" s="41">
        <f t="shared" si="1"/>
        <v>85495500</v>
      </c>
      <c r="H19" s="23">
        <f t="shared" si="2"/>
        <v>43602300</v>
      </c>
      <c r="I19" s="24"/>
      <c r="J19" s="23">
        <f t="shared" si="3"/>
        <v>0</v>
      </c>
      <c r="K19" s="24"/>
      <c r="L19" s="23">
        <f t="shared" si="4"/>
        <v>0</v>
      </c>
      <c r="M19" s="25">
        <f t="shared" si="5"/>
        <v>41893200</v>
      </c>
      <c r="N19" s="26"/>
      <c r="O19" s="27">
        <f t="shared" si="6"/>
        <v>85495500</v>
      </c>
      <c r="Q19" s="48">
        <f t="shared" si="7"/>
        <v>0</v>
      </c>
      <c r="R19" s="44"/>
    </row>
    <row r="20" spans="1:18" x14ac:dyDescent="0.25">
      <c r="A20" s="69" t="s">
        <v>18</v>
      </c>
      <c r="B20" s="70">
        <v>35</v>
      </c>
      <c r="C20" s="65">
        <f>+'Fechas-Convenios final año'!D8</f>
        <v>42</v>
      </c>
      <c r="D20" s="63"/>
      <c r="E20" s="121">
        <f t="shared" si="0"/>
        <v>42</v>
      </c>
      <c r="F20" s="41">
        <f t="shared" si="1"/>
        <v>46547550</v>
      </c>
      <c r="H20" s="23">
        <f t="shared" si="2"/>
        <v>23739030</v>
      </c>
      <c r="I20" s="24"/>
      <c r="J20" s="23">
        <f t="shared" si="3"/>
        <v>0</v>
      </c>
      <c r="K20" s="24"/>
      <c r="L20" s="23">
        <f t="shared" si="4"/>
        <v>0</v>
      </c>
      <c r="M20" s="25">
        <f t="shared" si="5"/>
        <v>22808520</v>
      </c>
      <c r="N20" s="26"/>
      <c r="O20" s="27">
        <f t="shared" si="6"/>
        <v>46547550</v>
      </c>
      <c r="Q20" s="48">
        <f t="shared" si="7"/>
        <v>0</v>
      </c>
      <c r="R20" s="44"/>
    </row>
    <row r="21" spans="1:18" x14ac:dyDescent="0.25">
      <c r="A21" s="69" t="s">
        <v>19</v>
      </c>
      <c r="B21" s="70">
        <v>75</v>
      </c>
      <c r="C21" s="65">
        <f>+'Fechas-Convenios final año'!D9</f>
        <v>44</v>
      </c>
      <c r="D21" s="63"/>
      <c r="E21" s="121">
        <f t="shared" si="0"/>
        <v>44</v>
      </c>
      <c r="F21" s="41">
        <f t="shared" si="1"/>
        <v>104494500</v>
      </c>
      <c r="H21" s="23">
        <f t="shared" si="2"/>
        <v>53291700</v>
      </c>
      <c r="I21" s="24"/>
      <c r="J21" s="23">
        <f t="shared" si="3"/>
        <v>0</v>
      </c>
      <c r="K21" s="24"/>
      <c r="L21" s="23">
        <f t="shared" si="4"/>
        <v>0</v>
      </c>
      <c r="M21" s="25">
        <f t="shared" si="5"/>
        <v>51202800</v>
      </c>
      <c r="N21" s="26"/>
      <c r="O21" s="27">
        <f t="shared" si="6"/>
        <v>104494500</v>
      </c>
      <c r="Q21" s="48">
        <f t="shared" si="7"/>
        <v>0</v>
      </c>
      <c r="R21" s="44"/>
    </row>
    <row r="22" spans="1:18" x14ac:dyDescent="0.25">
      <c r="A22" s="69" t="s">
        <v>20</v>
      </c>
      <c r="B22" s="70">
        <v>30</v>
      </c>
      <c r="C22" s="65">
        <f>+'Fechas-Convenios final año'!D10</f>
        <v>43</v>
      </c>
      <c r="D22" s="63"/>
      <c r="E22" s="121">
        <f t="shared" si="0"/>
        <v>43</v>
      </c>
      <c r="F22" s="41">
        <f t="shared" si="1"/>
        <v>40847850</v>
      </c>
      <c r="H22" s="23">
        <f t="shared" si="2"/>
        <v>20832210</v>
      </c>
      <c r="I22" s="24"/>
      <c r="J22" s="23">
        <f t="shared" si="3"/>
        <v>0</v>
      </c>
      <c r="K22" s="24"/>
      <c r="L22" s="23">
        <f t="shared" si="4"/>
        <v>0</v>
      </c>
      <c r="M22" s="25">
        <f t="shared" si="5"/>
        <v>20015640</v>
      </c>
      <c r="N22" s="26"/>
      <c r="O22" s="27">
        <f t="shared" si="6"/>
        <v>40847850</v>
      </c>
      <c r="Q22" s="48">
        <f t="shared" si="7"/>
        <v>0</v>
      </c>
      <c r="R22" s="44"/>
    </row>
    <row r="23" spans="1:18" x14ac:dyDescent="0.25">
      <c r="A23" s="69" t="s">
        <v>21</v>
      </c>
      <c r="B23" s="70">
        <v>30</v>
      </c>
      <c r="C23" s="65">
        <f>+'Fechas-Convenios final año'!D11</f>
        <v>43</v>
      </c>
      <c r="D23" s="63"/>
      <c r="E23" s="121">
        <f t="shared" si="0"/>
        <v>43</v>
      </c>
      <c r="F23" s="41">
        <f t="shared" si="1"/>
        <v>40847850</v>
      </c>
      <c r="H23" s="23">
        <f t="shared" si="2"/>
        <v>20832210</v>
      </c>
      <c r="I23" s="24"/>
      <c r="J23" s="23">
        <f t="shared" si="3"/>
        <v>0</v>
      </c>
      <c r="K23" s="24"/>
      <c r="L23" s="23">
        <f t="shared" si="4"/>
        <v>0</v>
      </c>
      <c r="M23" s="25">
        <f t="shared" si="5"/>
        <v>20015640</v>
      </c>
      <c r="N23" s="26"/>
      <c r="O23" s="27">
        <f t="shared" si="6"/>
        <v>40847850</v>
      </c>
      <c r="Q23" s="48">
        <f t="shared" si="7"/>
        <v>0</v>
      </c>
      <c r="R23" s="44"/>
    </row>
    <row r="24" spans="1:18" x14ac:dyDescent="0.25">
      <c r="A24" s="69" t="s">
        <v>22</v>
      </c>
      <c r="B24" s="70">
        <v>15</v>
      </c>
      <c r="C24" s="65">
        <f>+'Fechas-Convenios final año'!D12</f>
        <v>41</v>
      </c>
      <c r="D24" s="63"/>
      <c r="E24" s="121">
        <f t="shared" si="0"/>
        <v>41</v>
      </c>
      <c r="F24" s="41">
        <f t="shared" si="1"/>
        <v>19473975</v>
      </c>
      <c r="H24" s="23">
        <f t="shared" si="2"/>
        <v>9931635</v>
      </c>
      <c r="I24" s="24"/>
      <c r="J24" s="23">
        <f t="shared" si="3"/>
        <v>0</v>
      </c>
      <c r="K24" s="24"/>
      <c r="L24" s="23">
        <f t="shared" si="4"/>
        <v>0</v>
      </c>
      <c r="M24" s="25">
        <f t="shared" si="5"/>
        <v>9542340</v>
      </c>
      <c r="N24" s="26"/>
      <c r="O24" s="27">
        <f t="shared" si="6"/>
        <v>19473975</v>
      </c>
      <c r="Q24" s="48">
        <f t="shared" si="7"/>
        <v>0</v>
      </c>
      <c r="R24" s="44"/>
    </row>
    <row r="25" spans="1:18" x14ac:dyDescent="0.25">
      <c r="A25" s="69" t="s">
        <v>23</v>
      </c>
      <c r="B25" s="71">
        <v>110</v>
      </c>
      <c r="C25" s="65">
        <f>+'Fechas-Convenios final año'!D13</f>
        <v>44</v>
      </c>
      <c r="D25" s="63"/>
      <c r="E25" s="121">
        <f t="shared" si="0"/>
        <v>44</v>
      </c>
      <c r="F25" s="41">
        <f t="shared" si="1"/>
        <v>153258600</v>
      </c>
      <c r="H25" s="23">
        <f t="shared" si="2"/>
        <v>78161160</v>
      </c>
      <c r="I25" s="24"/>
      <c r="J25" s="23">
        <f t="shared" si="3"/>
        <v>0</v>
      </c>
      <c r="K25" s="24"/>
      <c r="L25" s="23">
        <f t="shared" si="4"/>
        <v>0</v>
      </c>
      <c r="M25" s="25">
        <f t="shared" si="5"/>
        <v>75097440</v>
      </c>
      <c r="N25" s="26"/>
      <c r="O25" s="27">
        <f t="shared" si="6"/>
        <v>153258600</v>
      </c>
      <c r="Q25" s="48">
        <f t="shared" si="7"/>
        <v>0</v>
      </c>
      <c r="R25" s="44"/>
    </row>
    <row r="26" spans="1:18" x14ac:dyDescent="0.25">
      <c r="A26" s="69" t="s">
        <v>25</v>
      </c>
      <c r="B26" s="70">
        <v>49</v>
      </c>
      <c r="C26" s="65">
        <f>+'Fechas-Convenios final año'!D15</f>
        <v>42</v>
      </c>
      <c r="D26" s="63"/>
      <c r="E26" s="121">
        <f t="shared" ref="E26" si="8">+D26+C26</f>
        <v>42</v>
      </c>
      <c r="F26" s="41">
        <f t="shared" si="1"/>
        <v>65166570</v>
      </c>
      <c r="H26" s="23">
        <f t="shared" si="2"/>
        <v>33234642</v>
      </c>
      <c r="I26" s="24"/>
      <c r="J26" s="23">
        <f t="shared" si="3"/>
        <v>0</v>
      </c>
      <c r="K26" s="24"/>
      <c r="L26" s="23">
        <f t="shared" si="4"/>
        <v>0</v>
      </c>
      <c r="M26" s="25">
        <f t="shared" si="5"/>
        <v>31931928</v>
      </c>
      <c r="N26" s="26"/>
      <c r="O26" s="27">
        <f t="shared" si="6"/>
        <v>65166570</v>
      </c>
      <c r="Q26" s="48">
        <f t="shared" si="7"/>
        <v>0</v>
      </c>
      <c r="R26" s="44"/>
    </row>
    <row r="27" spans="1:18" x14ac:dyDescent="0.25">
      <c r="A27" s="36" t="s">
        <v>10</v>
      </c>
      <c r="B27" s="37">
        <f>SUM(B17:B26)</f>
        <v>670</v>
      </c>
      <c r="D27" s="46"/>
      <c r="E27" s="46"/>
      <c r="F27" s="27">
        <f>SUM(F17:F26)</f>
        <v>917620035</v>
      </c>
      <c r="H27" s="28">
        <f>SUM(H17:H26)</f>
        <v>467981871</v>
      </c>
      <c r="I27" s="24"/>
      <c r="J27" s="117">
        <f>SUM(J17:J26)</f>
        <v>0</v>
      </c>
      <c r="K27" s="24"/>
      <c r="L27" s="28">
        <f>SUM(L17:L26)</f>
        <v>0</v>
      </c>
      <c r="M27" s="29">
        <f>SUM(M17:M26)</f>
        <v>449638164</v>
      </c>
      <c r="N27" s="30"/>
      <c r="O27" s="27">
        <f>SUM(O17:O26)</f>
        <v>917620035</v>
      </c>
      <c r="Q27" s="48">
        <f t="shared" si="7"/>
        <v>0</v>
      </c>
      <c r="R27" s="44"/>
    </row>
    <row r="28" spans="1:18" x14ac:dyDescent="0.25">
      <c r="H28" s="125">
        <f>H27+J27+L27</f>
        <v>467981871</v>
      </c>
      <c r="I28" s="126"/>
      <c r="J28" s="127"/>
      <c r="K28" s="126"/>
      <c r="L28" s="127"/>
      <c r="M28" s="29">
        <f>M27</f>
        <v>449638164</v>
      </c>
      <c r="N28" s="30"/>
      <c r="Q28" s="49"/>
    </row>
    <row r="29" spans="1:18" ht="14.55" customHeight="1" x14ac:dyDescent="0.25">
      <c r="F29" s="3"/>
      <c r="H29" s="149">
        <f>(H28/F27)</f>
        <v>0.50999526290857411</v>
      </c>
      <c r="I29" s="150"/>
      <c r="J29" s="150"/>
      <c r="K29" s="150"/>
      <c r="L29" s="151"/>
      <c r="M29" s="31">
        <f>M28/F27</f>
        <v>0.49000473709142589</v>
      </c>
      <c r="N29" s="32"/>
      <c r="Q29" s="50"/>
    </row>
    <row r="30" spans="1:18" x14ac:dyDescent="0.25">
      <c r="A30" s="160" t="s">
        <v>26</v>
      </c>
      <c r="B30" s="160"/>
      <c r="C30" s="160"/>
      <c r="D30" s="160"/>
      <c r="E30" s="160"/>
      <c r="F30" s="160"/>
      <c r="J30" s="48"/>
      <c r="K30" s="50"/>
      <c r="L30" s="50"/>
      <c r="M30" s="50"/>
      <c r="N30" s="50"/>
      <c r="O30" s="50"/>
    </row>
    <row r="31" spans="1:18" x14ac:dyDescent="0.25">
      <c r="J31" s="48"/>
      <c r="K31" s="50"/>
      <c r="L31" s="50"/>
      <c r="M31" s="50"/>
      <c r="N31" s="50"/>
      <c r="O31" s="50"/>
    </row>
    <row r="32" spans="1:18" x14ac:dyDescent="0.25">
      <c r="J32" s="50"/>
      <c r="K32" s="50"/>
      <c r="L32" s="50"/>
      <c r="M32" s="50"/>
      <c r="N32" s="50"/>
      <c r="O32" s="50"/>
    </row>
  </sheetData>
  <mergeCells count="17">
    <mergeCell ref="L3:L4"/>
    <mergeCell ref="B4:C4"/>
    <mergeCell ref="B5:C5"/>
    <mergeCell ref="B7:C7"/>
    <mergeCell ref="A2:C2"/>
    <mergeCell ref="B3:C3"/>
    <mergeCell ref="F3:F7"/>
    <mergeCell ref="H3:H7"/>
    <mergeCell ref="J3:J7"/>
    <mergeCell ref="B6:C6"/>
    <mergeCell ref="A30:F30"/>
    <mergeCell ref="B9:C9"/>
    <mergeCell ref="B10:C10"/>
    <mergeCell ref="H15:M15"/>
    <mergeCell ref="O15:O16"/>
    <mergeCell ref="H28:L28"/>
    <mergeCell ref="H29:L29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Balance 2022 </vt:lpstr>
      <vt:lpstr>CB distribución adición</vt:lpstr>
      <vt:lpstr>Fechas-Convenios adición</vt:lpstr>
      <vt:lpstr>Fechas-Convenios final año</vt:lpstr>
      <vt:lpstr>CB final nuevo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Miguel Sandoval Acevedo</dc:creator>
  <cp:lastModifiedBy>Cindy Rojas</cp:lastModifiedBy>
  <dcterms:created xsi:type="dcterms:W3CDTF">2023-03-16T13:09:45Z</dcterms:created>
  <dcterms:modified xsi:type="dcterms:W3CDTF">2023-10-23T21:40:50Z</dcterms:modified>
</cp:coreProperties>
</file>