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mc:AlternateContent xmlns:mc="http://schemas.openxmlformats.org/markup-compatibility/2006">
    <mc:Choice Requires="x15">
      <x15ac:absPath xmlns:x15ac="http://schemas.microsoft.com/office/spreadsheetml/2010/11/ac" url="/Volumes/KINGSTON/SENA CONTRATACION 2023 JENNIFFER/PROCESOS DE CONTRATACION/LABORATORIO/PUBLICAR/documentos proceso/FORMATOS /"/>
    </mc:Choice>
  </mc:AlternateContent>
  <xr:revisionPtr revIDLastSave="0" documentId="13_ncr:1_{B8DAD51C-3EBC-9F4D-B3FF-464536ADEBAD}" xr6:coauthVersionLast="47" xr6:coauthVersionMax="47" xr10:uidLastSave="{00000000-0000-0000-0000-000000000000}"/>
  <bookViews>
    <workbookView xWindow="0" yWindow="0" windowWidth="28800" windowHeight="18000" xr2:uid="{00000000-000D-0000-FFFF-FFFF00000000}"/>
  </bookViews>
  <sheets>
    <sheet name="PROD CENTROS" sheetId="1" r:id="rId1"/>
  </sheets>
  <definedNames>
    <definedName name="_xlnm._FilterDatabase" localSheetId="0" hidden="1">'PROD CENTROS'!$A$2:$N$58</definedName>
    <definedName name="Google_Sheet_Link_1732366768" hidden="1">'PROD CENTROS'!#REF!</definedName>
    <definedName name="Z_F372729D_F0A6_46FF_8527_4404D4D9BE40_.wvu.FilterData" localSheetId="0" hidden="1">'PROD CENTROS'!#REF!</definedName>
  </definedNames>
  <calcPr calcId="191028"/>
  <customWorkbookViews>
    <customWorkbookView name="Filtro 1" guid="{F372729D-F0A6-46FF-8527-4404D4D9BE40}"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uri="GoogleSheetsCustomDataVersion1">
      <go:sheetsCustomData xmlns:go="http://customooxmlschemas.google.com/" r:id="rId7" roundtripDataSignature="AMtx7mg605eceUuoOcD2kGjOdoANZOLPPQ=="/>
    </ext>
  </extLst>
</workbook>
</file>

<file path=xl/calcChain.xml><?xml version="1.0" encoding="utf-8"?>
<calcChain xmlns="http://schemas.openxmlformats.org/spreadsheetml/2006/main">
  <c r="H9" i="1" l="1"/>
  <c r="H28" i="1"/>
  <c r="I3" i="1"/>
  <c r="N3" i="1" s="1"/>
  <c r="I4" i="1"/>
  <c r="N4" i="1" s="1"/>
  <c r="I5" i="1"/>
  <c r="N5" i="1" s="1"/>
  <c r="I6" i="1"/>
  <c r="I7" i="1"/>
  <c r="N7" i="1" s="1"/>
  <c r="I8" i="1"/>
  <c r="N8" i="1" s="1"/>
  <c r="I9" i="1"/>
  <c r="I10" i="1"/>
  <c r="N10" i="1" s="1"/>
  <c r="I11" i="1"/>
  <c r="N11" i="1" s="1"/>
  <c r="I12" i="1"/>
  <c r="N12" i="1" s="1"/>
  <c r="I13" i="1"/>
  <c r="N13" i="1" s="1"/>
  <c r="I14" i="1"/>
  <c r="I15" i="1"/>
  <c r="I16" i="1"/>
  <c r="I17" i="1"/>
  <c r="N17" i="1" s="1"/>
  <c r="I18" i="1"/>
  <c r="N18" i="1" s="1"/>
  <c r="I19" i="1"/>
  <c r="N19" i="1" s="1"/>
  <c r="I20" i="1"/>
  <c r="I21" i="1"/>
  <c r="N21" i="1" s="1"/>
  <c r="I22" i="1"/>
  <c r="I23" i="1"/>
  <c r="N23" i="1" s="1"/>
  <c r="I26" i="1"/>
  <c r="N26" i="1" s="1"/>
  <c r="I27" i="1"/>
  <c r="N27" i="1" s="1"/>
  <c r="I28" i="1"/>
  <c r="N28" i="1" s="1"/>
  <c r="I29" i="1"/>
  <c r="I30" i="1"/>
  <c r="N30" i="1" s="1"/>
  <c r="I31" i="1"/>
  <c r="N31" i="1" s="1"/>
  <c r="I34" i="1"/>
  <c r="I35" i="1"/>
  <c r="N35" i="1" s="1"/>
  <c r="I36" i="1"/>
  <c r="N36" i="1" s="1"/>
  <c r="I37" i="1"/>
  <c r="N37" i="1" s="1"/>
  <c r="I38" i="1"/>
  <c r="N38" i="1" s="1"/>
  <c r="I41" i="1"/>
  <c r="I42" i="1"/>
  <c r="N42" i="1" s="1"/>
  <c r="I43" i="1"/>
  <c r="N43" i="1" s="1"/>
  <c r="I44" i="1"/>
  <c r="N44" i="1" s="1"/>
  <c r="I46" i="1"/>
  <c r="N46" i="1" s="1"/>
  <c r="I47" i="1"/>
  <c r="I51" i="1"/>
  <c r="N51" i="1" s="1"/>
  <c r="I52" i="1"/>
  <c r="I53" i="1"/>
  <c r="I54" i="1"/>
  <c r="N54" i="1" s="1"/>
  <c r="I55" i="1"/>
  <c r="N55" i="1" s="1"/>
  <c r="M6" i="1"/>
  <c r="M9" i="1"/>
  <c r="M12" i="1"/>
  <c r="M13" i="1"/>
  <c r="M14" i="1"/>
  <c r="M15" i="1"/>
  <c r="M20" i="1"/>
  <c r="N20" i="1" s="1"/>
  <c r="M22" i="1"/>
  <c r="M24" i="1"/>
  <c r="N24" i="1" s="1"/>
  <c r="M25" i="1"/>
  <c r="N25" i="1" s="1"/>
  <c r="M29" i="1"/>
  <c r="M32" i="1"/>
  <c r="N32" i="1" s="1"/>
  <c r="M34" i="1"/>
  <c r="M39" i="1"/>
  <c r="N39" i="1" s="1"/>
  <c r="M40" i="1"/>
  <c r="N40" i="1" s="1"/>
  <c r="M41" i="1"/>
  <c r="N41" i="1" s="1"/>
  <c r="M52" i="1"/>
  <c r="M53" i="1"/>
  <c r="N16" i="1"/>
  <c r="N33" i="1"/>
  <c r="N45" i="1"/>
  <c r="N47" i="1"/>
  <c r="N48" i="1"/>
  <c r="N49" i="1"/>
  <c r="N50" i="1"/>
  <c r="N29" i="1" l="1"/>
  <c r="N53" i="1"/>
  <c r="N6" i="1"/>
  <c r="N34" i="1"/>
  <c r="N14" i="1"/>
  <c r="N52" i="1"/>
  <c r="N9" i="1"/>
  <c r="N22" i="1"/>
  <c r="N15" i="1"/>
</calcChain>
</file>

<file path=xl/sharedStrings.xml><?xml version="1.0" encoding="utf-8"?>
<sst xmlns="http://schemas.openxmlformats.org/spreadsheetml/2006/main" count="180" uniqueCount="151">
  <si>
    <t>ITEM</t>
  </si>
  <si>
    <t>CODIGO UNSPSC</t>
  </si>
  <si>
    <t>NOMBRE DEL ELEMENTO/SERVICIO</t>
  </si>
  <si>
    <t>CARACTERISTICAS TÉCNICAS MÍNIMAS</t>
  </si>
  <si>
    <t>UNIDAD DE MEDIDA</t>
  </si>
  <si>
    <t xml:space="preserve">CANTIDAD </t>
  </si>
  <si>
    <t>ANDITECNICA</t>
  </si>
  <si>
    <t>GENETICA &amp; MEJORAMIENTO CONTINUO</t>
  </si>
  <si>
    <t>NUCLEOLAB</t>
  </si>
  <si>
    <t>MAS CAMPO</t>
  </si>
  <si>
    <t xml:space="preserve">SANTANDEREANA DE QUIMICOS Y REACTIVOS </t>
  </si>
  <si>
    <t>EQUIPOS &amp; LABORATORIO</t>
  </si>
  <si>
    <t>CISCOL</t>
  </si>
  <si>
    <t>VALOR TOTAL</t>
  </si>
  <si>
    <t>Nitrógeno líquido refrigerado</t>
  </si>
  <si>
    <t>Nombre químico: Nitrógeno
Sinónimos: LIN
Grupo químico: Líquido criogénico inerte. 
Formula: N2
Nombre comercial: Nitrógeno líquido refrigerado.
Líquido incoloro, no inflamable, no tóxico,  inerte. Estable.Temperatura de ebullición:  -196 °C.</t>
  </si>
  <si>
    <t>litro</t>
  </si>
  <si>
    <t>Alcohol antiséptico 70%</t>
  </si>
  <si>
    <t xml:space="preserve">Desnaturalizado, Aspecto: liquido transparente, traslucido, incoloro, olor característico, libre de partículas extrañas.
Gravedad especificada a 20 grados centígrados: 0,8834-0,8904
Contenido de alcohol cada 100 ml de alcohol antiséptico, contiene 70 ml de etanol (equivalente a 66 grados).
Frasco en polietileno de alta densidad, tipo farmacéutico.
Herméticamente sellado con banda de seguridad. 
Debe estar rotulado y etiquetado original del fabricante con fecha de vencimiento no inferior a un año y registro sanitario. </t>
  </si>
  <si>
    <t>Galón</t>
  </si>
  <si>
    <t>Alcohol Polivinílico</t>
  </si>
  <si>
    <t xml:space="preserve">Número de CAS 9002-89-5
Grado Ph Eur,USP,JPE
Código HS 3905 30 00
Quality Level MQ500
Punto de fusión 160 - 240 °C
Densidad aparente 400 - 670 kg/m3
Aspecto: Polvo blanco
Color: Blanco marfil
Olor: Alcohólico
Umbral olfativo:N.D./N.A. 
pH:4,5-6,5 (40g/l, 20ºC)
Punto de Fusión:200 ºC
Punto/intervalo de ebullición: 23,5 ºC
Punto de inflamación: 79 ºC
Tasa de evaporación: N.D./N.A. Fecha de vencimiento mínimo un año </t>
  </si>
  <si>
    <t>Bolsa 500 g</t>
  </si>
  <si>
    <t>Toallas desechables 
Caja x 6 rollos.
Rollo x 100 metros</t>
  </si>
  <si>
    <t>Toalla manos precortada natural HT 100m x 6
Dimensiones (mm): Largo 500, ancho 350, alto 196. Peso Bruto: 7,46 Kg Peso Neto: 7,17 Kg Volumen: 0,0343 m3.</t>
  </si>
  <si>
    <t>Caja x 6 rollos.
Rollo x 100 metros</t>
  </si>
  <si>
    <t>Papel crepado</t>
  </si>
  <si>
    <t>PAPEL  CREPADO  DE  ENVOLTURA PARA SU USO EN ESTERILIZACIÓN  A VAPOR , O.E. Y RAYOS GAMA.
Tamaño: 60 cm X100 MTS
Material: 100% Celulosa
Alta resistencia a los fluidos, peso 60g/m2 – fuerza y flexibilidad con un costo optimizado, no daña el medio ambiente. Flexibilidad  y suave. Colores verde azul o blanco.</t>
  </si>
  <si>
    <t xml:space="preserve">Rollo </t>
  </si>
  <si>
    <t>Caja para Buzón de sugerencias</t>
  </si>
  <si>
    <t>Buzón elaborado en lámina de acrílico color blanco, con letrero "Buzón de PQRSF" y "Laboratorio de Biotecnología Reproductiva y Sanidad Animal", y logo del Laboratorio, todo esto acorde al  Manual de identidad Corporativa Brandbook GC-M-005 versión 06. 
Medida 25 x 16 x 30h cms
Chapa con llave y bolsillo porta volantes</t>
  </si>
  <si>
    <t>Unidad</t>
  </si>
  <si>
    <t>Baterías AA alcalina</t>
  </si>
  <si>
    <t>Baterías Alcalinas AA. 1.5V
Blíster 4 Pcs.
Ecológicas Sin Mercurio Y Cadmio.
Peso Por Unidad 12G
Volumen 0.019Cbm
Empaque por dos unidades</t>
  </si>
  <si>
    <t>Par</t>
  </si>
  <si>
    <t>Baterías de Litio 3,6 V  LS 14250 Tamaño 1/2 AA</t>
  </si>
  <si>
    <t>Tecnología:	Li-Ion LiMnO2
Otra información:	Li-SOCl2
Tamaño: CC, Φ 14,5 mm * 25,2 mm (máx.)
Capacidad nominal: 1200 mAh (1,2 Ah)
Tensión nominal: 3,6 V
Voltaje de circuito abierto: 3,66 V
Voltaje de corte: 2.0V
Rango de temperatura de funcionamiento: -55 ° C a 85 ° C
Corriente máxima de descarga continua: 50mA
Corriente máxima de descarga de pulso: 100mA
Corriente estándar: 0,5 mA.
Peso típico: 9,3 g
Vida útil típica: 10 años
Debe estar sellado, rotulado y etiquetado en original del fabricante.</t>
  </si>
  <si>
    <t>Tamices en acero inoxidable 3" Malla Malla No. 80	
Apertura: 150 μm</t>
  </si>
  <si>
    <t>Material de fabricación: Acero inoxidable
Altura: 2"
Diámetro: 3"
Malla No. 80	Apertura: 150 μm
Debe estar sellado, rotulado y etiquetado en original del fabricante.</t>
  </si>
  <si>
    <t>TERMO PARA ALMACENAMIENTO DE NITROGENO
Capacidad de LN2 (Lt): 34,8</t>
  </si>
  <si>
    <t xml:space="preserve">Capacidad de LN2 (Lt): 34,8
Rata de evaporación estática (Lt/día): 0.18
Tiempo de espera estático (días): 193
Diámetro de Cuello: 8.8cm
Canisters incluidos: 06
Dimensiones del Canister. L x Diam: 27.9 x 7.1 cm
Cañas por Canister: 20
Capacidad: 1200 Pajillas (10/caña)
Dimensiones Externas Diámetro x Altura: 46.2 x 67.6cm
Peso (Kg): 15.4
Los recipientes están codificados por colores para simplificar la identificación de las muestras
Construcción de aluminio duradera y aislamiento al vacío.
El diseño de boca estrecha minimiza la evaporación de LN2
Cierre de bloqueo seguro
Todos los modelos incluyen latas de acero inoxidable
Las manijas del contenedor están codificadas por colores para facilitar la identificación del recipiente
Construcción duradera de aluminio y aislamiento al vacío
Diseño de boca estrecha minimiza la evaporación de LN2
La tapa bloqueable y la alarma opcional de bajo nivel aumentan la seguridad de la muestra.
Diámetro	26,2 cm
Diámetro (métrico) interior del cuello	5,6 cm Tapa azul
Peso	5,9 kilogramos
Debe estar empacado, rotulado y sellado por el fabricando con mínimo 1 año de garantía. 
Debe contener el manual de operación. </t>
  </si>
  <si>
    <t xml:space="preserve">TERMO PARA ALMACENAMIENTO DE NITROGENO 32 litros de cuello con diámetro de 6,4 cm </t>
  </si>
  <si>
    <t xml:space="preserve">Capacidad de LN2 (litros): 32
Tasas de evaporación estática (litros por día): 0,22
Diámetro del cuello: 6,4 cm
Dimensiones exteriores: Diámetro x alto: 43.2 x 61.2 (cm)
Peso: 13.6 kg
Recipientes de transferencia de nitrógeno líquido
Diseñado para almacenar y dispensar pequeñas cantidades de nitrógeno líquido.
El diseño liviano de aluminio y la pequeña abertura del cuello aseguran un fácil manejo y bajas tasas de evaporación estática.
Cuenta con un mango conveniente para verter y usar en aplicaciones donde solo se necesitan pequeñas cantidades de nitrógeno líquido.
Debe estar empacado, rotulado y sellado por el fabricante con mínimo 1 año de garantía. 
Debe contener el manual de operación. </t>
  </si>
  <si>
    <t>Dispositivo de extracción auto presurizado  para dispensar fácilmente LN2 sin verterlo</t>
  </si>
  <si>
    <t xml:space="preserve">Dispositivo de extracción para recipiente de transferencia de nitrogeno líquido. 
Permite dispensar fácilmente hasta 8L / min. (2.12 galones / minuto) sin verter usando el dispositivo de retirada de los recipientes de transferencia.
Para uso con Thermo 30.
Para uso con (equipo) LN2 recipientes de transferencia.
Debe estar empacado, rotulado y sellado por el fabricante con mínimo 1 año de garantía. 
Debe contener el manual de operación. </t>
  </si>
  <si>
    <t>Und</t>
  </si>
  <si>
    <t>Nevera climatizada para semen porcino, 8 l, temperatura ajustable</t>
  </si>
  <si>
    <t>CARACTERÍSTICAS DEL PRODUCTO
Display digital de temperatura
Cambio automático entre calentamiento y enfriamiento
Control electrónico exacto de temperatura
Aislamiento de espuma de poliuretano
Conexión a 12 V DC para uso móvil</t>
  </si>
  <si>
    <t xml:space="preserve">Gel refrigerante </t>
  </si>
  <si>
    <t xml:space="preserve"> Gel Refrigerante Para Cadena De Frío Bolsa Con 500 g, material polímero sintético de la más alta calidad, con propiedades refrigerantes, reusable, sintético, no tóxico.
Debe estar rotulado y etiquetado en  original del fabricante con fecha de vencimiento no inferior a 2 años</t>
  </si>
  <si>
    <t xml:space="preserve">Cavas plásticas
capacidad de 22 litros </t>
  </si>
  <si>
    <t>•	Cava Nevera Térmica de 22 litros
•	capacidad de 22 litros 
•	Manija para fácil transporte
•	Aislamiento térmico( espuma de poliuretano rígida) 
•	Fabricado con materia prima de alta resistencia
•	fácil de lavar
•	No retiene olores
•	Dimensiones: 
•	Largo 41 cms
•	Ancho 31 cms
•	Alto 31 cms
•	Peso 2.3 kg
Debe estar rotulado y etiquetado en  original del fabricante</t>
  </si>
  <si>
    <t>Tubos toma muestra sangre K2-EDTA de 4 ml</t>
  </si>
  <si>
    <t>Tapón color lila.
Con aditivo 7,2 mg deK2- EDTA, un tamaño de 13x75mm y capacidad de 4ml.
Sistema de vacio para toma de muestra sangruinea venosa.
Para determinaciones hematológicas con sangre total.
Debe estar rotulado y etiquetado original del fabricante con fecha de vencimiento no inferior a 2 años.</t>
  </si>
  <si>
    <t>caja 100 und</t>
  </si>
  <si>
    <t>Camisa o holder para aguja de toma y recolección de sangre</t>
  </si>
  <si>
    <t>Porta agujas de toma de muestra / Recipiente holder desechable de PET para agujas de toma y recolección de sangre al vacío, compatible con los sistemas de toma de sangre.
Categoría: Laboratorio
Aplicaciones: Como soporte y adaptador para agujas para toma de una o múltiples muestras de sangre.
Características físicas: Porta agujas de PET transparente de tamaño universal con conector Luer hembra.
Color: Transparente
Diámetro distal	: 22 mm
Diámetro proximal: 5 mm
Estéril: No
Empaque: Bolsa
Libre de látex: Si
Longitud total: 5 cm
Material: PET (polietileno tereftalato) grado médico
Peso por unidad: 2.57 gramos
Debe estar rotulado y etiquetado en  original del fabricante con fecha de vencimiento no inferior a 2 años</t>
  </si>
  <si>
    <t>Cono Imhoff para sedimentación plástico de 1000 ml</t>
  </si>
  <si>
    <r>
      <t xml:space="preserve">Fabricado en estireno acrilonitrilo (SAN)
- Graduación permanente en relieve.
- Dispone de un tapón inferior de rosca que facilita su limpieza.
- Contenedor con forma de cono usado para medir el volumen de sólidos depositados en un volumen especifico de agua.
- Volumen 1000 ml
Debe estar sellado, rotulado y etiquetado en original del fabricante.
</t>
    </r>
    <r>
      <rPr>
        <b/>
        <sz val="11"/>
        <rFont val="Arial"/>
        <family val="2"/>
      </rPr>
      <t xml:space="preserve">Debe incluir base. </t>
    </r>
  </si>
  <si>
    <t>Tamices en acero inoxidable 3" Malla No. 60	
Apertura: 250 μm</t>
  </si>
  <si>
    <t>Material de fabricación: Acero inoxidable
Altura: 2"
Diámetro: 3"
Malla No. 60	Apertura: 250 μm
Debe estar sellado, rotulado y etiquetado en original del fabricante.</t>
  </si>
  <si>
    <t xml:space="preserve">Pesas de referencia de 5 gramos </t>
  </si>
  <si>
    <t>Las pesas de referencia de botón y de alambre de acero inoxidable de alta calidad de clase “E0” (con una mayor exactitud que las pesas OIML de clase E1) permiten la calibración de los estándares de masas con el máximo rendimiento metrológico.
Debe estar sellado, rotulado y etiquetado en original del fabricante.</t>
  </si>
  <si>
    <t>Ocular micrométrico WF 10X con retícula en cruz</t>
  </si>
  <si>
    <t>Este ocular gran angular de 10 aumentos posee un gran campo de visión y presenta una escala micrométrica con 80 pasos de 0,1 mm en 2 ejes centrales formando una cruz, haciendo un cuadrado virtual de medición de 8x8 mm. Gracias a esta retícula podrá realizar sus propias mediciones en las muestras a observar.</t>
  </si>
  <si>
    <t xml:space="preserve">Kit de limpiadores x 250 pruebas para Equipo BC 2800 vet </t>
  </si>
  <si>
    <t>Kit de limpiadores x 250 pruebas para Equipo BC 2800 vet  - hematocitómetro Mindray.
Debe estar sellado, rotulado y etiquetado original del fabricante con fecha de vencimiento no inferior a 1 años.</t>
  </si>
  <si>
    <t xml:space="preserve">Kit por 3 reactivos </t>
  </si>
  <si>
    <t>Limpiador E -Z cleanser para hematocitómetro BC 2800 vet Mindray</t>
  </si>
  <si>
    <t>Limpiador E -Z cleanser para Equipo BC 2800 vet  - hematocitómetro Mindray 
Debe estar sellado, rotulado y etiquetado en original del fabricante con fecha de vencimiento no inferior a 1 año.</t>
  </si>
  <si>
    <t>Frasco * 100 ml</t>
  </si>
  <si>
    <t xml:space="preserve">Capilares azules de vidrio </t>
  </si>
  <si>
    <t>No heparinizado; código de color: azul; para ensayos a partir de sangre venosa
Dimensiones (mm):
Longitud: 75 +/- 1
Grosor de pared: 0,2
Ø interior: 1,1-1,2 
Ø exterior: 1,5-1,6. 
Debe estar rotulado y etiquetado original del fabricante con fecha de vencimiento no inferior a un año</t>
  </si>
  <si>
    <t>Tubo 100 und</t>
  </si>
  <si>
    <t>Caja de cera selladora de capilares (micro hematocrito)</t>
  </si>
  <si>
    <t xml:space="preserve">Cera de plástico vinílico, en soporte de plástico. Soporte numerado del 1 al 24.
Apta para el cierre de cualquier capilar en vidrio y en especial para aquellos que deben centrifugarse, como los capilares de micro-hematocrito.
No se seca fácilmente con el aire.
COMPONENTES: Cera de plástico vinílico.
USOS O MODO DE EMPLEO:  Se usa para sellar los tubos capilares para hematocritos. </t>
  </si>
  <si>
    <t>und</t>
  </si>
  <si>
    <t>Portaobjetos McMaster de 2 cámaras</t>
  </si>
  <si>
    <t>Para el recuento de huevos de parásitos 
aptas para medios fijos en acrílico. Volumen bajo cada rejilla de 0,15 ml. Estilo de cuadricula impreso. Color verde.
Dimensiones: aprox. 75 x 32 mm
El cubreobjetos con 2 retículos aprox.10 x 10 mm (subdivididos en 10 rectángulos) está pegado en 3 soportes
distancia entre el fondo de la cámara y el cubreobjetos: aprox. 1,5 mm.</t>
  </si>
  <si>
    <t>Cámara de recuento desechable Leja 20 µm</t>
  </si>
  <si>
    <t>Cámara de recuento desechable, profundidad de 20 µm, 4 áreas de contaje para determinar concentración espermática con un sistema CASA, p.ej. AndroVision®
Profundidad:3 micras por área de contaje. 
Debe estar sellado, rotulado y etiquetado en original del fabricante.</t>
  </si>
  <si>
    <t>Caja 25 und</t>
  </si>
  <si>
    <t xml:space="preserve">Papel de limpieza para lentes del microscopio </t>
  </si>
  <si>
    <t>Papel para limpiar las lentes del microscopio, 110x85 mm
papel para lentes, ligero y sin pelusas, proporciona la solución ideal para la eliminación de polvo, humedad o grasa presente en las superficies ópticas de microscopios, lupas, cámaras fotográficas y otros equipos delicados de laboratorio.</t>
  </si>
  <si>
    <t>Blog 50 hojas</t>
  </si>
  <si>
    <t xml:space="preserve">Gradilla En Acero Inoxidable </t>
  </si>
  <si>
    <t>Gradilla En Acero Inoxidable (Original) De: 24 Huecos para baño serológico. Dimensiones L:20cm*A:8cm*Alto:8cm con 24 orificios para tubo de 15 ml.
Con doble bandeja con orificios para el sostenimiento de los tubos en oposición vertical a 90º</t>
  </si>
  <si>
    <t>Cono de colección de semen desechable</t>
  </si>
  <si>
    <t>Cono de colección de semen desechable caja por 100 unidades, usado para la colecta de semen en pequeños rumiantes.
caja x 100 und
Debe estar sellado, rotulado y etiquetado en original del fabricante.</t>
  </si>
  <si>
    <t>paquete  * 100 und</t>
  </si>
  <si>
    <t>Liner de látex para vagina artificial de pequeños rumiantes</t>
  </si>
  <si>
    <t>Manga lisa para vagina artificial para pequeños rumiantes elaborada en látex, extremos enrollados, Color marrón, Dimensiones: aprox. 78 x 650 mm</t>
  </si>
  <si>
    <t>Vagina artificial de bovinos</t>
  </si>
  <si>
    <t>Cuerpo tubular hecho de goma con aperturas redondeadas. Contiene conjunto de válvula que permite insuflar aire para ajustar la presión interior.
Tamaño de cuerpo con válvula: 35 cm</t>
  </si>
  <si>
    <t>Guantes de nitrilo Talla M</t>
  </si>
  <si>
    <t>Fabricado con Nitrilo (Acrilo-Nitrilo-Butadieno) de color azul.
• Exento de látex de caucho natural.
• Superficie interna lisa y clorinada, que facilita el calzado y disminuye el riesgo de dermatitis.
• Exento de tiuranos, tiazoles, tioureas, mercaptobenzotiazoles (MBT), f-talatos y parafenildiamina.
• Superficie externa lisa en puño y palma, y finamente texturada en la punta de los dedos, para mejorar el agarre.
• Ambidiestro.
• De puño largo (&gt; 5 cm), ajustable anatómicamente, con reborde antigoteo.
• Material elástico, que no oprime, evitando la fatiga del usuario.
• Protección frente a microorganismos, productos químicos y fármacos de quimioterapia (citostáticos).
• Dexteridad Nivel 5. 
Debe estar rotulado y etiquetado original del fabricante con fecha de vencimiento no inferior a 3 años.</t>
  </si>
  <si>
    <t>Caja 50 pares</t>
  </si>
  <si>
    <t>Guantes de nitrilo Talla L</t>
  </si>
  <si>
    <t xml:space="preserve"> Fabricado con Nitrilo (Acrilo-Nitrilo-Butadieno) de color azul.
• Exento de látex de caucho natural.
• Superficie interna lisa y clorinada, que facilita el calzado y disminuye el riesgo de dermatitis.
• Exento de tiuranos, tiazoles, tioureas, mercaptobenzotiazoles (MBT), f-talatos y parafenildiamina.
• Superficie externa lisa en puño y palma, y finamente texturada en la punta de los dedos, para mejorar el agarre.
• Ambidiestro.
• De puño largo (&gt; 5 cm), ajustable anatómicamente, con reborde antigoteo.
• Material elástico, que no oprime, evitando la fatiga del usuario.
• Protección frente a microorganismos, productos químicos y fármacos de quimioterapia (citostáticos).
• Dexteridad Nivel 5. 
Rotulado y etiquetado con fecha de vencimiento no inferior a 3 años.</t>
  </si>
  <si>
    <t>Agujas para punción venosa  calibre 18 * 1,5"</t>
  </si>
  <si>
    <t>Las agujas son para extracción de sangre y son tratadas con silicona de distintos tipos y tamaños (longitud y diámetro), en función de las venas del paciente. Un extremo de la aguja se introduce en la vena del paciente y el otro perfora el tapón de goma del tubo.
Con tecnología PrecisionGlide™ para un mejor deslizamiento de la aguja en vena y medidas recomendadas para una muestra de calidad.
Debe estar rotulado y etiquetado original del fabricante con fecha de vencimiento no inferior a 3 años.</t>
  </si>
  <si>
    <t xml:space="preserve">Agujas para punción venosa calibre 21 * 1,5" </t>
  </si>
  <si>
    <t>Diluyente de semen bovino a base de liposomas sintetizados</t>
  </si>
  <si>
    <t xml:space="preserve">Diluyente de semen (ovino, caprino y bovino) a base de liposomas sintetizados (sin proteína animal): solución para sustituir la yema del huevo. 
Contiene antibióticos. 
Diluyente debe permitir una preparación y conservación segura y de alta calidad de sus dosis de semen fresco y congelado; para ello debe tener las siguientes características: 
Medios transparentes y libres de partículas.
Evaluación microscópica y CASA mejorada.
Sin proteínas animales.
Evite el peligro de transportar la influenza aviar a través de productos a base de huevo.
Evitar el transporte de microorganismos patógenos, producción de metabolitos nocivos y toxinas.
Extensor de alta calidad.
Vida útil extendida.
Producto tolerante al cambio de temperatura.
Caja fuerte de equilibrio 24 H.
Organización del trabajo más flexible.
Optimizado para semen fresco.
Conserva los parámetros de movilidad del semen fresco.
Alto rendimiento con bajo número de espermatozoides por dosis.
Alta tasa de no retorno de novillas
Listo para usar (solo agregue agua)
Debe estar rotulado y etiquetado en original del fabricante con fecha de vencimiento no inferior a un año.
</t>
  </si>
  <si>
    <t>Frasco 250 ml</t>
  </si>
  <si>
    <t>Diluyentes para congelación de semen  ovino/caprino</t>
  </si>
  <si>
    <t>Diluyente concentrado para la congelación de semen bovino y el de otros mamíferos, como p. Ej., el semen de carnero y macho cabrío, camello y perro, como también de muchas especies exóticas.
Para la preparación del diluyente se agregan al concentrado, agua destilada y yema de huevo fresca.
La tasa de dilución para los eyaculados permite un amplio rango de variación, sin comprometer los resultados de fertilidad.
El diluyente es utilizado con buenos resultados en diluciones con baja concentración espermática como también para la dilución de eyaculados con baja concentración celular.
Concentrados de diluyentes para congelación de semen de diversas especies, con antibióticos y glicerina: contienen TRIS, ácido cítrico, azúcar, tampones, glicerina y agua purificada contiene antibióticos (Tilosina, Gentamicina, Espectinomicina, Lincomicina).
Este diluyente sirve para procesamiento de semen en un paso a temperatura de 5°C o temperatura de laboratorio. Contiene 4 antibióticos, de acuerdo a regulación de la UE.
Frasco de 250 g de concentrado, para preparación de 1250 g de diluyente.
Debe estar rotulado y etiquetado en original del fabricante con fecha de vencimiento no inferior a un año.</t>
  </si>
  <si>
    <t>Chips de muestreo para iSperm: </t>
  </si>
  <si>
    <t>Chips de prueba iSperm, cantidad 500
(500 tops y 500 bottoms)  
Bases y cubiertas de Chips 
Se necesita 1 juego para cada análisis. no reutilizable.
1 bolsa con 50 chips, 10 cajas con 50 chips.
Debe estar sellado, rotulado y etiquetado en original del fabricante.</t>
  </si>
  <si>
    <t>caja x 500</t>
  </si>
  <si>
    <t>Pinza para pajilla de semen</t>
  </si>
  <si>
    <t>Pinzas de poliéster especialmente diseñadas para retirar fácilmente las pajillas para semen de los recipientes. Para pajillas 0.5 ml
● La punta acanalada agarra y rodea la pajilla sin aplastarla
● Transmite poco calor o frío.
● Largo de 6.5″ (16.51 cm)</t>
  </si>
  <si>
    <t>solución para almacenamiento de electrodo de pH</t>
  </si>
  <si>
    <t xml:space="preserve">475 ml de solución para almacenamiento de electrodo de pH (910001); incluye botella de almacenamiento de electrodo de 12mm de diámetro.
Debe estar rotulado, etiquetado y empacado en original del fabricante con fecha de vencimiento no inferior a 12 meses. </t>
  </si>
  <si>
    <t>Contenedores de vidrio para material esterilizado</t>
  </si>
  <si>
    <t>Botellas fabricadas en vidrio borosilicato 3.3.
Autoclavables a 140 ºC. Graduadas en serigrafía blanca.
Tapón en polipropileno copolímero a rosca (GL45) en color azul. Estriado para un mejor manejo. 
Material de frasco: Borosilicato 3.3
• Color de vidrio: Transparente
• Materia de tapa: Polipropileno
• Color de tapa: Azul
• Graduación: si (con relieve)
• Color de graduación: Blanco
• Área para rotular: si
Capacidad: 2000 ml
diámetro externo: 136 mm
altura: 260 mm
tipo de rosca: GL 45</t>
  </si>
  <si>
    <t>Gasa no tejida de uso hospitalario 36" x 100 yardas</t>
  </si>
  <si>
    <t xml:space="preserve">Gasa no tejida de uso hospitalario 36" x 100 yardas.
Estéril.
Debe estar rotulado y etiquetado original del fabricante con fecha de vencimiento no inferior a un año. </t>
  </si>
  <si>
    <t>Rollo</t>
  </si>
  <si>
    <t>Cofia o gorro tipo oruga</t>
  </si>
  <si>
    <t>Tela no tejida 11g ± 2g Producto desechable Sistema de pliegue tipo oruga Protege de la contaminación.
Caja por 100 unidades
Debe estar sellado, rotulado y etiquetado en original del fabricante.</t>
  </si>
  <si>
    <t>caja * 100 und</t>
  </si>
  <si>
    <t>Mascarilla o Tapabocas de uso hospitalario</t>
  </si>
  <si>
    <t>Tapabocas Quirúrgico Termosellado
Nombre del producto: Tapabocas Quirúrgico
 Protección: Alta capacidad de filtración 98% DE FILTRACION 
Tipo de aerosol: Sin aceite Color: Blanco 
Tamaño: Universal Accesorio de correa: Termosellado 
Clips de nariz ajustables: Sí
 Estándares: INVIMA
 Composición: 1 Filtro 35 MK ANTOBANTERIAL 30g 2 Telas no tejidas (SPUNBOND)30g</t>
  </si>
  <si>
    <t xml:space="preserve">caja de 50 Unidades </t>
  </si>
  <si>
    <t>AZUCAR BLANCO</t>
  </si>
  <si>
    <t xml:space="preserve">Producto cristalizado constituido esencialmente por cristales sueltos
de sacarosa obtenidos a partir de la fundición de azúcares crudo o blanco, mediante los procedimientos industriales de purificación, decoloración y recristalización apropiados.
Color: blanco
Olor: característicos del producto
Sabor: dulce.
El azúcar refinado no debe presentar impurezas que indiquen una manipulación
inadecuada del producto
Vida útil: mínimo 12 meses a partir de su entrega.
El azúcar refinado debe cumplir con los siguientes requisitos específicos de
calidad.
Humedad granulado, % m/m: 0.07 máximo
Humedad, moldeado, % m/m: 0.06 máximo
Cenizas, % m/m: 0.15 máximo
Los empaques deben ser de un material adecuado que no altere las características del producto y aseguren su conservación lo preserven durante su transporte y almacenamiento.
Empacada por libra, debe estar rotulado y etiquetado y empacado en original del fabricante con fecha de vencimiento no inferior a 12 meses. </t>
  </si>
  <si>
    <t>libra</t>
  </si>
  <si>
    <t>SAL REFINADA YODADA Y FLUORIZADA PARA CONSUMO HUMANO</t>
  </si>
  <si>
    <t xml:space="preserve">Producto de origen mina, obtenido a partir de la cristalización por evaporación mecánica o Vacuum Pan de salinas terrestres. Es un sólido cristalino, blanco, higroscópico y altamente
soluble en agua.
INGREDIENTES PRINCIPALES: Cloruro de sodio, fluoruro de potasio, yoduro/yodato de potasio y anticompactante (Ferrocianuro de sodio E-535).
Especificación de control: Cloruro de sodio (base seca) 99,00 - % m/m NaCl 
Empacada por libra, debe estar rotulado y etiquetado y empacado en original del fabricante con fecha de vencimiento no inferior a 8 meses. </t>
  </si>
  <si>
    <t>Agua Estéril Solución Inyectable Bolsa X 500ml</t>
  </si>
  <si>
    <t xml:space="preserve">Agua Estéril Solución Inyectable Bolsa X 500ml.
Debe estar rotulado y etiquetado original del fabricante con fecha de vencimiento no inferior a 2 años.
Debe tener registro sanitario. </t>
  </si>
  <si>
    <t xml:space="preserve">Bolsa * 500 ml </t>
  </si>
  <si>
    <t>Jabón neutro al 2%</t>
  </si>
  <si>
    <t>Detergente líquido neutro PH 7 para lavado de material en laboratorios solución al 2%- biodegradable, libre de fosfatos, cloruros y álcalis. Idóneo para lavado manual y automático de material de laboratorio.
Acción de lavado sin ningún efecto secundario en análisis biológicos, farmacéuticos o químicos.</t>
  </si>
  <si>
    <t xml:space="preserve">20 litros </t>
  </si>
  <si>
    <t>Power Bank</t>
  </si>
  <si>
    <t>Banco de carga portátil
Potencia: 20000mAh
Voltaje: 5 V cc
Corriente de entrada:	 2A
Longitud de cable salida:	 27 cm
Conectores de salida:	 2 conector USB Hembra
Longitud de cable
alimentación: 	 27cm
Voltaje de salida:	 DC5V (2100mA)
Potencia de salida:	 5 V cc 2.1A x 2
Batería: Li-ion
Carga: Corriente directa
Conector de entrada:	 1Micro USB hembra
Dimensiones: 69.8 * 28 * 142.7mm</t>
  </si>
  <si>
    <t>Baterías para iSperm</t>
  </si>
  <si>
    <t xml:space="preserve">Modelo: LR44 / A76
Tamaño de la pila: Diámetro 11,6 mm Alto 5,4 mm
Voltaje nominal: 1.5V
Composición: Alcalina
Capacidad de la pila: 120 mAh
</t>
  </si>
  <si>
    <t>24111503 </t>
  </si>
  <si>
    <t>Bolsa con cierre hermético</t>
  </si>
  <si>
    <t xml:space="preserve">
Material polietileno de baja densidad resistente a las bajas temperaturas, a la tensión, compresión y tracción, material NO TÓXICO y con una alta transparencia.
Dimensiones: 10cm x 20,3cm y/o Pulgadas: 4"x8"-Calibre: 2.0.
Cada bolsa debe tener cierre hermético que facilite el transporte de sustancias liquidas o acuosas. 
Debe estar sellado, rotulado y etiquetado en original del fabricante.</t>
  </si>
  <si>
    <t>Paquete por 100 UND</t>
  </si>
  <si>
    <t>42121802 </t>
  </si>
  <si>
    <t>Vagina artificial de pequeños rumiantes</t>
  </si>
  <si>
    <t>Cuerpo tubular hecho de goma con aperturas redondeadas. Contiene conjunto de válvula que permite insuflar aire para ajustar la presión interior.
Tamaño de cuerpo con válvula: 20 cm</t>
  </si>
  <si>
    <t>TOTAL</t>
  </si>
  <si>
    <t>VALOR UNITARIO ESTIMADO POR LA ENTIDAD (EL OFERENTE NO PODRÁ OFERTAR UN VALOR SUPERIOR)</t>
  </si>
  <si>
    <t>VALOR UNITARIO OFERTADO POR EL OFERENTE (INCLUIDO IVA Y DEMAS)</t>
  </si>
  <si>
    <r>
      <t xml:space="preserve">OFERTA ECONOMICA - PRECIO UNITARIO ITEMS
El formato debe llenarse y anexarse a la propuesta económica global diligenciada en secop II  y debe contener cada uno de los ítems del proceso. Los valores unitarios ofertados no deben exceder los valores unitarios limites del estudio del mercado y el estudio previo.
Este anexo debe cargarse en formato EXCEL y formato PDF, este ultimo debe presentarse con la firma del proponente.
Para la presentación de la oferta económica, tenga en cuenta que en ella se deben considerar todos los gastos necesarios para la venta de los bienes y prestación del servicio (IVA, costos de manipulación, transporte, personal, elementos, equipos y en general todo lo necesario que permita la correcta ejecución del contrato).
Los valores de la oferta económica permanecerán constantes durante el plazo de ejecución del contrato.  Se entenderán incluidos todos y cada uno de los impuestos a los que haya lugar con ocasión a la ejecución del contrato.
Al presentar su oferta tenga en cuenta que la misma se entenderá presentada en moneda legal colombiana, con los impuestos, tarifas y descuentos correspondientes a que hubiere lugar. Debe presentarse en el formulario de la plataforma Secop II, Si el oferente no es responsable del IVA, lo debe manifestar mediante un escrito debidamente firmado. La plataforma no permite discriminar el IVA, por lo cual debe incluirse en el valor que oferte. NO DEBE SOBREPASAR PRECIOS ESTIMADOS POR LA ENTIDAD. NOTA: Independientemente de la condición de los proponentes (responsable o no del IVA etc.)
Teniendo en cuenta que este punto es de la esencia de la oferta, no podrá estar condicionado, ni ser adicionado, modificado o completado después de presentada la oferta. El Centro Agroempresarial y Turístico de Los Andes podrá efectuar las correcciones aritméticas a que haya lugar.
</t>
    </r>
    <r>
      <rPr>
        <sz val="10"/>
        <color rgb="FFFF0000"/>
        <rFont val="Arial"/>
        <family val="2"/>
      </rPr>
      <t>FIRMA: ___________________________________________</t>
    </r>
    <r>
      <rPr>
        <sz val="10"/>
        <rFont val="Arial"/>
        <family val="2"/>
      </rPr>
      <t xml:space="preserve">
Este formato deberá entregarse firmado por el proponente persona natural, por el representante legal de la persona jurídica y en el caso de consorcios o uniones temporales, deberá ser firmado por el representante legal o por cada uno de sus integrantes.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</si>
</sst>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quot;$&quot;\ * #,##0.00_-;\-&quot;$&quot;\ * #,##0.00_-;_-&quot;$&quot;\ * &quot;-&quot;??_-;_-@_-"/>
    <numFmt numFmtId="165" formatCode="_-[$$-240A]\ * #,##0.00_-;\-[$$-240A]\ * #,##0.00_-;_-[$$-240A]\ * &quot;-&quot;??_-;_-@_-"/>
    <numFmt numFmtId="167" formatCode="&quot;$&quot;#,##0.00"/>
  </numFmts>
  <fonts count="14" x14ac:knownFonts="1">
    <font>
      <sz val="10"/>
      <color rgb="FF000000"/>
      <name val="Arial"/>
    </font>
    <font>
      <sz val="10"/>
      <color rgb="FF000000"/>
      <name val="Arial"/>
      <family val="2"/>
    </font>
    <font>
      <sz val="10"/>
      <color rgb="FF000000"/>
      <name val="Arial"/>
      <family val="2"/>
    </font>
    <font>
      <sz val="8"/>
      <name val="Arial"/>
      <family val="2"/>
    </font>
    <font>
      <sz val="10"/>
      <name val="Arial"/>
      <family val="2"/>
    </font>
    <font>
      <b/>
      <sz val="11"/>
      <name val="Arial"/>
      <family val="2"/>
    </font>
    <font>
      <b/>
      <sz val="20"/>
      <name val="Arial"/>
      <family val="2"/>
    </font>
    <font>
      <b/>
      <sz val="9"/>
      <name val="Arial"/>
      <family val="2"/>
    </font>
    <font>
      <sz val="11"/>
      <name val="Arial"/>
      <family val="2"/>
    </font>
    <font>
      <sz val="11"/>
      <color rgb="FF000000"/>
      <name val="Arial"/>
      <family val="2"/>
    </font>
    <font>
      <sz val="11"/>
      <color theme="1"/>
      <name val="Arial"/>
      <family val="2"/>
    </font>
    <font>
      <sz val="11"/>
      <color rgb="FF010000"/>
      <name val="Arial"/>
      <family val="2"/>
    </font>
    <font>
      <b/>
      <sz val="9"/>
      <color rgb="FFFF0000"/>
      <name val="Arial"/>
      <family val="2"/>
    </font>
    <font>
      <sz val="10"/>
      <color rgb="FFFF0000"/>
      <name val="Arial"/>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5" tint="0.59999389629810485"/>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5">
    <xf numFmtId="0" fontId="0" fillId="0" borderId="0"/>
    <xf numFmtId="164" fontId="2" fillId="0" borderId="0" applyFont="0" applyFill="0" applyBorder="0" applyAlignment="0" applyProtection="0"/>
    <xf numFmtId="43" fontId="4" fillId="0" borderId="0" applyFont="0" applyFill="0" applyBorder="0" applyAlignment="0" applyProtection="0"/>
    <xf numFmtId="0" fontId="4" fillId="0" borderId="0"/>
    <xf numFmtId="0" fontId="4" fillId="0" borderId="0"/>
  </cellStyleXfs>
  <cellXfs count="36">
    <xf numFmtId="0" fontId="0" fillId="0" borderId="0" xfId="0"/>
    <xf numFmtId="0" fontId="1" fillId="0" borderId="0" xfId="0" applyFont="1" applyAlignment="1">
      <alignment horizontal="center" vertical="center"/>
    </xf>
    <xf numFmtId="0" fontId="1" fillId="0" borderId="0" xfId="0" applyFont="1"/>
    <xf numFmtId="0" fontId="1" fillId="0" borderId="0" xfId="0" applyFont="1" applyAlignment="1">
      <alignment horizontal="center" vertical="center" wrapText="1"/>
    </xf>
    <xf numFmtId="0" fontId="1" fillId="0" borderId="0" xfId="0" applyFont="1" applyAlignment="1">
      <alignment wrapText="1"/>
    </xf>
    <xf numFmtId="0" fontId="8" fillId="0" borderId="1" xfId="0" applyFont="1" applyBorder="1" applyAlignment="1">
      <alignment horizontal="center" vertical="center" wrapText="1"/>
    </xf>
    <xf numFmtId="0" fontId="8" fillId="3" borderId="1" xfId="0" applyFont="1" applyFill="1" applyBorder="1" applyAlignment="1">
      <alignment horizontal="center" vertical="center"/>
    </xf>
    <xf numFmtId="0" fontId="8" fillId="3" borderId="1" xfId="0" applyFont="1" applyFill="1" applyBorder="1" applyAlignment="1">
      <alignment horizontal="center" vertical="center" wrapText="1"/>
    </xf>
    <xf numFmtId="0" fontId="8" fillId="2" borderId="1" xfId="0" applyFont="1" applyFill="1" applyBorder="1" applyAlignment="1">
      <alignment vertical="center" wrapText="1"/>
    </xf>
    <xf numFmtId="0" fontId="8" fillId="2" borderId="1" xfId="0" applyFont="1" applyFill="1" applyBorder="1" applyAlignment="1">
      <alignment horizontal="center" vertical="center" wrapText="1"/>
    </xf>
    <xf numFmtId="165" fontId="9" fillId="0" borderId="1" xfId="0" applyNumberFormat="1" applyFont="1" applyBorder="1" applyAlignment="1">
      <alignment horizontal="center" vertical="center" wrapText="1"/>
    </xf>
    <xf numFmtId="0" fontId="10" fillId="3" borderId="1" xfId="0" applyFont="1" applyFill="1" applyBorder="1" applyAlignment="1">
      <alignment horizontal="center" vertical="center"/>
    </xf>
    <xf numFmtId="0" fontId="11" fillId="0" borderId="1" xfId="0" applyFont="1" applyBorder="1" applyAlignment="1">
      <alignment horizontal="center" vertical="center" wrapText="1"/>
    </xf>
    <xf numFmtId="0" fontId="10" fillId="0" borderId="1" xfId="0" applyFont="1" applyBorder="1" applyAlignment="1">
      <alignment horizontal="center" vertical="center"/>
    </xf>
    <xf numFmtId="0" fontId="8" fillId="0" borderId="1" xfId="0" applyFont="1" applyBorder="1" applyAlignment="1">
      <alignment vertical="center" wrapText="1"/>
    </xf>
    <xf numFmtId="0" fontId="10" fillId="0" borderId="1" xfId="0" applyFont="1" applyBorder="1" applyAlignment="1">
      <alignment horizontal="center" vertical="center" wrapText="1"/>
    </xf>
    <xf numFmtId="0" fontId="10" fillId="0" borderId="1" xfId="0" applyFont="1" applyBorder="1" applyAlignment="1" applyProtection="1">
      <alignment horizontal="center" vertical="center" wrapText="1"/>
      <protection locked="0"/>
    </xf>
    <xf numFmtId="0" fontId="8" fillId="0" borderId="1" xfId="0" applyFont="1" applyBorder="1" applyAlignment="1">
      <alignment horizontal="center" vertical="center"/>
    </xf>
    <xf numFmtId="0" fontId="8" fillId="0" borderId="1" xfId="0" applyFont="1" applyBorder="1" applyAlignment="1" applyProtection="1">
      <alignment horizontal="center" vertical="center" wrapText="1"/>
      <protection locked="0"/>
    </xf>
    <xf numFmtId="165" fontId="8" fillId="0" borderId="1" xfId="0" applyNumberFormat="1" applyFont="1" applyBorder="1" applyAlignment="1">
      <alignment horizontal="center" vertical="center" wrapText="1"/>
    </xf>
    <xf numFmtId="0" fontId="6" fillId="0" borderId="1"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167" fontId="9" fillId="0" borderId="1" xfId="0" applyNumberFormat="1" applyFont="1" applyBorder="1" applyAlignment="1">
      <alignment horizontal="center" vertical="center" wrapText="1"/>
    </xf>
    <xf numFmtId="167" fontId="1" fillId="0" borderId="0" xfId="0" applyNumberFormat="1" applyFont="1" applyAlignment="1">
      <alignment horizontal="right"/>
    </xf>
    <xf numFmtId="167" fontId="1" fillId="0" borderId="0" xfId="0" applyNumberFormat="1" applyFont="1"/>
    <xf numFmtId="0" fontId="7" fillId="4" borderId="2" xfId="0" applyFont="1" applyFill="1" applyBorder="1" applyAlignment="1">
      <alignment horizontal="center" vertical="center"/>
    </xf>
    <xf numFmtId="0" fontId="7" fillId="4" borderId="2" xfId="0" applyFont="1" applyFill="1" applyBorder="1" applyAlignment="1">
      <alignment vertical="center" wrapText="1"/>
    </xf>
    <xf numFmtId="0" fontId="7" fillId="4" borderId="2" xfId="0" applyFont="1" applyFill="1" applyBorder="1" applyAlignment="1">
      <alignment horizontal="center" vertical="center" wrapText="1"/>
    </xf>
    <xf numFmtId="167" fontId="12" fillId="4" borderId="2" xfId="0" applyNumberFormat="1" applyFont="1" applyFill="1" applyBorder="1" applyAlignment="1">
      <alignment horizontal="center" vertical="center" wrapText="1"/>
    </xf>
    <xf numFmtId="164" fontId="7" fillId="4" borderId="1" xfId="1" applyFont="1" applyFill="1" applyBorder="1" applyAlignment="1">
      <alignment horizontal="center" vertical="center" wrapText="1"/>
    </xf>
    <xf numFmtId="0" fontId="1" fillId="0" borderId="1" xfId="0" applyFont="1" applyBorder="1" applyAlignment="1">
      <alignment wrapText="1"/>
    </xf>
    <xf numFmtId="0" fontId="1" fillId="0" borderId="1" xfId="0" applyFont="1" applyBorder="1"/>
    <xf numFmtId="0" fontId="4" fillId="0" borderId="1" xfId="0" applyFont="1" applyBorder="1" applyAlignment="1" applyProtection="1">
      <alignment horizontal="center" vertical="center" wrapText="1"/>
      <protection locked="0"/>
    </xf>
    <xf numFmtId="0" fontId="1" fillId="0" borderId="0" xfId="0" applyFont="1" applyBorder="1" applyAlignment="1">
      <alignment horizontal="center" vertical="center" wrapText="1"/>
    </xf>
    <xf numFmtId="0" fontId="1" fillId="3" borderId="1" xfId="0" applyFont="1" applyFill="1" applyBorder="1" applyAlignment="1">
      <alignment vertical="center"/>
    </xf>
    <xf numFmtId="0" fontId="1" fillId="5" borderId="1" xfId="0" applyFont="1" applyFill="1" applyBorder="1" applyAlignment="1">
      <alignment horizontal="center" vertical="center"/>
    </xf>
  </cellXfs>
  <cellStyles count="5">
    <cellStyle name="Millares 3" xfId="2" xr:uid="{ABE29FAD-0129-4F8D-9183-16263F43A8F2}"/>
    <cellStyle name="Moneda" xfId="1" builtinId="4"/>
    <cellStyle name="Normal" xfId="0" builtinId="0"/>
    <cellStyle name="Normal 2" xfId="3" xr:uid="{C3C8FA52-1375-4BF5-B399-443C1DB0EAD1}"/>
    <cellStyle name="Normal 2 2" xfId="4" xr:uid="{747761AC-C7DC-4075-97B5-24412645DCA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60"/>
  <sheetViews>
    <sheetView tabSelected="1" zoomScaleNormal="100" workbookViewId="0">
      <selection activeCell="O56" sqref="O56"/>
    </sheetView>
  </sheetViews>
  <sheetFormatPr baseColWidth="10" defaultColWidth="14.5" defaultRowHeight="13" x14ac:dyDescent="0.15"/>
  <cols>
    <col min="1" max="1" width="16.83203125" style="1" customWidth="1"/>
    <col min="2" max="2" width="14.5" style="1"/>
    <col min="3" max="3" width="14.5" style="3"/>
    <col min="4" max="4" width="54.5" style="3" customWidth="1"/>
    <col min="5" max="5" width="26.5" style="2" customWidth="1"/>
    <col min="6" max="6" width="15.1640625" style="2" customWidth="1"/>
    <col min="7" max="7" width="26" style="2" hidden="1" customWidth="1"/>
    <col min="8" max="8" width="17.5" style="2" hidden="1" customWidth="1"/>
    <col min="9" max="9" width="14" style="2" hidden="1" customWidth="1"/>
    <col min="10" max="10" width="17.33203125" style="2" hidden="1" customWidth="1"/>
    <col min="11" max="13" width="0.1640625" style="2" hidden="1" customWidth="1"/>
    <col min="14" max="14" width="20.6640625" style="24" bestFit="1" customWidth="1"/>
    <col min="15" max="16384" width="14.5" style="2"/>
  </cols>
  <sheetData>
    <row r="1" spans="1:16" ht="406" customHeight="1" x14ac:dyDescent="0.15">
      <c r="A1" s="32" t="s">
        <v>150</v>
      </c>
      <c r="B1" s="20"/>
      <c r="C1" s="20"/>
      <c r="D1" s="20"/>
      <c r="E1" s="20"/>
      <c r="F1" s="20"/>
      <c r="G1" s="20"/>
      <c r="H1" s="20"/>
      <c r="I1" s="20"/>
      <c r="J1" s="20"/>
      <c r="K1" s="21"/>
      <c r="L1" s="21"/>
      <c r="M1" s="21"/>
      <c r="N1" s="21"/>
    </row>
    <row r="2" spans="1:16" ht="96" customHeight="1" x14ac:dyDescent="0.15">
      <c r="A2" s="25" t="s">
        <v>0</v>
      </c>
      <c r="B2" s="26" t="s">
        <v>1</v>
      </c>
      <c r="C2" s="26" t="s">
        <v>2</v>
      </c>
      <c r="D2" s="25" t="s">
        <v>3</v>
      </c>
      <c r="E2" s="27" t="s">
        <v>4</v>
      </c>
      <c r="F2" s="27" t="s">
        <v>5</v>
      </c>
      <c r="G2" s="27" t="s">
        <v>6</v>
      </c>
      <c r="H2" s="27" t="s">
        <v>7</v>
      </c>
      <c r="I2" s="27" t="s">
        <v>8</v>
      </c>
      <c r="J2" s="27" t="s">
        <v>9</v>
      </c>
      <c r="K2" s="27" t="s">
        <v>10</v>
      </c>
      <c r="L2" s="27" t="s">
        <v>11</v>
      </c>
      <c r="M2" s="27" t="s">
        <v>12</v>
      </c>
      <c r="N2" s="28" t="s">
        <v>148</v>
      </c>
      <c r="O2" s="29" t="s">
        <v>149</v>
      </c>
      <c r="P2" s="29" t="s">
        <v>13</v>
      </c>
    </row>
    <row r="3" spans="1:16" s="4" customFormat="1" ht="105" x14ac:dyDescent="0.15">
      <c r="A3" s="5">
        <v>1</v>
      </c>
      <c r="B3" s="6">
        <v>12141903</v>
      </c>
      <c r="C3" s="7" t="s">
        <v>14</v>
      </c>
      <c r="D3" s="8" t="s">
        <v>15</v>
      </c>
      <c r="E3" s="9" t="s">
        <v>16</v>
      </c>
      <c r="F3" s="5">
        <v>0</v>
      </c>
      <c r="G3" s="10"/>
      <c r="H3" s="10">
        <v>20230</v>
      </c>
      <c r="I3" s="10">
        <f>17000*1.19</f>
        <v>20230</v>
      </c>
      <c r="J3" s="10"/>
      <c r="K3" s="10">
        <v>35700</v>
      </c>
      <c r="L3" s="10"/>
      <c r="M3" s="10">
        <v>24050</v>
      </c>
      <c r="N3" s="22">
        <f>AVERAGE(G3:M3)</f>
        <v>25052.5</v>
      </c>
      <c r="O3" s="30"/>
      <c r="P3" s="30"/>
    </row>
    <row r="4" spans="1:16" s="4" customFormat="1" ht="135" x14ac:dyDescent="0.15">
      <c r="A4" s="5">
        <v>2</v>
      </c>
      <c r="B4" s="11">
        <v>12352104</v>
      </c>
      <c r="C4" s="7" t="s">
        <v>17</v>
      </c>
      <c r="D4" s="8" t="s">
        <v>18</v>
      </c>
      <c r="E4" s="9" t="s">
        <v>19</v>
      </c>
      <c r="F4" s="12">
        <v>0</v>
      </c>
      <c r="G4" s="10"/>
      <c r="H4" s="10">
        <v>54740</v>
      </c>
      <c r="I4" s="10">
        <f>45000*1.19</f>
        <v>53550</v>
      </c>
      <c r="J4" s="10">
        <v>35000</v>
      </c>
      <c r="K4" s="10">
        <v>58310</v>
      </c>
      <c r="L4" s="10"/>
      <c r="M4" s="10">
        <v>38500</v>
      </c>
      <c r="N4" s="22">
        <f>AVERAGE(G4:M4)</f>
        <v>48020</v>
      </c>
      <c r="O4" s="30"/>
      <c r="P4" s="30"/>
    </row>
    <row r="5" spans="1:16" s="4" customFormat="1" ht="240" x14ac:dyDescent="0.15">
      <c r="A5" s="5">
        <v>3</v>
      </c>
      <c r="B5" s="11">
        <v>13111042</v>
      </c>
      <c r="C5" s="7" t="s">
        <v>20</v>
      </c>
      <c r="D5" s="8" t="s">
        <v>21</v>
      </c>
      <c r="E5" s="9" t="s">
        <v>22</v>
      </c>
      <c r="F5" s="12">
        <v>0</v>
      </c>
      <c r="G5" s="10"/>
      <c r="H5" s="10">
        <v>759220</v>
      </c>
      <c r="I5" s="10">
        <f>622000*1.19</f>
        <v>740180</v>
      </c>
      <c r="J5" s="10">
        <v>199000</v>
      </c>
      <c r="K5" s="10">
        <v>1167390</v>
      </c>
      <c r="L5" s="10"/>
      <c r="M5" s="10">
        <v>385400</v>
      </c>
      <c r="N5" s="22">
        <f>AVERAGE(G5:M5)</f>
        <v>650238</v>
      </c>
      <c r="O5" s="30"/>
      <c r="P5" s="30"/>
    </row>
    <row r="6" spans="1:16" s="4" customFormat="1" ht="75" x14ac:dyDescent="0.15">
      <c r="A6" s="5">
        <v>4</v>
      </c>
      <c r="B6" s="13">
        <v>14111703</v>
      </c>
      <c r="C6" s="5" t="s">
        <v>23</v>
      </c>
      <c r="D6" s="14" t="s">
        <v>24</v>
      </c>
      <c r="E6" s="15" t="s">
        <v>25</v>
      </c>
      <c r="F6" s="13">
        <v>3</v>
      </c>
      <c r="G6" s="10"/>
      <c r="H6" s="10">
        <v>185640</v>
      </c>
      <c r="I6" s="10">
        <f>152000*1.19</f>
        <v>180880</v>
      </c>
      <c r="J6" s="10">
        <v>40658</v>
      </c>
      <c r="K6" s="10">
        <v>309400</v>
      </c>
      <c r="L6" s="10"/>
      <c r="M6" s="10">
        <f>130000*1.3</f>
        <v>169000</v>
      </c>
      <c r="N6" s="22">
        <f>AVERAGE(G6:M6)</f>
        <v>177115.6</v>
      </c>
      <c r="O6" s="30"/>
      <c r="P6" s="30"/>
    </row>
    <row r="7" spans="1:16" s="4" customFormat="1" ht="105" x14ac:dyDescent="0.15">
      <c r="A7" s="5">
        <v>5</v>
      </c>
      <c r="B7" s="13">
        <v>14121601</v>
      </c>
      <c r="C7" s="5" t="s">
        <v>26</v>
      </c>
      <c r="D7" s="14" t="s">
        <v>27</v>
      </c>
      <c r="E7" s="15" t="s">
        <v>28</v>
      </c>
      <c r="F7" s="13">
        <v>1</v>
      </c>
      <c r="G7" s="10"/>
      <c r="H7" s="10">
        <v>165410</v>
      </c>
      <c r="I7" s="10">
        <f>136000*1.19</f>
        <v>161840</v>
      </c>
      <c r="J7" s="10">
        <v>170408</v>
      </c>
      <c r="K7" s="10">
        <v>205870</v>
      </c>
      <c r="L7" s="10"/>
      <c r="M7" s="10">
        <v>178500</v>
      </c>
      <c r="N7" s="22">
        <f>AVERAGE(G7:M7)</f>
        <v>176405.6</v>
      </c>
      <c r="O7" s="30"/>
      <c r="P7" s="30"/>
    </row>
    <row r="8" spans="1:16" s="4" customFormat="1" ht="105" x14ac:dyDescent="0.15">
      <c r="A8" s="5">
        <v>6</v>
      </c>
      <c r="B8" s="16">
        <v>24112407</v>
      </c>
      <c r="C8" s="7" t="s">
        <v>29</v>
      </c>
      <c r="D8" s="14" t="s">
        <v>30</v>
      </c>
      <c r="E8" s="5" t="s">
        <v>31</v>
      </c>
      <c r="F8" s="5">
        <v>1</v>
      </c>
      <c r="G8" s="10"/>
      <c r="H8" s="10">
        <v>148750</v>
      </c>
      <c r="I8" s="10">
        <f>122000*1.19</f>
        <v>145180</v>
      </c>
      <c r="J8" s="10"/>
      <c r="K8" s="10">
        <v>214200</v>
      </c>
      <c r="L8" s="10"/>
      <c r="M8" s="10">
        <v>158600</v>
      </c>
      <c r="N8" s="22">
        <f>AVERAGE(G8:M8)</f>
        <v>166682.5</v>
      </c>
      <c r="O8" s="30"/>
      <c r="P8" s="30"/>
    </row>
    <row r="9" spans="1:16" s="4" customFormat="1" ht="90" x14ac:dyDescent="0.15">
      <c r="A9" s="5">
        <v>7</v>
      </c>
      <c r="B9" s="17">
        <v>26111701</v>
      </c>
      <c r="C9" s="5" t="s">
        <v>32</v>
      </c>
      <c r="D9" s="14" t="s">
        <v>33</v>
      </c>
      <c r="E9" s="5" t="s">
        <v>34</v>
      </c>
      <c r="F9" s="17">
        <v>16</v>
      </c>
      <c r="G9" s="10"/>
      <c r="H9" s="10">
        <f>24000*1.19</f>
        <v>28560</v>
      </c>
      <c r="I9" s="10">
        <f>3000*1.19</f>
        <v>3570</v>
      </c>
      <c r="J9" s="10">
        <v>25585</v>
      </c>
      <c r="K9" s="10">
        <v>19040</v>
      </c>
      <c r="L9" s="10"/>
      <c r="M9" s="10">
        <f>15000*1.3</f>
        <v>19500</v>
      </c>
      <c r="N9" s="22">
        <f>AVERAGE(G9:M9)</f>
        <v>19251</v>
      </c>
      <c r="O9" s="30"/>
      <c r="P9" s="30"/>
    </row>
    <row r="10" spans="1:16" s="4" customFormat="1" ht="225" x14ac:dyDescent="0.15">
      <c r="A10" s="5">
        <v>8</v>
      </c>
      <c r="B10" s="16">
        <v>26111711</v>
      </c>
      <c r="C10" s="7" t="s">
        <v>35</v>
      </c>
      <c r="D10" s="14" t="s">
        <v>36</v>
      </c>
      <c r="E10" s="5" t="s">
        <v>31</v>
      </c>
      <c r="F10" s="5">
        <v>6</v>
      </c>
      <c r="G10" s="10"/>
      <c r="H10" s="10">
        <v>54740</v>
      </c>
      <c r="I10" s="10">
        <f>45000*1.19</f>
        <v>53550</v>
      </c>
      <c r="J10" s="10">
        <v>48790</v>
      </c>
      <c r="K10" s="10">
        <v>67830</v>
      </c>
      <c r="L10" s="10"/>
      <c r="M10" s="10">
        <v>56400</v>
      </c>
      <c r="N10" s="22">
        <f>AVERAGE(G10:M10)</f>
        <v>56262</v>
      </c>
      <c r="O10" s="30"/>
      <c r="P10" s="30"/>
    </row>
    <row r="11" spans="1:16" s="4" customFormat="1" ht="90" x14ac:dyDescent="0.15">
      <c r="A11" s="5">
        <v>9</v>
      </c>
      <c r="B11" s="16">
        <v>40161705</v>
      </c>
      <c r="C11" s="7" t="s">
        <v>37</v>
      </c>
      <c r="D11" s="14" t="s">
        <v>38</v>
      </c>
      <c r="E11" s="5" t="s">
        <v>31</v>
      </c>
      <c r="F11" s="5">
        <v>1</v>
      </c>
      <c r="G11" s="10"/>
      <c r="H11" s="10">
        <v>589050</v>
      </c>
      <c r="I11" s="10">
        <f>483000*1.19</f>
        <v>574770</v>
      </c>
      <c r="J11" s="10">
        <v>1100000</v>
      </c>
      <c r="K11" s="10">
        <v>981750</v>
      </c>
      <c r="L11" s="10"/>
      <c r="M11" s="10">
        <v>756400</v>
      </c>
      <c r="N11" s="22">
        <f>AVERAGE(G11:M11)</f>
        <v>800394</v>
      </c>
      <c r="O11" s="30"/>
      <c r="P11" s="30"/>
    </row>
    <row r="12" spans="1:16" s="4" customFormat="1" ht="409.6" x14ac:dyDescent="0.15">
      <c r="A12" s="5">
        <v>10</v>
      </c>
      <c r="B12" s="16">
        <v>41103006</v>
      </c>
      <c r="C12" s="5" t="s">
        <v>39</v>
      </c>
      <c r="D12" s="14" t="s">
        <v>40</v>
      </c>
      <c r="E12" s="5" t="s">
        <v>31</v>
      </c>
      <c r="F12" s="5">
        <v>1</v>
      </c>
      <c r="G12" s="10"/>
      <c r="H12" s="10">
        <v>14786940</v>
      </c>
      <c r="I12" s="10">
        <f>12115000*1.19</f>
        <v>14416850</v>
      </c>
      <c r="J12" s="10"/>
      <c r="K12" s="10">
        <v>26884480</v>
      </c>
      <c r="L12" s="10">
        <v>12140000</v>
      </c>
      <c r="M12" s="10">
        <f>+L12*1.3</f>
        <v>15782000</v>
      </c>
      <c r="N12" s="22">
        <f>AVERAGE(G12:M12)</f>
        <v>16802054</v>
      </c>
      <c r="O12" s="30"/>
      <c r="P12" s="30"/>
    </row>
    <row r="13" spans="1:16" s="4" customFormat="1" ht="240" x14ac:dyDescent="0.15">
      <c r="A13" s="5">
        <v>11</v>
      </c>
      <c r="B13" s="18">
        <v>41103006</v>
      </c>
      <c r="C13" s="5" t="s">
        <v>41</v>
      </c>
      <c r="D13" s="14" t="s">
        <v>42</v>
      </c>
      <c r="E13" s="5" t="s">
        <v>31</v>
      </c>
      <c r="F13" s="5">
        <v>1</v>
      </c>
      <c r="G13" s="10"/>
      <c r="H13" s="10">
        <v>12815110</v>
      </c>
      <c r="I13" s="10">
        <f>10500000*1.19</f>
        <v>12495000</v>
      </c>
      <c r="J13" s="10"/>
      <c r="K13" s="10">
        <v>18844840</v>
      </c>
      <c r="L13" s="10">
        <v>9950000</v>
      </c>
      <c r="M13" s="10">
        <f>+L13*1.3</f>
        <v>12935000</v>
      </c>
      <c r="N13" s="22">
        <f>AVERAGE(G13:M13)</f>
        <v>13407990</v>
      </c>
      <c r="O13" s="30"/>
      <c r="P13" s="30"/>
    </row>
    <row r="14" spans="1:16" s="4" customFormat="1" ht="150" x14ac:dyDescent="0.15">
      <c r="A14" s="5">
        <v>12</v>
      </c>
      <c r="B14" s="13">
        <v>41103006</v>
      </c>
      <c r="C14" s="5" t="s">
        <v>43</v>
      </c>
      <c r="D14" s="14" t="s">
        <v>44</v>
      </c>
      <c r="E14" s="5" t="s">
        <v>45</v>
      </c>
      <c r="F14" s="13">
        <v>1</v>
      </c>
      <c r="G14" s="10"/>
      <c r="H14" s="10">
        <v>8804810</v>
      </c>
      <c r="I14" s="10">
        <f>5189000*1.19</f>
        <v>6174910</v>
      </c>
      <c r="J14" s="10"/>
      <c r="K14" s="10">
        <v>11584650</v>
      </c>
      <c r="L14" s="10">
        <v>5950000</v>
      </c>
      <c r="M14" s="10">
        <f>+L14*1.3</f>
        <v>7735000</v>
      </c>
      <c r="N14" s="22">
        <f>AVERAGE(G14:M14)</f>
        <v>8049874</v>
      </c>
      <c r="O14" s="30"/>
      <c r="P14" s="30"/>
    </row>
    <row r="15" spans="1:16" s="4" customFormat="1" ht="90" x14ac:dyDescent="0.15">
      <c r="A15" s="5">
        <v>13</v>
      </c>
      <c r="B15" s="13">
        <v>41103011</v>
      </c>
      <c r="C15" s="5" t="s">
        <v>46</v>
      </c>
      <c r="D15" s="14" t="s">
        <v>47</v>
      </c>
      <c r="E15" s="5" t="s">
        <v>45</v>
      </c>
      <c r="F15" s="13">
        <v>0</v>
      </c>
      <c r="G15" s="10">
        <v>6747300</v>
      </c>
      <c r="H15" s="10">
        <v>2436000</v>
      </c>
      <c r="I15" s="10">
        <f>2262000*1.05</f>
        <v>2375100</v>
      </c>
      <c r="J15" s="10"/>
      <c r="K15" s="10">
        <v>10827600</v>
      </c>
      <c r="L15" s="10"/>
      <c r="M15" s="10">
        <f>+G15*1.3</f>
        <v>8771490</v>
      </c>
      <c r="N15" s="22">
        <f>AVERAGE(G15:M15)</f>
        <v>6231498</v>
      </c>
      <c r="O15" s="30"/>
      <c r="P15" s="30"/>
    </row>
    <row r="16" spans="1:16" s="4" customFormat="1" ht="75" x14ac:dyDescent="0.15">
      <c r="A16" s="5">
        <v>14</v>
      </c>
      <c r="B16" s="17">
        <v>41103025</v>
      </c>
      <c r="C16" s="5" t="s">
        <v>48</v>
      </c>
      <c r="D16" s="14" t="s">
        <v>49</v>
      </c>
      <c r="E16" s="5" t="s">
        <v>22</v>
      </c>
      <c r="F16" s="17">
        <v>15</v>
      </c>
      <c r="G16" s="10"/>
      <c r="H16" s="10">
        <v>7140</v>
      </c>
      <c r="I16" s="10">
        <f>6000*1.19</f>
        <v>7140</v>
      </c>
      <c r="J16" s="10">
        <v>4200</v>
      </c>
      <c r="K16" s="10">
        <v>14280</v>
      </c>
      <c r="L16" s="10"/>
      <c r="M16" s="10">
        <v>10600</v>
      </c>
      <c r="N16" s="22">
        <f>AVERAGE(G16:M16)</f>
        <v>8672</v>
      </c>
      <c r="O16" s="30"/>
      <c r="P16" s="30"/>
    </row>
    <row r="17" spans="1:16" s="4" customFormat="1" ht="195" x14ac:dyDescent="0.15">
      <c r="A17" s="5">
        <v>15</v>
      </c>
      <c r="B17" s="17">
        <v>41103026</v>
      </c>
      <c r="C17" s="5" t="s">
        <v>50</v>
      </c>
      <c r="D17" s="14" t="s">
        <v>51</v>
      </c>
      <c r="E17" s="5" t="s">
        <v>31</v>
      </c>
      <c r="F17" s="17">
        <v>0</v>
      </c>
      <c r="G17" s="10"/>
      <c r="H17" s="10">
        <v>230860</v>
      </c>
      <c r="I17" s="10">
        <f>189000*1.19</f>
        <v>224910</v>
      </c>
      <c r="J17" s="10">
        <v>265000</v>
      </c>
      <c r="K17" s="10">
        <v>226100</v>
      </c>
      <c r="L17" s="10"/>
      <c r="M17" s="10">
        <v>246500</v>
      </c>
      <c r="N17" s="22">
        <f>AVERAGE(G17:M17)</f>
        <v>238674</v>
      </c>
      <c r="O17" s="30"/>
      <c r="P17" s="30"/>
    </row>
    <row r="18" spans="1:16" s="4" customFormat="1" ht="105" x14ac:dyDescent="0.15">
      <c r="A18" s="5">
        <v>16</v>
      </c>
      <c r="B18" s="6">
        <v>41104107</v>
      </c>
      <c r="C18" s="5" t="s">
        <v>52</v>
      </c>
      <c r="D18" s="8" t="s">
        <v>53</v>
      </c>
      <c r="E18" s="9" t="s">
        <v>54</v>
      </c>
      <c r="F18" s="5">
        <v>0</v>
      </c>
      <c r="G18" s="10"/>
      <c r="H18" s="10">
        <v>116620</v>
      </c>
      <c r="I18" s="10">
        <f>96000*1.19</f>
        <v>114240</v>
      </c>
      <c r="J18" s="10">
        <v>84000</v>
      </c>
      <c r="K18" s="10">
        <v>113050</v>
      </c>
      <c r="L18" s="10"/>
      <c r="M18" s="10">
        <v>116400</v>
      </c>
      <c r="N18" s="22">
        <f>AVERAGE(G18:M18)</f>
        <v>108862</v>
      </c>
      <c r="O18" s="30"/>
      <c r="P18" s="30"/>
    </row>
    <row r="19" spans="1:16" s="4" customFormat="1" ht="300" x14ac:dyDescent="0.15">
      <c r="A19" s="5">
        <v>17</v>
      </c>
      <c r="B19" s="17">
        <v>41104107</v>
      </c>
      <c r="C19" s="7" t="s">
        <v>55</v>
      </c>
      <c r="D19" s="14" t="s">
        <v>56</v>
      </c>
      <c r="E19" s="5" t="s">
        <v>45</v>
      </c>
      <c r="F19" s="17">
        <v>0</v>
      </c>
      <c r="G19" s="10"/>
      <c r="H19" s="10">
        <v>1190</v>
      </c>
      <c r="I19" s="10">
        <f>1000*1.19</f>
        <v>1190</v>
      </c>
      <c r="J19" s="10">
        <v>8900</v>
      </c>
      <c r="K19" s="10">
        <v>2380</v>
      </c>
      <c r="L19" s="10"/>
      <c r="M19" s="10">
        <v>5600</v>
      </c>
      <c r="N19" s="22">
        <f>AVERAGE(G19:M19)</f>
        <v>3852</v>
      </c>
      <c r="O19" s="30"/>
      <c r="P19" s="30"/>
    </row>
    <row r="20" spans="1:16" s="4" customFormat="1" ht="135" x14ac:dyDescent="0.15">
      <c r="A20" s="5">
        <v>18</v>
      </c>
      <c r="B20" s="16">
        <v>41104120</v>
      </c>
      <c r="C20" s="7" t="s">
        <v>57</v>
      </c>
      <c r="D20" s="14" t="s">
        <v>58</v>
      </c>
      <c r="E20" s="5" t="s">
        <v>31</v>
      </c>
      <c r="F20" s="5">
        <v>4</v>
      </c>
      <c r="G20" s="10"/>
      <c r="H20" s="10">
        <v>291550</v>
      </c>
      <c r="I20" s="10">
        <f>239000*1.19</f>
        <v>284410</v>
      </c>
      <c r="J20" s="10">
        <v>315000</v>
      </c>
      <c r="K20" s="10">
        <v>595000</v>
      </c>
      <c r="L20" s="10"/>
      <c r="M20" s="10">
        <f>371490*1.3</f>
        <v>482937</v>
      </c>
      <c r="N20" s="22">
        <f>AVERAGE(G20:M20)</f>
        <v>393779.4</v>
      </c>
      <c r="O20" s="30"/>
      <c r="P20" s="30"/>
    </row>
    <row r="21" spans="1:16" s="4" customFormat="1" ht="90" x14ac:dyDescent="0.15">
      <c r="A21" s="5">
        <v>19</v>
      </c>
      <c r="B21" s="16">
        <v>41105000</v>
      </c>
      <c r="C21" s="7" t="s">
        <v>59</v>
      </c>
      <c r="D21" s="14" t="s">
        <v>60</v>
      </c>
      <c r="E21" s="5" t="s">
        <v>31</v>
      </c>
      <c r="F21" s="5">
        <v>1</v>
      </c>
      <c r="G21" s="10"/>
      <c r="H21" s="10">
        <v>589050</v>
      </c>
      <c r="I21" s="10">
        <f>483000*1.19</f>
        <v>574770</v>
      </c>
      <c r="J21" s="10">
        <v>1100000</v>
      </c>
      <c r="K21" s="10">
        <v>1071000</v>
      </c>
      <c r="L21" s="10"/>
      <c r="M21" s="10">
        <v>950700</v>
      </c>
      <c r="N21" s="22">
        <f>AVERAGE(G21:M21)</f>
        <v>857104</v>
      </c>
      <c r="O21" s="30"/>
      <c r="P21" s="30"/>
    </row>
    <row r="22" spans="1:16" s="4" customFormat="1" ht="105" x14ac:dyDescent="0.15">
      <c r="A22" s="5">
        <v>20</v>
      </c>
      <c r="B22" s="17">
        <v>41111505</v>
      </c>
      <c r="C22" s="5" t="s">
        <v>61</v>
      </c>
      <c r="D22" s="14" t="s">
        <v>62</v>
      </c>
      <c r="E22" s="5" t="s">
        <v>31</v>
      </c>
      <c r="F22" s="17">
        <v>0</v>
      </c>
      <c r="G22" s="10"/>
      <c r="H22" s="10">
        <v>335580</v>
      </c>
      <c r="I22" s="10">
        <f>275000*1.19</f>
        <v>327250</v>
      </c>
      <c r="J22" s="10"/>
      <c r="K22" s="10">
        <v>4165000</v>
      </c>
      <c r="L22" s="10"/>
      <c r="M22" s="10">
        <f>1609276*1.3</f>
        <v>2092058.8</v>
      </c>
      <c r="N22" s="22">
        <f>AVERAGE(G22:M22)</f>
        <v>1729972.2</v>
      </c>
      <c r="O22" s="30"/>
      <c r="P22" s="30"/>
    </row>
    <row r="23" spans="1:16" s="4" customFormat="1" ht="90" x14ac:dyDescent="0.15">
      <c r="A23" s="5">
        <v>21</v>
      </c>
      <c r="B23" s="13">
        <v>41111709</v>
      </c>
      <c r="C23" s="7" t="s">
        <v>63</v>
      </c>
      <c r="D23" s="14" t="s">
        <v>64</v>
      </c>
      <c r="E23" s="5" t="s">
        <v>45</v>
      </c>
      <c r="F23" s="13">
        <v>0</v>
      </c>
      <c r="G23" s="10"/>
      <c r="H23" s="10">
        <v>520030</v>
      </c>
      <c r="I23" s="10">
        <f>426000*1.19</f>
        <v>506940</v>
      </c>
      <c r="J23" s="10"/>
      <c r="K23" s="10">
        <v>0</v>
      </c>
      <c r="L23" s="10"/>
      <c r="M23" s="10">
        <v>620460</v>
      </c>
      <c r="N23" s="22">
        <f>AVERAGE(G23:M23)</f>
        <v>411857.5</v>
      </c>
      <c r="O23" s="30"/>
      <c r="P23" s="30"/>
    </row>
    <row r="24" spans="1:16" s="4" customFormat="1" ht="75" x14ac:dyDescent="0.15">
      <c r="A24" s="5">
        <v>22</v>
      </c>
      <c r="B24" s="11">
        <v>41116008</v>
      </c>
      <c r="C24" s="7" t="s">
        <v>65</v>
      </c>
      <c r="D24" s="14" t="s">
        <v>66</v>
      </c>
      <c r="E24" s="5" t="s">
        <v>67</v>
      </c>
      <c r="F24" s="12">
        <v>3</v>
      </c>
      <c r="G24" s="10"/>
      <c r="H24" s="10">
        <v>458000</v>
      </c>
      <c r="I24" s="10">
        <v>447000</v>
      </c>
      <c r="J24" s="10">
        <v>476000</v>
      </c>
      <c r="K24" s="10">
        <v>832000</v>
      </c>
      <c r="L24" s="10"/>
      <c r="M24" s="10">
        <f>+J24*1.3</f>
        <v>618800</v>
      </c>
      <c r="N24" s="22">
        <f>AVERAGE(G24:M24)</f>
        <v>566360</v>
      </c>
      <c r="O24" s="30"/>
      <c r="P24" s="30"/>
    </row>
    <row r="25" spans="1:16" s="4" customFormat="1" ht="75" x14ac:dyDescent="0.15">
      <c r="A25" s="5">
        <v>23</v>
      </c>
      <c r="B25" s="11">
        <v>41116008</v>
      </c>
      <c r="C25" s="7" t="s">
        <v>68</v>
      </c>
      <c r="D25" s="14" t="s">
        <v>69</v>
      </c>
      <c r="E25" s="5" t="s">
        <v>70</v>
      </c>
      <c r="F25" s="12">
        <v>3</v>
      </c>
      <c r="G25" s="10"/>
      <c r="H25" s="10">
        <v>351000</v>
      </c>
      <c r="I25" s="10">
        <v>342000</v>
      </c>
      <c r="J25" s="10">
        <v>452200</v>
      </c>
      <c r="K25" s="10">
        <v>638000</v>
      </c>
      <c r="L25" s="10"/>
      <c r="M25" s="10">
        <f>+J25*1.3</f>
        <v>587860</v>
      </c>
      <c r="N25" s="22">
        <f>AVERAGE(G25:M25)</f>
        <v>474212</v>
      </c>
      <c r="O25" s="30"/>
      <c r="P25" s="30"/>
    </row>
    <row r="26" spans="1:16" s="4" customFormat="1" ht="135" x14ac:dyDescent="0.15">
      <c r="A26" s="5">
        <v>24</v>
      </c>
      <c r="B26" s="11">
        <v>41121709</v>
      </c>
      <c r="C26" s="7" t="s">
        <v>71</v>
      </c>
      <c r="D26" s="8" t="s">
        <v>72</v>
      </c>
      <c r="E26" s="9" t="s">
        <v>73</v>
      </c>
      <c r="F26" s="12">
        <v>0</v>
      </c>
      <c r="G26" s="10"/>
      <c r="H26" s="10">
        <v>16660</v>
      </c>
      <c r="I26" s="10">
        <f>14000*1.19</f>
        <v>16660</v>
      </c>
      <c r="J26" s="10">
        <v>30500</v>
      </c>
      <c r="K26" s="10">
        <v>27370</v>
      </c>
      <c r="L26" s="10"/>
      <c r="M26" s="10">
        <v>27450</v>
      </c>
      <c r="N26" s="22">
        <f>AVERAGE(G26:M26)</f>
        <v>23728</v>
      </c>
      <c r="O26" s="30"/>
      <c r="P26" s="30"/>
    </row>
    <row r="27" spans="1:16" s="4" customFormat="1" ht="135" x14ac:dyDescent="0.15">
      <c r="A27" s="5">
        <v>25</v>
      </c>
      <c r="B27" s="11">
        <v>41122412</v>
      </c>
      <c r="C27" s="7" t="s">
        <v>74</v>
      </c>
      <c r="D27" s="8" t="s">
        <v>75</v>
      </c>
      <c r="E27" s="9" t="s">
        <v>76</v>
      </c>
      <c r="F27" s="12">
        <v>0</v>
      </c>
      <c r="G27" s="10"/>
      <c r="H27" s="10">
        <v>76160</v>
      </c>
      <c r="I27" s="10">
        <f>62000*1.19</f>
        <v>73780</v>
      </c>
      <c r="J27" s="10">
        <v>35700</v>
      </c>
      <c r="K27" s="10">
        <v>89250</v>
      </c>
      <c r="L27" s="10"/>
      <c r="M27" s="10">
        <v>64800</v>
      </c>
      <c r="N27" s="22">
        <f>AVERAGE(G27:M27)</f>
        <v>67938</v>
      </c>
      <c r="O27" s="30"/>
      <c r="P27" s="30"/>
    </row>
    <row r="28" spans="1:16" s="4" customFormat="1" ht="120" x14ac:dyDescent="0.15">
      <c r="A28" s="5">
        <v>26</v>
      </c>
      <c r="B28" s="11">
        <v>41122601</v>
      </c>
      <c r="C28" s="7" t="s">
        <v>77</v>
      </c>
      <c r="D28" s="8" t="s">
        <v>78</v>
      </c>
      <c r="E28" s="9" t="s">
        <v>76</v>
      </c>
      <c r="F28" s="12">
        <v>0</v>
      </c>
      <c r="G28" s="10"/>
      <c r="H28" s="19">
        <f>317730</f>
        <v>317730</v>
      </c>
      <c r="I28" s="19">
        <f>260000*1.19</f>
        <v>309400</v>
      </c>
      <c r="J28" s="10">
        <v>535500</v>
      </c>
      <c r="K28" s="10">
        <v>487900</v>
      </c>
      <c r="L28" s="10"/>
      <c r="M28" s="10">
        <v>420600</v>
      </c>
      <c r="N28" s="22">
        <f>AVERAGE(G28:M28)</f>
        <v>414226</v>
      </c>
      <c r="O28" s="30"/>
      <c r="P28" s="30"/>
    </row>
    <row r="29" spans="1:16" s="4" customFormat="1" ht="90" x14ac:dyDescent="0.15">
      <c r="A29" s="5">
        <v>27</v>
      </c>
      <c r="B29" s="11">
        <v>41122601</v>
      </c>
      <c r="C29" s="5" t="s">
        <v>79</v>
      </c>
      <c r="D29" s="14" t="s">
        <v>80</v>
      </c>
      <c r="E29" s="5" t="s">
        <v>81</v>
      </c>
      <c r="F29" s="12">
        <v>4</v>
      </c>
      <c r="G29" s="10">
        <v>1017450</v>
      </c>
      <c r="H29" s="10">
        <v>1240050</v>
      </c>
      <c r="I29" s="10">
        <f>1151000*1.05</f>
        <v>1208550</v>
      </c>
      <c r="J29" s="10">
        <v>1910000</v>
      </c>
      <c r="K29" s="10">
        <v>1549800</v>
      </c>
      <c r="L29" s="10"/>
      <c r="M29" s="10">
        <f>+G29*1.3</f>
        <v>1322685</v>
      </c>
      <c r="N29" s="22">
        <f>AVERAGE(G29:M29)</f>
        <v>1374755.8333333333</v>
      </c>
      <c r="O29" s="30"/>
      <c r="P29" s="30"/>
    </row>
    <row r="30" spans="1:16" s="4" customFormat="1" ht="75" x14ac:dyDescent="0.15">
      <c r="A30" s="5">
        <v>28</v>
      </c>
      <c r="B30" s="13">
        <v>41122603</v>
      </c>
      <c r="C30" s="5" t="s">
        <v>82</v>
      </c>
      <c r="D30" s="14" t="s">
        <v>83</v>
      </c>
      <c r="E30" s="5" t="s">
        <v>84</v>
      </c>
      <c r="F30" s="12">
        <v>3</v>
      </c>
      <c r="G30" s="10"/>
      <c r="H30" s="10">
        <v>36890</v>
      </c>
      <c r="I30" s="10">
        <f>30000*1.19</f>
        <v>35700</v>
      </c>
      <c r="J30" s="10"/>
      <c r="K30" s="10">
        <v>66640</v>
      </c>
      <c r="L30" s="10"/>
      <c r="M30" s="10">
        <v>45700</v>
      </c>
      <c r="N30" s="22">
        <f>AVERAGE(G30:M30)</f>
        <v>46232.5</v>
      </c>
      <c r="O30" s="30"/>
      <c r="P30" s="30"/>
    </row>
    <row r="31" spans="1:16" s="4" customFormat="1" ht="75" x14ac:dyDescent="0.15">
      <c r="A31" s="5">
        <v>29</v>
      </c>
      <c r="B31" s="11">
        <v>41122806</v>
      </c>
      <c r="C31" s="5" t="s">
        <v>85</v>
      </c>
      <c r="D31" s="14" t="s">
        <v>86</v>
      </c>
      <c r="E31" s="5" t="s">
        <v>76</v>
      </c>
      <c r="F31" s="12">
        <v>0</v>
      </c>
      <c r="G31" s="10"/>
      <c r="H31" s="10">
        <v>315350</v>
      </c>
      <c r="I31" s="10">
        <f>258000*1.19</f>
        <v>307020</v>
      </c>
      <c r="J31" s="10">
        <v>77350</v>
      </c>
      <c r="K31" s="10">
        <v>572390</v>
      </c>
      <c r="L31" s="10"/>
      <c r="M31" s="10">
        <v>346000</v>
      </c>
      <c r="N31" s="22">
        <f>AVERAGE(G31:M31)</f>
        <v>323622</v>
      </c>
      <c r="O31" s="30"/>
      <c r="P31" s="30"/>
    </row>
    <row r="32" spans="1:16" s="4" customFormat="1" ht="90" x14ac:dyDescent="0.15">
      <c r="A32" s="5">
        <v>30</v>
      </c>
      <c r="B32" s="13">
        <v>42121802</v>
      </c>
      <c r="C32" s="5" t="s">
        <v>87</v>
      </c>
      <c r="D32" s="14" t="s">
        <v>88</v>
      </c>
      <c r="E32" s="9" t="s">
        <v>89</v>
      </c>
      <c r="F32" s="12">
        <v>3</v>
      </c>
      <c r="G32" s="10"/>
      <c r="H32" s="10">
        <v>175000</v>
      </c>
      <c r="I32" s="10">
        <v>171000</v>
      </c>
      <c r="J32" s="10">
        <v>142800</v>
      </c>
      <c r="K32" s="10">
        <v>318000</v>
      </c>
      <c r="L32" s="10"/>
      <c r="M32" s="10">
        <f>+J32*1.3</f>
        <v>185640</v>
      </c>
      <c r="N32" s="22">
        <f>AVERAGE(G32:M32)</f>
        <v>198488</v>
      </c>
      <c r="O32" s="30"/>
      <c r="P32" s="30"/>
    </row>
    <row r="33" spans="1:16" s="4" customFormat="1" ht="75" x14ac:dyDescent="0.15">
      <c r="A33" s="5">
        <v>31</v>
      </c>
      <c r="B33" s="17">
        <v>42121802</v>
      </c>
      <c r="C33" s="5" t="s">
        <v>90</v>
      </c>
      <c r="D33" s="14" t="s">
        <v>91</v>
      </c>
      <c r="E33" s="5" t="s">
        <v>76</v>
      </c>
      <c r="F33" s="12">
        <v>4</v>
      </c>
      <c r="G33" s="10">
        <v>524790</v>
      </c>
      <c r="H33" s="10">
        <v>167000</v>
      </c>
      <c r="I33" s="10">
        <v>163000</v>
      </c>
      <c r="J33" s="10">
        <v>225000</v>
      </c>
      <c r="K33" s="10">
        <v>801000</v>
      </c>
      <c r="L33" s="10"/>
      <c r="M33" s="10">
        <v>320000</v>
      </c>
      <c r="N33" s="22">
        <f>AVERAGE(G33:M33)</f>
        <v>366798.33333333331</v>
      </c>
      <c r="O33" s="30"/>
      <c r="P33" s="30"/>
    </row>
    <row r="34" spans="1:16" s="4" customFormat="1" ht="60" x14ac:dyDescent="0.15">
      <c r="A34" s="5">
        <v>32</v>
      </c>
      <c r="B34" s="17">
        <v>42121802</v>
      </c>
      <c r="C34" s="5" t="s">
        <v>92</v>
      </c>
      <c r="D34" s="14" t="s">
        <v>93</v>
      </c>
      <c r="E34" s="5" t="s">
        <v>76</v>
      </c>
      <c r="F34" s="17">
        <v>0</v>
      </c>
      <c r="G34" s="10">
        <v>3819900</v>
      </c>
      <c r="H34" s="10">
        <v>3215100</v>
      </c>
      <c r="I34" s="10">
        <f>2985000*1.05</f>
        <v>3134250</v>
      </c>
      <c r="J34" s="10">
        <v>1378900</v>
      </c>
      <c r="K34" s="10">
        <v>4751250</v>
      </c>
      <c r="L34" s="10"/>
      <c r="M34" s="10">
        <f>+G34*1.3</f>
        <v>4965870</v>
      </c>
      <c r="N34" s="22">
        <f>AVERAGE(G34:M34)</f>
        <v>3544211.6666666665</v>
      </c>
      <c r="O34" s="30"/>
      <c r="P34" s="30"/>
    </row>
    <row r="35" spans="1:16" s="4" customFormat="1" ht="255" x14ac:dyDescent="0.15">
      <c r="A35" s="5">
        <v>33</v>
      </c>
      <c r="B35" s="11">
        <v>42132205</v>
      </c>
      <c r="C35" s="7" t="s">
        <v>94</v>
      </c>
      <c r="D35" s="8" t="s">
        <v>95</v>
      </c>
      <c r="E35" s="5" t="s">
        <v>96</v>
      </c>
      <c r="F35" s="12">
        <v>2</v>
      </c>
      <c r="G35" s="10"/>
      <c r="H35" s="10">
        <v>45220</v>
      </c>
      <c r="I35" s="10">
        <f>37000*1.19</f>
        <v>44030</v>
      </c>
      <c r="J35" s="10"/>
      <c r="K35" s="10">
        <v>57120</v>
      </c>
      <c r="L35" s="10"/>
      <c r="M35" s="10">
        <v>48500</v>
      </c>
      <c r="N35" s="22">
        <f>AVERAGE(G35:M35)</f>
        <v>48717.5</v>
      </c>
      <c r="O35" s="30"/>
      <c r="P35" s="30"/>
    </row>
    <row r="36" spans="1:16" s="4" customFormat="1" ht="255" x14ac:dyDescent="0.15">
      <c r="A36" s="5">
        <v>34</v>
      </c>
      <c r="B36" s="11">
        <v>42132205</v>
      </c>
      <c r="C36" s="7" t="s">
        <v>97</v>
      </c>
      <c r="D36" s="8" t="s">
        <v>98</v>
      </c>
      <c r="E36" s="9" t="s">
        <v>96</v>
      </c>
      <c r="F36" s="12">
        <v>5</v>
      </c>
      <c r="G36" s="10"/>
      <c r="H36" s="10">
        <v>45220</v>
      </c>
      <c r="I36" s="10">
        <f>37000*1.19</f>
        <v>44030</v>
      </c>
      <c r="J36" s="10"/>
      <c r="K36" s="10">
        <v>57120</v>
      </c>
      <c r="L36" s="10"/>
      <c r="M36" s="10">
        <v>48500</v>
      </c>
      <c r="N36" s="22">
        <f>AVERAGE(G36:M36)</f>
        <v>48717.5</v>
      </c>
      <c r="O36" s="30"/>
      <c r="P36" s="30"/>
    </row>
    <row r="37" spans="1:16" s="4" customFormat="1" ht="150" x14ac:dyDescent="0.15">
      <c r="A37" s="5">
        <v>35</v>
      </c>
      <c r="B37" s="6">
        <v>42142515</v>
      </c>
      <c r="C37" s="5" t="s">
        <v>99</v>
      </c>
      <c r="D37" s="8" t="s">
        <v>100</v>
      </c>
      <c r="E37" s="9" t="s">
        <v>54</v>
      </c>
      <c r="F37" s="5">
        <v>3</v>
      </c>
      <c r="G37" s="10"/>
      <c r="H37" s="10">
        <v>49980</v>
      </c>
      <c r="I37" s="10">
        <f>41000*1.19</f>
        <v>48790</v>
      </c>
      <c r="J37" s="10"/>
      <c r="K37" s="10">
        <v>77350</v>
      </c>
      <c r="L37" s="10"/>
      <c r="M37" s="10">
        <v>62000</v>
      </c>
      <c r="N37" s="22">
        <f>AVERAGE(G37:M37)</f>
        <v>59530</v>
      </c>
      <c r="O37" s="30"/>
      <c r="P37" s="30"/>
    </row>
    <row r="38" spans="1:16" s="4" customFormat="1" ht="150" x14ac:dyDescent="0.15">
      <c r="A38" s="5">
        <v>36</v>
      </c>
      <c r="B38" s="6">
        <v>42142515</v>
      </c>
      <c r="C38" s="5" t="s">
        <v>101</v>
      </c>
      <c r="D38" s="8" t="s">
        <v>100</v>
      </c>
      <c r="E38" s="9" t="s">
        <v>54</v>
      </c>
      <c r="F38" s="5">
        <v>3</v>
      </c>
      <c r="G38" s="10"/>
      <c r="H38" s="10">
        <v>57120</v>
      </c>
      <c r="I38" s="10">
        <f>47000*1.19</f>
        <v>55930</v>
      </c>
      <c r="J38" s="10"/>
      <c r="K38" s="10">
        <v>77350</v>
      </c>
      <c r="L38" s="10"/>
      <c r="M38" s="10">
        <v>62000</v>
      </c>
      <c r="N38" s="22">
        <f>AVERAGE(G38:M38)</f>
        <v>63100</v>
      </c>
      <c r="O38" s="30"/>
      <c r="P38" s="30"/>
    </row>
    <row r="39" spans="1:16" s="4" customFormat="1" ht="409.6" x14ac:dyDescent="0.15">
      <c r="A39" s="5">
        <v>37</v>
      </c>
      <c r="B39" s="17">
        <v>42143201</v>
      </c>
      <c r="C39" s="5" t="s">
        <v>102</v>
      </c>
      <c r="D39" s="14" t="s">
        <v>103</v>
      </c>
      <c r="E39" s="5" t="s">
        <v>104</v>
      </c>
      <c r="F39" s="5">
        <v>2</v>
      </c>
      <c r="G39" s="10">
        <v>550970</v>
      </c>
      <c r="H39" s="10">
        <v>561000</v>
      </c>
      <c r="I39" s="10">
        <v>547000</v>
      </c>
      <c r="J39" s="10">
        <v>485000</v>
      </c>
      <c r="K39" s="10">
        <v>655000</v>
      </c>
      <c r="L39" s="10"/>
      <c r="M39" s="10">
        <f>+G39*1.3</f>
        <v>716261</v>
      </c>
      <c r="N39" s="22">
        <f>AVERAGE(G39:M39)</f>
        <v>585871.83333333337</v>
      </c>
      <c r="O39" s="30"/>
      <c r="P39" s="30"/>
    </row>
    <row r="40" spans="1:16" s="4" customFormat="1" ht="342" x14ac:dyDescent="0.15">
      <c r="A40" s="5">
        <v>38</v>
      </c>
      <c r="B40" s="13">
        <v>42143201</v>
      </c>
      <c r="C40" s="5" t="s">
        <v>105</v>
      </c>
      <c r="D40" s="14" t="s">
        <v>106</v>
      </c>
      <c r="E40" s="5" t="s">
        <v>104</v>
      </c>
      <c r="F40" s="12">
        <v>6</v>
      </c>
      <c r="G40" s="10">
        <v>215247</v>
      </c>
      <c r="H40" s="19">
        <v>241000</v>
      </c>
      <c r="I40" s="10">
        <v>235000</v>
      </c>
      <c r="J40" s="10">
        <v>287000</v>
      </c>
      <c r="K40" s="10">
        <v>260000</v>
      </c>
      <c r="L40" s="10"/>
      <c r="M40" s="10">
        <f>+J40*1.3</f>
        <v>373100</v>
      </c>
      <c r="N40" s="22">
        <f>AVERAGE(G40:M40)</f>
        <v>268557.83333333331</v>
      </c>
      <c r="O40" s="30"/>
      <c r="P40" s="30"/>
    </row>
    <row r="41" spans="1:16" s="4" customFormat="1" ht="105" x14ac:dyDescent="0.15">
      <c r="A41" s="5">
        <v>39</v>
      </c>
      <c r="B41" s="13">
        <v>42143201</v>
      </c>
      <c r="C41" s="5" t="s">
        <v>107</v>
      </c>
      <c r="D41" s="14" t="s">
        <v>108</v>
      </c>
      <c r="E41" s="9" t="s">
        <v>109</v>
      </c>
      <c r="F41" s="12">
        <v>0</v>
      </c>
      <c r="G41" s="10"/>
      <c r="H41" s="19">
        <v>4770150</v>
      </c>
      <c r="I41" s="10">
        <f>4429000*1.05</f>
        <v>4650450</v>
      </c>
      <c r="J41" s="10">
        <v>2891700</v>
      </c>
      <c r="K41" s="10">
        <v>735000</v>
      </c>
      <c r="L41" s="10"/>
      <c r="M41" s="10">
        <f>+J41*1.3</f>
        <v>3759210</v>
      </c>
      <c r="N41" s="22">
        <f>AVERAGE(G41:M41)</f>
        <v>3361302</v>
      </c>
      <c r="O41" s="30"/>
      <c r="P41" s="30"/>
    </row>
    <row r="42" spans="1:16" s="4" customFormat="1" ht="90" x14ac:dyDescent="0.15">
      <c r="A42" s="5">
        <v>40</v>
      </c>
      <c r="B42" s="17">
        <v>42143201</v>
      </c>
      <c r="C42" s="7" t="s">
        <v>110</v>
      </c>
      <c r="D42" s="14" t="s">
        <v>111</v>
      </c>
      <c r="E42" s="5" t="s">
        <v>76</v>
      </c>
      <c r="F42" s="17">
        <v>0</v>
      </c>
      <c r="G42" s="10"/>
      <c r="H42" s="10">
        <v>53550</v>
      </c>
      <c r="I42" s="10">
        <f>44000*1.19</f>
        <v>52360</v>
      </c>
      <c r="J42" s="10">
        <v>46500</v>
      </c>
      <c r="K42" s="10">
        <v>96390</v>
      </c>
      <c r="L42" s="10"/>
      <c r="M42" s="10">
        <v>70650</v>
      </c>
      <c r="N42" s="22">
        <f>AVERAGE(G42:M42)</f>
        <v>63890</v>
      </c>
      <c r="O42" s="30"/>
      <c r="P42" s="30"/>
    </row>
    <row r="43" spans="1:16" s="4" customFormat="1" ht="75" x14ac:dyDescent="0.15">
      <c r="A43" s="5">
        <v>41</v>
      </c>
      <c r="B43" s="17">
        <v>42181715</v>
      </c>
      <c r="C43" s="7" t="s">
        <v>112</v>
      </c>
      <c r="D43" s="14" t="s">
        <v>113</v>
      </c>
      <c r="E43" s="5" t="s">
        <v>45</v>
      </c>
      <c r="F43" s="17">
        <v>1</v>
      </c>
      <c r="G43" s="10"/>
      <c r="H43" s="10">
        <v>841330</v>
      </c>
      <c r="I43" s="10">
        <f>689000*1.19</f>
        <v>819910</v>
      </c>
      <c r="J43" s="10"/>
      <c r="K43" s="10">
        <v>297500</v>
      </c>
      <c r="L43" s="10"/>
      <c r="M43" s="10">
        <v>345000</v>
      </c>
      <c r="N43" s="22">
        <f>AVERAGE(G43:M43)</f>
        <v>575935</v>
      </c>
      <c r="O43" s="30"/>
      <c r="P43" s="30"/>
    </row>
    <row r="44" spans="1:16" s="4" customFormat="1" ht="225" x14ac:dyDescent="0.15">
      <c r="A44" s="5">
        <v>42</v>
      </c>
      <c r="B44" s="13">
        <v>42281509</v>
      </c>
      <c r="C44" s="15" t="s">
        <v>114</v>
      </c>
      <c r="D44" s="14" t="s">
        <v>115</v>
      </c>
      <c r="E44" s="15" t="s">
        <v>31</v>
      </c>
      <c r="F44" s="13">
        <v>3</v>
      </c>
      <c r="G44" s="10"/>
      <c r="H44" s="10">
        <v>292740</v>
      </c>
      <c r="I44" s="10">
        <f>240000*1.19</f>
        <v>285600</v>
      </c>
      <c r="J44" s="10"/>
      <c r="K44" s="10">
        <v>178500</v>
      </c>
      <c r="L44" s="10"/>
      <c r="M44" s="10">
        <v>245600</v>
      </c>
      <c r="N44" s="22">
        <f>AVERAGE(G44:M44)</f>
        <v>250610</v>
      </c>
      <c r="O44" s="30"/>
      <c r="P44" s="30"/>
    </row>
    <row r="45" spans="1:16" s="4" customFormat="1" ht="60" x14ac:dyDescent="0.15">
      <c r="A45" s="5">
        <v>43</v>
      </c>
      <c r="B45" s="17">
        <v>42311512</v>
      </c>
      <c r="C45" s="5" t="s">
        <v>116</v>
      </c>
      <c r="D45" s="14" t="s">
        <v>117</v>
      </c>
      <c r="E45" s="5" t="s">
        <v>118</v>
      </c>
      <c r="F45" s="5">
        <v>1</v>
      </c>
      <c r="G45" s="10"/>
      <c r="H45" s="10">
        <v>121000</v>
      </c>
      <c r="I45" s="10">
        <v>118000</v>
      </c>
      <c r="J45" s="10">
        <v>160650</v>
      </c>
      <c r="K45" s="10">
        <v>140000</v>
      </c>
      <c r="L45" s="10"/>
      <c r="M45" s="10">
        <v>145600</v>
      </c>
      <c r="N45" s="22">
        <f>AVERAGE(G45:M45)</f>
        <v>137050</v>
      </c>
      <c r="O45" s="30"/>
      <c r="P45" s="30"/>
    </row>
    <row r="46" spans="1:16" s="4" customFormat="1" ht="75" x14ac:dyDescent="0.15">
      <c r="A46" s="5">
        <v>44</v>
      </c>
      <c r="B46" s="17">
        <v>46181708</v>
      </c>
      <c r="C46" s="7" t="s">
        <v>119</v>
      </c>
      <c r="D46" s="14" t="s">
        <v>120</v>
      </c>
      <c r="E46" s="5" t="s">
        <v>121</v>
      </c>
      <c r="F46" s="17">
        <v>0</v>
      </c>
      <c r="G46" s="10"/>
      <c r="H46" s="10">
        <v>21420</v>
      </c>
      <c r="I46" s="10">
        <f>18000*1.19</f>
        <v>21420</v>
      </c>
      <c r="J46" s="10"/>
      <c r="K46" s="10">
        <v>26180</v>
      </c>
      <c r="L46" s="10"/>
      <c r="M46" s="10">
        <v>24700</v>
      </c>
      <c r="N46" s="22">
        <f>AVERAGE(G46:M46)</f>
        <v>23430</v>
      </c>
      <c r="O46" s="30"/>
      <c r="P46" s="30"/>
    </row>
    <row r="47" spans="1:16" s="4" customFormat="1" ht="135" x14ac:dyDescent="0.15">
      <c r="A47" s="5">
        <v>45</v>
      </c>
      <c r="B47" s="17">
        <v>46182001</v>
      </c>
      <c r="C47" s="5" t="s">
        <v>122</v>
      </c>
      <c r="D47" s="14" t="s">
        <v>123</v>
      </c>
      <c r="E47" s="5" t="s">
        <v>124</v>
      </c>
      <c r="F47" s="17">
        <v>10</v>
      </c>
      <c r="G47" s="10"/>
      <c r="H47" s="10">
        <v>19040</v>
      </c>
      <c r="I47" s="10">
        <f>16000*1.19</f>
        <v>19040</v>
      </c>
      <c r="J47" s="10"/>
      <c r="K47" s="10">
        <v>26180</v>
      </c>
      <c r="L47" s="10"/>
      <c r="M47" s="10">
        <v>24500</v>
      </c>
      <c r="N47" s="22">
        <f>AVERAGE(G47:M47)</f>
        <v>22190</v>
      </c>
      <c r="O47" s="30"/>
      <c r="P47" s="30"/>
    </row>
    <row r="48" spans="1:16" s="4" customFormat="1" ht="356" x14ac:dyDescent="0.15">
      <c r="A48" s="5">
        <v>46</v>
      </c>
      <c r="B48" s="17">
        <v>50161509</v>
      </c>
      <c r="C48" s="7" t="s">
        <v>125</v>
      </c>
      <c r="D48" s="14" t="s">
        <v>126</v>
      </c>
      <c r="E48" s="5" t="s">
        <v>127</v>
      </c>
      <c r="F48" s="17">
        <v>50</v>
      </c>
      <c r="G48" s="10"/>
      <c r="H48" s="10">
        <v>4000</v>
      </c>
      <c r="I48" s="10">
        <v>4000</v>
      </c>
      <c r="J48" s="10"/>
      <c r="K48" s="10">
        <v>3000</v>
      </c>
      <c r="L48" s="10"/>
      <c r="M48" s="10">
        <v>4200</v>
      </c>
      <c r="N48" s="22">
        <f>AVERAGE(G48:M48)</f>
        <v>3800</v>
      </c>
      <c r="O48" s="30"/>
      <c r="P48" s="30"/>
    </row>
    <row r="49" spans="1:16" s="4" customFormat="1" ht="180" x14ac:dyDescent="0.15">
      <c r="A49" s="5">
        <v>47</v>
      </c>
      <c r="B49" s="17">
        <v>50171551</v>
      </c>
      <c r="C49" s="7" t="s">
        <v>128</v>
      </c>
      <c r="D49" s="14" t="s">
        <v>129</v>
      </c>
      <c r="E49" s="5" t="s">
        <v>127</v>
      </c>
      <c r="F49" s="17">
        <v>41</v>
      </c>
      <c r="G49" s="10"/>
      <c r="H49" s="10">
        <v>4000</v>
      </c>
      <c r="I49" s="10">
        <v>4000</v>
      </c>
      <c r="J49" s="10"/>
      <c r="K49" s="10">
        <v>3000</v>
      </c>
      <c r="L49" s="10"/>
      <c r="M49" s="10">
        <v>3200</v>
      </c>
      <c r="N49" s="22">
        <f>AVERAGE(G49:M49)</f>
        <v>3550</v>
      </c>
      <c r="O49" s="30"/>
      <c r="P49" s="30"/>
    </row>
    <row r="50" spans="1:16" s="4" customFormat="1" ht="60" x14ac:dyDescent="0.15">
      <c r="A50" s="5">
        <v>48</v>
      </c>
      <c r="B50" s="17">
        <v>51191605</v>
      </c>
      <c r="C50" s="5" t="s">
        <v>130</v>
      </c>
      <c r="D50" s="14" t="s">
        <v>131</v>
      </c>
      <c r="E50" s="5" t="s">
        <v>132</v>
      </c>
      <c r="F50" s="17">
        <v>14</v>
      </c>
      <c r="G50" s="10"/>
      <c r="H50" s="10">
        <v>6000</v>
      </c>
      <c r="I50" s="10">
        <v>6000</v>
      </c>
      <c r="J50" s="10"/>
      <c r="K50" s="10">
        <v>7000</v>
      </c>
      <c r="L50" s="10"/>
      <c r="M50" s="10">
        <v>6500</v>
      </c>
      <c r="N50" s="22">
        <f>AVERAGE(G50:M50)</f>
        <v>6375</v>
      </c>
      <c r="O50" s="30"/>
      <c r="P50" s="30"/>
    </row>
    <row r="51" spans="1:16" s="4" customFormat="1" ht="90" x14ac:dyDescent="0.15">
      <c r="A51" s="5">
        <v>49</v>
      </c>
      <c r="B51" s="13">
        <v>53131608</v>
      </c>
      <c r="C51" s="5" t="s">
        <v>133</v>
      </c>
      <c r="D51" s="14" t="s">
        <v>134</v>
      </c>
      <c r="E51" s="15" t="s">
        <v>135</v>
      </c>
      <c r="F51" s="13">
        <v>1</v>
      </c>
      <c r="G51" s="10"/>
      <c r="H51" s="10">
        <v>315350</v>
      </c>
      <c r="I51" s="10">
        <f>258000*1.19</f>
        <v>307020</v>
      </c>
      <c r="J51" s="10"/>
      <c r="K51" s="10">
        <v>1523200</v>
      </c>
      <c r="L51" s="10"/>
      <c r="M51" s="10">
        <v>857000</v>
      </c>
      <c r="N51" s="22">
        <f>AVERAGE(G51:M51)</f>
        <v>750642.5</v>
      </c>
      <c r="O51" s="30"/>
      <c r="P51" s="30"/>
    </row>
    <row r="52" spans="1:16" s="4" customFormat="1" ht="210" x14ac:dyDescent="0.15">
      <c r="A52" s="5">
        <v>50</v>
      </c>
      <c r="B52" s="13">
        <v>60104904</v>
      </c>
      <c r="C52" s="7" t="s">
        <v>136</v>
      </c>
      <c r="D52" s="14" t="s">
        <v>137</v>
      </c>
      <c r="E52" s="15" t="s">
        <v>45</v>
      </c>
      <c r="F52" s="13">
        <v>1</v>
      </c>
      <c r="G52" s="10"/>
      <c r="H52" s="10">
        <v>223720</v>
      </c>
      <c r="I52" s="10">
        <f>183000*1.19</f>
        <v>217770</v>
      </c>
      <c r="J52" s="10">
        <v>120000</v>
      </c>
      <c r="K52" s="10">
        <v>372470</v>
      </c>
      <c r="L52" s="10"/>
      <c r="M52" s="10">
        <f>150000*1.3</f>
        <v>195000</v>
      </c>
      <c r="N52" s="22">
        <f>AVERAGE(G52:M52)</f>
        <v>225792</v>
      </c>
      <c r="O52" s="30"/>
      <c r="P52" s="30"/>
    </row>
    <row r="53" spans="1:16" s="4" customFormat="1" ht="90" x14ac:dyDescent="0.15">
      <c r="A53" s="5">
        <v>51</v>
      </c>
      <c r="B53" s="13">
        <v>60104906</v>
      </c>
      <c r="C53" s="7" t="s">
        <v>138</v>
      </c>
      <c r="D53" s="14" t="s">
        <v>139</v>
      </c>
      <c r="E53" s="15" t="s">
        <v>45</v>
      </c>
      <c r="F53" s="13">
        <v>9</v>
      </c>
      <c r="G53" s="10"/>
      <c r="H53" s="10">
        <v>5950</v>
      </c>
      <c r="I53" s="10">
        <f>5000*1.19</f>
        <v>5950</v>
      </c>
      <c r="J53" s="10">
        <v>24000</v>
      </c>
      <c r="K53" s="10">
        <v>10710</v>
      </c>
      <c r="L53" s="10"/>
      <c r="M53" s="10">
        <f>4000*1.3</f>
        <v>5200</v>
      </c>
      <c r="N53" s="22">
        <f>AVERAGE(G53:M53)</f>
        <v>10362</v>
      </c>
      <c r="O53" s="30"/>
      <c r="P53" s="30"/>
    </row>
    <row r="54" spans="1:16" s="4" customFormat="1" ht="135" x14ac:dyDescent="0.15">
      <c r="A54" s="5">
        <v>52</v>
      </c>
      <c r="B54" s="17" t="s">
        <v>140</v>
      </c>
      <c r="C54" s="5" t="s">
        <v>141</v>
      </c>
      <c r="D54" s="14" t="s">
        <v>142</v>
      </c>
      <c r="E54" s="5" t="s">
        <v>143</v>
      </c>
      <c r="F54" s="17">
        <v>20</v>
      </c>
      <c r="G54" s="10"/>
      <c r="H54" s="10">
        <v>28560</v>
      </c>
      <c r="I54" s="10">
        <f>23000*1.19</f>
        <v>27370</v>
      </c>
      <c r="J54" s="10"/>
      <c r="K54" s="10">
        <v>29750</v>
      </c>
      <c r="L54" s="10"/>
      <c r="M54" s="10">
        <v>29500</v>
      </c>
      <c r="N54" s="22">
        <f>AVERAGE(G54:M54)</f>
        <v>28795</v>
      </c>
      <c r="O54" s="30"/>
      <c r="P54" s="30"/>
    </row>
    <row r="55" spans="1:16" s="4" customFormat="1" ht="60" x14ac:dyDescent="0.15">
      <c r="A55" s="5">
        <v>53</v>
      </c>
      <c r="B55" s="17" t="s">
        <v>144</v>
      </c>
      <c r="C55" s="5" t="s">
        <v>145</v>
      </c>
      <c r="D55" s="14" t="s">
        <v>146</v>
      </c>
      <c r="E55" s="5" t="s">
        <v>76</v>
      </c>
      <c r="F55" s="12">
        <v>0</v>
      </c>
      <c r="G55" s="10">
        <v>2014670</v>
      </c>
      <c r="H55" s="10">
        <v>3215100</v>
      </c>
      <c r="I55" s="10">
        <f>2985000*1.05</f>
        <v>3134250</v>
      </c>
      <c r="J55" s="10">
        <v>1350000</v>
      </c>
      <c r="K55" s="10">
        <v>4018350</v>
      </c>
      <c r="L55" s="10"/>
      <c r="M55" s="10">
        <v>2645600</v>
      </c>
      <c r="N55" s="22">
        <f>AVERAGE(G55:M55)</f>
        <v>2729661.6666666665</v>
      </c>
      <c r="O55" s="30"/>
      <c r="P55" s="30"/>
    </row>
    <row r="56" spans="1:16" x14ac:dyDescent="0.15">
      <c r="A56" s="34" t="s">
        <v>147</v>
      </c>
      <c r="B56" s="34"/>
      <c r="C56" s="34"/>
      <c r="D56" s="34"/>
      <c r="E56" s="34"/>
      <c r="F56" s="34"/>
      <c r="G56" s="34"/>
      <c r="H56" s="34"/>
      <c r="I56" s="34"/>
      <c r="J56" s="34"/>
      <c r="K56" s="34"/>
      <c r="L56" s="34"/>
      <c r="M56" s="34"/>
      <c r="N56" s="35" t="s">
        <v>147</v>
      </c>
      <c r="O56" s="31"/>
      <c r="P56" s="31"/>
    </row>
    <row r="57" spans="1:16" x14ac:dyDescent="0.15">
      <c r="N57" s="23"/>
    </row>
    <row r="58" spans="1:16" x14ac:dyDescent="0.15">
      <c r="N58" s="23"/>
    </row>
    <row r="59" spans="1:16" x14ac:dyDescent="0.15">
      <c r="D59" s="33"/>
    </row>
    <row r="60" spans="1:16" x14ac:dyDescent="0.15">
      <c r="D60" s="33"/>
    </row>
  </sheetData>
  <autoFilter ref="A2:N58" xr:uid="{00000000-0001-0000-0000-000000000000}"/>
  <customSheetViews>
    <customSheetView guid="{F372729D-F0A6-46FF-8527-4404D4D9BE40}" filter="1" showAutoFilter="1">
      <pageMargins left="0" right="0" top="0" bottom="0" header="0" footer="0"/>
      <autoFilter ref="A1:O1013" xr:uid="{61A43600-11E2-5D4B-BD9C-6C71D2831538}"/>
      <extLst>
        <ext uri="GoogleSheetsCustomDataVersion1">
          <go:sheetsCustomData xmlns:go="http://customooxmlschemas.google.com/" filterViewId="1620218038"/>
        </ext>
      </extLst>
    </customSheetView>
  </customSheetViews>
  <mergeCells count="1">
    <mergeCell ref="A1:N1"/>
  </mergeCells>
  <phoneticPr fontId="3" type="noConversion"/>
  <pageMargins left="0.51181102362204722" right="0.51181102362204722" top="0.74803149606299213" bottom="0.74803149606299213" header="0" footer="0"/>
  <pageSetup paperSize="9" scale="40" fitToHeight="0"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PROD CENTROS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Elizabeth Cristina Guarin Lizcano</dc:creator>
  <cp:keywords/>
  <dc:description/>
  <cp:lastModifiedBy>Jenniffer Dayana Serrano Alvarez</cp:lastModifiedBy>
  <cp:revision/>
  <cp:lastPrinted>2023-10-31T21:57:47Z</cp:lastPrinted>
  <dcterms:created xsi:type="dcterms:W3CDTF">2022-03-22T23:05:05Z</dcterms:created>
  <dcterms:modified xsi:type="dcterms:W3CDTF">2023-11-09T02:43:23Z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2023-05-29T14:25:39Z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861c3614-a457-4b41-935c-ae6933513a10</vt:lpwstr>
  </property>
  <property fmtid="{D5CDD505-2E9C-101B-9397-08002B2CF9AE}" pid="8" name="MSIP_Label_1299739c-ad3d-4908-806e-4d91151a6e13_ContentBits">
    <vt:lpwstr>0</vt:lpwstr>
  </property>
</Properties>
</file>