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codeName="{4AEB4F63-F33D-04DF-ECAF-5796C6CBFC7C}"/>
  <workbookPr codeName="ThisWorkbook" defaultThemeVersion="124226"/>
  <mc:AlternateContent xmlns:mc="http://schemas.openxmlformats.org/markup-compatibility/2006">
    <mc:Choice Requires="x15">
      <x15ac:absPath xmlns:x15ac="http://schemas.microsoft.com/office/spreadsheetml/2010/11/ac" url="C:\Users\gabri\OneDrive\Escritorio\INVIAS\LICITACION PUBLICA\LP-DO-SRN-048-2019\"/>
    </mc:Choice>
  </mc:AlternateContent>
  <xr:revisionPtr revIDLastSave="1860" documentId="11_7DD0497BA82D309C4D641E439F497AD813507B6C" xr6:coauthVersionLast="45" xr6:coauthVersionMax="45" xr10:uidLastSave="{EA5C0C9B-4A01-439D-9D95-C8A845B5980B}"/>
  <bookViews>
    <workbookView xWindow="-110" yWindow="-110" windowWidth="19420" windowHeight="10420" activeTab="3" xr2:uid="{00000000-000D-0000-FFFF-FFFF00000000}"/>
  </bookViews>
  <sheets>
    <sheet name="PRESUPUESTOS" sheetId="1" r:id="rId1"/>
    <sheet name="PROPONENTES" sheetId="2" r:id="rId2"/>
    <sheet name="INTEGRANTES" sheetId="24" r:id="rId3"/>
    <sheet name="EXPERIENCIA" sheetId="4" r:id="rId4"/>
    <sheet name="RESUMEN" sheetId="11" r:id="rId5"/>
    <sheet name="LISTAS" sheetId="10" state="veryHidden" r:id="rId6"/>
    <sheet name="SMLM" sheetId="8" state="veryHidden" r:id="rId7"/>
  </sheets>
  <externalReferences>
    <externalReference r:id="rId8"/>
  </externalReferences>
  <definedNames>
    <definedName name="_xlnm._FilterDatabase" localSheetId="1" hidden="1">PROPONENTES!$B$12:$E$37</definedName>
    <definedName name="_xlnm._FilterDatabase" localSheetId="6" hidden="1">SMLM!#REF!</definedName>
    <definedName name="_xlnm.Print_Area" localSheetId="3">EXPERIENCIA!$B$1:$U$40</definedName>
    <definedName name="_xlnm.Print_Area" localSheetId="2">INTEGRANTES!$B$1:$D$72</definedName>
    <definedName name="_xlnm.Print_Area" localSheetId="0">PRESUPUESTOS!$B$1:$F$22</definedName>
    <definedName name="_xlnm.Print_Area" localSheetId="1">PROPONENTES!$B$1:$E$37</definedName>
    <definedName name="_xlnm.Print_Area" localSheetId="4">RESUMEN!$B$1:$H$37</definedName>
    <definedName name="CUMPLIMIENTO">LISTAS!$C$2:$C$4</definedName>
    <definedName name="CUMPLIMIENTOLP">LISTAS!$C$2:$C$5</definedName>
    <definedName name="DEPENDENCIAS">LISTAS!$B$2:$B$16</definedName>
    <definedName name="Estado">LISTAS!$D$2:$D$3</definedName>
    <definedName name="EXPERACEPTABLE">LISTAS!$G$2:$G$3</definedName>
    <definedName name="fcierre">PRESUPUESTOS!$D$8</definedName>
    <definedName name="NUMMINCONT">[1]PRESUPUESTOS!$G$26</definedName>
    <definedName name="PEJECUCION">LISTAS!$F$2:$F$3</definedName>
    <definedName name="PORCREQCTO">EXPERIENCIA!$AF$18</definedName>
    <definedName name="PORPOM">EXPERIENCIA!$R$14</definedName>
    <definedName name="POSMMLV">PRESUPUESTOS!$E$15</definedName>
    <definedName name="SALACTUAL">SMLM!$H$14</definedName>
    <definedName name="SINO">LISTAS!$E$2:$E$5</definedName>
    <definedName name="TIPODEVIA">LISTAS!$H$2:$H$7</definedName>
    <definedName name="TIPOPAVIMENTO">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VALIDEZANCHOCALZADA">LISTAS!$I$2:$I$4</definedName>
    <definedName name="Z_00BEB2F7_D512_4FD6_99EC_38A9140053B0_.wvu.FilterData" localSheetId="1" hidden="1">PROPONENTES!$B$12:$E$37</definedName>
    <definedName name="Z_00EF4F74_F9E2_492F_AEA5_03A6F90E7A6E_.wvu.FilterData" localSheetId="1" hidden="1">PROPONENTES!$B$12:$E$37</definedName>
    <definedName name="Z_0CBEA09E_24B8_4CE5_A052_7237E9208379_.wvu.FilterData" localSheetId="1" hidden="1">PROPONENTES!$B$12:$E$37</definedName>
    <definedName name="Z_0DC298A3_8B91_4A6F_A522_C9D38E35323A_.wvu.FilterData" localSheetId="1" hidden="1">PROPONENTES!$B$12:$E$37</definedName>
    <definedName name="Z_14541BF5_0465_48AC_AA9B_6DF727C28C3B_.wvu.FilterData" localSheetId="1" hidden="1">PROPONENTES!$B$12:$E$37</definedName>
    <definedName name="Z_2BAEC9B3_0E7A_438A_8BED_8CDDD975B704_.wvu.FilterData" localSheetId="1" hidden="1">PROPONENTES!$B$12:$E$37</definedName>
    <definedName name="Z_336D9D86_D608_4C98_B125_75472AF8FF76_.wvu.FilterData" localSheetId="1" hidden="1">PROPONENTES!$B$12:$E$37</definedName>
    <definedName name="Z_3CE2D034_8410_4FEE_8A95_E4A408FB563E_.wvu.FilterData" localSheetId="1" hidden="1">PROPONENTES!$B$12:$E$37</definedName>
    <definedName name="Z_43E77DE3_13DE_4141_9AEA_CB62AA362231_.wvu.FilterData" localSheetId="1" hidden="1">PROPONENTES!$B$12:$E$37</definedName>
    <definedName name="Z_44DFA7AA_9337_473F_AB91_A113A02AA536_.wvu.FilterData" localSheetId="1" hidden="1">PROPONENTES!$B$12:$E$37</definedName>
    <definedName name="Z_4798D01C_6FEB_456B_9549_CC57C41D40CE_.wvu.FilterData" localSheetId="1" hidden="1">PROPONENTES!$B$12:$E$37</definedName>
    <definedName name="Z_48994EF3_2C60_40C7_8646_A8CDD55A3134_.wvu.FilterData" localSheetId="1" hidden="1">PROPONENTES!$B$12:$E$37</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PROPONENTES!$B$12:$E$37</definedName>
    <definedName name="Z_6277E10A_9678_4C88_A4C6_6256483178E1_.wvu.FilterData" localSheetId="1" hidden="1">PROPONENTES!$B$12:$E$37</definedName>
    <definedName name="Z_62AD5D6F_77AE_40FD_98FA_201B32EA9342_.wvu.FilterData" localSheetId="1" hidden="1">PROPONENTES!$B$12:$E$37</definedName>
    <definedName name="Z_66FF8151_5B7E_43FC_892D_8CA6BF800F5A_.wvu.FilterData" localSheetId="1" hidden="1">PROPONENTES!$B$12:$E$37</definedName>
    <definedName name="Z_6751C600_851D_4A22_A20E_216F070F80D3_.wvu.FilterData" localSheetId="1" hidden="1">PROPONENTES!$B$12:$E$37</definedName>
    <definedName name="Z_6DEBB5B4_F7A8_4E6E_B9B3_D2238ED58EF8_.wvu.FilterData" localSheetId="1" hidden="1">PROPONENTES!$B$12:$E$37</definedName>
    <definedName name="Z_6E71BEFB_61B2_401E_9961_32884E4CD56C_.wvu.FilterData" localSheetId="1" hidden="1">PROPONENTES!$B$12:$E$37</definedName>
    <definedName name="Z_7517B15E_DA4F_4EAC_A529_B68C216260ED_.wvu.FilterData" localSheetId="1" hidden="1">PROPONENTES!$B$12:$E$37</definedName>
    <definedName name="Z_80C24600_88D4_451B_BBA1_9A0E392E1697_.wvu.FilterData" localSheetId="1" hidden="1">PROPONENTES!$B$12:$E$37</definedName>
    <definedName name="Z_81968FDB_1391_4AD4_A424_A72ABFD4A155_.wvu.FilterData" localSheetId="1" hidden="1">PROPONENTES!$B$12:$E$37</definedName>
    <definedName name="Z_87D853F2_10B3_42D8_86B9_C26B04067625_.wvu.FilterData" localSheetId="1" hidden="1">PROPONENTES!$B$12:$E$37</definedName>
    <definedName name="Z_894C2253_06BD_4885_9575_926D57CB5026_.wvu.FilterData" localSheetId="1" hidden="1">PROPONENTES!$B$12:$E$37</definedName>
    <definedName name="Z_8AEC0B40_CE7B_4EFE_B23E_A2A81A08A70A_.wvu.FilterData" localSheetId="1" hidden="1">PROPONENTES!$B$12:$E$37</definedName>
    <definedName name="Z_9F94E489_9692_4C63_A554_7FBA98A324C0_.wvu.FilterData" localSheetId="1" hidden="1">PROPONENTES!$B$12:$E$37</definedName>
    <definedName name="Z_ACC049A5_7811_4145_BF10_ED04E3DC85BB_.wvu.FilterData" localSheetId="1" hidden="1">PROPONENTES!$B$12:$E$37</definedName>
    <definedName name="Z_B11F0B59_33A5_455A_9188_E654E3F3DBD9_.wvu.FilterData" localSheetId="1" hidden="1">PROPONENTES!$B$12:$E$37</definedName>
    <definedName name="Z_B2E23012_3637_467B_8059_2A5A9B8E348F_.wvu.FilterData" localSheetId="1" hidden="1">PROPONENTES!$B$12:$E$37</definedName>
    <definedName name="Z_C194E63C_6FBF_416C_85D5_A9CDFAB52174_.wvu.FilterData" localSheetId="1" hidden="1">PROPONENTES!$B$12:$E$37</definedName>
    <definedName name="Z_C26976F7_FA5C_4AE5_B1F4_350BEE2336ED_.wvu.FilterData" localSheetId="1" hidden="1">PROPONENTES!$B$12:$E$37</definedName>
    <definedName name="Z_CEAAB41B_958E_4E73_9883_41493A92D0A8_.wvu.FilterData" localSheetId="1" hidden="1">PROPONENTES!$B$12:$E$37</definedName>
    <definedName name="Z_D26B9AD6_92B9_4593_89A4_73335607D464_.wvu.FilterData" localSheetId="1" hidden="1">PROPONENTES!$B$12:$E$37</definedName>
    <definedName name="Z_D8444D4F_EC6B_4A64_BA76_1FBCE0F138D4_.wvu.FilterData" localSheetId="1" hidden="1">PROPONENTES!$B$12:$E$37</definedName>
    <definedName name="Z_DC3CA17E_103C_4351_B2ED_8ED8C3F346A6_.wvu.FilterData" localSheetId="1" hidden="1">PROPONENTES!$B$12:$E$37</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PROPONENTES!$B$12:$E$37</definedName>
    <definedName name="Z_ED692DE3_DE6C_4D84_8E7E_C57C1AC713E7_.wvu.FilterData" localSheetId="1" hidden="1">PROPONENTES!$B$12:$E$37</definedName>
    <definedName name="Z_F79A193F_3EF9_4855_9B36_928080A7233E_.wvu.FilterData" localSheetId="1" hidden="1">PROPONENTES!$B$12:$E$37</definedName>
    <definedName name="Z_F91B3D9E_99BE_431C_9408_7249A370ED24_.wvu.FilterData" localSheetId="1" hidden="1">PROPONENTES!$B$12:$E$37</definedName>
    <definedName name="Z_FE45C100_E653_4B65_8B8E_835909EF4CC2_.wvu.FilterData" localSheetId="1" hidden="1">PROPONENTES!$B$12:$E$37</definedName>
  </definedNames>
  <calcPr calcId="191029"/>
  <customWorkbookViews>
    <customWorkbookView name="Francisco G. - Vista personalizada" guid="{9F94E489-9692-4C63-A554-7FBA98A324C0}" mergeInterval="0" personalView="1" maximized="1" xWindow="1" yWindow="1" windowWidth="1280" windowHeight="764" tabRatio="800" activeSheetId="2" showComments="commIndAndComment"/>
    <customWorkbookView name="hmelendez - Vista personalizada" guid="{0CBEA09E-24B8-4CE5-A052-7237E9208379}" mergeInterval="0" personalView="1" maximized="1" windowWidth="1020" windowHeight="597" tabRatio="800" activeSheetId="4"/>
    <customWorkbookView name="FREDY CASTELLANOS OVIEDO - Vista personalizada" guid="{6E71BEFB-61B2-401E-9961-32884E4CD56C}" mergeInterval="0" personalView="1" maximized="1" windowWidth="1020" windowHeight="561" tabRatio="800" activeSheetId="5"/>
    <customWorkbookView name="gamartinez - Vista personalizada" guid="{74BDB053-C30B-49CC-8134-2CE4C1966D2C}" mergeInterval="0" personalView="1" maximized="1" windowWidth="1020" windowHeight="491" tabRatio="800" activeSheetId="5"/>
    <customWorkbookView name="jaolaya - Vista personalizada" guid="{40B815EE-4446-47D1-839D-2EFF5F5EF0E5}" mergeInterval="0" personalView="1" maximized="1" windowWidth="1020" windowHeight="573" tabRatio="800" activeSheetId="7"/>
    <customWorkbookView name="rfgomez - Vista personalizada" guid="{52F59514-34F3-4352-A05C-5BB41CEA0827}" mergeInterval="0" personalView="1" maximized="1" windowWidth="1276" windowHeight="833" tabRatio="800" activeSheetId="7"/>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442" i="4" l="1"/>
  <c r="P642" i="4"/>
  <c r="T618" i="4"/>
  <c r="P588" i="4"/>
  <c r="J563" i="4"/>
  <c r="P561" i="4"/>
  <c r="P507" i="4"/>
  <c r="T429" i="4"/>
  <c r="T430" i="4"/>
  <c r="T433" i="4"/>
  <c r="T432" i="4"/>
  <c r="T376" i="4"/>
  <c r="M376" i="4"/>
  <c r="J376" i="4"/>
  <c r="J375" i="4"/>
  <c r="E359" i="4"/>
  <c r="P317" i="4"/>
  <c r="C321" i="4"/>
  <c r="C320" i="4"/>
  <c r="J322" i="4"/>
  <c r="J321" i="4"/>
  <c r="J320" i="4"/>
  <c r="J319" i="4"/>
  <c r="P263" i="4"/>
  <c r="E61" i="4"/>
  <c r="T240" i="4"/>
  <c r="J240" i="4"/>
  <c r="J239" i="4"/>
  <c r="S240" i="4"/>
  <c r="S239" i="4"/>
  <c r="C131" i="4"/>
  <c r="P45" i="4"/>
  <c r="P128" i="4" s="1"/>
  <c r="P155" i="4" s="1"/>
  <c r="P74" i="4"/>
  <c r="P101" i="4" s="1"/>
  <c r="S48" i="4"/>
  <c r="S50" i="4"/>
  <c r="S51" i="4"/>
  <c r="S350" i="4"/>
  <c r="T350" i="4" s="1"/>
  <c r="C350" i="4"/>
  <c r="P209" i="4" l="1"/>
  <c r="P182" i="4"/>
  <c r="C104" i="4"/>
  <c r="J20" i="4"/>
  <c r="J21" i="4" s="1"/>
  <c r="C45" i="24"/>
  <c r="C42" i="24"/>
  <c r="D70" i="24"/>
  <c r="D67" i="24"/>
  <c r="D64" i="24"/>
  <c r="D60" i="24"/>
  <c r="D57" i="24"/>
  <c r="D54" i="24"/>
  <c r="D51" i="24"/>
  <c r="D46" i="24"/>
  <c r="D42" i="24"/>
  <c r="D39" i="24"/>
  <c r="D35" i="24"/>
  <c r="D32" i="24"/>
  <c r="D29" i="24"/>
  <c r="D23" i="24"/>
  <c r="D19" i="24"/>
  <c r="D16" i="24"/>
  <c r="S649" i="4" l="1"/>
  <c r="T649" i="4" s="1"/>
  <c r="Z649" i="4" s="1"/>
  <c r="M649" i="4"/>
  <c r="S648" i="4"/>
  <c r="T648" i="4" s="1"/>
  <c r="Z648" i="4" s="1"/>
  <c r="M648" i="4"/>
  <c r="S647" i="4"/>
  <c r="T647" i="4" s="1"/>
  <c r="Z647" i="4" s="1"/>
  <c r="M647" i="4"/>
  <c r="S646" i="4"/>
  <c r="T646" i="4" s="1"/>
  <c r="Z646" i="4" s="1"/>
  <c r="S645" i="4"/>
  <c r="T645" i="4" s="1"/>
  <c r="Z645" i="4" s="1"/>
  <c r="AA644" i="4"/>
  <c r="S644" i="4"/>
  <c r="T644" i="4" s="1"/>
  <c r="S622" i="4"/>
  <c r="T622" i="4" s="1"/>
  <c r="Z622" i="4" s="1"/>
  <c r="M622" i="4"/>
  <c r="S621" i="4"/>
  <c r="T621" i="4" s="1"/>
  <c r="Z621" i="4" s="1"/>
  <c r="M621" i="4"/>
  <c r="S620" i="4"/>
  <c r="T620" i="4" s="1"/>
  <c r="Z620" i="4" s="1"/>
  <c r="M620" i="4"/>
  <c r="S619" i="4"/>
  <c r="T619" i="4" s="1"/>
  <c r="Z619" i="4" s="1"/>
  <c r="S618" i="4"/>
  <c r="Z618" i="4" s="1"/>
  <c r="AA617" i="4"/>
  <c r="S617" i="4"/>
  <c r="T617" i="4" s="1"/>
  <c r="S595" i="4"/>
  <c r="T595" i="4" s="1"/>
  <c r="Z595" i="4" s="1"/>
  <c r="M595" i="4"/>
  <c r="S594" i="4"/>
  <c r="T594" i="4" s="1"/>
  <c r="Z594" i="4" s="1"/>
  <c r="M594" i="4"/>
  <c r="S593" i="4"/>
  <c r="T593" i="4" s="1"/>
  <c r="Z593" i="4" s="1"/>
  <c r="M593" i="4"/>
  <c r="S592" i="4"/>
  <c r="T592" i="4" s="1"/>
  <c r="Z592" i="4" s="1"/>
  <c r="M592" i="4"/>
  <c r="S591" i="4"/>
  <c r="T591" i="4" s="1"/>
  <c r="Z591" i="4" s="1"/>
  <c r="M591" i="4"/>
  <c r="AA590" i="4"/>
  <c r="S590" i="4"/>
  <c r="T590" i="4" s="1"/>
  <c r="S568" i="4"/>
  <c r="T568" i="4" s="1"/>
  <c r="Z568" i="4" s="1"/>
  <c r="M568" i="4"/>
  <c r="S567" i="4"/>
  <c r="T567" i="4" s="1"/>
  <c r="Z567" i="4" s="1"/>
  <c r="M567" i="4"/>
  <c r="S566" i="4"/>
  <c r="T566" i="4" s="1"/>
  <c r="Z566" i="4" s="1"/>
  <c r="M566" i="4"/>
  <c r="S565" i="4"/>
  <c r="T565" i="4" s="1"/>
  <c r="Z565" i="4" s="1"/>
  <c r="M565" i="4"/>
  <c r="S564" i="4"/>
  <c r="T564" i="4" s="1"/>
  <c r="Z564" i="4" s="1"/>
  <c r="M564" i="4"/>
  <c r="AA563" i="4"/>
  <c r="S563" i="4"/>
  <c r="T563" i="4" s="1"/>
  <c r="S541" i="4"/>
  <c r="T541" i="4" s="1"/>
  <c r="Z541" i="4" s="1"/>
  <c r="M541" i="4"/>
  <c r="S540" i="4"/>
  <c r="T540" i="4" s="1"/>
  <c r="Z540" i="4" s="1"/>
  <c r="M540" i="4"/>
  <c r="S539" i="4"/>
  <c r="T539" i="4" s="1"/>
  <c r="Z539" i="4" s="1"/>
  <c r="M539" i="4"/>
  <c r="S538" i="4"/>
  <c r="T538" i="4" s="1"/>
  <c r="Z538" i="4" s="1"/>
  <c r="M538" i="4"/>
  <c r="S537" i="4"/>
  <c r="T537" i="4" s="1"/>
  <c r="Z537" i="4" s="1"/>
  <c r="AA536" i="4"/>
  <c r="S536" i="4"/>
  <c r="T536" i="4" s="1"/>
  <c r="S514" i="4"/>
  <c r="T514" i="4" s="1"/>
  <c r="Z514" i="4" s="1"/>
  <c r="M514" i="4"/>
  <c r="S513" i="4"/>
  <c r="T513" i="4" s="1"/>
  <c r="Z513" i="4" s="1"/>
  <c r="M513" i="4"/>
  <c r="S512" i="4"/>
  <c r="T512" i="4" s="1"/>
  <c r="Z512" i="4" s="1"/>
  <c r="M512" i="4"/>
  <c r="S511" i="4"/>
  <c r="T511" i="4" s="1"/>
  <c r="Z511" i="4" s="1"/>
  <c r="M511" i="4"/>
  <c r="S510" i="4"/>
  <c r="T510" i="4" s="1"/>
  <c r="Z510" i="4" s="1"/>
  <c r="AA509" i="4"/>
  <c r="S509" i="4"/>
  <c r="T509" i="4" s="1"/>
  <c r="S487" i="4"/>
  <c r="T487" i="4" s="1"/>
  <c r="Z487" i="4" s="1"/>
  <c r="M487" i="4"/>
  <c r="S486" i="4"/>
  <c r="T486" i="4" s="1"/>
  <c r="Z486" i="4" s="1"/>
  <c r="M486" i="4"/>
  <c r="S485" i="4"/>
  <c r="T485" i="4" s="1"/>
  <c r="Z485" i="4" s="1"/>
  <c r="M485" i="4"/>
  <c r="S484" i="4"/>
  <c r="T484" i="4" s="1"/>
  <c r="Z484" i="4" s="1"/>
  <c r="M484" i="4"/>
  <c r="S483" i="4"/>
  <c r="T483" i="4" s="1"/>
  <c r="Z483" i="4" s="1"/>
  <c r="M483" i="4"/>
  <c r="AA482" i="4"/>
  <c r="S482" i="4"/>
  <c r="T482" i="4" s="1"/>
  <c r="S460" i="4"/>
  <c r="T460" i="4" s="1"/>
  <c r="Z460" i="4" s="1"/>
  <c r="M460" i="4"/>
  <c r="T459" i="4"/>
  <c r="Z459" i="4" s="1"/>
  <c r="S459" i="4"/>
  <c r="M459" i="4"/>
  <c r="S458" i="4"/>
  <c r="T458" i="4" s="1"/>
  <c r="Z458" i="4" s="1"/>
  <c r="M458" i="4"/>
  <c r="S457" i="4"/>
  <c r="T457" i="4" s="1"/>
  <c r="Z457" i="4" s="1"/>
  <c r="M457" i="4"/>
  <c r="S456" i="4"/>
  <c r="T456" i="4" s="1"/>
  <c r="Z456" i="4" s="1"/>
  <c r="AA455" i="4"/>
  <c r="S455" i="4"/>
  <c r="T455" i="4" s="1"/>
  <c r="S433" i="4"/>
  <c r="Z433" i="4" s="1"/>
  <c r="S432" i="4"/>
  <c r="Z432" i="4" s="1"/>
  <c r="S431" i="4"/>
  <c r="T431" i="4" s="1"/>
  <c r="Z431" i="4" s="1"/>
  <c r="S430" i="4"/>
  <c r="Z430" i="4" s="1"/>
  <c r="S429" i="4"/>
  <c r="Z429" i="4" s="1"/>
  <c r="AA428" i="4"/>
  <c r="S428" i="4"/>
  <c r="T428" i="4" s="1"/>
  <c r="S406" i="4"/>
  <c r="T406" i="4" s="1"/>
  <c r="Z406" i="4" s="1"/>
  <c r="S405" i="4"/>
  <c r="T405" i="4" s="1"/>
  <c r="Z405" i="4" s="1"/>
  <c r="S404" i="4"/>
  <c r="T404" i="4" s="1"/>
  <c r="Z404" i="4" s="1"/>
  <c r="S403" i="4"/>
  <c r="T403" i="4" s="1"/>
  <c r="Z403" i="4" s="1"/>
  <c r="S402" i="4"/>
  <c r="T402" i="4" s="1"/>
  <c r="Z402" i="4" s="1"/>
  <c r="AA401" i="4"/>
  <c r="S401" i="4"/>
  <c r="T401" i="4" s="1"/>
  <c r="S379" i="4"/>
  <c r="T379" i="4" s="1"/>
  <c r="Z379" i="4" s="1"/>
  <c r="M379" i="4"/>
  <c r="S378" i="4"/>
  <c r="T378" i="4" s="1"/>
  <c r="Z378" i="4" s="1"/>
  <c r="M378" i="4"/>
  <c r="S377" i="4"/>
  <c r="T377" i="4" s="1"/>
  <c r="Z377" i="4" s="1"/>
  <c r="M377" i="4"/>
  <c r="S376" i="4"/>
  <c r="Z376" i="4" s="1"/>
  <c r="S375" i="4"/>
  <c r="T375" i="4" s="1"/>
  <c r="Z375" i="4" s="1"/>
  <c r="AA374" i="4"/>
  <c r="S374" i="4"/>
  <c r="T374" i="4" s="1"/>
  <c r="S352" i="4"/>
  <c r="T352" i="4" s="1"/>
  <c r="Z352" i="4" s="1"/>
  <c r="S351" i="4"/>
  <c r="T351" i="4" s="1"/>
  <c r="Z351" i="4" s="1"/>
  <c r="S349" i="4"/>
  <c r="T349" i="4" s="1"/>
  <c r="Z349" i="4" s="1"/>
  <c r="S348" i="4"/>
  <c r="T348" i="4" s="1"/>
  <c r="Z348" i="4" s="1"/>
  <c r="S347" i="4"/>
  <c r="T347" i="4" s="1"/>
  <c r="Z347" i="4" s="1"/>
  <c r="AA346" i="4"/>
  <c r="S346" i="4"/>
  <c r="T346" i="4" s="1"/>
  <c r="S324" i="4"/>
  <c r="T324" i="4" s="1"/>
  <c r="Z324" i="4" s="1"/>
  <c r="M324" i="4"/>
  <c r="S323" i="4"/>
  <c r="T323" i="4" s="1"/>
  <c r="Z323" i="4" s="1"/>
  <c r="M323" i="4"/>
  <c r="S322" i="4"/>
  <c r="T322" i="4" s="1"/>
  <c r="Z322" i="4" s="1"/>
  <c r="S321" i="4"/>
  <c r="T321" i="4" s="1"/>
  <c r="Z321" i="4" s="1"/>
  <c r="S320" i="4"/>
  <c r="T320" i="4" s="1"/>
  <c r="Z320" i="4" s="1"/>
  <c r="AA319" i="4"/>
  <c r="S319" i="4"/>
  <c r="T319" i="4" s="1"/>
  <c r="S297" i="4"/>
  <c r="T297" i="4" s="1"/>
  <c r="Z297" i="4" s="1"/>
  <c r="M297" i="4"/>
  <c r="S296" i="4"/>
  <c r="T296" i="4" s="1"/>
  <c r="Z296" i="4" s="1"/>
  <c r="M296" i="4"/>
  <c r="S295" i="4"/>
  <c r="T295" i="4" s="1"/>
  <c r="Z295" i="4" s="1"/>
  <c r="M295" i="4"/>
  <c r="S294" i="4"/>
  <c r="T294" i="4" s="1"/>
  <c r="Z294" i="4" s="1"/>
  <c r="M294" i="4"/>
  <c r="S293" i="4"/>
  <c r="T293" i="4" s="1"/>
  <c r="Z293" i="4" s="1"/>
  <c r="M293" i="4"/>
  <c r="AA292" i="4"/>
  <c r="S292" i="4"/>
  <c r="T292" i="4" s="1"/>
  <c r="S270" i="4"/>
  <c r="T270" i="4" s="1"/>
  <c r="Z270" i="4" s="1"/>
  <c r="M270" i="4"/>
  <c r="S269" i="4"/>
  <c r="T269" i="4" s="1"/>
  <c r="Z269" i="4" s="1"/>
  <c r="M269" i="4"/>
  <c r="S268" i="4"/>
  <c r="T268" i="4" s="1"/>
  <c r="Z268" i="4" s="1"/>
  <c r="M268" i="4"/>
  <c r="S267" i="4"/>
  <c r="T267" i="4" s="1"/>
  <c r="Z267" i="4" s="1"/>
  <c r="M267" i="4"/>
  <c r="S266" i="4"/>
  <c r="T266" i="4" s="1"/>
  <c r="Z266" i="4" s="1"/>
  <c r="AA265" i="4"/>
  <c r="S265" i="4"/>
  <c r="T265" i="4" s="1"/>
  <c r="S243" i="4"/>
  <c r="T243" i="4" s="1"/>
  <c r="Z243" i="4" s="1"/>
  <c r="M243" i="4"/>
  <c r="S242" i="4"/>
  <c r="T242" i="4" s="1"/>
  <c r="Z242" i="4" s="1"/>
  <c r="M242" i="4"/>
  <c r="S241" i="4"/>
  <c r="T241" i="4" s="1"/>
  <c r="Z241" i="4" s="1"/>
  <c r="M241" i="4"/>
  <c r="Z240" i="4"/>
  <c r="T239" i="4"/>
  <c r="Z239" i="4" s="1"/>
  <c r="AA238" i="4"/>
  <c r="S238" i="4"/>
  <c r="T238" i="4" s="1"/>
  <c r="S216" i="4"/>
  <c r="T216" i="4" s="1"/>
  <c r="Z216" i="4" s="1"/>
  <c r="M216" i="4"/>
  <c r="S215" i="4"/>
  <c r="T215" i="4" s="1"/>
  <c r="Z215" i="4" s="1"/>
  <c r="M215" i="4"/>
  <c r="S214" i="4"/>
  <c r="T214" i="4" s="1"/>
  <c r="Z214" i="4" s="1"/>
  <c r="M214" i="4"/>
  <c r="S213" i="4"/>
  <c r="T213" i="4" s="1"/>
  <c r="Z213" i="4" s="1"/>
  <c r="M213" i="4"/>
  <c r="S212" i="4"/>
  <c r="AA211" i="4"/>
  <c r="S211" i="4"/>
  <c r="S189" i="4"/>
  <c r="T189" i="4" s="1"/>
  <c r="Z189" i="4" s="1"/>
  <c r="M189" i="4"/>
  <c r="S188" i="4"/>
  <c r="T188" i="4" s="1"/>
  <c r="Z188" i="4" s="1"/>
  <c r="M188" i="4"/>
  <c r="S187" i="4"/>
  <c r="T187" i="4" s="1"/>
  <c r="Z187" i="4" s="1"/>
  <c r="M187" i="4"/>
  <c r="S186" i="4"/>
  <c r="T186" i="4" s="1"/>
  <c r="Z186" i="4" s="1"/>
  <c r="S185" i="4"/>
  <c r="T185" i="4" s="1"/>
  <c r="Z185" i="4" s="1"/>
  <c r="AA184" i="4"/>
  <c r="S184" i="4"/>
  <c r="S162" i="4"/>
  <c r="S161" i="4"/>
  <c r="S160" i="4"/>
  <c r="S159" i="4"/>
  <c r="S158" i="4"/>
  <c r="AA157" i="4"/>
  <c r="S157" i="4"/>
  <c r="S135" i="4"/>
  <c r="T135" i="4" s="1"/>
  <c r="Z135" i="4" s="1"/>
  <c r="M135" i="4"/>
  <c r="S134" i="4"/>
  <c r="T134" i="4" s="1"/>
  <c r="Z134" i="4" s="1"/>
  <c r="M134" i="4"/>
  <c r="S133" i="4"/>
  <c r="T133" i="4" s="1"/>
  <c r="Z133" i="4" s="1"/>
  <c r="M133" i="4"/>
  <c r="S132" i="4"/>
  <c r="T132" i="4" s="1"/>
  <c r="Z132" i="4" s="1"/>
  <c r="M132" i="4"/>
  <c r="S131" i="4"/>
  <c r="AA130" i="4"/>
  <c r="S130" i="4"/>
  <c r="S108" i="4"/>
  <c r="T108" i="4" s="1"/>
  <c r="Z108" i="4" s="1"/>
  <c r="M108" i="4"/>
  <c r="S107" i="4"/>
  <c r="T107" i="4" s="1"/>
  <c r="Z107" i="4" s="1"/>
  <c r="M107" i="4"/>
  <c r="S106" i="4"/>
  <c r="T106" i="4" s="1"/>
  <c r="Z106" i="4" s="1"/>
  <c r="M106" i="4"/>
  <c r="S105" i="4"/>
  <c r="T105" i="4" s="1"/>
  <c r="Z105" i="4" s="1"/>
  <c r="M105" i="4"/>
  <c r="S104" i="4"/>
  <c r="AA103" i="4"/>
  <c r="S103" i="4"/>
  <c r="S81" i="4"/>
  <c r="T81" i="4" s="1"/>
  <c r="Z81" i="4" s="1"/>
  <c r="M81" i="4"/>
  <c r="S80" i="4"/>
  <c r="T80" i="4" s="1"/>
  <c r="Z80" i="4" s="1"/>
  <c r="M80" i="4"/>
  <c r="S79" i="4"/>
  <c r="S78" i="4"/>
  <c r="S77" i="4"/>
  <c r="AA76" i="4"/>
  <c r="S76" i="4"/>
  <c r="S54" i="4"/>
  <c r="S53" i="4"/>
  <c r="S52" i="4"/>
  <c r="S49" i="4"/>
  <c r="AA47" i="4"/>
  <c r="S47" i="4"/>
  <c r="E494" i="4" l="1"/>
  <c r="G494" i="4" s="1"/>
  <c r="E498" i="4" s="1"/>
  <c r="Z482" i="4"/>
  <c r="G501" i="4" s="1"/>
  <c r="E656" i="4"/>
  <c r="G656" i="4" s="1"/>
  <c r="Z644" i="4"/>
  <c r="G663" i="4" s="1"/>
  <c r="T651" i="4"/>
  <c r="E629" i="4"/>
  <c r="G629" i="4" s="1"/>
  <c r="Z617" i="4"/>
  <c r="G636" i="4" s="1"/>
  <c r="T624" i="4"/>
  <c r="E602" i="4"/>
  <c r="G602" i="4" s="1"/>
  <c r="Z590" i="4"/>
  <c r="G609" i="4" s="1"/>
  <c r="T597" i="4"/>
  <c r="E575" i="4"/>
  <c r="G575" i="4" s="1"/>
  <c r="Z563" i="4"/>
  <c r="G582" i="4" s="1"/>
  <c r="T570" i="4"/>
  <c r="E548" i="4"/>
  <c r="G548" i="4" s="1"/>
  <c r="T543" i="4"/>
  <c r="Z536" i="4"/>
  <c r="G555" i="4" s="1"/>
  <c r="E521" i="4"/>
  <c r="G521" i="4" s="1"/>
  <c r="Z509" i="4"/>
  <c r="G528" i="4" s="1"/>
  <c r="T516" i="4"/>
  <c r="T489" i="4"/>
  <c r="E467" i="4"/>
  <c r="G467" i="4" s="1"/>
  <c r="Z455" i="4"/>
  <c r="G474" i="4" s="1"/>
  <c r="T462" i="4"/>
  <c r="E440" i="4"/>
  <c r="G440" i="4" s="1"/>
  <c r="Z428" i="4"/>
  <c r="G447" i="4" s="1"/>
  <c r="T435" i="4"/>
  <c r="E413" i="4"/>
  <c r="G413" i="4" s="1"/>
  <c r="Z401" i="4"/>
  <c r="G420" i="4" s="1"/>
  <c r="T408" i="4"/>
  <c r="E386" i="4"/>
  <c r="G386" i="4" s="1"/>
  <c r="Z374" i="4"/>
  <c r="G393" i="4" s="1"/>
  <c r="T381" i="4"/>
  <c r="G359" i="4"/>
  <c r="Z346" i="4"/>
  <c r="G366" i="4" s="1"/>
  <c r="T354" i="4"/>
  <c r="E331" i="4"/>
  <c r="G331" i="4" s="1"/>
  <c r="Z319" i="4"/>
  <c r="G338" i="4" s="1"/>
  <c r="T326" i="4"/>
  <c r="E304" i="4"/>
  <c r="G304" i="4" s="1"/>
  <c r="Z292" i="4"/>
  <c r="G311" i="4" s="1"/>
  <c r="T299" i="4"/>
  <c r="E277" i="4"/>
  <c r="G277" i="4" s="1"/>
  <c r="Z265" i="4"/>
  <c r="G284" i="4" s="1"/>
  <c r="T272" i="4"/>
  <c r="E250" i="4"/>
  <c r="G250" i="4" s="1"/>
  <c r="Z238" i="4"/>
  <c r="G257" i="4" s="1"/>
  <c r="T245" i="4"/>
  <c r="AA20" i="4"/>
  <c r="X499" i="4" l="1"/>
  <c r="X661" i="4"/>
  <c r="E660" i="4"/>
  <c r="X634" i="4"/>
  <c r="E633" i="4"/>
  <c r="X607" i="4"/>
  <c r="E606" i="4"/>
  <c r="X580" i="4"/>
  <c r="E579" i="4"/>
  <c r="X553" i="4"/>
  <c r="E552" i="4"/>
  <c r="X526" i="4"/>
  <c r="E525" i="4"/>
  <c r="F498" i="4"/>
  <c r="G498" i="4" s="1"/>
  <c r="X472" i="4"/>
  <c r="E471" i="4"/>
  <c r="X445" i="4"/>
  <c r="E444" i="4"/>
  <c r="X418" i="4"/>
  <c r="E417" i="4"/>
  <c r="X391" i="4"/>
  <c r="E390" i="4"/>
  <c r="X364" i="4"/>
  <c r="E363" i="4"/>
  <c r="X336" i="4"/>
  <c r="E335" i="4"/>
  <c r="X309" i="4"/>
  <c r="E308" i="4"/>
  <c r="X282" i="4"/>
  <c r="E281" i="4"/>
  <c r="X255" i="4"/>
  <c r="E254" i="4"/>
  <c r="F660" i="4" l="1"/>
  <c r="G660" i="4"/>
  <c r="F633" i="4"/>
  <c r="G633" i="4" s="1"/>
  <c r="F606" i="4"/>
  <c r="G606" i="4" s="1"/>
  <c r="G579" i="4"/>
  <c r="F579" i="4"/>
  <c r="F552" i="4"/>
  <c r="G552" i="4" s="1"/>
  <c r="F525" i="4"/>
  <c r="G525" i="4" s="1"/>
  <c r="F471" i="4"/>
  <c r="G471" i="4" s="1"/>
  <c r="F444" i="4"/>
  <c r="G444" i="4" s="1"/>
  <c r="F417" i="4"/>
  <c r="G417" i="4" s="1"/>
  <c r="F390" i="4"/>
  <c r="G390" i="4" s="1"/>
  <c r="F363" i="4"/>
  <c r="G363" i="4" s="1"/>
  <c r="F335" i="4"/>
  <c r="G335" i="4" s="1"/>
  <c r="F308" i="4"/>
  <c r="G308" i="4" s="1"/>
  <c r="F281" i="4"/>
  <c r="G281" i="4"/>
  <c r="F254" i="4"/>
  <c r="G254" i="4" s="1"/>
  <c r="M25" i="4" l="1"/>
  <c r="M24" i="4"/>
  <c r="M23" i="4"/>
  <c r="M22" i="4"/>
  <c r="T14" i="4"/>
  <c r="T212" i="4" l="1"/>
  <c r="Z212" i="4" s="1"/>
  <c r="T211" i="4"/>
  <c r="T184" i="4"/>
  <c r="M186" i="4"/>
  <c r="T49" i="4"/>
  <c r="M53" i="4"/>
  <c r="T51" i="4"/>
  <c r="T53" i="4"/>
  <c r="T54" i="4"/>
  <c r="T50" i="4"/>
  <c r="T48" i="4"/>
  <c r="M49" i="4"/>
  <c r="T47" i="4"/>
  <c r="M51" i="4"/>
  <c r="T52" i="4"/>
  <c r="M47" i="4"/>
  <c r="T76" i="4"/>
  <c r="T79" i="4"/>
  <c r="T103" i="4"/>
  <c r="T130" i="4"/>
  <c r="T159" i="4"/>
  <c r="T158" i="4"/>
  <c r="T161" i="4"/>
  <c r="T157" i="4"/>
  <c r="T104" i="4"/>
  <c r="T162" i="4"/>
  <c r="T77" i="4"/>
  <c r="T160" i="4"/>
  <c r="T78" i="4"/>
  <c r="T131" i="4"/>
  <c r="M350" i="4"/>
  <c r="M351" i="4"/>
  <c r="M617" i="4"/>
  <c r="M645" i="4"/>
  <c r="M510" i="4"/>
  <c r="M482" i="4"/>
  <c r="M563" i="4"/>
  <c r="M406" i="4"/>
  <c r="M402" i="4"/>
  <c r="M374" i="4"/>
  <c r="M431" i="4"/>
  <c r="M404" i="4"/>
  <c r="M644" i="4"/>
  <c r="M619" i="4"/>
  <c r="M537" i="4"/>
  <c r="M509" i="4"/>
  <c r="M456" i="4"/>
  <c r="M405" i="4"/>
  <c r="M590" i="4"/>
  <c r="M401" i="4"/>
  <c r="M646" i="4"/>
  <c r="M536" i="4"/>
  <c r="M455" i="4"/>
  <c r="M375" i="4"/>
  <c r="M428" i="4"/>
  <c r="M403" i="4"/>
  <c r="M348" i="4"/>
  <c r="M352" i="4"/>
  <c r="M347" i="4"/>
  <c r="M346" i="4"/>
  <c r="M185" i="4"/>
  <c r="M157" i="4"/>
  <c r="M79" i="4"/>
  <c r="M160" i="4"/>
  <c r="M322" i="4"/>
  <c r="M159" i="4"/>
  <c r="M321" i="4"/>
  <c r="M130" i="4"/>
  <c r="M161" i="4"/>
  <c r="M184" i="4"/>
  <c r="M211" i="4"/>
  <c r="M319" i="4"/>
  <c r="M266" i="4"/>
  <c r="M238" i="4"/>
  <c r="M131" i="4"/>
  <c r="M103" i="4"/>
  <c r="M78" i="4"/>
  <c r="M162" i="4"/>
  <c r="M212" i="4"/>
  <c r="M77" i="4"/>
  <c r="M76" i="4"/>
  <c r="M265" i="4"/>
  <c r="M158" i="4"/>
  <c r="M104" i="4"/>
  <c r="M320" i="4"/>
  <c r="M292" i="4"/>
  <c r="M239" i="4"/>
  <c r="M21" i="4"/>
  <c r="M20" i="4"/>
  <c r="G15" i="2"/>
  <c r="H15" i="2" s="1"/>
  <c r="G16" i="2"/>
  <c r="H16" i="2" s="1"/>
  <c r="G17" i="2"/>
  <c r="H17" i="2" s="1"/>
  <c r="G18" i="2"/>
  <c r="H18" i="2" s="1"/>
  <c r="G19" i="2"/>
  <c r="H19" i="2" s="1"/>
  <c r="G20" i="2"/>
  <c r="H20" i="2" s="1"/>
  <c r="G21" i="2"/>
  <c r="H21" i="2" s="1"/>
  <c r="G22" i="2"/>
  <c r="H22" i="2" s="1"/>
  <c r="G23" i="2"/>
  <c r="H23" i="2" s="1"/>
  <c r="G24" i="2"/>
  <c r="H24" i="2" s="1"/>
  <c r="G25" i="2"/>
  <c r="H25" i="2" s="1"/>
  <c r="G26" i="2"/>
  <c r="H26" i="2" s="1"/>
  <c r="G27" i="2"/>
  <c r="H27" i="2" s="1"/>
  <c r="G28" i="2"/>
  <c r="H28" i="2" s="1"/>
  <c r="G29" i="2"/>
  <c r="H29" i="2" s="1"/>
  <c r="G30" i="2"/>
  <c r="H30" i="2" s="1"/>
  <c r="G31" i="2"/>
  <c r="H31" i="2" s="1"/>
  <c r="G32" i="2"/>
  <c r="H32" i="2" s="1"/>
  <c r="G33" i="2"/>
  <c r="H33" i="2" s="1"/>
  <c r="G34" i="2"/>
  <c r="H34" i="2" s="1"/>
  <c r="G35" i="2"/>
  <c r="H35" i="2" s="1"/>
  <c r="G36" i="2"/>
  <c r="H36" i="2" s="1"/>
  <c r="G37" i="2"/>
  <c r="H37" i="2" s="1"/>
  <c r="G14" i="2"/>
  <c r="H14" i="2" s="1"/>
  <c r="T191" i="4" l="1"/>
  <c r="Z184" i="4"/>
  <c r="G203" i="4" s="1"/>
  <c r="E196" i="4"/>
  <c r="G196" i="4" s="1"/>
  <c r="Z211" i="4"/>
  <c r="G230" i="4" s="1"/>
  <c r="T218" i="4"/>
  <c r="E223" i="4"/>
  <c r="G223" i="4" s="1"/>
  <c r="E115" i="4"/>
  <c r="G115" i="4" s="1"/>
  <c r="T110" i="4"/>
  <c r="T83" i="4"/>
  <c r="E88" i="4"/>
  <c r="G88" i="4" s="1"/>
  <c r="T56" i="4"/>
  <c r="G61" i="4"/>
  <c r="T164" i="4"/>
  <c r="E169" i="4"/>
  <c r="G169" i="4" s="1"/>
  <c r="E142" i="4"/>
  <c r="G142" i="4" s="1"/>
  <c r="T137" i="4"/>
  <c r="S20" i="4"/>
  <c r="T20" i="4" s="1"/>
  <c r="E16" i="4"/>
  <c r="A31" i="4" s="1"/>
  <c r="C15" i="2"/>
  <c r="E43" i="4" s="1"/>
  <c r="B15" i="24"/>
  <c r="B14" i="11"/>
  <c r="S21" i="4"/>
  <c r="T21" i="4" s="1"/>
  <c r="S22" i="4"/>
  <c r="T22" i="4" s="1"/>
  <c r="Z22" i="4" s="1"/>
  <c r="S23" i="4"/>
  <c r="T23" i="4" s="1"/>
  <c r="Z23" i="4" s="1"/>
  <c r="S24" i="4"/>
  <c r="T24" i="4" s="1"/>
  <c r="Z24" i="4" s="1"/>
  <c r="S25" i="4"/>
  <c r="T25" i="4" s="1"/>
  <c r="Z25" i="4" s="1"/>
  <c r="G14" i="8"/>
  <c r="H14" i="8" s="1"/>
  <c r="E15" i="1"/>
  <c r="Z48" i="4" s="1"/>
  <c r="B8" i="11"/>
  <c r="B6" i="1"/>
  <c r="B6" i="11" s="1"/>
  <c r="B5" i="24"/>
  <c r="E38" i="8"/>
  <c r="E39" i="8"/>
  <c r="E40" i="8"/>
  <c r="E41" i="8"/>
  <c r="E42" i="8"/>
  <c r="E43" i="8"/>
  <c r="E44" i="8"/>
  <c r="E45" i="8"/>
  <c r="E46" i="8"/>
  <c r="E47" i="8"/>
  <c r="E48" i="8"/>
  <c r="E49"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 i="8"/>
  <c r="E36" i="8"/>
  <c r="B22" i="1"/>
  <c r="E35" i="8"/>
  <c r="B4" i="24"/>
  <c r="B3" i="24"/>
  <c r="B2" i="24"/>
  <c r="B1" i="24"/>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B1" i="11"/>
  <c r="B2" i="11"/>
  <c r="B3" i="11"/>
  <c r="B4" i="11"/>
  <c r="B5" i="11"/>
  <c r="B1" i="4"/>
  <c r="B2" i="4"/>
  <c r="B3" i="4"/>
  <c r="B4" i="4"/>
  <c r="B5" i="4"/>
  <c r="B1" i="2"/>
  <c r="B2" i="2"/>
  <c r="B3" i="2"/>
  <c r="B4" i="2"/>
  <c r="B5" i="2"/>
  <c r="E16" i="1"/>
  <c r="E17" i="1"/>
  <c r="E18" i="1"/>
  <c r="E19" i="1"/>
  <c r="E20" i="1"/>
  <c r="D22" i="1"/>
  <c r="B15" i="11"/>
  <c r="X228" i="4" l="1"/>
  <c r="E227" i="4"/>
  <c r="F227" i="4" s="1"/>
  <c r="G227" i="4" s="1"/>
  <c r="X201" i="4"/>
  <c r="E200" i="4"/>
  <c r="F200" i="4" s="1"/>
  <c r="G200" i="4" s="1"/>
  <c r="X66" i="4"/>
  <c r="E65" i="4"/>
  <c r="F65" i="4" s="1"/>
  <c r="G65" i="4" s="1"/>
  <c r="Z158" i="4"/>
  <c r="Z47" i="4"/>
  <c r="Z20" i="4"/>
  <c r="Z131" i="4"/>
  <c r="Z161" i="4"/>
  <c r="Z78" i="4"/>
  <c r="Z50" i="4"/>
  <c r="X174" i="4"/>
  <c r="E173" i="4"/>
  <c r="F173" i="4" s="1"/>
  <c r="G173" i="4" s="1"/>
  <c r="Z54" i="4"/>
  <c r="Z79" i="4"/>
  <c r="Z49" i="4"/>
  <c r="Z103" i="4"/>
  <c r="E119" i="4"/>
  <c r="F119" i="4" s="1"/>
  <c r="G119" i="4" s="1"/>
  <c r="X120" i="4"/>
  <c r="Z159" i="4"/>
  <c r="Z21" i="4"/>
  <c r="E146" i="4"/>
  <c r="F146" i="4" s="1"/>
  <c r="G146" i="4" s="1"/>
  <c r="X147" i="4"/>
  <c r="Z76" i="4"/>
  <c r="Z162" i="4"/>
  <c r="Z104" i="4"/>
  <c r="Z51" i="4"/>
  <c r="Z77" i="4"/>
  <c r="Z52" i="4"/>
  <c r="Z53" i="4"/>
  <c r="Z130" i="4"/>
  <c r="Z160" i="4"/>
  <c r="Z157" i="4"/>
  <c r="X93" i="4"/>
  <c r="E92" i="4"/>
  <c r="F92" i="4" s="1"/>
  <c r="G92" i="4" s="1"/>
  <c r="B16" i="24"/>
  <c r="C16" i="24" s="1"/>
  <c r="C16" i="2"/>
  <c r="B16" i="11" s="1"/>
  <c r="C16" i="11" s="1"/>
  <c r="A34" i="4"/>
  <c r="M31" i="4"/>
  <c r="I39" i="4" s="1"/>
  <c r="N39" i="4" s="1"/>
  <c r="A32" i="4"/>
  <c r="A25" i="4"/>
  <c r="A35" i="4"/>
  <c r="A20" i="4"/>
  <c r="E72" i="4"/>
  <c r="A67" i="4"/>
  <c r="A61" i="4"/>
  <c r="A64" i="4"/>
  <c r="A54" i="4"/>
  <c r="A62" i="4"/>
  <c r="A63" i="4"/>
  <c r="A68" i="4"/>
  <c r="A48" i="4"/>
  <c r="A53" i="4"/>
  <c r="M60" i="4"/>
  <c r="A60" i="4"/>
  <c r="A65" i="4"/>
  <c r="A66" i="4"/>
  <c r="A47" i="4"/>
  <c r="A69" i="4"/>
  <c r="A49" i="4"/>
  <c r="F43" i="4"/>
  <c r="A52" i="4"/>
  <c r="A59" i="4"/>
  <c r="C15" i="11"/>
  <c r="F16" i="4"/>
  <c r="A30" i="4"/>
  <c r="B6" i="4"/>
  <c r="B6" i="24"/>
  <c r="C15" i="24"/>
  <c r="E22" i="1"/>
  <c r="B6" i="2"/>
  <c r="A21" i="4"/>
  <c r="A38" i="4"/>
  <c r="A37" i="4"/>
  <c r="A23" i="4"/>
  <c r="A24" i="4"/>
  <c r="A36" i="4"/>
  <c r="A39" i="4"/>
  <c r="A22" i="4"/>
  <c r="A40" i="4"/>
  <c r="A33" i="4"/>
  <c r="C14" i="11"/>
  <c r="G149" i="4" l="1"/>
  <c r="G68" i="4"/>
  <c r="G176" i="4"/>
  <c r="G122" i="4"/>
  <c r="G95" i="4"/>
  <c r="C17" i="2"/>
  <c r="B19" i="24"/>
  <c r="C19" i="24" s="1"/>
  <c r="Z38" i="4"/>
  <c r="AC38" i="4" s="1"/>
  <c r="I38" i="4"/>
  <c r="J38" i="4" s="1"/>
  <c r="X31" i="4"/>
  <c r="X34" i="4" s="1"/>
  <c r="Z39" i="4"/>
  <c r="AC39" i="4" s="1"/>
  <c r="I37" i="4"/>
  <c r="L37" i="4" s="1"/>
  <c r="Z37" i="4"/>
  <c r="AC37" i="4" s="1"/>
  <c r="I65" i="4"/>
  <c r="Z65" i="4"/>
  <c r="AC65" i="4" s="1"/>
  <c r="I67" i="4"/>
  <c r="Z68" i="4"/>
  <c r="AC68" i="4" s="1"/>
  <c r="Z66" i="4"/>
  <c r="AC66" i="4" s="1"/>
  <c r="I66" i="4"/>
  <c r="Z67" i="4"/>
  <c r="AC67" i="4" s="1"/>
  <c r="X60" i="4"/>
  <c r="X63" i="4" s="1"/>
  <c r="I68" i="4"/>
  <c r="F15" i="11"/>
  <c r="A94" i="4"/>
  <c r="A89" i="4"/>
  <c r="A86" i="4"/>
  <c r="A77" i="4"/>
  <c r="M87" i="4"/>
  <c r="A91" i="4"/>
  <c r="A88" i="4"/>
  <c r="A95" i="4"/>
  <c r="A90" i="4"/>
  <c r="A81" i="4"/>
  <c r="A93" i="4"/>
  <c r="A96" i="4"/>
  <c r="A80" i="4"/>
  <c r="A87" i="4"/>
  <c r="A92" i="4"/>
  <c r="F72" i="4"/>
  <c r="A79" i="4"/>
  <c r="A78" i="4"/>
  <c r="A76" i="4"/>
  <c r="E32" i="4"/>
  <c r="L39" i="4"/>
  <c r="AA39" i="4"/>
  <c r="M39" i="4"/>
  <c r="K39" i="4"/>
  <c r="C18" i="2"/>
  <c r="E126" i="4" s="1"/>
  <c r="B22" i="24"/>
  <c r="J39" i="4"/>
  <c r="F16" i="11" l="1"/>
  <c r="E99" i="4"/>
  <c r="B17" i="11"/>
  <c r="C17" i="11" s="1"/>
  <c r="M37" i="4"/>
  <c r="K37" i="4"/>
  <c r="K38" i="4"/>
  <c r="L38" i="4"/>
  <c r="AA37" i="4"/>
  <c r="N38" i="4"/>
  <c r="M38" i="4"/>
  <c r="J37" i="4"/>
  <c r="AA38" i="4"/>
  <c r="N37" i="4"/>
  <c r="L66" i="4"/>
  <c r="K66" i="4"/>
  <c r="N66" i="4"/>
  <c r="J66" i="4"/>
  <c r="M66" i="4"/>
  <c r="AA66" i="4"/>
  <c r="A148" i="4"/>
  <c r="A149" i="4"/>
  <c r="A144" i="4"/>
  <c r="A130" i="4"/>
  <c r="A131" i="4"/>
  <c r="A147" i="4"/>
  <c r="A150" i="4"/>
  <c r="A135" i="4"/>
  <c r="M141" i="4"/>
  <c r="A134" i="4"/>
  <c r="A141" i="4"/>
  <c r="F126" i="4"/>
  <c r="A132" i="4"/>
  <c r="A133" i="4"/>
  <c r="A146" i="4"/>
  <c r="A140" i="4"/>
  <c r="A142" i="4"/>
  <c r="A145" i="4"/>
  <c r="A143" i="4"/>
  <c r="N68" i="4"/>
  <c r="J68" i="4"/>
  <c r="AA68" i="4"/>
  <c r="L68" i="4"/>
  <c r="M68" i="4"/>
  <c r="K68" i="4"/>
  <c r="I95" i="4"/>
  <c r="I92" i="4"/>
  <c r="Z95" i="4"/>
  <c r="AC95" i="4" s="1"/>
  <c r="X87" i="4"/>
  <c r="X90" i="4" s="1"/>
  <c r="I93" i="4"/>
  <c r="Z93" i="4"/>
  <c r="AC93" i="4" s="1"/>
  <c r="Z92" i="4"/>
  <c r="AC92" i="4" s="1"/>
  <c r="Z94" i="4"/>
  <c r="AC94" i="4" s="1"/>
  <c r="I94" i="4"/>
  <c r="K67" i="4"/>
  <c r="L67" i="4"/>
  <c r="AA67" i="4"/>
  <c r="N67" i="4"/>
  <c r="M67" i="4"/>
  <c r="J67" i="4"/>
  <c r="L65" i="4"/>
  <c r="M65" i="4"/>
  <c r="K65" i="4"/>
  <c r="AA65" i="4"/>
  <c r="N65" i="4"/>
  <c r="J65" i="4"/>
  <c r="C22" i="24"/>
  <c r="B18" i="11"/>
  <c r="B23" i="24"/>
  <c r="C19" i="2"/>
  <c r="E153" i="4" s="1"/>
  <c r="M114" i="4" l="1"/>
  <c r="A119" i="4"/>
  <c r="A122" i="4"/>
  <c r="A116" i="4"/>
  <c r="A106" i="4"/>
  <c r="A123" i="4"/>
  <c r="A118" i="4"/>
  <c r="A114" i="4"/>
  <c r="A115" i="4"/>
  <c r="F99" i="4"/>
  <c r="J103" i="4" s="1"/>
  <c r="J104" i="4" s="1"/>
  <c r="A120" i="4"/>
  <c r="A108" i="4"/>
  <c r="A113" i="4"/>
  <c r="A121" i="4"/>
  <c r="A103" i="4"/>
  <c r="A117" i="4"/>
  <c r="A107" i="4"/>
  <c r="A105" i="4"/>
  <c r="A104" i="4"/>
  <c r="C23" i="24"/>
  <c r="K93" i="4"/>
  <c r="AA93" i="4"/>
  <c r="N93" i="4"/>
  <c r="L93" i="4"/>
  <c r="J93" i="4"/>
  <c r="M93" i="4"/>
  <c r="AA94" i="4"/>
  <c r="J94" i="4"/>
  <c r="L94" i="4"/>
  <c r="M94" i="4"/>
  <c r="K94" i="4"/>
  <c r="N94" i="4"/>
  <c r="Z147" i="4"/>
  <c r="AC147" i="4" s="1"/>
  <c r="I147" i="4"/>
  <c r="I149" i="4"/>
  <c r="I148" i="4"/>
  <c r="I146" i="4"/>
  <c r="Z149" i="4"/>
  <c r="AC149" i="4" s="1"/>
  <c r="Z146" i="4"/>
  <c r="AC146" i="4" s="1"/>
  <c r="X141" i="4"/>
  <c r="X144" i="4" s="1"/>
  <c r="Z148" i="4"/>
  <c r="AC148" i="4" s="1"/>
  <c r="N92" i="4"/>
  <c r="M92" i="4"/>
  <c r="L92" i="4"/>
  <c r="J92" i="4"/>
  <c r="AA92" i="4"/>
  <c r="K92" i="4"/>
  <c r="A175" i="4"/>
  <c r="M168" i="4"/>
  <c r="A158" i="4"/>
  <c r="A173" i="4"/>
  <c r="A169" i="4"/>
  <c r="A174" i="4"/>
  <c r="A157" i="4"/>
  <c r="A177" i="4"/>
  <c r="A160" i="4"/>
  <c r="F153" i="4"/>
  <c r="J157" i="4" s="1"/>
  <c r="J158" i="4" s="1"/>
  <c r="J159" i="4" s="1"/>
  <c r="J160" i="4" s="1"/>
  <c r="J161" i="4" s="1"/>
  <c r="J162" i="4" s="1"/>
  <c r="A167" i="4"/>
  <c r="A159" i="4"/>
  <c r="A170" i="4"/>
  <c r="A171" i="4"/>
  <c r="A176" i="4"/>
  <c r="A161" i="4"/>
  <c r="A168" i="4"/>
  <c r="A172" i="4"/>
  <c r="A162" i="4"/>
  <c r="AA95" i="4"/>
  <c r="L95" i="4"/>
  <c r="K95" i="4"/>
  <c r="J95" i="4"/>
  <c r="M95" i="4"/>
  <c r="N95" i="4"/>
  <c r="B26" i="24"/>
  <c r="C20" i="2"/>
  <c r="E180" i="4" s="1"/>
  <c r="B19" i="11"/>
  <c r="C18" i="11"/>
  <c r="I119" i="4" l="1"/>
  <c r="Z119" i="4"/>
  <c r="AC119" i="4" s="1"/>
  <c r="X114" i="4"/>
  <c r="X117" i="4" s="1"/>
  <c r="X123" i="4" s="1"/>
  <c r="Z120" i="4"/>
  <c r="AC120" i="4" s="1"/>
  <c r="Z122" i="4"/>
  <c r="AC122" i="4" s="1"/>
  <c r="I118" i="4"/>
  <c r="I122" i="4"/>
  <c r="I117" i="4"/>
  <c r="I120" i="4"/>
  <c r="Z121" i="4"/>
  <c r="AC121" i="4" s="1"/>
  <c r="Z118" i="4"/>
  <c r="AC118" i="4" s="1"/>
  <c r="I121" i="4"/>
  <c r="Z117" i="4"/>
  <c r="AC117" i="4" s="1"/>
  <c r="D17" i="11"/>
  <c r="F17" i="11"/>
  <c r="E17" i="11"/>
  <c r="F18" i="11"/>
  <c r="C26" i="24"/>
  <c r="AA148" i="4"/>
  <c r="L148" i="4"/>
  <c r="K148" i="4"/>
  <c r="M148" i="4"/>
  <c r="J148" i="4"/>
  <c r="N148" i="4"/>
  <c r="M149" i="4"/>
  <c r="AA149" i="4"/>
  <c r="N149" i="4"/>
  <c r="L149" i="4"/>
  <c r="J149" i="4"/>
  <c r="K149" i="4"/>
  <c r="AA147" i="4"/>
  <c r="M147" i="4"/>
  <c r="N147" i="4"/>
  <c r="K147" i="4"/>
  <c r="J147" i="4"/>
  <c r="L147" i="4"/>
  <c r="Z171" i="4"/>
  <c r="AC171" i="4" s="1"/>
  <c r="Z175" i="4"/>
  <c r="AC175" i="4" s="1"/>
  <c r="I175" i="4"/>
  <c r="Z173" i="4"/>
  <c r="AC173" i="4" s="1"/>
  <c r="I171" i="4"/>
  <c r="Z176" i="4"/>
  <c r="AC176" i="4" s="1"/>
  <c r="I174" i="4"/>
  <c r="I173" i="4"/>
  <c r="Z174" i="4"/>
  <c r="AC174" i="4" s="1"/>
  <c r="I176" i="4"/>
  <c r="X168" i="4"/>
  <c r="X171" i="4" s="1"/>
  <c r="X177" i="4" s="1"/>
  <c r="I172" i="4"/>
  <c r="Z172" i="4"/>
  <c r="AC172" i="4" s="1"/>
  <c r="D19" i="11"/>
  <c r="E19" i="11"/>
  <c r="F19" i="11"/>
  <c r="A202" i="4"/>
  <c r="A203" i="4"/>
  <c r="A201" i="4"/>
  <c r="A189" i="4"/>
  <c r="A188" i="4"/>
  <c r="A185" i="4"/>
  <c r="A184" i="4"/>
  <c r="A195" i="4"/>
  <c r="F180" i="4"/>
  <c r="J184" i="4" s="1"/>
  <c r="J185" i="4" s="1"/>
  <c r="J186" i="4" s="1"/>
  <c r="A204" i="4"/>
  <c r="A187" i="4"/>
  <c r="A200" i="4"/>
  <c r="A194" i="4"/>
  <c r="A186" i="4"/>
  <c r="A196" i="4"/>
  <c r="A199" i="4"/>
  <c r="A197" i="4"/>
  <c r="A198" i="4"/>
  <c r="M195" i="4"/>
  <c r="AA146" i="4"/>
  <c r="L146" i="4"/>
  <c r="M146" i="4"/>
  <c r="N146" i="4"/>
  <c r="K146" i="4"/>
  <c r="J146" i="4"/>
  <c r="C19" i="11"/>
  <c r="B20" i="11"/>
  <c r="B27" i="24"/>
  <c r="C21" i="2"/>
  <c r="E207" i="4" s="1"/>
  <c r="G17" i="11" l="1"/>
  <c r="L121" i="4"/>
  <c r="K121" i="4"/>
  <c r="M121" i="4"/>
  <c r="N121" i="4"/>
  <c r="AA121" i="4"/>
  <c r="J121" i="4"/>
  <c r="AA120" i="4"/>
  <c r="M120" i="4"/>
  <c r="N120" i="4"/>
  <c r="J120" i="4"/>
  <c r="K120" i="4"/>
  <c r="L120" i="4"/>
  <c r="N119" i="4"/>
  <c r="AA119" i="4"/>
  <c r="L119" i="4"/>
  <c r="K119" i="4"/>
  <c r="M119" i="4"/>
  <c r="J119" i="4"/>
  <c r="N117" i="4"/>
  <c r="AA117" i="4"/>
  <c r="M117" i="4"/>
  <c r="J117" i="4"/>
  <c r="L117" i="4"/>
  <c r="K117" i="4"/>
  <c r="M122" i="4"/>
  <c r="J122" i="4"/>
  <c r="AA122" i="4"/>
  <c r="L122" i="4"/>
  <c r="K122" i="4"/>
  <c r="N122" i="4"/>
  <c r="AA118" i="4"/>
  <c r="M118" i="4"/>
  <c r="N118" i="4"/>
  <c r="J118" i="4"/>
  <c r="K118" i="4"/>
  <c r="L118" i="4"/>
  <c r="G19" i="11"/>
  <c r="Z202" i="4"/>
  <c r="AC202" i="4" s="1"/>
  <c r="X195" i="4"/>
  <c r="X198" i="4" s="1"/>
  <c r="X204" i="4" s="1"/>
  <c r="I200" i="4"/>
  <c r="I198" i="4"/>
  <c r="I199" i="4"/>
  <c r="I203" i="4"/>
  <c r="Z198" i="4"/>
  <c r="AC198" i="4" s="1"/>
  <c r="I202" i="4"/>
  <c r="Z199" i="4"/>
  <c r="AC199" i="4" s="1"/>
  <c r="Z203" i="4"/>
  <c r="AC203" i="4" s="1"/>
  <c r="I201" i="4"/>
  <c r="Z201" i="4"/>
  <c r="AC201" i="4" s="1"/>
  <c r="Z200" i="4"/>
  <c r="AC200" i="4" s="1"/>
  <c r="AA174" i="4"/>
  <c r="M174" i="4"/>
  <c r="J174" i="4"/>
  <c r="K174" i="4"/>
  <c r="N174" i="4"/>
  <c r="L174" i="4"/>
  <c r="N171" i="4"/>
  <c r="M171" i="4"/>
  <c r="L171" i="4"/>
  <c r="J171" i="4"/>
  <c r="AA171" i="4"/>
  <c r="K171" i="4"/>
  <c r="N172" i="4"/>
  <c r="J172" i="4"/>
  <c r="M172" i="4"/>
  <c r="AA172" i="4"/>
  <c r="K172" i="4"/>
  <c r="L172" i="4"/>
  <c r="AA175" i="4"/>
  <c r="N175" i="4"/>
  <c r="L175" i="4"/>
  <c r="K175" i="4"/>
  <c r="J175" i="4"/>
  <c r="M175" i="4"/>
  <c r="N176" i="4"/>
  <c r="J176" i="4"/>
  <c r="K176" i="4"/>
  <c r="M176" i="4"/>
  <c r="AA176" i="4"/>
  <c r="L176" i="4"/>
  <c r="L173" i="4"/>
  <c r="M173" i="4"/>
  <c r="K173" i="4"/>
  <c r="N173" i="4"/>
  <c r="J173" i="4"/>
  <c r="AA173" i="4"/>
  <c r="D20" i="11"/>
  <c r="E20" i="11"/>
  <c r="F20" i="11"/>
  <c r="A229" i="4"/>
  <c r="A213" i="4"/>
  <c r="A225" i="4"/>
  <c r="A224" i="4"/>
  <c r="A216" i="4"/>
  <c r="A226" i="4"/>
  <c r="M222" i="4"/>
  <c r="A211" i="4"/>
  <c r="A215" i="4"/>
  <c r="A230" i="4"/>
  <c r="A228" i="4"/>
  <c r="A212" i="4"/>
  <c r="A214" i="4"/>
  <c r="A222" i="4"/>
  <c r="F207" i="4"/>
  <c r="J211" i="4" s="1"/>
  <c r="J212" i="4" s="1"/>
  <c r="A221" i="4"/>
  <c r="A223" i="4"/>
  <c r="A231" i="4"/>
  <c r="A227" i="4"/>
  <c r="C27" i="24"/>
  <c r="B28" i="24"/>
  <c r="C28" i="24" s="1"/>
  <c r="B21" i="11"/>
  <c r="C22" i="2"/>
  <c r="E234" i="4" s="1"/>
  <c r="C20" i="11"/>
  <c r="M123" i="4" l="1"/>
  <c r="N123" i="4"/>
  <c r="G20" i="11"/>
  <c r="AA203" i="4"/>
  <c r="L203" i="4"/>
  <c r="N203" i="4"/>
  <c r="K203" i="4"/>
  <c r="M203" i="4"/>
  <c r="J203" i="4"/>
  <c r="N199" i="4"/>
  <c r="AA199" i="4"/>
  <c r="J199" i="4"/>
  <c r="K199" i="4"/>
  <c r="M199" i="4"/>
  <c r="L199" i="4"/>
  <c r="J198" i="4"/>
  <c r="AA198" i="4"/>
  <c r="L198" i="4"/>
  <c r="N198" i="4"/>
  <c r="K198" i="4"/>
  <c r="M198" i="4"/>
  <c r="AA202" i="4"/>
  <c r="L202" i="4"/>
  <c r="K202" i="4"/>
  <c r="M202" i="4"/>
  <c r="J202" i="4"/>
  <c r="N202" i="4"/>
  <c r="D21" i="11"/>
  <c r="E21" i="11"/>
  <c r="F21" i="11"/>
  <c r="Z228" i="4"/>
  <c r="AC228" i="4" s="1"/>
  <c r="I229" i="4"/>
  <c r="I227" i="4"/>
  <c r="Z229" i="4"/>
  <c r="AC229" i="4" s="1"/>
  <c r="Z226" i="4"/>
  <c r="AC226" i="4" s="1"/>
  <c r="Z227" i="4"/>
  <c r="AC227" i="4" s="1"/>
  <c r="I226" i="4"/>
  <c r="Z230" i="4"/>
  <c r="AC230" i="4" s="1"/>
  <c r="I228" i="4"/>
  <c r="Z225" i="4"/>
  <c r="AC225" i="4" s="1"/>
  <c r="I230" i="4"/>
  <c r="I225" i="4"/>
  <c r="X222" i="4"/>
  <c r="X225" i="4" s="1"/>
  <c r="X231" i="4" s="1"/>
  <c r="L201" i="4"/>
  <c r="AA201" i="4"/>
  <c r="K201" i="4"/>
  <c r="N201" i="4"/>
  <c r="J201" i="4"/>
  <c r="M201" i="4"/>
  <c r="J200" i="4"/>
  <c r="K200" i="4"/>
  <c r="AA200" i="4"/>
  <c r="M200" i="4"/>
  <c r="N200" i="4"/>
  <c r="L200" i="4"/>
  <c r="A256" i="4"/>
  <c r="A243" i="4"/>
  <c r="A255" i="4"/>
  <c r="A249" i="4"/>
  <c r="M249" i="4"/>
  <c r="A258" i="4"/>
  <c r="A254" i="4"/>
  <c r="A251" i="4"/>
  <c r="A248" i="4"/>
  <c r="F234" i="4"/>
  <c r="A238" i="4"/>
  <c r="A240" i="4"/>
  <c r="A241" i="4"/>
  <c r="A253" i="4"/>
  <c r="A250" i="4"/>
  <c r="A257" i="4"/>
  <c r="A239" i="4"/>
  <c r="A252" i="4"/>
  <c r="A242" i="4"/>
  <c r="N177" i="4"/>
  <c r="M177" i="4"/>
  <c r="B29" i="24"/>
  <c r="C23" i="2"/>
  <c r="E261" i="4" s="1"/>
  <c r="B22" i="11"/>
  <c r="C21" i="11"/>
  <c r="G21" i="11" l="1"/>
  <c r="N226" i="4"/>
  <c r="L226" i="4"/>
  <c r="J226" i="4"/>
  <c r="M226" i="4"/>
  <c r="K226" i="4"/>
  <c r="AA226" i="4"/>
  <c r="F22" i="11"/>
  <c r="M227" i="4"/>
  <c r="AA227" i="4"/>
  <c r="J227" i="4"/>
  <c r="L227" i="4"/>
  <c r="K227" i="4"/>
  <c r="N227" i="4"/>
  <c r="A283" i="4"/>
  <c r="A268" i="4"/>
  <c r="A278" i="4"/>
  <c r="A275" i="4"/>
  <c r="A284" i="4"/>
  <c r="A282" i="4"/>
  <c r="A270" i="4"/>
  <c r="A281" i="4"/>
  <c r="A277" i="4"/>
  <c r="A269" i="4"/>
  <c r="A266" i="4"/>
  <c r="A279" i="4"/>
  <c r="A276" i="4"/>
  <c r="A285" i="4"/>
  <c r="M276" i="4"/>
  <c r="A280" i="4"/>
  <c r="A265" i="4"/>
  <c r="F261" i="4"/>
  <c r="A267" i="4"/>
  <c r="N229" i="4"/>
  <c r="M229" i="4"/>
  <c r="J229" i="4"/>
  <c r="L229" i="4"/>
  <c r="AA229" i="4"/>
  <c r="K229" i="4"/>
  <c r="M204" i="4"/>
  <c r="N204" i="4"/>
  <c r="X249" i="4"/>
  <c r="X252" i="4" s="1"/>
  <c r="I257" i="4"/>
  <c r="Z256" i="4"/>
  <c r="AC256" i="4" s="1"/>
  <c r="Z255" i="4"/>
  <c r="AC255" i="4" s="1"/>
  <c r="I256" i="4"/>
  <c r="Z257" i="4"/>
  <c r="AC257" i="4" s="1"/>
  <c r="I255" i="4"/>
  <c r="I254" i="4"/>
  <c r="Z254" i="4"/>
  <c r="AC254" i="4" s="1"/>
  <c r="L225" i="4"/>
  <c r="K225" i="4"/>
  <c r="N225" i="4"/>
  <c r="J225" i="4"/>
  <c r="AA225" i="4"/>
  <c r="M225" i="4"/>
  <c r="M230" i="4"/>
  <c r="N230" i="4"/>
  <c r="AA230" i="4"/>
  <c r="K230" i="4"/>
  <c r="L230" i="4"/>
  <c r="J230" i="4"/>
  <c r="K228" i="4"/>
  <c r="L228" i="4"/>
  <c r="N228" i="4"/>
  <c r="J228" i="4"/>
  <c r="AA228" i="4"/>
  <c r="M228" i="4"/>
  <c r="C29" i="24"/>
  <c r="C22" i="11"/>
  <c r="B32" i="24"/>
  <c r="B23" i="11"/>
  <c r="C24" i="2"/>
  <c r="E288" i="4" s="1"/>
  <c r="C32" i="24" l="1"/>
  <c r="F23" i="11"/>
  <c r="I281" i="4"/>
  <c r="Z284" i="4"/>
  <c r="AC284" i="4" s="1"/>
  <c r="Z281" i="4"/>
  <c r="AC281" i="4" s="1"/>
  <c r="I282" i="4"/>
  <c r="I283" i="4"/>
  <c r="Z282" i="4"/>
  <c r="AC282" i="4" s="1"/>
  <c r="X276" i="4"/>
  <c r="X279" i="4" s="1"/>
  <c r="I284" i="4"/>
  <c r="Z283" i="4"/>
  <c r="AC283" i="4" s="1"/>
  <c r="M231" i="4"/>
  <c r="N231" i="4"/>
  <c r="K255" i="4"/>
  <c r="M255" i="4"/>
  <c r="N255" i="4"/>
  <c r="J255" i="4"/>
  <c r="L255" i="4"/>
  <c r="AA255" i="4"/>
  <c r="M257" i="4"/>
  <c r="J257" i="4"/>
  <c r="K257" i="4"/>
  <c r="AA257" i="4"/>
  <c r="L257" i="4"/>
  <c r="N257" i="4"/>
  <c r="N254" i="4"/>
  <c r="M254" i="4"/>
  <c r="AA254" i="4"/>
  <c r="K254" i="4"/>
  <c r="L254" i="4"/>
  <c r="J254" i="4"/>
  <c r="M256" i="4"/>
  <c r="AA256" i="4"/>
  <c r="L256" i="4"/>
  <c r="K256" i="4"/>
  <c r="N256" i="4"/>
  <c r="J256" i="4"/>
  <c r="A310" i="4"/>
  <c r="A312" i="4"/>
  <c r="A292" i="4"/>
  <c r="F288" i="4"/>
  <c r="A295" i="4"/>
  <c r="A307" i="4"/>
  <c r="A306" i="4"/>
  <c r="A294" i="4"/>
  <c r="A302" i="4"/>
  <c r="A305" i="4"/>
  <c r="A304" i="4"/>
  <c r="A311" i="4"/>
  <c r="A296" i="4"/>
  <c r="A293" i="4"/>
  <c r="A303" i="4"/>
  <c r="A309" i="4"/>
  <c r="A297" i="4"/>
  <c r="M303" i="4"/>
  <c r="A308" i="4"/>
  <c r="B24" i="11"/>
  <c r="B35" i="24"/>
  <c r="C25" i="2"/>
  <c r="E315" i="4" s="1"/>
  <c r="C23" i="11"/>
  <c r="I311" i="4" l="1"/>
  <c r="X303" i="4"/>
  <c r="X306" i="4" s="1"/>
  <c r="Z311" i="4"/>
  <c r="AC311" i="4" s="1"/>
  <c r="L282" i="4"/>
  <c r="N282" i="4"/>
  <c r="J282" i="4"/>
  <c r="K282" i="4"/>
  <c r="M282" i="4"/>
  <c r="AA282" i="4"/>
  <c r="L284" i="4"/>
  <c r="K284" i="4"/>
  <c r="N284" i="4"/>
  <c r="J284" i="4"/>
  <c r="M284" i="4"/>
  <c r="AA284" i="4"/>
  <c r="N283" i="4"/>
  <c r="AA283" i="4"/>
  <c r="L283" i="4"/>
  <c r="M283" i="4"/>
  <c r="K283" i="4"/>
  <c r="J283" i="4"/>
  <c r="A337" i="4"/>
  <c r="A334" i="4"/>
  <c r="A323" i="4"/>
  <c r="A339" i="4"/>
  <c r="A320" i="4"/>
  <c r="A338" i="4"/>
  <c r="A330" i="4"/>
  <c r="A322" i="4"/>
  <c r="A324" i="4"/>
  <c r="A336" i="4"/>
  <c r="A335" i="4"/>
  <c r="M330" i="4"/>
  <c r="A319" i="4"/>
  <c r="F315" i="4"/>
  <c r="A329" i="4"/>
  <c r="A321" i="4"/>
  <c r="A332" i="4"/>
  <c r="A331" i="4"/>
  <c r="A333" i="4"/>
  <c r="F24" i="11"/>
  <c r="J281" i="4"/>
  <c r="M281" i="4"/>
  <c r="AA281" i="4"/>
  <c r="L281" i="4"/>
  <c r="N281" i="4"/>
  <c r="K281" i="4"/>
  <c r="C35" i="24"/>
  <c r="B25" i="11"/>
  <c r="B38" i="24"/>
  <c r="C38" i="24" s="1"/>
  <c r="C26" i="2"/>
  <c r="E342" i="4" s="1"/>
  <c r="C24" i="11"/>
  <c r="A365" i="4" l="1"/>
  <c r="A348" i="4"/>
  <c r="A361" i="4"/>
  <c r="A352" i="4"/>
  <c r="A346" i="4"/>
  <c r="A358" i="4"/>
  <c r="A360" i="4"/>
  <c r="A347" i="4"/>
  <c r="A362" i="4"/>
  <c r="A367" i="4"/>
  <c r="A366" i="4"/>
  <c r="A351" i="4"/>
  <c r="M358" i="4"/>
  <c r="A349" i="4"/>
  <c r="A363" i="4"/>
  <c r="A357" i="4"/>
  <c r="A364" i="4"/>
  <c r="F342" i="4"/>
  <c r="A359" i="4"/>
  <c r="D25" i="11"/>
  <c r="E25" i="11"/>
  <c r="F25" i="11"/>
  <c r="Z334" i="4"/>
  <c r="AC334" i="4" s="1"/>
  <c r="Z333" i="4"/>
  <c r="AC333" i="4" s="1"/>
  <c r="I338" i="4"/>
  <c r="Z338" i="4"/>
  <c r="AC338" i="4" s="1"/>
  <c r="I335" i="4"/>
  <c r="I336" i="4"/>
  <c r="I333" i="4"/>
  <c r="Z337" i="4"/>
  <c r="AC337" i="4" s="1"/>
  <c r="I337" i="4"/>
  <c r="Z335" i="4"/>
  <c r="AC335" i="4" s="1"/>
  <c r="I334" i="4"/>
  <c r="X330" i="4"/>
  <c r="X333" i="4" s="1"/>
  <c r="X339" i="4" s="1"/>
  <c r="Z336" i="4"/>
  <c r="AC336" i="4" s="1"/>
  <c r="AA311" i="4"/>
  <c r="M311" i="4"/>
  <c r="L311" i="4"/>
  <c r="N311" i="4"/>
  <c r="K311" i="4"/>
  <c r="J311" i="4"/>
  <c r="C25" i="11"/>
  <c r="B39" i="24"/>
  <c r="C27" i="2"/>
  <c r="E370" i="4" s="1"/>
  <c r="B26" i="11"/>
  <c r="C39" i="24" l="1"/>
  <c r="G25" i="11"/>
  <c r="A392" i="4"/>
  <c r="A394" i="4"/>
  <c r="A374" i="4"/>
  <c r="A390" i="4"/>
  <c r="A388" i="4"/>
  <c r="F370" i="4"/>
  <c r="A377" i="4"/>
  <c r="A389" i="4"/>
  <c r="A376" i="4"/>
  <c r="A384" i="4"/>
  <c r="A387" i="4"/>
  <c r="A386" i="4"/>
  <c r="A393" i="4"/>
  <c r="A375" i="4"/>
  <c r="M385" i="4"/>
  <c r="A379" i="4"/>
  <c r="A391" i="4"/>
  <c r="A378" i="4"/>
  <c r="A385" i="4"/>
  <c r="K336" i="4"/>
  <c r="L336" i="4"/>
  <c r="N336" i="4"/>
  <c r="J336" i="4"/>
  <c r="AA336" i="4"/>
  <c r="M336" i="4"/>
  <c r="K335" i="4"/>
  <c r="M335" i="4"/>
  <c r="AA335" i="4"/>
  <c r="J335" i="4"/>
  <c r="L335" i="4"/>
  <c r="N335" i="4"/>
  <c r="L334" i="4"/>
  <c r="K334" i="4"/>
  <c r="N334" i="4"/>
  <c r="J334" i="4"/>
  <c r="M334" i="4"/>
  <c r="AA334" i="4"/>
  <c r="M338" i="4"/>
  <c r="J338" i="4"/>
  <c r="AA338" i="4"/>
  <c r="K338" i="4"/>
  <c r="L338" i="4"/>
  <c r="N338" i="4"/>
  <c r="Z363" i="4"/>
  <c r="AC363" i="4" s="1"/>
  <c r="I365" i="4"/>
  <c r="I366" i="4"/>
  <c r="Z366" i="4"/>
  <c r="AC366" i="4" s="1"/>
  <c r="Z364" i="4"/>
  <c r="AC364" i="4" s="1"/>
  <c r="X358" i="4"/>
  <c r="X361" i="4" s="1"/>
  <c r="I363" i="4"/>
  <c r="I364" i="4"/>
  <c r="Z365" i="4"/>
  <c r="AC365" i="4" s="1"/>
  <c r="F26" i="11"/>
  <c r="AA337" i="4"/>
  <c r="L337" i="4"/>
  <c r="K337" i="4"/>
  <c r="M337" i="4"/>
  <c r="N337" i="4"/>
  <c r="J337" i="4"/>
  <c r="L333" i="4"/>
  <c r="K333" i="4"/>
  <c r="N333" i="4"/>
  <c r="AA333" i="4"/>
  <c r="J333" i="4"/>
  <c r="M333" i="4"/>
  <c r="C26" i="11"/>
  <c r="B42" i="24"/>
  <c r="C28" i="2"/>
  <c r="E397" i="4" s="1"/>
  <c r="B27" i="11"/>
  <c r="F27" i="11" l="1"/>
  <c r="Z392" i="4"/>
  <c r="AC392" i="4" s="1"/>
  <c r="Z390" i="4"/>
  <c r="AC390" i="4" s="1"/>
  <c r="I393" i="4"/>
  <c r="I392" i="4"/>
  <c r="I390" i="4"/>
  <c r="Z391" i="4"/>
  <c r="AC391" i="4" s="1"/>
  <c r="Z393" i="4"/>
  <c r="AC393" i="4" s="1"/>
  <c r="I391" i="4"/>
  <c r="X385" i="4"/>
  <c r="X388" i="4" s="1"/>
  <c r="AA363" i="4"/>
  <c r="L363" i="4"/>
  <c r="N363" i="4"/>
  <c r="K363" i="4"/>
  <c r="M363" i="4"/>
  <c r="J363" i="4"/>
  <c r="M366" i="4"/>
  <c r="N366" i="4"/>
  <c r="AA366" i="4"/>
  <c r="K366" i="4"/>
  <c r="L366" i="4"/>
  <c r="J366" i="4"/>
  <c r="J364" i="4"/>
  <c r="K364" i="4"/>
  <c r="AA364" i="4"/>
  <c r="M364" i="4"/>
  <c r="L364" i="4"/>
  <c r="N364" i="4"/>
  <c r="M339" i="4"/>
  <c r="N339" i="4"/>
  <c r="A419" i="4"/>
  <c r="A420" i="4"/>
  <c r="A406" i="4"/>
  <c r="A404" i="4"/>
  <c r="A402" i="4"/>
  <c r="A405" i="4"/>
  <c r="A418" i="4"/>
  <c r="M412" i="4"/>
  <c r="A412" i="4"/>
  <c r="F397" i="4"/>
  <c r="J401" i="4" s="1"/>
  <c r="J402" i="4" s="1"/>
  <c r="J403" i="4" s="1"/>
  <c r="J404" i="4" s="1"/>
  <c r="J405" i="4" s="1"/>
  <c r="J406" i="4" s="1"/>
  <c r="A421" i="4"/>
  <c r="A401" i="4"/>
  <c r="A417" i="4"/>
  <c r="A403" i="4"/>
  <c r="A411" i="4"/>
  <c r="A416" i="4"/>
  <c r="A414" i="4"/>
  <c r="A413" i="4"/>
  <c r="A415" i="4"/>
  <c r="J365" i="4"/>
  <c r="L365" i="4"/>
  <c r="M365" i="4"/>
  <c r="K365" i="4"/>
  <c r="AA365" i="4"/>
  <c r="N365" i="4"/>
  <c r="C27" i="11"/>
  <c r="B45" i="24"/>
  <c r="C29" i="2"/>
  <c r="E424" i="4" s="1"/>
  <c r="B28" i="11"/>
  <c r="AA390" i="4" l="1"/>
  <c r="L390" i="4"/>
  <c r="J390" i="4"/>
  <c r="K390" i="4"/>
  <c r="M390" i="4"/>
  <c r="N390" i="4"/>
  <c r="I416" i="4"/>
  <c r="I419" i="4"/>
  <c r="I417" i="4"/>
  <c r="Z415" i="4"/>
  <c r="AC415" i="4" s="1"/>
  <c r="Z418" i="4"/>
  <c r="AC418" i="4" s="1"/>
  <c r="Z420" i="4"/>
  <c r="AC420" i="4" s="1"/>
  <c r="I418" i="4"/>
  <c r="Z417" i="4"/>
  <c r="AC417" i="4" s="1"/>
  <c r="Z416" i="4"/>
  <c r="AC416" i="4" s="1"/>
  <c r="I420" i="4"/>
  <c r="I415" i="4"/>
  <c r="Z419" i="4"/>
  <c r="AC419" i="4" s="1"/>
  <c r="X412" i="4"/>
  <c r="X415" i="4" s="1"/>
  <c r="X421" i="4" s="1"/>
  <c r="AA392" i="4"/>
  <c r="L392" i="4"/>
  <c r="K392" i="4"/>
  <c r="J392" i="4"/>
  <c r="M392" i="4"/>
  <c r="N392" i="4"/>
  <c r="J393" i="4"/>
  <c r="AA393" i="4"/>
  <c r="K393" i="4"/>
  <c r="M393" i="4"/>
  <c r="N393" i="4"/>
  <c r="L393" i="4"/>
  <c r="D28" i="11"/>
  <c r="F28" i="11"/>
  <c r="E28" i="11"/>
  <c r="A446" i="4"/>
  <c r="A441" i="4"/>
  <c r="A442" i="4"/>
  <c r="A428" i="4"/>
  <c r="A443" i="4"/>
  <c r="A429" i="4"/>
  <c r="A448" i="4"/>
  <c r="A447" i="4"/>
  <c r="A433" i="4"/>
  <c r="A432" i="4"/>
  <c r="A445" i="4"/>
  <c r="M439" i="4"/>
  <c r="A431" i="4"/>
  <c r="A439" i="4"/>
  <c r="F424" i="4"/>
  <c r="A430" i="4"/>
  <c r="A444" i="4"/>
  <c r="A438" i="4"/>
  <c r="A440" i="4"/>
  <c r="J391" i="4"/>
  <c r="AA391" i="4"/>
  <c r="M391" i="4"/>
  <c r="K391" i="4"/>
  <c r="L391" i="4"/>
  <c r="N391" i="4"/>
  <c r="B46" i="24"/>
  <c r="C46" i="24" s="1"/>
  <c r="C30" i="2"/>
  <c r="E451" i="4" s="1"/>
  <c r="B29" i="11"/>
  <c r="C28" i="11"/>
  <c r="G28" i="11" l="1"/>
  <c r="F29" i="11"/>
  <c r="AA420" i="4"/>
  <c r="L420" i="4"/>
  <c r="N420" i="4"/>
  <c r="K420" i="4"/>
  <c r="M420" i="4"/>
  <c r="J420" i="4"/>
  <c r="K419" i="4"/>
  <c r="N419" i="4"/>
  <c r="J419" i="4"/>
  <c r="M419" i="4"/>
  <c r="AA419" i="4"/>
  <c r="L419" i="4"/>
  <c r="I446" i="4"/>
  <c r="Z447" i="4"/>
  <c r="AC447" i="4" s="1"/>
  <c r="X439" i="4"/>
  <c r="X442" i="4" s="1"/>
  <c r="Z446" i="4"/>
  <c r="AC446" i="4" s="1"/>
  <c r="I447" i="4"/>
  <c r="A473" i="4"/>
  <c r="F451" i="4"/>
  <c r="A475" i="4"/>
  <c r="A466" i="4"/>
  <c r="A457" i="4"/>
  <c r="A455" i="4"/>
  <c r="A471" i="4"/>
  <c r="A468" i="4"/>
  <c r="A458" i="4"/>
  <c r="A467" i="4"/>
  <c r="A470" i="4"/>
  <c r="A465" i="4"/>
  <c r="A474" i="4"/>
  <c r="A460" i="4"/>
  <c r="A469" i="4"/>
  <c r="M466" i="4"/>
  <c r="A459" i="4"/>
  <c r="A472" i="4"/>
  <c r="A456" i="4"/>
  <c r="K418" i="4"/>
  <c r="N418" i="4"/>
  <c r="J418" i="4"/>
  <c r="L418" i="4"/>
  <c r="AA418" i="4"/>
  <c r="M418" i="4"/>
  <c r="AA416" i="4"/>
  <c r="L416" i="4"/>
  <c r="J416" i="4"/>
  <c r="K416" i="4"/>
  <c r="N416" i="4"/>
  <c r="M416" i="4"/>
  <c r="L415" i="4"/>
  <c r="N415" i="4"/>
  <c r="K415" i="4"/>
  <c r="J415" i="4"/>
  <c r="AA415" i="4"/>
  <c r="M415" i="4"/>
  <c r="J417" i="4"/>
  <c r="M417" i="4"/>
  <c r="AA417" i="4"/>
  <c r="L417" i="4"/>
  <c r="N417" i="4"/>
  <c r="K417" i="4"/>
  <c r="C29" i="11"/>
  <c r="C31" i="2"/>
  <c r="E478" i="4" s="1"/>
  <c r="B51" i="24"/>
  <c r="C51" i="24" s="1"/>
  <c r="B30" i="11"/>
  <c r="N421" i="4" l="1"/>
  <c r="M421" i="4"/>
  <c r="AA446" i="4"/>
  <c r="L446" i="4"/>
  <c r="M446" i="4"/>
  <c r="K446" i="4"/>
  <c r="N446" i="4"/>
  <c r="J446" i="4"/>
  <c r="I472" i="4"/>
  <c r="I473" i="4"/>
  <c r="Z471" i="4"/>
  <c r="AC471" i="4" s="1"/>
  <c r="I474" i="4"/>
  <c r="X466" i="4"/>
  <c r="X469" i="4" s="1"/>
  <c r="Z473" i="4"/>
  <c r="AC473" i="4" s="1"/>
  <c r="Z472" i="4"/>
  <c r="AC472" i="4" s="1"/>
  <c r="I471" i="4"/>
  <c r="Z474" i="4"/>
  <c r="AC474" i="4" s="1"/>
  <c r="A500" i="4"/>
  <c r="A484" i="4"/>
  <c r="A494" i="4"/>
  <c r="A501" i="4"/>
  <c r="A496" i="4"/>
  <c r="A483" i="4"/>
  <c r="A495" i="4"/>
  <c r="A486" i="4"/>
  <c r="A487" i="4"/>
  <c r="A497" i="4"/>
  <c r="A493" i="4"/>
  <c r="M493" i="4"/>
  <c r="A498" i="4"/>
  <c r="A499" i="4"/>
  <c r="A482" i="4"/>
  <c r="A492" i="4"/>
  <c r="A502" i="4"/>
  <c r="F478" i="4"/>
  <c r="A485" i="4"/>
  <c r="F30" i="11"/>
  <c r="M447" i="4"/>
  <c r="N447" i="4"/>
  <c r="AA447" i="4"/>
  <c r="L447" i="4"/>
  <c r="K447" i="4"/>
  <c r="J447" i="4"/>
  <c r="B31" i="11"/>
  <c r="B54" i="24"/>
  <c r="C32" i="2"/>
  <c r="E505" i="4" s="1"/>
  <c r="C30" i="11"/>
  <c r="C54" i="24" l="1"/>
  <c r="F31" i="11"/>
  <c r="AA472" i="4"/>
  <c r="M472" i="4"/>
  <c r="N472" i="4"/>
  <c r="K472" i="4"/>
  <c r="L472" i="4"/>
  <c r="J472" i="4"/>
  <c r="A527" i="4"/>
  <c r="A522" i="4"/>
  <c r="A512" i="4"/>
  <c r="A524" i="4"/>
  <c r="A519" i="4"/>
  <c r="A528" i="4"/>
  <c r="A521" i="4"/>
  <c r="A514" i="4"/>
  <c r="A510" i="4"/>
  <c r="A523" i="4"/>
  <c r="M520" i="4"/>
  <c r="A526" i="4"/>
  <c r="A513" i="4"/>
  <c r="A520" i="4"/>
  <c r="F505" i="4"/>
  <c r="A525" i="4"/>
  <c r="A509" i="4"/>
  <c r="A511" i="4"/>
  <c r="A529" i="4"/>
  <c r="I499" i="4"/>
  <c r="I501" i="4"/>
  <c r="Z498" i="4"/>
  <c r="AC498" i="4" s="1"/>
  <c r="I498" i="4"/>
  <c r="X493" i="4"/>
  <c r="X496" i="4" s="1"/>
  <c r="Z500" i="4"/>
  <c r="AC500" i="4" s="1"/>
  <c r="I500" i="4"/>
  <c r="Z499" i="4"/>
  <c r="AC499" i="4" s="1"/>
  <c r="Z501" i="4"/>
  <c r="AC501" i="4" s="1"/>
  <c r="J474" i="4"/>
  <c r="M474" i="4"/>
  <c r="L474" i="4"/>
  <c r="N474" i="4"/>
  <c r="AA474" i="4"/>
  <c r="K474" i="4"/>
  <c r="M471" i="4"/>
  <c r="N471" i="4"/>
  <c r="J471" i="4"/>
  <c r="AA471" i="4"/>
  <c r="L471" i="4"/>
  <c r="K471" i="4"/>
  <c r="N473" i="4"/>
  <c r="AA473" i="4"/>
  <c r="M473" i="4"/>
  <c r="L473" i="4"/>
  <c r="K473" i="4"/>
  <c r="J473" i="4"/>
  <c r="B32" i="11"/>
  <c r="C33" i="2"/>
  <c r="E532" i="4" s="1"/>
  <c r="B57" i="24"/>
  <c r="C57" i="24" s="1"/>
  <c r="C31" i="11"/>
  <c r="AA500" i="4" l="1"/>
  <c r="L500" i="4"/>
  <c r="K500" i="4"/>
  <c r="M500" i="4"/>
  <c r="N500" i="4"/>
  <c r="J500" i="4"/>
  <c r="I528" i="4"/>
  <c r="Z526" i="4"/>
  <c r="AC526" i="4" s="1"/>
  <c r="I525" i="4"/>
  <c r="Z528" i="4"/>
  <c r="AC528" i="4" s="1"/>
  <c r="I526" i="4"/>
  <c r="I527" i="4"/>
  <c r="Z525" i="4"/>
  <c r="AC525" i="4" s="1"/>
  <c r="Z527" i="4"/>
  <c r="AC527" i="4" s="1"/>
  <c r="X520" i="4"/>
  <c r="X523" i="4" s="1"/>
  <c r="A554" i="4"/>
  <c r="M547" i="4"/>
  <c r="A540" i="4"/>
  <c r="A536" i="4"/>
  <c r="A553" i="4"/>
  <c r="A547" i="4"/>
  <c r="A548" i="4"/>
  <c r="A539" i="4"/>
  <c r="A556" i="4"/>
  <c r="A552" i="4"/>
  <c r="A546" i="4"/>
  <c r="F532" i="4"/>
  <c r="A538" i="4"/>
  <c r="A550" i="4"/>
  <c r="A549" i="4"/>
  <c r="A555" i="4"/>
  <c r="A537" i="4"/>
  <c r="A541" i="4"/>
  <c r="A551" i="4"/>
  <c r="N498" i="4"/>
  <c r="K498" i="4"/>
  <c r="M498" i="4"/>
  <c r="AA498" i="4"/>
  <c r="L498" i="4"/>
  <c r="J498" i="4"/>
  <c r="J499" i="4"/>
  <c r="AA499" i="4"/>
  <c r="M499" i="4"/>
  <c r="L499" i="4"/>
  <c r="K499" i="4"/>
  <c r="N499" i="4"/>
  <c r="F32" i="11"/>
  <c r="L501" i="4"/>
  <c r="K501" i="4"/>
  <c r="N501" i="4"/>
  <c r="J501" i="4"/>
  <c r="M501" i="4"/>
  <c r="AA501" i="4"/>
  <c r="C34" i="2"/>
  <c r="E559" i="4" s="1"/>
  <c r="B33" i="11"/>
  <c r="B60" i="24"/>
  <c r="C32" i="11"/>
  <c r="C60" i="24" l="1"/>
  <c r="Z553" i="4"/>
  <c r="AC553" i="4" s="1"/>
  <c r="Z552" i="4"/>
  <c r="AC552" i="4" s="1"/>
  <c r="I555" i="4"/>
  <c r="I552" i="4"/>
  <c r="Z554" i="4"/>
  <c r="AC554" i="4" s="1"/>
  <c r="Z555" i="4"/>
  <c r="AC555" i="4" s="1"/>
  <c r="X547" i="4"/>
  <c r="X550" i="4" s="1"/>
  <c r="I553" i="4"/>
  <c r="I554" i="4"/>
  <c r="A581" i="4"/>
  <c r="A583" i="4"/>
  <c r="A573" i="4"/>
  <c r="F559" i="4"/>
  <c r="A575" i="4"/>
  <c r="A564" i="4"/>
  <c r="A578" i="4"/>
  <c r="A574" i="4"/>
  <c r="A565" i="4"/>
  <c r="A577" i="4"/>
  <c r="A576" i="4"/>
  <c r="A567" i="4"/>
  <c r="A568" i="4"/>
  <c r="A582" i="4"/>
  <c r="A579" i="4"/>
  <c r="A563" i="4"/>
  <c r="A566" i="4"/>
  <c r="A580" i="4"/>
  <c r="M574" i="4"/>
  <c r="AA527" i="4"/>
  <c r="L527" i="4"/>
  <c r="K527" i="4"/>
  <c r="M527" i="4"/>
  <c r="N527" i="4"/>
  <c r="J527" i="4"/>
  <c r="AA526" i="4"/>
  <c r="K526" i="4"/>
  <c r="L526" i="4"/>
  <c r="N526" i="4"/>
  <c r="J526" i="4"/>
  <c r="M526" i="4"/>
  <c r="F33" i="11"/>
  <c r="M528" i="4"/>
  <c r="J528" i="4"/>
  <c r="AA528" i="4"/>
  <c r="N528" i="4"/>
  <c r="L528" i="4"/>
  <c r="K528" i="4"/>
  <c r="L525" i="4"/>
  <c r="M525" i="4"/>
  <c r="N525" i="4"/>
  <c r="AA525" i="4"/>
  <c r="J525" i="4"/>
  <c r="K525" i="4"/>
  <c r="C33" i="11"/>
  <c r="B34" i="11"/>
  <c r="B63" i="24"/>
  <c r="C35" i="2"/>
  <c r="E586" i="4" s="1"/>
  <c r="C63" i="24" l="1"/>
  <c r="M554" i="4"/>
  <c r="AA554" i="4"/>
  <c r="J554" i="4"/>
  <c r="L554" i="4"/>
  <c r="N554" i="4"/>
  <c r="K554" i="4"/>
  <c r="N552" i="4"/>
  <c r="M552" i="4"/>
  <c r="J552" i="4"/>
  <c r="AA552" i="4"/>
  <c r="L552" i="4"/>
  <c r="K552" i="4"/>
  <c r="D34" i="11"/>
  <c r="E34" i="11"/>
  <c r="F34" i="11"/>
  <c r="N553" i="4"/>
  <c r="J553" i="4"/>
  <c r="M553" i="4"/>
  <c r="K553" i="4"/>
  <c r="AA553" i="4"/>
  <c r="L553" i="4"/>
  <c r="L555" i="4"/>
  <c r="M555" i="4"/>
  <c r="AA555" i="4"/>
  <c r="K555" i="4"/>
  <c r="J555" i="4"/>
  <c r="N555" i="4"/>
  <c r="A608" i="4"/>
  <c r="F586" i="4"/>
  <c r="A590" i="4"/>
  <c r="A606" i="4"/>
  <c r="A592" i="4"/>
  <c r="A593" i="4"/>
  <c r="A609" i="4"/>
  <c r="A603" i="4"/>
  <c r="A600" i="4"/>
  <c r="A605" i="4"/>
  <c r="A602" i="4"/>
  <c r="A604" i="4"/>
  <c r="A595" i="4"/>
  <c r="A591" i="4"/>
  <c r="A610" i="4"/>
  <c r="A594" i="4"/>
  <c r="A601" i="4"/>
  <c r="M601" i="4"/>
  <c r="A607" i="4"/>
  <c r="Z582" i="4"/>
  <c r="AC582" i="4" s="1"/>
  <c r="I578" i="4"/>
  <c r="I580" i="4"/>
  <c r="Z581" i="4"/>
  <c r="AC581" i="4" s="1"/>
  <c r="I582" i="4"/>
  <c r="Z579" i="4"/>
  <c r="AC579" i="4" s="1"/>
  <c r="Z578" i="4"/>
  <c r="AC578" i="4" s="1"/>
  <c r="I579" i="4"/>
  <c r="X574" i="4"/>
  <c r="X577" i="4" s="1"/>
  <c r="X583" i="4" s="1"/>
  <c r="I577" i="4"/>
  <c r="I581" i="4"/>
  <c r="Z580" i="4"/>
  <c r="AC580" i="4" s="1"/>
  <c r="Z577" i="4"/>
  <c r="AC577" i="4" s="1"/>
  <c r="C34" i="11"/>
  <c r="C36" i="2"/>
  <c r="E613" i="4" s="1"/>
  <c r="B35" i="11"/>
  <c r="B64" i="24"/>
  <c r="C64" i="24" l="1"/>
  <c r="G34" i="11"/>
  <c r="F35" i="11"/>
  <c r="Z609" i="4"/>
  <c r="AC609" i="4" s="1"/>
  <c r="I608" i="4"/>
  <c r="I609" i="4"/>
  <c r="Z607" i="4"/>
  <c r="AC607" i="4" s="1"/>
  <c r="I607" i="4"/>
  <c r="I606" i="4"/>
  <c r="Z606" i="4"/>
  <c r="AC606" i="4" s="1"/>
  <c r="Z608" i="4"/>
  <c r="AC608" i="4" s="1"/>
  <c r="X601" i="4"/>
  <c r="X604" i="4" s="1"/>
  <c r="N577" i="4"/>
  <c r="L577" i="4"/>
  <c r="J577" i="4"/>
  <c r="K577" i="4"/>
  <c r="AA577" i="4"/>
  <c r="M577" i="4"/>
  <c r="N578" i="4"/>
  <c r="J578" i="4"/>
  <c r="M578" i="4"/>
  <c r="AA578" i="4"/>
  <c r="K578" i="4"/>
  <c r="L578" i="4"/>
  <c r="A635" i="4"/>
  <c r="A636" i="4"/>
  <c r="A622" i="4"/>
  <c r="F613" i="4"/>
  <c r="A620" i="4"/>
  <c r="M628" i="4"/>
  <c r="A621" i="4"/>
  <c r="A618" i="4"/>
  <c r="A637" i="4"/>
  <c r="A628" i="4"/>
  <c r="A634" i="4"/>
  <c r="A617" i="4"/>
  <c r="A633" i="4"/>
  <c r="A619" i="4"/>
  <c r="A627" i="4"/>
  <c r="A632" i="4"/>
  <c r="A629" i="4"/>
  <c r="A631" i="4"/>
  <c r="A630" i="4"/>
  <c r="N582" i="4"/>
  <c r="J582" i="4"/>
  <c r="AA582" i="4"/>
  <c r="L582" i="4"/>
  <c r="M582" i="4"/>
  <c r="K582" i="4"/>
  <c r="L579" i="4"/>
  <c r="M579" i="4"/>
  <c r="AA579" i="4"/>
  <c r="K579" i="4"/>
  <c r="N579" i="4"/>
  <c r="J579" i="4"/>
  <c r="K581" i="4"/>
  <c r="N581" i="4"/>
  <c r="J581" i="4"/>
  <c r="M581" i="4"/>
  <c r="L581" i="4"/>
  <c r="AA581" i="4"/>
  <c r="K580" i="4"/>
  <c r="AA580" i="4"/>
  <c r="N580" i="4"/>
  <c r="M580" i="4"/>
  <c r="J580" i="4"/>
  <c r="L580" i="4"/>
  <c r="C35" i="11"/>
  <c r="B67" i="24"/>
  <c r="B36" i="11"/>
  <c r="C37" i="2"/>
  <c r="E640" i="4" s="1"/>
  <c r="C67" i="24" l="1"/>
  <c r="AA609" i="4"/>
  <c r="N609" i="4"/>
  <c r="L609" i="4"/>
  <c r="K609" i="4"/>
  <c r="M609" i="4"/>
  <c r="J609" i="4"/>
  <c r="AA608" i="4"/>
  <c r="L608" i="4"/>
  <c r="K608" i="4"/>
  <c r="J608" i="4"/>
  <c r="M608" i="4"/>
  <c r="N608" i="4"/>
  <c r="F36" i="11"/>
  <c r="X628" i="4"/>
  <c r="X631" i="4" s="1"/>
  <c r="I634" i="4"/>
  <c r="Z635" i="4"/>
  <c r="AC635" i="4" s="1"/>
  <c r="I633" i="4"/>
  <c r="Z636" i="4"/>
  <c r="AC636" i="4" s="1"/>
  <c r="I636" i="4"/>
  <c r="Z634" i="4"/>
  <c r="AC634" i="4" s="1"/>
  <c r="Z633" i="4"/>
  <c r="AC633" i="4" s="1"/>
  <c r="I635" i="4"/>
  <c r="K607" i="4"/>
  <c r="J607" i="4"/>
  <c r="L607" i="4"/>
  <c r="AA607" i="4"/>
  <c r="M607" i="4"/>
  <c r="N607" i="4"/>
  <c r="A662" i="4"/>
  <c r="A661" i="4"/>
  <c r="A656" i="4"/>
  <c r="A648" i="4"/>
  <c r="A664" i="4"/>
  <c r="A658" i="4"/>
  <c r="A657" i="4"/>
  <c r="F640" i="4"/>
  <c r="A659" i="4"/>
  <c r="A646" i="4"/>
  <c r="A663" i="4"/>
  <c r="A645" i="4"/>
  <c r="A644" i="4"/>
  <c r="A655" i="4"/>
  <c r="M655" i="4"/>
  <c r="A647" i="4"/>
  <c r="A654" i="4"/>
  <c r="A660" i="4"/>
  <c r="A649" i="4"/>
  <c r="N583" i="4"/>
  <c r="M583" i="4"/>
  <c r="J606" i="4"/>
  <c r="L606" i="4"/>
  <c r="K606" i="4"/>
  <c r="N606" i="4"/>
  <c r="M606" i="4"/>
  <c r="AA606" i="4"/>
  <c r="C36" i="11"/>
  <c r="B70" i="24"/>
  <c r="Z496" i="4" s="1"/>
  <c r="AC496" i="4" s="1"/>
  <c r="B37" i="11"/>
  <c r="I550" i="4" l="1"/>
  <c r="J536" i="4" s="1"/>
  <c r="J537" i="4" s="1"/>
  <c r="Z551" i="4"/>
  <c r="AC551" i="4" s="1"/>
  <c r="I523" i="4"/>
  <c r="I631" i="4"/>
  <c r="Z524" i="4"/>
  <c r="AC524" i="4" s="1"/>
  <c r="I632" i="4"/>
  <c r="C70" i="24"/>
  <c r="I605" i="4"/>
  <c r="J590" i="4" s="1"/>
  <c r="I551" i="4"/>
  <c r="Z604" i="4"/>
  <c r="AC604" i="4" s="1"/>
  <c r="Z605" i="4"/>
  <c r="AC605" i="4" s="1"/>
  <c r="I524" i="4"/>
  <c r="J509" i="4" s="1"/>
  <c r="J510" i="4" s="1"/>
  <c r="I604" i="4"/>
  <c r="I496" i="4"/>
  <c r="Z523" i="4"/>
  <c r="AC523" i="4" s="1"/>
  <c r="Z631" i="4"/>
  <c r="AC631" i="4" s="1"/>
  <c r="Z632" i="4"/>
  <c r="AC632" i="4" s="1"/>
  <c r="Z550" i="4"/>
  <c r="AC550" i="4" s="1"/>
  <c r="F37" i="11"/>
  <c r="AA635" i="4"/>
  <c r="N635" i="4"/>
  <c r="L635" i="4"/>
  <c r="M635" i="4"/>
  <c r="J635" i="4"/>
  <c r="K635" i="4"/>
  <c r="J633" i="4"/>
  <c r="AA633" i="4"/>
  <c r="L633" i="4"/>
  <c r="K633" i="4"/>
  <c r="N633" i="4"/>
  <c r="M633" i="4"/>
  <c r="I661" i="4"/>
  <c r="Z661" i="4"/>
  <c r="AC661" i="4" s="1"/>
  <c r="Z663" i="4"/>
  <c r="AC663" i="4" s="1"/>
  <c r="Z660" i="4"/>
  <c r="AC660" i="4" s="1"/>
  <c r="Z659" i="4"/>
  <c r="AC659" i="4" s="1"/>
  <c r="X655" i="4"/>
  <c r="X658" i="4" s="1"/>
  <c r="I660" i="4"/>
  <c r="Z662" i="4"/>
  <c r="AC662" i="4" s="1"/>
  <c r="Z658" i="4"/>
  <c r="AC658" i="4" s="1"/>
  <c r="I659" i="4"/>
  <c r="J644" i="4" s="1"/>
  <c r="J645" i="4" s="1"/>
  <c r="J646" i="4" s="1"/>
  <c r="I663" i="4"/>
  <c r="I658" i="4"/>
  <c r="I662" i="4"/>
  <c r="L634" i="4"/>
  <c r="K634" i="4"/>
  <c r="AA634" i="4"/>
  <c r="N634" i="4"/>
  <c r="M634" i="4"/>
  <c r="J634" i="4"/>
  <c r="M636" i="4"/>
  <c r="N636" i="4"/>
  <c r="AA636" i="4"/>
  <c r="J636" i="4"/>
  <c r="L636" i="4"/>
  <c r="K636" i="4"/>
  <c r="C37" i="11"/>
  <c r="J632" i="4" l="1"/>
  <c r="J619" i="4"/>
  <c r="J618" i="4"/>
  <c r="L631" i="4" s="1"/>
  <c r="K631" i="4"/>
  <c r="J617" i="4"/>
  <c r="X529" i="4"/>
  <c r="K632" i="4"/>
  <c r="X637" i="4"/>
  <c r="J631" i="4"/>
  <c r="X556" i="4"/>
  <c r="X610" i="4"/>
  <c r="K496" i="4"/>
  <c r="J496" i="4"/>
  <c r="J604" i="4"/>
  <c r="AA604" i="4"/>
  <c r="L604" i="4"/>
  <c r="K604" i="4"/>
  <c r="K524" i="4"/>
  <c r="AA524" i="4"/>
  <c r="L524" i="4"/>
  <c r="J524" i="4"/>
  <c r="J523" i="4"/>
  <c r="L523" i="4"/>
  <c r="AA523" i="4"/>
  <c r="K523" i="4"/>
  <c r="AA551" i="4"/>
  <c r="L551" i="4"/>
  <c r="K551" i="4"/>
  <c r="J551" i="4"/>
  <c r="L550" i="4"/>
  <c r="J550" i="4"/>
  <c r="K550" i="4"/>
  <c r="AA550" i="4"/>
  <c r="AA605" i="4"/>
  <c r="L605" i="4"/>
  <c r="K605" i="4"/>
  <c r="J605" i="4"/>
  <c r="X664" i="4"/>
  <c r="J659" i="4"/>
  <c r="L659" i="4"/>
  <c r="K659" i="4"/>
  <c r="AA659" i="4"/>
  <c r="M663" i="4"/>
  <c r="AA663" i="4"/>
  <c r="L663" i="4"/>
  <c r="K663" i="4"/>
  <c r="N663" i="4"/>
  <c r="J663" i="4"/>
  <c r="J661" i="4"/>
  <c r="L661" i="4"/>
  <c r="AA661" i="4"/>
  <c r="K661" i="4"/>
  <c r="M661" i="4"/>
  <c r="N661" i="4"/>
  <c r="AA660" i="4"/>
  <c r="L660" i="4"/>
  <c r="N660" i="4"/>
  <c r="M660" i="4"/>
  <c r="J660" i="4"/>
  <c r="K660" i="4"/>
  <c r="N662" i="4"/>
  <c r="AA662" i="4"/>
  <c r="L662" i="4"/>
  <c r="J662" i="4"/>
  <c r="K662" i="4"/>
  <c r="M662" i="4"/>
  <c r="J658" i="4"/>
  <c r="AA658" i="4"/>
  <c r="L658" i="4"/>
  <c r="K658" i="4"/>
  <c r="AA631" i="4" l="1"/>
  <c r="AA632" i="4"/>
  <c r="M631" i="4"/>
  <c r="N631" i="4" s="1"/>
  <c r="L632" i="4"/>
  <c r="M632" i="4" s="1"/>
  <c r="N632" i="4" s="1"/>
  <c r="M658" i="4"/>
  <c r="N658" i="4" s="1"/>
  <c r="M659" i="4"/>
  <c r="N659" i="4" s="1"/>
  <c r="M605" i="4"/>
  <c r="N605" i="4" s="1"/>
  <c r="M551" i="4"/>
  <c r="N551" i="4" s="1"/>
  <c r="M604" i="4"/>
  <c r="N604" i="4" s="1"/>
  <c r="M550" i="4"/>
  <c r="N550" i="4" s="1"/>
  <c r="M523" i="4"/>
  <c r="N523" i="4" s="1"/>
  <c r="M524" i="4"/>
  <c r="N524" i="4" s="1"/>
  <c r="N637" i="4" l="1"/>
  <c r="E36" i="11" s="1"/>
  <c r="M637" i="4"/>
  <c r="D36" i="11" s="1"/>
  <c r="N664" i="4"/>
  <c r="E37" i="11" s="1"/>
  <c r="M664" i="4"/>
  <c r="D37" i="11" s="1"/>
  <c r="N556" i="4"/>
  <c r="E33" i="11" s="1"/>
  <c r="N610" i="4"/>
  <c r="E35" i="11" s="1"/>
  <c r="M556" i="4"/>
  <c r="D33" i="11" s="1"/>
  <c r="M610" i="4"/>
  <c r="D35" i="11" s="1"/>
  <c r="N529" i="4"/>
  <c r="E32" i="11" s="1"/>
  <c r="M529" i="4"/>
  <c r="D32" i="11" s="1"/>
  <c r="G36" i="11" l="1"/>
  <c r="G37" i="11"/>
  <c r="G35" i="11"/>
  <c r="G33" i="11"/>
  <c r="G32" i="11"/>
  <c r="Z388" i="4" l="1"/>
  <c r="AC388" i="4" s="1"/>
  <c r="I388" i="4"/>
  <c r="Z389" i="4"/>
  <c r="AC389" i="4" s="1"/>
  <c r="I389" i="4"/>
  <c r="J374" i="4" s="1"/>
  <c r="I444" i="4"/>
  <c r="Z443" i="4"/>
  <c r="AC443" i="4" s="1"/>
  <c r="I442" i="4"/>
  <c r="J428" i="4" s="1"/>
  <c r="J431" i="4" s="1"/>
  <c r="I443" i="4"/>
  <c r="J429" i="4" s="1"/>
  <c r="J432" i="4" s="1"/>
  <c r="Z470" i="4"/>
  <c r="AC470" i="4" s="1"/>
  <c r="Z442" i="4"/>
  <c r="AC442" i="4" s="1"/>
  <c r="Z497" i="4"/>
  <c r="AC497" i="4" s="1"/>
  <c r="X502" i="4" s="1"/>
  <c r="Z444" i="4"/>
  <c r="AC444" i="4" s="1"/>
  <c r="Z445" i="4"/>
  <c r="AC445" i="4" s="1"/>
  <c r="I497" i="4"/>
  <c r="J482" i="4" s="1"/>
  <c r="Z469" i="4"/>
  <c r="AC469" i="4" s="1"/>
  <c r="I470" i="4"/>
  <c r="J455" i="4" s="1"/>
  <c r="J456" i="4" s="1"/>
  <c r="I445" i="4"/>
  <c r="J430" i="4" s="1"/>
  <c r="J433" i="4" s="1"/>
  <c r="I469" i="4"/>
  <c r="Z64" i="4"/>
  <c r="AC64" i="4" s="1"/>
  <c r="Z36" i="4"/>
  <c r="AC36" i="4" s="1"/>
  <c r="Z145" i="4"/>
  <c r="AC145" i="4" s="1"/>
  <c r="I63" i="4"/>
  <c r="J47" i="4" s="1"/>
  <c r="J49" i="4" s="1"/>
  <c r="J51" i="4" s="1"/>
  <c r="J53" i="4" s="1"/>
  <c r="Z63" i="4"/>
  <c r="AC63" i="4" s="1"/>
  <c r="I64" i="4"/>
  <c r="J48" i="4" s="1"/>
  <c r="J50" i="4" s="1"/>
  <c r="J52" i="4" s="1"/>
  <c r="J54" i="4" s="1"/>
  <c r="I36" i="4"/>
  <c r="I91" i="4"/>
  <c r="Z90" i="4"/>
  <c r="AC90" i="4" s="1"/>
  <c r="I145" i="4"/>
  <c r="Z91" i="4"/>
  <c r="AC91" i="4" s="1"/>
  <c r="I90" i="4"/>
  <c r="J76" i="4" s="1"/>
  <c r="J77" i="4" s="1"/>
  <c r="J78" i="4" s="1"/>
  <c r="J79" i="4" s="1"/>
  <c r="I144" i="4"/>
  <c r="J130" i="4" s="1"/>
  <c r="J131" i="4" s="1"/>
  <c r="Z144" i="4"/>
  <c r="AC144" i="4" s="1"/>
  <c r="I252" i="4"/>
  <c r="Z253" i="4"/>
  <c r="AC253" i="4" s="1"/>
  <c r="I253" i="4"/>
  <c r="I309" i="4"/>
  <c r="I279" i="4"/>
  <c r="Z279" i="4"/>
  <c r="AC279" i="4" s="1"/>
  <c r="Z252" i="4"/>
  <c r="AC252" i="4" s="1"/>
  <c r="I306" i="4"/>
  <c r="I280" i="4"/>
  <c r="J265" i="4" s="1"/>
  <c r="J266" i="4" s="1"/>
  <c r="Z308" i="4"/>
  <c r="AC308" i="4" s="1"/>
  <c r="I307" i="4"/>
  <c r="J292" i="4" s="1"/>
  <c r="I310" i="4"/>
  <c r="Z280" i="4"/>
  <c r="AC280" i="4" s="1"/>
  <c r="Z309" i="4"/>
  <c r="AC309" i="4" s="1"/>
  <c r="Z306" i="4"/>
  <c r="AC306" i="4" s="1"/>
  <c r="Z310" i="4"/>
  <c r="AC310" i="4" s="1"/>
  <c r="I308" i="4"/>
  <c r="Z307" i="4"/>
  <c r="AC307" i="4" s="1"/>
  <c r="Z361" i="4"/>
  <c r="AC361" i="4" s="1"/>
  <c r="I361" i="4"/>
  <c r="J349" i="4" s="1"/>
  <c r="Z362" i="4"/>
  <c r="AC362" i="4" s="1"/>
  <c r="I362" i="4"/>
  <c r="J346" i="4" s="1"/>
  <c r="I34" i="4"/>
  <c r="I35" i="4"/>
  <c r="N35" i="4" s="1"/>
  <c r="Z34" i="4"/>
  <c r="AC34" i="4" s="1"/>
  <c r="Z35" i="4"/>
  <c r="AC35" i="4" s="1"/>
  <c r="X69" i="4" l="1"/>
  <c r="L496" i="4"/>
  <c r="M496" i="4" s="1"/>
  <c r="N496" i="4" s="1"/>
  <c r="AA496" i="4"/>
  <c r="J347" i="4"/>
  <c r="J348" i="4" s="1"/>
  <c r="J350" i="4"/>
  <c r="J351" i="4" s="1"/>
  <c r="J352" i="4" s="1"/>
  <c r="X394" i="4"/>
  <c r="X448" i="4"/>
  <c r="K470" i="4"/>
  <c r="AA470" i="4"/>
  <c r="L470" i="4"/>
  <c r="J470" i="4"/>
  <c r="L443" i="4"/>
  <c r="AA443" i="4"/>
  <c r="K443" i="4"/>
  <c r="J443" i="4"/>
  <c r="X475" i="4"/>
  <c r="AA442" i="4"/>
  <c r="J442" i="4"/>
  <c r="L442" i="4"/>
  <c r="K442" i="4"/>
  <c r="AA497" i="4"/>
  <c r="K497" i="4"/>
  <c r="L497" i="4"/>
  <c r="J497" i="4"/>
  <c r="K444" i="4"/>
  <c r="AA444" i="4"/>
  <c r="J444" i="4"/>
  <c r="L444" i="4"/>
  <c r="AA389" i="4"/>
  <c r="L389" i="4"/>
  <c r="J389" i="4"/>
  <c r="K389" i="4"/>
  <c r="J469" i="4"/>
  <c r="K469" i="4"/>
  <c r="AA469" i="4"/>
  <c r="L469" i="4"/>
  <c r="AA388" i="4"/>
  <c r="L388" i="4"/>
  <c r="J388" i="4"/>
  <c r="K388" i="4"/>
  <c r="J445" i="4"/>
  <c r="AA445" i="4"/>
  <c r="K445" i="4"/>
  <c r="L445" i="4"/>
  <c r="X150" i="4"/>
  <c r="X312" i="4"/>
  <c r="X258" i="4"/>
  <c r="X367" i="4"/>
  <c r="X96" i="4"/>
  <c r="L252" i="4"/>
  <c r="J252" i="4"/>
  <c r="AA252" i="4"/>
  <c r="K252" i="4"/>
  <c r="AA91" i="4"/>
  <c r="L91" i="4"/>
  <c r="K91" i="4"/>
  <c r="J91" i="4"/>
  <c r="L36" i="4"/>
  <c r="N36" i="4"/>
  <c r="AA36" i="4"/>
  <c r="J36" i="4"/>
  <c r="AA306" i="4"/>
  <c r="J306" i="4"/>
  <c r="K306" i="4"/>
  <c r="L306" i="4"/>
  <c r="J64" i="4"/>
  <c r="AA64" i="4"/>
  <c r="K64" i="4"/>
  <c r="L64" i="4"/>
  <c r="L308" i="4"/>
  <c r="M308" i="4"/>
  <c r="N308" i="4"/>
  <c r="K308" i="4"/>
  <c r="J308" i="4"/>
  <c r="AA308" i="4"/>
  <c r="J144" i="4"/>
  <c r="AA144" i="4"/>
  <c r="L144" i="4"/>
  <c r="K144" i="4"/>
  <c r="K362" i="4"/>
  <c r="L362" i="4"/>
  <c r="J362" i="4"/>
  <c r="AA362" i="4"/>
  <c r="X285" i="4"/>
  <c r="L90" i="4"/>
  <c r="J90" i="4"/>
  <c r="K90" i="4"/>
  <c r="AA90" i="4"/>
  <c r="AA63" i="4"/>
  <c r="L63" i="4"/>
  <c r="J63" i="4"/>
  <c r="K63" i="4"/>
  <c r="L279" i="4"/>
  <c r="K279" i="4"/>
  <c r="AA279" i="4"/>
  <c r="J279" i="4"/>
  <c r="AA280" i="4"/>
  <c r="J280" i="4"/>
  <c r="L280" i="4"/>
  <c r="K280" i="4"/>
  <c r="J361" i="4"/>
  <c r="K361" i="4"/>
  <c r="L361" i="4"/>
  <c r="J310" i="4"/>
  <c r="AA310" i="4"/>
  <c r="M310" i="4"/>
  <c r="N310" i="4"/>
  <c r="K310" i="4"/>
  <c r="L310" i="4"/>
  <c r="L309" i="4"/>
  <c r="AA309" i="4"/>
  <c r="K309" i="4"/>
  <c r="M309" i="4"/>
  <c r="N309" i="4"/>
  <c r="J309" i="4"/>
  <c r="J145" i="4"/>
  <c r="L145" i="4"/>
  <c r="K145" i="4"/>
  <c r="AA145" i="4"/>
  <c r="K307" i="4"/>
  <c r="AA307" i="4"/>
  <c r="L307" i="4"/>
  <c r="J307" i="4"/>
  <c r="J253" i="4"/>
  <c r="AA253" i="4"/>
  <c r="L253" i="4"/>
  <c r="K253" i="4"/>
  <c r="AA34" i="4"/>
  <c r="N34" i="4"/>
  <c r="L35" i="4"/>
  <c r="J35" i="4"/>
  <c r="L34" i="4"/>
  <c r="J34" i="4"/>
  <c r="AA35" i="4"/>
  <c r="AA361" i="4" l="1"/>
  <c r="M497" i="4"/>
  <c r="N497" i="4" s="1"/>
  <c r="N502" i="4" s="1"/>
  <c r="E31" i="11" s="1"/>
  <c r="M442" i="4"/>
  <c r="M469" i="4"/>
  <c r="N469" i="4" s="1"/>
  <c r="M443" i="4"/>
  <c r="N443" i="4" s="1"/>
  <c r="M444" i="4"/>
  <c r="N444" i="4" s="1"/>
  <c r="M470" i="4"/>
  <c r="N470" i="4" s="1"/>
  <c r="M445" i="4"/>
  <c r="N445" i="4" s="1"/>
  <c r="M362" i="4"/>
  <c r="N362" i="4" s="1"/>
  <c r="M252" i="4"/>
  <c r="N252" i="4" s="1"/>
  <c r="M389" i="4"/>
  <c r="N389" i="4" s="1"/>
  <c r="M388" i="4"/>
  <c r="N388" i="4" s="1"/>
  <c r="M361" i="4"/>
  <c r="N361" i="4" s="1"/>
  <c r="M307" i="4"/>
  <c r="N307" i="4" s="1"/>
  <c r="M306" i="4"/>
  <c r="N306" i="4" s="1"/>
  <c r="M280" i="4"/>
  <c r="N280" i="4" s="1"/>
  <c r="M279" i="4"/>
  <c r="N279" i="4" s="1"/>
  <c r="M253" i="4"/>
  <c r="N253" i="4" s="1"/>
  <c r="M145" i="4"/>
  <c r="N145" i="4" s="1"/>
  <c r="M144" i="4"/>
  <c r="N144" i="4" s="1"/>
  <c r="M64" i="4"/>
  <c r="N64" i="4" s="1"/>
  <c r="M91" i="4"/>
  <c r="N91" i="4" s="1"/>
  <c r="M90" i="4"/>
  <c r="N90" i="4" s="1"/>
  <c r="M63" i="4"/>
  <c r="N63" i="4" s="1"/>
  <c r="M40" i="4"/>
  <c r="N40" i="4"/>
  <c r="M502" i="4" l="1"/>
  <c r="D31" i="11" s="1"/>
  <c r="G31" i="11" s="1"/>
  <c r="N69" i="4"/>
  <c r="E15" i="11" s="1"/>
  <c r="N150" i="4"/>
  <c r="E18" i="11" s="1"/>
  <c r="N394" i="4"/>
  <c r="E27" i="11" s="1"/>
  <c r="N448" i="4"/>
  <c r="E29" i="11" s="1"/>
  <c r="N475" i="4"/>
  <c r="E30" i="11" s="1"/>
  <c r="M475" i="4"/>
  <c r="D30" i="11" s="1"/>
  <c r="N96" i="4"/>
  <c r="E16" i="11" s="1"/>
  <c r="N312" i="4"/>
  <c r="E24" i="11" s="1"/>
  <c r="M394" i="4"/>
  <c r="D27" i="11" s="1"/>
  <c r="M448" i="4"/>
  <c r="D29" i="11" s="1"/>
  <c r="N285" i="4"/>
  <c r="E23" i="11" s="1"/>
  <c r="N367" i="4"/>
  <c r="E26" i="11" s="1"/>
  <c r="M69" i="4"/>
  <c r="D15" i="11" s="1"/>
  <c r="M150" i="4"/>
  <c r="D18" i="11" s="1"/>
  <c r="M367" i="4"/>
  <c r="D26" i="11" s="1"/>
  <c r="M312" i="4"/>
  <c r="D24" i="11" s="1"/>
  <c r="M285" i="4"/>
  <c r="D23" i="11" s="1"/>
  <c r="N258" i="4"/>
  <c r="E22" i="11" s="1"/>
  <c r="M258" i="4"/>
  <c r="D22" i="11" s="1"/>
  <c r="M96" i="4"/>
  <c r="D16" i="11" s="1"/>
  <c r="G32" i="4"/>
  <c r="K34" i="4" s="1"/>
  <c r="T27" i="4"/>
  <c r="G15" i="11" l="1"/>
  <c r="G27" i="11"/>
  <c r="G18" i="11"/>
  <c r="G29" i="11"/>
  <c r="G30" i="11"/>
  <c r="G24" i="11"/>
  <c r="G16" i="11"/>
  <c r="G23" i="11"/>
  <c r="G26" i="11"/>
  <c r="G22" i="11"/>
  <c r="K36" i="4"/>
  <c r="M36" i="4" s="1"/>
  <c r="M34" i="4"/>
  <c r="K35" i="4"/>
  <c r="M35" i="4" s="1"/>
  <c r="E36" i="4"/>
  <c r="F36" i="4" s="1"/>
  <c r="X37" i="4"/>
  <c r="G39" i="4"/>
  <c r="F14" i="11" s="1"/>
  <c r="X40" i="4" l="1"/>
  <c r="G36" i="4"/>
  <c r="D14" i="11" s="1"/>
  <c r="E14" i="11"/>
  <c r="G14"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AF17" authorId="0" shapeId="0" xr:uid="{00000000-0006-0000-0300-000001000000}">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 ref="AF18" authorId="0" shapeId="0" xr:uid="{00000000-0006-0000-0300-000002000000}">
      <text>
        <r>
          <rPr>
            <b/>
            <sz val="9"/>
            <color indexed="81"/>
            <rFont val="Tahoma"/>
            <family val="2"/>
          </rPr>
          <t>INDICAR EL PORCENTAJE DE PO REQUERIDO EN UN CONTRATO, CONFORME A LAS REGLAS ESTABLECIDAS EN EL PLIEGO DE CONDICIONES Y/O MATRIZ 1 (POR DEFECTO SE DEJA 50%).</t>
        </r>
        <r>
          <rPr>
            <sz val="9"/>
            <color indexed="81"/>
            <rFont val="Tahoma"/>
            <family val="2"/>
          </rPr>
          <t xml:space="preserve">
</t>
        </r>
      </text>
    </comment>
  </commentList>
</comments>
</file>

<file path=xl/sharedStrings.xml><?xml version="1.0" encoding="utf-8"?>
<sst xmlns="http://schemas.openxmlformats.org/spreadsheetml/2006/main" count="2290" uniqueCount="437">
  <si>
    <t>% DE PARTICIPACION</t>
  </si>
  <si>
    <t>PROPONENTE:</t>
  </si>
  <si>
    <t>Integrante que aporta experiencia</t>
  </si>
  <si>
    <t>VFA</t>
  </si>
  <si>
    <t>Objeto</t>
  </si>
  <si>
    <t>PERIODO</t>
  </si>
  <si>
    <t>SMLM</t>
  </si>
  <si>
    <t>NUMERO</t>
  </si>
  <si>
    <t>PROPUESTA No.</t>
  </si>
  <si>
    <t>PLAZO</t>
  </si>
  <si>
    <t>No.</t>
  </si>
  <si>
    <t>PROPONENTE</t>
  </si>
  <si>
    <t>INSTITUTO NACIONAL DE VÍAS</t>
  </si>
  <si>
    <t>DIRECCIÓN GENERAL</t>
  </si>
  <si>
    <t>DEPENDENCIAS</t>
  </si>
  <si>
    <t>I,C,UT</t>
  </si>
  <si>
    <t>INTEGRANTE</t>
  </si>
  <si>
    <t xml:space="preserve">NÚMERO DE INTEGRANTES DEL CONSORCIO O UNIÓN TEMPORAL = </t>
  </si>
  <si>
    <t>OBSERVACIONES A LOS CONTRATOS</t>
  </si>
  <si>
    <t>CUADRO No. 1</t>
  </si>
  <si>
    <t>CUADRO No. 3</t>
  </si>
  <si>
    <t>ID</t>
  </si>
  <si>
    <t>PROPUESTA NÚMERO</t>
  </si>
  <si>
    <t>OBSERVACIONES GENERALES</t>
  </si>
  <si>
    <t>DESCRIPCIÓN TRAMO/MODULO</t>
  </si>
  <si>
    <t>FECHA ACTUAL</t>
  </si>
  <si>
    <t>SALARIO ACTUAL</t>
  </si>
  <si>
    <t>Fecha de Iniciacion
(DD-MM-AA)</t>
  </si>
  <si>
    <t>Fecha de Terminacion
(DD-MM-AA)</t>
  </si>
  <si>
    <t>Tiempo Total Empleado
(Meses)</t>
  </si>
  <si>
    <t>VÁLIDO</t>
  </si>
  <si>
    <t>NO VÁLIDO</t>
  </si>
  <si>
    <t>VALIDACIÓN</t>
  </si>
  <si>
    <t>CUMPLIMIENTO</t>
  </si>
  <si>
    <t>CUMPLE</t>
  </si>
  <si>
    <t>NO CUMPLE</t>
  </si>
  <si>
    <t>COL pesos $</t>
  </si>
  <si>
    <t>SMMLV</t>
  </si>
  <si>
    <t>INCREMENTO</t>
  </si>
  <si>
    <t>meses</t>
  </si>
  <si>
    <t>i</t>
  </si>
  <si>
    <t>PRESUPUESTO OFICIAL</t>
  </si>
  <si>
    <t>SUMATORIA =</t>
  </si>
  <si>
    <t>CUENTA</t>
  </si>
  <si>
    <t>VTE</t>
  </si>
  <si>
    <t>EVALUACIÓN CRITERIOS DE EXPERIENCIA</t>
  </si>
  <si>
    <t>TOTAL</t>
  </si>
  <si>
    <t>Estado</t>
  </si>
  <si>
    <t>Entidad contratante</t>
  </si>
  <si>
    <t>SINO</t>
  </si>
  <si>
    <t>SI</t>
  </si>
  <si>
    <t>NO</t>
  </si>
  <si>
    <t>NA</t>
  </si>
  <si>
    <t>PROPONENTE/INTEGRANTE</t>
  </si>
  <si>
    <t>(Razon social/nombre)</t>
  </si>
  <si>
    <t>CUADRO No. 2</t>
  </si>
  <si>
    <t>Porcentaje de Participación</t>
  </si>
  <si>
    <t>%</t>
  </si>
  <si>
    <t>Fecha mínima experiencia</t>
  </si>
  <si>
    <t>Fecha de cierre</t>
  </si>
  <si>
    <t>DIRECCIÓN DE CONTRATACIÓN</t>
  </si>
  <si>
    <t>DIRECCIÓN OPERATIVA - DIRECCIONES TERRITORIALES</t>
  </si>
  <si>
    <t>DIRECCIÓN OPERATIVA - GERENCIA DE GRANDES PROYECTOS</t>
  </si>
  <si>
    <t>DIRECCIÓN OPERATIVA - GRUPO PLAN 2500</t>
  </si>
  <si>
    <t>DIRECCIÓN OPERATIVA - SUBDIRECCIÓN RED NACIONAL DE CARRETERAS</t>
  </si>
  <si>
    <t>DIRECCIÓN OPERATIVA - SUBDIRECCIÓN RED TERCIARIA Y FERREA</t>
  </si>
  <si>
    <t>SECRETARIA GENERAL - SUBDIRECCIÓN ADMINISTRATIVA</t>
  </si>
  <si>
    <t>SECRETARIA GENERAL - SUBDIRECCIÓN FINANCIERA</t>
  </si>
  <si>
    <t>DIRECCIÓN OPERATIVA - SUBDIRECCIÓN MARÍTIMA Y FLUVIAL</t>
  </si>
  <si>
    <t>DIRECCIÓN TÉCNICA - SUBDIRECCIÓN DE ESTUDIOS DE INNOVACIÓN</t>
  </si>
  <si>
    <t>DIRECCIÓN TÉCNICA - SUBDIRECCIÓN DE MEDIO AMBIENTE Y GESTIÓN SOCIAL</t>
  </si>
  <si>
    <t>DIRECCIÓN TÉCNICA - SUBDIRECCIÓN DE PREVENCIÓN Y ATENCIÓN DE EMERGENCIAS</t>
  </si>
  <si>
    <t>DIRECCIÓN TÉCNICA</t>
  </si>
  <si>
    <t>DIRECCIÓN OPERATIVA</t>
  </si>
  <si>
    <t>DIRECCIÓN OPERATIVA - GRUPO TÚNEL DE LA LÍNEA</t>
  </si>
  <si>
    <t>CONFORMACIÓN DE LOS PROPONENTES</t>
  </si>
  <si>
    <t>¿EL CONTRATO SE ENCUENTRA INSCRITO EN EL RUP? (SI/NO)</t>
  </si>
  <si>
    <t>VFA POR CONTRATO
(SMMLV)</t>
  </si>
  <si>
    <t>VERIFICACIÓN RUP</t>
  </si>
  <si>
    <t>VERIFICAR</t>
  </si>
  <si>
    <t>NO APLICA</t>
  </si>
  <si>
    <t>VALOR TOTAL EJECUTADO DEL CONTRATO AFECTADO POR EL % DE PARTICIPACIÓN</t>
  </si>
  <si>
    <t>PRESUPUESTO OFICIAL DEL PROCESO</t>
  </si>
  <si>
    <t>MÓDULO</t>
  </si>
  <si>
    <t>NOMBRE O RAZÓN SOCIAL</t>
  </si>
  <si>
    <t>NÚMERO DE INTEGRANTES</t>
  </si>
  <si>
    <t>NÚMERO DE PROPUESTA</t>
  </si>
  <si>
    <t>Fecha de cierre del proceso:</t>
  </si>
  <si>
    <t>No. de orden</t>
  </si>
  <si>
    <t>Pais de Ejecución</t>
  </si>
  <si>
    <t>Participación
(%)</t>
  </si>
  <si>
    <t>PAÍS DE EJECUCIÓN</t>
  </si>
  <si>
    <t>EXPERIENCIA ACEPTABLE</t>
  </si>
  <si>
    <t>Formas de Ejecución</t>
  </si>
  <si>
    <t>TIPO DE VÍA</t>
  </si>
  <si>
    <t>N.A.</t>
  </si>
  <si>
    <t>ANCHO DE CALZADA</t>
  </si>
  <si>
    <t>REQUISITO PROPONENTE SINGULAR O PLURAL</t>
  </si>
  <si>
    <t>VALOR TOTAL EJECUTADO</t>
  </si>
  <si>
    <t xml:space="preserve">CONDICIÓN </t>
  </si>
  <si>
    <t>REQUISITO PARA EL PROPONENTE PLURAL</t>
  </si>
  <si>
    <t>VALOR TOTAL EJECUTADO DEL CONTRATO
(SMMLV)</t>
  </si>
  <si>
    <t>OBSERVACIONES DEL EVALUADOR A LOS CONTRATOS</t>
  </si>
  <si>
    <t>Validación Experiencia General
(SI/NO)</t>
  </si>
  <si>
    <t>No. de Consecutivo del Contrato en el RUP</t>
  </si>
  <si>
    <t>¿EL CONTRATO SE ENCUENTRA CLASIFICADO EN ALGUNA DE LAS CLASIFICACIONES ESTABLECIDAS EN EL PLIEGO? (SI/NO)</t>
  </si>
  <si>
    <t>CONDICIÓN ACREDITACIÓN REQUERIMIENTOS ADICIONALES DE EXPERIENCIA SOLICITADOS EN EL PLIEGO DE CONDICIONES</t>
  </si>
  <si>
    <t>CONDICIONES ADICIONALES CUMPLIMIENTO DE EXPERIENCIA</t>
  </si>
  <si>
    <t>¿EL PROPONENTE ACREDITA LOS REQUERIMIENTOS ADICIONALES DE EXPERIENCIA SOLICITADOS EN EL PLIEGO DE CONDICIONES?</t>
  </si>
  <si>
    <t>PRIMARIA</t>
  </si>
  <si>
    <t>SECUNDARIA</t>
  </si>
  <si>
    <t>URBANA</t>
  </si>
  <si>
    <t>PISTA DE AEROPUERTO</t>
  </si>
  <si>
    <t>TERCIARIA</t>
  </si>
  <si>
    <t>EXTRANJERO</t>
  </si>
  <si>
    <t>COLOMBIA</t>
  </si>
  <si>
    <t>VERIFICACIÓN DE NOMBRES</t>
  </si>
  <si>
    <t>¿Individual o EP?</t>
  </si>
  <si>
    <t>¿Aplica Verificación Exp?</t>
  </si>
  <si>
    <t>Integrante</t>
  </si>
  <si>
    <t>VTE Aportado</t>
  </si>
  <si>
    <t>RECHAZO</t>
  </si>
  <si>
    <t>¿En caso de EP, cumple?</t>
  </si>
  <si>
    <t>¿TIPO DE PAVIMENTO ACREDITADO DENTRO DEL CONTRATO?
(ASFÁLTICO / HIDRÁULICO / NO ACREDITA / NO APLICA)</t>
  </si>
  <si>
    <t>TIPO PAVIMENTO</t>
  </si>
  <si>
    <t>ASFÁLTICO</t>
  </si>
  <si>
    <t>HIDRÁULICO</t>
  </si>
  <si>
    <t>NO ACREDITA</t>
  </si>
  <si>
    <t>LISTADO DE PROPONENTES</t>
  </si>
  <si>
    <t>VERIFICACIÓN DEL CUMPLIMIENTO DE LA EXPERIENCIA SOLICITADA EN EL PLIEGO DE CONDICIONES</t>
  </si>
  <si>
    <t>Contrato</t>
  </si>
  <si>
    <t>NÚMERO DE CONTRATOS VÁLIDOS APORTADOS POR EL PROPONENTE</t>
  </si>
  <si>
    <t>% DE PO A TENER EN CUENTA PARA LA EVALUACIÓN</t>
  </si>
  <si>
    <t>% MÍNIMO DE PO A CERTIFICAR</t>
  </si>
  <si>
    <t>VALOR EN SMMLV DEL PROPONENTE</t>
  </si>
  <si>
    <t>REQUERIDO</t>
  </si>
  <si>
    <t>ACREDITADO</t>
  </si>
  <si>
    <t>Porcentaje requerido respecto al PO</t>
  </si>
  <si>
    <t>CONDICIONES PARA EL CUMPLIMIENTO DE LA EXPERIENCIA REQUERIDA</t>
  </si>
  <si>
    <t>CONDICIÓN CUMPLIMIENTO PARA EL CONSORCIO O UNIÓN TEMPORAL (POR CONCEPTO DE PO)</t>
  </si>
  <si>
    <t>VALOR REQUERIDO DE PO</t>
  </si>
  <si>
    <t>VALOR APORTADO</t>
  </si>
  <si>
    <t>CONDICIÓN CUMPLIMIENTO PO</t>
  </si>
  <si>
    <t>¿UNO SOLO DE LOS INTEGRANTES CUMPLE CON ACREDITAR EL 50% DE LA EXPERIENCIA?</t>
  </si>
  <si>
    <t>Tipo de Vía Acreditada
(SI APLICA)</t>
  </si>
  <si>
    <t>40% * EXPERIENCIA</t>
  </si>
  <si>
    <t>¿EL CONTRATO CUMPLE CON LOS REQUERIMIENTOS ADICIONALES DE EXPERIENCIA RELACIONADA EN LA MATRIZ 1 - EXPERIENCIA? (SI EL CONTRATO NO ES VÁLIDO, INDICAR "NO", EN CASO CONTRARIO, INDICAR "SI")
(SI / NO)</t>
  </si>
  <si>
    <t>CONDICIÓN ACREDITACIÓN DEL 50% DE LA EXPERIENCIA POR PARTE DE UNO DE LOS INTEGRANTES EN CASO DE ESTRUCTURA PLURAL</t>
  </si>
  <si>
    <t>¿Cumple Numeral 4.4? (Verificar con el Abogado(a), y en caso que se acredite señalar con "X" el integrante que cumple el requerimiento)</t>
  </si>
  <si>
    <t>¿Cumple con el 40% del VTE Requerido?</t>
  </si>
  <si>
    <t>PORCENTAJE REQUERIDO DE PO EN UN CONTRATO (VER PLIEGO Y/O MATRIZ 1)</t>
  </si>
  <si>
    <t>No. DE CONTRATOS A ACREDITAR EXPERIENCIA ESPECÍFICA (VER PLIEGO Y/O MATRIZ 1)</t>
  </si>
  <si>
    <t>LP-DO-SRN-048-2019</t>
  </si>
  <si>
    <t>MANTENIMIENTO DE LA CARRETERA PUERTO RICO - MINA BLANCA, RUTA 65, TRAMO 6504, DEPARTAMENTO DE CAQUETÁ</t>
  </si>
  <si>
    <t>1.5</t>
  </si>
  <si>
    <t>CONSTRUCTORA ANCLA LTDA</t>
  </si>
  <si>
    <t>CONSORCIO EL CEDRO</t>
  </si>
  <si>
    <t>CONSORCIO 65 RUTA VIAL</t>
  </si>
  <si>
    <t>JUAN CARLOS BRICEÑO CHAVES</t>
  </si>
  <si>
    <t>CONSORCIO JAM.</t>
  </si>
  <si>
    <t>UNIÓN TEMPORAL VÍAS PUERTO RICO C&amp;E</t>
  </si>
  <si>
    <t>CONSULTORÍA Y
CONSTRUCCIÓN S.A.S. – CON &amp; CON</t>
  </si>
  <si>
    <t>UNIÓN TEMPORAL VÍAS COLOMBIA</t>
  </si>
  <si>
    <t>UNIÓN TEMPORAL VÍAS COLOMBIA 1</t>
  </si>
  <si>
    <t>DP Ingenieros</t>
  </si>
  <si>
    <t>CONSORCIO SAN JUDAS TADEO</t>
  </si>
  <si>
    <t>CONSORCIO PUERTO RICO</t>
  </si>
  <si>
    <t>CUMBRE INGENIERÍA S.A.S.</t>
  </si>
  <si>
    <t>ISAÍAS VARGAS GONZÁLEZ</t>
  </si>
  <si>
    <t>PROTECO INGENIERÍA S.A.S</t>
  </si>
  <si>
    <t>UNIÓN TEMPORAL CAQUETÁ 2019</t>
  </si>
  <si>
    <t>CONSORCIO INVIAS 48 CAQUETÁ DM</t>
  </si>
  <si>
    <t>CONSORCIO MINA BLANCA 11</t>
  </si>
  <si>
    <t>CONSORCIO VIAS JUVER</t>
  </si>
  <si>
    <t>CONSORCIO MINA BLANCA</t>
  </si>
  <si>
    <t xml:space="preserve">CIPAVI LTDA </t>
  </si>
  <si>
    <t>UNION TEMPORAL VIAL PUERTO RICO 2019.</t>
  </si>
  <si>
    <t>CONSORCIO CAQUETÁ S&amp;S.</t>
  </si>
  <si>
    <t>CONSORCIO VIAL 2019</t>
  </si>
  <si>
    <t xml:space="preserve">RSM CIA SAS </t>
  </si>
  <si>
    <t xml:space="preserve">JAIRO LUIS SOCARRAS BONILLA </t>
  </si>
  <si>
    <t>PROYECTOS DE INGENIERÍA Y CONSTRUCCIONES AR SAS</t>
  </si>
  <si>
    <t>SS CONSTRUCTORES SAS</t>
  </si>
  <si>
    <t>IC INFRAESTRUCTURA SAS</t>
  </si>
  <si>
    <t>DOCTOR CONSTRUCTOR S.A.S.</t>
  </si>
  <si>
    <t>MANUEL ANTONIO MUÑOZ LEDEZMA</t>
  </si>
  <si>
    <t>DELGADO CONTRERAS HOLDING S.A.S</t>
  </si>
  <si>
    <t>OSCAR HERNANDO ANDRADE LARA</t>
  </si>
  <si>
    <t>CV&amp;S CONSTRUCTORES S.A.S.</t>
  </si>
  <si>
    <t>GRUPO EMPRESARIAL EDIFICAR ZOMAC S.A.S.</t>
  </si>
  <si>
    <t xml:space="preserve">varego sas </t>
  </si>
  <si>
    <t xml:space="preserve">equipos y construcciones varego SAS </t>
  </si>
  <si>
    <t>CIDTEC S.A.S</t>
  </si>
  <si>
    <t xml:space="preserve">LUIS GUILLERMO RUIZ MACHADO </t>
  </si>
  <si>
    <t>JORGE SERRANO</t>
  </si>
  <si>
    <t>CLAUDIA MARÍA FERRERO SERRANO</t>
  </si>
  <si>
    <t>ANDRÉS JULIÁN SERRANO CORZO</t>
  </si>
  <si>
    <t>MEDINA &amp; RIVERA INGENIEROS ASOCIADOS SAS</t>
  </si>
  <si>
    <t>JCC PROYECTOS INTEGRALES S.A.S.</t>
  </si>
  <si>
    <t>ISAVEMA S.A.S</t>
  </si>
  <si>
    <t>INGREPRON S.A.S.</t>
  </si>
  <si>
    <t>INFRAESTRUCTURA CAR Y CIA SAS</t>
  </si>
  <si>
    <t>GRUPO TITANIUM SAS</t>
  </si>
  <si>
    <t>MR GROUP COL S.A.S</t>
  </si>
  <si>
    <t>Alcaldia Municipal Valle del Guamuez</t>
  </si>
  <si>
    <t>SPOPM-CO-MYC-058 DEL 14 DE FEBRERO DE 2011</t>
  </si>
  <si>
    <t>PAVIMENTO DE VlAS EN EL MUNICIPIO VALLE DEL GUAMUEZ" - "PAVIMENTO DE LAS VlAS AVENIDA SAN FRANCISCO ENTRE CALLE 7 Y VIAL AL CAIRO, BAHIA DE PARQUEO DEL TERMINAL DE TRANSPORTE SOBRE LA CALLE 9, VlAS INTERNAS DEL BARRIO EL CONDOMINIO DE LA CABECERA MUNICIPAL DEL MUNICIPIO VALLE DEL GUAMUEZ DEPARTAMENTO DEL PUTUMAYO</t>
  </si>
  <si>
    <t>UT</t>
  </si>
  <si>
    <t>MUNICIPIO DE VILLAGARZON</t>
  </si>
  <si>
    <t>0270 DEL 19-11-2015</t>
  </si>
  <si>
    <t>CONSTRUCCION     DE    PAVIMENTO     EN     CONCRETO HIDRAHULICO  Y  ALCANTARILLADO  PLUVIAL,  SOBRE LA  CARRERA 8  Y 9  ENTRE CALLE 6,8 Y 10  Y CALLE 8 ENTRE  CARRERA  8  Y  10   VILLAGARZON,  PUTUMAYO, AMAZONIA</t>
  </si>
  <si>
    <t>secretaria de
infraestructura y
valorizacion -
MUNICIPIO DE CALI</t>
  </si>
  <si>
    <t>SIV-
4151.1.14.07.176</t>
  </si>
  <si>
    <t>RECUPERACION VIAL EN LAS COMUNAS 5,6,7 Y 21 DEL MUNICIPIO DE SANITIAGO DE CALI - PAVIMENTACION COMUNAS VARIAS GRUPO 2</t>
  </si>
  <si>
    <t>SIV-
4151.1.14.07.177</t>
  </si>
  <si>
    <t>RECUPERACION VIAL EN LAS COMUNAS 8,9,10 y 12 DEL MUNICIPIO DE SANITIAGO DE CALI - PAVIMENTACION COMUNAS VARIAS GRUPO 3</t>
  </si>
  <si>
    <t>SIV-
4151.1.14.07.178</t>
  </si>
  <si>
    <t>RECUPERACION VIAL EN LAS COMUNAS 13,14 Y 15 DEL MUNICIPIO DE SANITIAGO DE CALI - PAVIMENTACION COMUNAS VARIAS GRUPO 4</t>
  </si>
  <si>
    <t>ALCALDIA DE CALI</t>
  </si>
  <si>
    <t>4151.0.26.1.963 DE 2016</t>
  </si>
  <si>
    <t xml:space="preserve"> PAVIMENTACION DE VIAS EN VARIAS COMUNAS DEL MUNICIPIO DE SANTIAGO DE CALI</t>
  </si>
  <si>
    <t>c</t>
  </si>
  <si>
    <t>C</t>
  </si>
  <si>
    <t>INVIAS</t>
  </si>
  <si>
    <t>1074-18</t>
  </si>
  <si>
    <t>2979-2007</t>
  </si>
  <si>
    <t>MANTENIMIENTODELACARRETERAPOPAYANGUADUALEJOMEDIANTEREPARACIONDEPAVIMENTORIGIDO EN LA CABECERA MUNICIPAL DE INZA CAUCA</t>
  </si>
  <si>
    <t>I</t>
  </si>
  <si>
    <t>560-2.012</t>
  </si>
  <si>
    <t>2288-2.009</t>
  </si>
  <si>
    <t>INSTITUTO DE INFRAESTRUCTURA Y CONCESIONES DE CUNDINAMARCA- ICCU</t>
  </si>
  <si>
    <t>434-2015</t>
  </si>
  <si>
    <t>033-2014</t>
  </si>
  <si>
    <t>CONTRATAR MEDIANTE EL SISTEMA DE PRECIOS UNITARIOS FIJOS SIN FÓRMULA DE REAJUSTE, EL MANTENIMIENTO Y PAVIMENTACIÓN DE LA VÍA UBATÉ - CUCUNUBÁ DEL DEPARTAMENTO DE CUNDINAMARCA</t>
  </si>
  <si>
    <t>577-2012</t>
  </si>
  <si>
    <t>MEJORAMIENTO Y MANTENIMIENTO DE LA CARRETERA BOGOTÁ – UBATÉ, RUTA 45A04, SECTOR PASO NACIONAL POR CAJICÁ, DEL PR11+0700 AL PR16+0100.
DEPARTAMENTO DE CUNDINAMARCA.</t>
  </si>
  <si>
    <t>500-2010</t>
  </si>
  <si>
    <t>578-2012</t>
  </si>
  <si>
    <t>MEJORAMIENTO Y MANTENIMIENTO DE LA CARRETERA PASO NACIONAL POR ZIPAQUIRÁ, RUTA 45A04,  SECTOR PR 25+0200 AL PR 28+0200, DEPARTAMENTO DE CUNDINAMARCA.</t>
  </si>
  <si>
    <t>0958-2016</t>
  </si>
  <si>
    <t>MEJORAMIENTO Y MANTENIMIENTO DE LA CARRETERA
PATICO – COCONUCO DEPARTAMENTO DEL CAUCA</t>
  </si>
  <si>
    <t>110-15-03-30
DE 2015</t>
  </si>
  <si>
    <t>MUNICIPIO DE TARQUI</t>
  </si>
  <si>
    <t>002 DE 2015</t>
  </si>
  <si>
    <t>CONSTRUCCIÓN DE PAVIMENTO RÍGIDO EN VÍAS URBANAS DEL MUNICIPIO DE TARQUI DEPARTAMENTO DEL HUILA</t>
  </si>
  <si>
    <t>MUNICIPIO DE TERUEL</t>
  </si>
  <si>
    <t>06 DE 2017</t>
  </si>
  <si>
    <t>INFICALDAS</t>
  </si>
  <si>
    <t>A.A. 36-2017</t>
  </si>
  <si>
    <t>CONSTRUCCIÓN,                MANTENIMIENTO                 E IMPLEMENTACIÓN:  DE  LA  PLATAFORMA,  TERMINAL DE   PASAJEROS   TORRE   DE   CONTROL,   ESTACIÓN BOMBEROS Y SUB ESTACIÓN</t>
  </si>
  <si>
    <t>GOBERNACIÓN DEL PUTUMAYO</t>
  </si>
  <si>
    <t>955 DE
29/12/2017</t>
  </si>
  <si>
    <t>1183-2014</t>
  </si>
  <si>
    <t>MEJORAMIENTO  Y  MANTENIMIENTO  DE  LA CARRETERA  TAME-COROCORO,  RUTA 6605 PR 00+0000  AL PR 131+0970  Y COROCORO- ARAUCA   RUTA   6606   PR   00+0000   AL   PR 44+0283   TERRITORIAL   CASANARE   DEPTO ARAUCA</t>
  </si>
  <si>
    <t>2926-2007</t>
  </si>
  <si>
    <t>No.1161  DEL   2014</t>
  </si>
  <si>
    <t>Municipio   de Yaguara</t>
  </si>
  <si>
    <t>No.003  DE  2013</t>
  </si>
  <si>
    <t>JAIRO ARIAS MÉNDEZ</t>
  </si>
  <si>
    <t>JUAN SEBASTIÁN SERRANO CORZO</t>
  </si>
  <si>
    <t>DOBLE R ARQUITECTURA E INGENIERÍA SAS</t>
  </si>
  <si>
    <t xml:space="preserve">HECTOR SÁNCHEZ CUELLAR </t>
  </si>
  <si>
    <t>JULIÁN ANDRES CASTRILLÓN GONZÁLEZ</t>
  </si>
  <si>
    <t>VÉRTICES INGENIERÍA SAS</t>
  </si>
  <si>
    <t>OR CONSTRUCCIONES E INGENIERÍA S.A.S</t>
  </si>
  <si>
    <t>S&amp;S INGENIERÍA CIVIL SA</t>
  </si>
  <si>
    <t xml:space="preserve">GOBERNACIÓN DE CAQUETÁ </t>
  </si>
  <si>
    <t>255-2011</t>
  </si>
  <si>
    <t>PAVIMENTACIÓN DE DIFERENTES VÍAS DEL CASCO URBANO DEL MUNICIPIO DE FLORENCIA, DEPARTAMENTO DEL CAQUETÁ.</t>
  </si>
  <si>
    <t>147 de 2010</t>
  </si>
  <si>
    <t>249 DE 2011</t>
  </si>
  <si>
    <t>339 DE 2011</t>
  </si>
  <si>
    <t>034 DE 2014</t>
  </si>
  <si>
    <t>LA AMPLIACIÓN, CONSTRUCCIÓN Y PAVIMENTACIÓN DEL ANILLO VIAL
VERGANZO ETAPA 1 DEL MUNICIPIO DE TOCANCIPÁ</t>
  </si>
  <si>
    <t>LA AMPLIACIÓN, CONSTRUCCIÓN Y PAVIMENTACIÓN DEL ANILLO VIAL
VERGANZO SEGUNDA ETAPA DEL MUNICIPIO DE TOCANCIPÁ</t>
  </si>
  <si>
    <t>“REHABILITACIÓN DE LA VÍA TOCANCIPÁ - LA FUENTE (VÍA ALTERNA
ENTRE TOCANCIPÁ ZIPAQUIRÁ), MUNICIPIO DE TOCANCIPÁ –
DEPARTAMENTO DE CUNDINAMARCA”</t>
  </si>
  <si>
    <t>EJECUTAR POR EL SISTEMA DE PRECIOS UNITARIOS FIJOS SIN
FORMULA DE AJUSTE, INTERVENCIONES INTEGRALES DE LA MALLA VIAL
LOCAL E INTERMEDIA CON EL EMPLEO DE BASES ESTABILIZADAS CON
ADITIVOS QUÍMICOS, MEDIANTE EL DIAGNÓSTICO, MANTENIMIENTO Y
REHABILITACIÓN DE VÍAS CONSTRUIDAS EN CARPETAS FLEXIBLES,
RÍGIDAS O ARTICULADAS, INTERVENCIONES PUNTUALES Y PARA LA
CONSTRUCCIÓN DE VÍAS LOCALES A PARTIR DE DISEÑOS
SUMINISTRADOS POR LA ENTIDAD (GRUPO 2)</t>
  </si>
  <si>
    <t xml:space="preserve">IDU </t>
  </si>
  <si>
    <t xml:space="preserve">INVIAS </t>
  </si>
  <si>
    <t>156-2005</t>
  </si>
  <si>
    <t>IDU-UEL-12-130-00-2001</t>
  </si>
  <si>
    <t>1422 DE 2014</t>
  </si>
  <si>
    <t>186/06</t>
  </si>
  <si>
    <t>107/2006</t>
  </si>
  <si>
    <t>433-2001</t>
  </si>
  <si>
    <t>Mejoramiento y mantenimiento del Paso Nacional por Natagaima PR83+0100 al PR86+0400, ruta 4506 Departamento del Tolima</t>
  </si>
  <si>
    <t>Mantenimiento de la Carretera San Gil Bucaramanga</t>
  </si>
  <si>
    <t>ALCALDÍA
MUNICIPAL DE
OROCUE</t>
  </si>
  <si>
    <t>2313-0278 DE
2013</t>
  </si>
  <si>
    <t>001193 DE
2017</t>
  </si>
  <si>
    <t>1938 DE
2015</t>
  </si>
  <si>
    <t>MUNICIPIO DE VALLEDUPAR</t>
  </si>
  <si>
    <t>664 DE
2015</t>
  </si>
  <si>
    <t>MUNICIPIO DE MANAURE –
LA GUAJIRA</t>
  </si>
  <si>
    <t>168 DE
2017</t>
  </si>
  <si>
    <t>CONSTRUCCIÓN DE PAVIMENTO RÍGIDO EN KRA 1A OESTE DESDE LA CALLE 1 HASTA LA CALLE 8 Y CALLES 2, 4, 6, 7 Y 8 DESDE KRA 1A HASTA KRA 1A OESTE, BARRIO ALTOS DE SALINAS EN EL MUNICIPIO DE MANAURE, LA GUAJIRA</t>
  </si>
  <si>
    <t>MUNICIPIO DE CODAZZI - CESAR</t>
  </si>
  <si>
    <t>OP-006- 2017</t>
  </si>
  <si>
    <t>MANTENIMIENTO Y MEJORAMIENTO DE LAS VÍAS CODAZZI – LA DUDA EN EL MUNICIPIO DE AGUSTÍN CODAZZI, EN EL DEPARTAMENTO DEL CESAR</t>
  </si>
  <si>
    <t>MUNICIPIO DE LA JAGUA DE IBIRICO</t>
  </si>
  <si>
    <t>516 DE
2014</t>
  </si>
  <si>
    <t>790 DE 2017</t>
  </si>
  <si>
    <t>3691 DE
2013</t>
  </si>
  <si>
    <t>MEJORAMIENTO Y MANTENIMIENTO DE LA CARRETERA SINCELEJO  CALAMAR, RUTA 2515, MEDIANTE ATENCIÓN DEL SITIO CRITICO ENTRE EL PR 92 y PR 93 MUNICIPIO DE SAN JUAN NEPOMUCENO, EN EL DEPARTAMENTO DE BOLÍVAR.</t>
  </si>
  <si>
    <t>INSTITUTO DE INFRAESTRUCTURA Y CONCESIONES DE CUNDINAMARCA - ICCU</t>
  </si>
  <si>
    <t>027-2014</t>
  </si>
  <si>
    <t>417-215</t>
  </si>
  <si>
    <t>GOBERNACIÓN DEL TOLIMA</t>
  </si>
  <si>
    <t>MEJORAMIENTODELAVIASECUNDARIAELPASO-SUAREZ-BATATAS-PURIFICACIÓNDELDEPARTAMENTODELTOLIMADENTRODELPROYECTO"APOYOALSISTEMAVIALREGIONAL-PLAN VIAL REGIONAL DEL TOLIMA"</t>
  </si>
  <si>
    <t>1374</t>
  </si>
  <si>
    <t>MUNICIPIO DE MADRID</t>
  </si>
  <si>
    <t>Municipio de Valledupar</t>
  </si>
  <si>
    <t>Contrato No.664 de 15 de Septiembre de 2015</t>
  </si>
  <si>
    <t>Contrato No.1292 de 2017</t>
  </si>
  <si>
    <t>“MEJORAMIENTO Y MANTENIMIENTO DE LAS CARRETERAS  YE DE ARJONA - CUATROVIENTOS, (RUTA 43CS02)  Y CUATROVIENTOS - CODAZZI (RUTA 45C509) EN EL DEPARTAMENTO DE CESAR.”</t>
  </si>
  <si>
    <t>ECOPETROL</t>
  </si>
  <si>
    <t>MA0028035</t>
  </si>
  <si>
    <t>357</t>
  </si>
  <si>
    <t>GOBERNACIÓN DE
SANTANDER</t>
  </si>
  <si>
    <t>Mejoramiento y pavimentación de la
vía kilometro 18 – TONA, sector K5 +
00 al K18 + 870, Departamento de
Santande</t>
  </si>
  <si>
    <t>SERVICIOS TECNICOS INDUSTRIALES PETROLEROS</t>
  </si>
  <si>
    <t>Fondo de desarrollo local de Puente Aranda</t>
  </si>
  <si>
    <t>ALCALDIA DE MOSQUERA</t>
  </si>
  <si>
    <t>L16-074- 2015</t>
  </si>
  <si>
    <t>001 DE 2015</t>
  </si>
  <si>
    <t>EL FONDO DE DESARROLLO LOCAL DE PUENTE ARANDA ESTA INTERESADO EN CONTRATAR EL DESARROLLO Y EJECUCIÓN A PRECIOS UNITARIOS FIJOS, SIN DE CONDICIONES ESTABLECIDAS EN EL ANEXO TÉCNICO.CONDICIONES, ESTUDIOS PREVIOS Y DÉMASFORMULA DE REAJUSTE, LOS ESTUDIOS Y DISEÑOS,</t>
  </si>
  <si>
    <t>CONSTRUCCIÓN, RECONSTRUCCIÓN ADECUACIÓN DE ESPACIO PUBLICO Y OBRAS COMPLEMENTARIAS DEL SISTEMA VIAL DEL MUNICIPIO DE MOSQUERA
CUNDINAMARCA- VÍAS EN MARCHA 2015 FASE 1</t>
  </si>
  <si>
    <t>MINISTERIO DE DEFENSA EJÉRCITO NACIONAL</t>
  </si>
  <si>
    <t>128-JEAVE-
2013</t>
  </si>
  <si>
    <t>Adquisición de servicios de mantenimiento de bienes inmuebles estudios técnicos y rehabilitación pista campo aéreo militar de Tolemaida</t>
  </si>
  <si>
    <t>305-JEAVE-
2013</t>
  </si>
  <si>
    <t>Adquisición   de   mantenimiento   de   bienes   inmuebles   y rehabilitación pista campo aéreo militar de Tolemaida fase II</t>
  </si>
  <si>
    <t>243-JEAVE-
2014</t>
  </si>
  <si>
    <t>Mantenimiento   de   Bienes   Inmuebes   y   Rehabilitación Plataforma de Campo aéreo Tolemaida  fase III</t>
  </si>
  <si>
    <t>¿EL CONTRATO SE ENCUENTRA CLASIFICADO EN ALGUNA DE LAS CLASIFICACIONES ESTABLECIDAS EN EL PLIEGO? (SI/NO) (721033 - 721410 - 721411 - 721416)</t>
  </si>
  <si>
    <t>433-2010</t>
  </si>
  <si>
    <t>MEJORAMIENTO      Y      MANTENIMIENTO      DE      LA
CARRETERA   LA   MANSA   -   PRIMAVERA,    SECTOR BOLIVAR-PRIMAVERA (TRAMO 6003) MODULO 1.</t>
  </si>
  <si>
    <t>1895-2009</t>
  </si>
  <si>
    <t>RECONSTRUCCIÓN,          PAVIMENTACIÓN          Y/O REPAVIMENTACIÓN  DE   LA  VIAS   INCLUIDAS  EN   EL PROGRAMA          DE          PAVIMENTACIÓN          DE
INFRAESTRUCTURA VIAL DE INTEGRACIÓN Y</t>
  </si>
  <si>
    <t>951-2011</t>
  </si>
  <si>
    <t>ATENCION     OBRAS     DE     EMERGENCIA     EN     LA CARRETERA   Y   PRIMAVERA   LA   MANSA   (LAMANSA- PRIMAVERA(MEDELLIN-QUIBDO)   RUTA   6003   EN   EL
DEPARTAMENTO DE ANTIOQUIA</t>
  </si>
  <si>
    <t>1198-2014</t>
  </si>
  <si>
    <t>MEJORAMIENTO     Y     MANTENIMIENTO     DE     LAS CARRETERA    EL    PORTAL-EL    ANTOJO,PASO    POR CHIPAQUE Y PUENTE REAL-PR40+500 DEPARTAMENTO
DE CUNDINAMARCA</t>
  </si>
  <si>
    <t>CONSORCIO AVR</t>
  </si>
  <si>
    <t>CONSORCIO CATACA</t>
  </si>
  <si>
    <t>CONSORCIO CAOBA</t>
  </si>
  <si>
    <t>SE CORRIGIO SMLV DE 5145,37 A 5145,38 - CONSORCIO AVR</t>
  </si>
  <si>
    <t>SE CORRIGIO SMLV DE 5079,34 A 5079  - CONSORCIO CAOBA</t>
  </si>
  <si>
    <t>CONSORCIO PAVIMENTOS 2006</t>
  </si>
  <si>
    <t xml:space="preserve">CONSORCIO VÍAS DE CALI 2016 - LOSA DE CONCRETO </t>
  </si>
  <si>
    <t>% DE PARTICIPACIÓN</t>
  </si>
  <si>
    <t>País de Ejecución</t>
  </si>
  <si>
    <t>Fecha de Iniciación
(DD-MM-AA)</t>
  </si>
  <si>
    <t>Fecha de Terminación
(DD-MM-AA)</t>
  </si>
  <si>
    <t>MEJORAMIENTO Y MANTENIMIENTO DE LA
CARRETERA PUERTO RICO-MINA BLANCARUTA
65 TRAMO 6504. DEPARTAMENTO DEL
CAQUETÁ MODULO 2</t>
  </si>
  <si>
    <t>MEJORAMIENTO Y MANTENIMIENTO DE LA
CARRETERA VARIANTE MAMONAL -
GAMBOTE, CÓDIGO 90BLB, SECTOR PR0+000 -
PR28+0500 Y VARIANTE DE CARTAGENA,
SECTOR PR0-000 PR9´000</t>
  </si>
  <si>
    <t>CONTRATAR MEDIANTE EL SISTEMA DE PRECIOS UNITARIOS SIN FORMULA DE REAJUSTE EL: MEJORAMIENTO DE LA VÍA SAN CAYETANO - COGUA SECTOR K 6+670 - K 8+366 (K 0+000 LOCALIZADO EN EL CASCO URBANO DEL MUNICIPIO DE SAN CAYETANO) CUNDINAMARCA - SGR</t>
  </si>
  <si>
    <t>INSTITUTO NACIONAL DE VÍAS - INVIAS</t>
  </si>
  <si>
    <t>MANTENIMIENTO DE LA CARRETERA PUERTO LÓPEZ - PUERTO GAITÁN, RUTA 4008, DIRECCIÓN TERRITORIAL META,</t>
  </si>
  <si>
    <t>ALCALDÍA DE PALERMO</t>
  </si>
  <si>
    <t>CONSTRUCCIÓN PAVIMENTO RÍGIDO EN VÍAS URBANAS DEL MUNICIPIO DE PALERMO DEPARTAMENTO DEL HUILA</t>
  </si>
  <si>
    <t>CONSTRUCCIÓN DE PAVIMENTO RÍGIDO EN RED VIAL URBANA DEL MUNICIPIO DE TERUEL DEPARTAMENTO DEL HUILA</t>
  </si>
  <si>
    <t>CONTRATO PARA LA EJECUCIÓN DE LAS OBRAS: 1. MANTENIMIENTO      DE      LA      VÍA      LA      JOYA      - QUEBRADONIA,   MUNICIPIO   DE   PUERTO   CAICEDO, DEPARTAMENTO           DEL           PUTUMAYO;           2.
MANTENIMIENTO  DE  LA  VÍA  K  9  -  PEÑAZORA  -  LA PLAYA,         MUNICIPIO         DE         PUERTO         ASIS, DEPARTAMENTO           DEL           PUTUMAYO;           3.
MANTENIMIENTO  DE  LA  VÍA  SECUNDARIA  ORITO  - YARUMO,    DEPARTAMENTO    DEL    PUTUMAYO;    4.
MANTENIMIENTO  DE  LA  VÍA  SECUNDARIA  PUERTO LEGUIZAMOS  -  LA  TAGUA,  MUNICIPIO  DE  PUERTO LEGUIZAMO,   DEPARTAMENTO   DEL   PUTUMAYO;   5. MEJORAMIENTO DE LA INFRAESTRUCTURA FLUVIAL DE PUERTO ASIS</t>
  </si>
  <si>
    <t>MEJORAMIENTO   Y   MANTENIMIENTO   DE   LA CARRETERA  DE  LA  VARIANTE  MAMONAL  - GAMBOTE,     CÓDIGO     90     BLB,     SECTOR 18+0000  AL  PR 28+0500  Y  DE  LA VARIANTE DE CARTAGENA, CÓDIGO 90BLC SECTOR PR 00+0000 AL PR 9+0000.</t>
  </si>
  <si>
    <t>GOBERNACIÓN DEL   HUILA</t>
  </si>
  <si>
    <t>MEJORAMIENTO  DE  LAS  VÍAS  DEL   CASCO  URBANO  Y VÍA   LA   ESTRELLA   QUE  COMUNICA   CON   EL   PARQUE ARQUEOLÓGICO  DE  SAN   AGUSTÍN;  MEJORAMIENTO DE  VÍAS  TERCIARIAS  QUE  COMUNICA   EL   CASCO
URBANO  CON   EL   CENTRO  TURÍSTICO  CAJA   DE  AGUA, VEREDA   SAN   TA   INES,   DEL   MUNICIPIO  DE  PAICOL;
MEJORAMIENTO  DE  LAS  VÍAS  TERCIARIAS  QUE
COMUNICAN   PUENTE  ARENOSO  -  AGUA   BLANCA   -  EL TRIUNFO  NORMANDÍA,   CORREGIMIENTO  EL   CAGUAN DEL   MUNICIPIO  DE  NEIVA   Y  MEJORAMIENTO  DE  LA VÍA   TERCIARIA   QUE  COMUNICA   EL   CASCO  URBANO
DEL   MUNICIPIO  DE  RIVERA   CON   LA   VERDA   EL   VISO  Y LA   VEREDA   BEJUCAL   DEL   MUNICIPIO  DE
CAMPOALEGRE  -  DEPARTA</t>
  </si>
  <si>
    <t>REHABILITACIÓN   DE  LA   ESTRUCTURA   DE  PAVIMENTO FLEX IBLE  EN   LOS  TRAMOS  MAS  CRÍTICOS  EN   UNA
LONGITUD   APROX IMADA   1,50  KM   DE  LA   VÍA   LA   BOA   - YAGUARA   DEL   0+000  AL   15+500  DEL   MUNICIPIO  DE YAGUARA</t>
  </si>
  <si>
    <t>ALCALDÍA LOCAL DE BOSA</t>
  </si>
  <si>
    <t>Construcción y Rehabilitación de rutas Alimentadoras del sistema Transmilenio, Zona 7, Grupo 3 en Bogotá, D.C., con Financiación del Banco Mundial</t>
  </si>
  <si>
    <t>Evaluación y rehabilitación de vías en la localidad de Barrios Unidos, en Bogotá D.C.</t>
  </si>
  <si>
    <t>Construcción, mantenimiento y adecuación de la carrera 8, Etapa 2</t>
  </si>
  <si>
    <t xml:space="preserve">ALCALDÍA DE TOCANCIPÁ </t>
  </si>
  <si>
    <t>Construcción, mantenimiento y adecuación de la carrera 8, Etapa 1</t>
  </si>
  <si>
    <t>CONSTRUCCIÓN DE LA PAVIMENTACIÓN EN LA VÍA
BARQUEREÑA-OROCUE, APROXIMADAMENTE DE
KILOMETRO 27+980 AL KILOMETRO 38+000 DEL
MUNICIPIO DE OROCUE, DEPARTAMENTO DE
CASANARE</t>
  </si>
  <si>
    <t>MEJORAMIENTO Y MANTENIMIENTO DE LA CARRETERA
DE LA SOBERANÍA TRAMO LEJIA-SARAVENA RUTA 66
TRAMO 04RE</t>
  </si>
  <si>
    <t>GOBERNACIÓN DEL MAGDALENA</t>
  </si>
  <si>
    <t>CONSTRUCCIÓN DE OBRAS PARA EL MEJORAMIENTO DE LA VÍA FUNDACIÓN - SALAMINA EN EL TRAMO DEL PR32 + 540 AL PR53 + 277 (PIÑUELA - PIVIJAY) EN EL DEPARTAMENTO DEL MAGDALENA</t>
  </si>
  <si>
    <t>CONSTRUCCIÓN DE PAVIMENTO COMUNITARIO EN CONCRETO HIDRÁULICO PREMEZCLADO MEDIANTE EL PROGRAMA "TRANSFORMANDO MI BARRIO - ETAPA III"EN DIFERENTES SECTORES DEL MUNICIPIO DE VALLEDUPAR, DEPARTAMENTO DEL CESAR</t>
  </si>
  <si>
    <t>MEJORAMIENTO, MANTENIMIENTO Y CONSERVACIÓN DE LA VÍA KM CERO (0) VÍA NACIONAL HACIA LA VEREDA LA ESTRELLA EN EL MUNICIPIO DE LA JAGUA DE IBIRICO DEPARTAMENTO DEL CESAR</t>
  </si>
  <si>
    <t>MANTENIMIENTO Y MEJORAMIENTO Y CONSERVACIÓN DE LA VÍA GUACHOQUE - LOS CORAZONES; AGUAS BLANCAS - LA SIERRITA - EL OASIS ; LA TRONCAL - LAS CASITAS - RIO CESAR; LOS VENADOS - LAS MULAS LIMITE CON BOSCONIA EN EL MUNICIPIO DE VALLEDUPAR- DEPARTAMENTO DEL CESAR</t>
  </si>
  <si>
    <t>CONSTRUCCIÓN DE LA ESTACIÓN DE PEAJE CARMEN DE BOLÍVAR UBICADA EN EL PR60+700 DE LA VÍA COROZAL - CALAMAR</t>
  </si>
  <si>
    <t>CONTRATAR MEDIANTE EL SISTEMA DE PRECIOS UNITARIOS FIJOS SIN FORMULA DE REAJUSTE, EL: MEJORAMIENTO Y PAVIMENTACIÓN DE LA VÍA SUESCA - LA PLAYA - SESQUILE DEL DEPARTAMENTO DE CUNDINAMARCA</t>
  </si>
  <si>
    <t>CONTRATAR MEDIANTE EL SISTEMA DE PRECIOS UNITARIOS SIN FORMULA DE REAJUSTE EL: MEJORAMIENTO Y REHABILITACIÓN DE LA VÍA TABIO - CHIA DEL K 0+000 AL K1+800</t>
  </si>
  <si>
    <t>MANTENIMIENTO        Y        REHABILITACIÓN       DEL CORREDOR    VIAL    CHUSACA    -    SIBATE    EN   EL DEPARTAMENTO DE CUNDINAMARCA</t>
  </si>
  <si>
    <t>DIAGNOSTICO,                 ESTUDIO,                 DISEÑOS, CONSTRUCCIÓN   Y   PAVIMENTACIÓN  DE   VÍAS  EN AREAS   POBLADAS   DEL   MUNICIPIO   DE   MADRID CUNDINAMARCA</t>
  </si>
  <si>
    <t>CONSTRUCCIÓN DE PAVIMENTO COMUNITARIO EN CONCRETO HIDRÁULICO PREMEZCLADO MEDIANTE EL PROGRAMA "TRANSFORMANDO MI BARRIO - ETAPA III" EN DIFERENTES SECTORES DEL MUNICIPIO DE VALLEDUPAR, DEPARTAMENTO DEL CESAR</t>
  </si>
  <si>
    <t>Instituto Nacional de Vías</t>
  </si>
  <si>
    <t>OBRAS PARA EL MANTENIMIENTO DE LAS VÍAS Y LOCALIZZCIONES DE LA SUPERINTERDENCIA DE OPERACIONES HUILA TOLIMA DE LA GERENCIA REGIONAL SUR DE ECOPETROL S.A.. DE LOS DEPARTAMENTOS DE HUILA - TOLIMA VIGENCIA 2013 CON USO DE OPCION PARA LA VIGENCIA 2014</t>
  </si>
  <si>
    <t>Mejoramiento y mantenimiento de la carretera Mojarras-Popayán Ruta25 tramo 2503 del PR0+0000 al PR121+0000 Departamento del Cauca</t>
  </si>
  <si>
    <t>CONSORCIO INFRAESTRUCTURA VIAL - SE CORRIGIO SMLV DE 2514,90 A 2514,91</t>
  </si>
  <si>
    <t>CONSORCIO INFRAESTRUCTURA VIAL - SE CORRIGIO SMLV DE 5255,70 A 5255,73</t>
  </si>
  <si>
    <t>CONSORCIO OBRAS VIALES CUNDINAMARCA</t>
  </si>
  <si>
    <t>CONSORCIO CUMBRE</t>
  </si>
  <si>
    <t xml:space="preserve">SE CORRIGUE TIPO  DE I A C - SE CORRIGUE % DE PARTICIPACION DEL 100 AL 50 </t>
  </si>
  <si>
    <t>CUMBRE INGENIERIA SAS</t>
  </si>
  <si>
    <t>SE CORRIGUE FECHA DE 26/02/2016 - A 29/02/2016</t>
  </si>
  <si>
    <t>CONSORCIO IVG INGENIEROS</t>
  </si>
  <si>
    <t>CONSORCIO CALDAS 2017 -SE CORRIGEN SMLV DE 7196,66 A 7196,65</t>
  </si>
  <si>
    <t>CONSORCIO DVG</t>
  </si>
  <si>
    <t>CONSORCIO BEBE</t>
  </si>
  <si>
    <t>CONSORCIO BEBE - SE CORRIGUEN SMLV DE 6663,29 A 6619</t>
  </si>
  <si>
    <t>SE CORRIGUE  FECHA DE VENCIMIENTO DE 25-DIC-14  A  26-DIC-14</t>
  </si>
  <si>
    <t>CONSORCIO SANTA HELENA - SE CORRIGUEN SMLV DE 8127 A 8127,04</t>
  </si>
  <si>
    <t xml:space="preserve">CONSORCIO VIAL DEL HUILA - SE CORRIGUEN SMLV DE 19896,60 A 19896,56 </t>
  </si>
  <si>
    <t xml:space="preserve">MILTON JAVIER QUINTERO RAMIREZ - SE CORRIGUEN SMLV DE 1772,09 A 172,20 </t>
  </si>
  <si>
    <t xml:space="preserve">MUNICIPIO DE TOCANCIPA </t>
  </si>
  <si>
    <t>CONSORCIO ANILLO VIAL</t>
  </si>
  <si>
    <t>CONSORCIO VIAS TOCANCIPA II</t>
  </si>
  <si>
    <t>CONSORCIO LA FUENTE</t>
  </si>
  <si>
    <t>UNION TEMPORAL PUENTES 2014 - SE CORRIGUE SMLV DE 887 A 904,97</t>
  </si>
  <si>
    <t>SE CORRIGUE SMLV DE  1896 A 1896,08</t>
  </si>
  <si>
    <t>UNION TEMPORAL 113 - SE CORRIGUE SMLV DE 7184 A 7184,13 -  SECORRIGUE FECHA DE TERMINACION DEL 7/SEP/2002 A 6 /SEP/2002</t>
  </si>
  <si>
    <t>SE CORRIGUE SMLV DE  2098 A 2098,22 - SE CORRIGUE FECHA DE TERMINACION DE 28/FEB/2017 A 15/FEB/2007</t>
  </si>
  <si>
    <t>CONSORCIO TRANSFORMANDO VALLEDUPAR. - SE CORRIGUE SMLV DE 18198,42 A 18198,43</t>
  </si>
  <si>
    <t>CONSORCIO LA ESTRELLA</t>
  </si>
  <si>
    <t>CONSORCIO VIAL SALAMINA - SE CORRIGUE FECHA DE 22/MAR/18 A 23/MAR/18</t>
  </si>
  <si>
    <t>CONSORCIO LA DUDA - NO ACREDITA CONCRETO HIDRÁULICO Y/O MEZCLA ASFÁLTICA</t>
  </si>
  <si>
    <t>CONSORCIO VIAS VALLEDUPAR SE CORRIGUI SMLV DE 19832,98 A 19832,97 - SE CORRIGUE FECHA DE TERMIANCIO DE 30/08/2015 A 30/MAY/15</t>
  </si>
  <si>
    <t>CONSORCIO TRINIDAD</t>
  </si>
  <si>
    <t>CONSORCIO RUBICON</t>
  </si>
  <si>
    <t>CONSORCIO VIAL CUNDINAMARCA -SUESCA - SE CORRIGIO SMLV DE 6237 A 6236,56</t>
  </si>
  <si>
    <t>CONSORCIO CUNDINAMARCA LP013 - SE CORRIGIO SMLV DE 3442  A 3441,98</t>
  </si>
  <si>
    <t>JULIO CESAR CASTRO - CONSORCIO PSP</t>
  </si>
  <si>
    <t xml:space="preserve">CONSORCIO VIAS DE MADRID 2009 </t>
  </si>
  <si>
    <t xml:space="preserve">CONSORCIO VIAL OCV 2016 </t>
  </si>
  <si>
    <t>CONSORCIO CESAR</t>
  </si>
  <si>
    <t>CONSORCIO TRANSFORMANDO VALLEDUPAR - SE CORRIGIO SMLV DE 18198,43 A 18198,42 - NO PRESENTO SOPORTES DE CONTRATO</t>
  </si>
  <si>
    <t xml:space="preserve">CONSORCIO PLATAFORMAS PETROLERAS XV - ACREDITAR TIPO DE VIA </t>
  </si>
  <si>
    <t>CONSORCIO SE-1</t>
  </si>
  <si>
    <t>CONSORCIO INFRAESTRUCTURA VIL SIP</t>
  </si>
  <si>
    <t>CONSORCIO INFRAESTRUCTURA VIAL SIP - SE CORRIGUE SMLV DE 9048,19 A 9048,18</t>
  </si>
  <si>
    <t>SE CORRIGUE SMLV DE 3367 A 3367,15</t>
  </si>
  <si>
    <t>CONSORCIO AVIAZIONE - SE CORRIGIO SMLV DE  8695,47 A 8695,46</t>
  </si>
  <si>
    <t>CONSORCIO AVIAZIONE 2</t>
  </si>
  <si>
    <t>CONSORCIO AVIAZIONE FASE III - SE CORRIGIO SMLV DE 7379,26 A 7379,25</t>
  </si>
  <si>
    <t xml:space="preserve">CONSORCIO IVG INGENIEROS - NO ADJUNTO SOPORTE DE CONTRATO </t>
  </si>
  <si>
    <t xml:space="preserve">CONSORCIO VIAL - NO ADJUNTO SOPORTE DE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</si>
</sst>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_);_(* \(#,##0.00\);_(* &quot;-&quot;??_);_(@_)"/>
    <numFmt numFmtId="165" formatCode="_ * #,##0.00_ ;_ * \-#,##0.00_ ;_ * &quot;-&quot;??_ ;_ @_ "/>
    <numFmt numFmtId="166" formatCode="#,##0.0"/>
    <numFmt numFmtId="167" formatCode="mmmm\ d\,\ yyyy"/>
    <numFmt numFmtId="168" formatCode="&quot;No. &quot;#,##0"/>
    <numFmt numFmtId="169" formatCode="0.0"/>
    <numFmt numFmtId="170" formatCode="&quot;TOT.MOD=&quot;\ 0"/>
    <numFmt numFmtId="171" formatCode="&quot;NN&quot;\ 0"/>
    <numFmt numFmtId="172" formatCode="0.000"/>
    <numFmt numFmtId="173" formatCode="&quot;LICITACIÓN PÚBLICA No. &quot;@"/>
    <numFmt numFmtId="174" formatCode="&quot;VTE = &quot;#,##0.00"/>
    <numFmt numFmtId="175" formatCode="&quot;RESUMEN EVALUACIÓN&quot;"/>
    <numFmt numFmtId="178" formatCode="d/mm/yyyy;@"/>
  </numFmts>
  <fonts count="61">
    <font>
      <sz val="12"/>
      <color theme="1"/>
      <name val="Calibri"/>
      <family val="2"/>
    </font>
    <font>
      <sz val="11"/>
      <color theme="1"/>
      <name val="Calibri"/>
      <family val="2"/>
      <scheme val="minor"/>
    </font>
    <font>
      <sz val="12"/>
      <color indexed="8"/>
      <name val="Calibri"/>
      <family val="2"/>
    </font>
    <font>
      <sz val="12"/>
      <color indexed="8"/>
      <name val="Calibri"/>
      <family val="2"/>
    </font>
    <font>
      <sz val="8"/>
      <name val="Calibri"/>
      <family val="2"/>
    </font>
    <font>
      <sz val="10"/>
      <name val="Arial"/>
      <family val="2"/>
    </font>
    <font>
      <b/>
      <sz val="10"/>
      <name val="Arial"/>
      <family val="2"/>
    </font>
    <font>
      <b/>
      <sz val="12"/>
      <name val="Arial"/>
      <family val="2"/>
    </font>
    <font>
      <sz val="8"/>
      <name val="Arial"/>
      <family val="2"/>
    </font>
    <font>
      <b/>
      <sz val="14"/>
      <name val="Arial"/>
      <family val="2"/>
    </font>
    <font>
      <b/>
      <sz val="9"/>
      <color indexed="10"/>
      <name val="Arial"/>
      <family val="2"/>
    </font>
    <font>
      <sz val="8"/>
      <color indexed="10"/>
      <name val="Arial"/>
      <family val="2"/>
    </font>
    <font>
      <sz val="10"/>
      <color indexed="10"/>
      <name val="Arial"/>
      <family val="2"/>
    </font>
    <font>
      <b/>
      <sz val="10"/>
      <color indexed="10"/>
      <name val="Arial"/>
      <family val="2"/>
    </font>
    <font>
      <b/>
      <sz val="16"/>
      <name val="Arial"/>
      <family val="2"/>
    </font>
    <font>
      <b/>
      <sz val="8"/>
      <name val="Arial"/>
      <family val="2"/>
    </font>
    <font>
      <b/>
      <sz val="8"/>
      <name val="Sans Serif 10cpi"/>
      <family val="3"/>
    </font>
    <font>
      <b/>
      <sz val="9"/>
      <name val="Arial"/>
      <family val="2"/>
    </font>
    <font>
      <b/>
      <sz val="10"/>
      <color indexed="56"/>
      <name val="Arial"/>
      <family val="2"/>
    </font>
    <font>
      <sz val="10"/>
      <color indexed="9"/>
      <name val="Arial"/>
      <family val="2"/>
    </font>
    <font>
      <sz val="8"/>
      <color indexed="20"/>
      <name val="Arial"/>
      <family val="2"/>
    </font>
    <font>
      <b/>
      <sz val="18"/>
      <name val="Arial"/>
      <family val="2"/>
    </font>
    <font>
      <sz val="10"/>
      <name val="Arial"/>
      <family val="2"/>
    </font>
    <font>
      <sz val="6"/>
      <color indexed="10"/>
      <name val="Arial"/>
      <family val="2"/>
    </font>
    <font>
      <b/>
      <sz val="12"/>
      <name val="Times New Roman"/>
      <family val="1"/>
    </font>
    <font>
      <sz val="10"/>
      <name val="Times New Roman"/>
      <family val="1"/>
    </font>
    <font>
      <sz val="1"/>
      <name val="Arial"/>
      <family val="2"/>
    </font>
    <font>
      <sz val="5"/>
      <name val="Arial"/>
      <family val="2"/>
    </font>
    <font>
      <sz val="10"/>
      <name val="Arial"/>
      <family val="2"/>
    </font>
    <font>
      <sz val="8"/>
      <name val="Arial"/>
      <family val="2"/>
    </font>
    <font>
      <b/>
      <sz val="10"/>
      <name val="Arial"/>
      <family val="2"/>
    </font>
    <font>
      <sz val="9"/>
      <name val="Arial"/>
      <family val="2"/>
    </font>
    <font>
      <b/>
      <u/>
      <sz val="12"/>
      <name val="Arial"/>
      <family val="2"/>
    </font>
    <font>
      <b/>
      <i/>
      <sz val="10"/>
      <name val="Arial"/>
      <family val="2"/>
    </font>
    <font>
      <sz val="9"/>
      <color indexed="8"/>
      <name val="Arial"/>
      <family val="2"/>
    </font>
    <font>
      <sz val="11"/>
      <color indexed="8"/>
      <name val="Calibri"/>
      <family val="2"/>
    </font>
    <font>
      <b/>
      <sz val="11"/>
      <color indexed="8"/>
      <name val="Calibri"/>
      <family val="2"/>
    </font>
    <font>
      <sz val="4"/>
      <name val="Arial"/>
      <family val="2"/>
    </font>
    <font>
      <sz val="9"/>
      <color indexed="81"/>
      <name val="Tahoma"/>
      <family val="2"/>
    </font>
    <font>
      <b/>
      <sz val="9"/>
      <color indexed="81"/>
      <name val="Tahoma"/>
      <family val="2"/>
    </font>
    <font>
      <sz val="12"/>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b/>
      <sz val="8"/>
      <name val="Calibri"/>
      <family val="2"/>
      <scheme val="minor"/>
    </font>
    <font>
      <sz val="8"/>
      <name val="Calibri"/>
      <family val="2"/>
      <scheme val="minor"/>
    </font>
    <font>
      <sz val="4"/>
      <color theme="1"/>
      <name val="Calibri"/>
      <family val="2"/>
    </font>
    <font>
      <sz val="4"/>
      <name val="Calibri"/>
      <family val="2"/>
      <scheme val="minor"/>
    </font>
    <font>
      <b/>
      <sz val="9"/>
      <name val="Calibri"/>
      <family val="2"/>
      <scheme val="minor"/>
    </font>
    <font>
      <sz val="9"/>
      <name val="Calibri"/>
      <family val="2"/>
      <scheme val="minor"/>
    </font>
    <font>
      <sz val="10"/>
      <name val="Calibri"/>
      <family val="2"/>
      <scheme val="minor"/>
    </font>
    <font>
      <sz val="4"/>
      <color theme="0"/>
      <name val="Arial"/>
      <family val="2"/>
    </font>
    <font>
      <sz val="8"/>
      <color rgb="FFFF0000"/>
      <name val="Arial"/>
      <family val="2"/>
    </font>
    <font>
      <sz val="10"/>
      <color rgb="FFFF0000"/>
      <name val="Arial"/>
      <family val="2"/>
    </font>
    <font>
      <sz val="12"/>
      <color rgb="FF000000"/>
      <name val="Calibri"/>
      <family val="2"/>
    </font>
    <font>
      <b/>
      <sz val="8"/>
      <color rgb="FFFF0000"/>
      <name val="Arial"/>
      <family val="2"/>
    </font>
    <font>
      <b/>
      <sz val="10"/>
      <color rgb="FFFF0000"/>
      <name val="Calibri"/>
      <family val="2"/>
    </font>
    <font>
      <b/>
      <sz val="9"/>
      <color rgb="FFFFCC81"/>
      <name val="Calibri"/>
      <family val="2"/>
      <scheme val="minor"/>
    </font>
    <font>
      <b/>
      <sz val="10"/>
      <color rgb="FFFF0000"/>
      <name val="Arial"/>
      <family val="2"/>
    </font>
    <font>
      <sz val="8.5"/>
      <color rgb="FF000000"/>
      <name val="Arial"/>
      <family val="2"/>
    </font>
    <font>
      <sz val="11"/>
      <name val="Calibri"/>
      <family val="2"/>
    </font>
  </fonts>
  <fills count="12">
    <fill>
      <patternFill patternType="none"/>
    </fill>
    <fill>
      <patternFill patternType="gray125"/>
    </fill>
    <fill>
      <patternFill patternType="solid">
        <fgColor indexed="47"/>
        <bgColor indexed="64"/>
      </patternFill>
    </fill>
    <fill>
      <patternFill patternType="solid">
        <fgColor rgb="FFFFFFCC"/>
      </patternFill>
    </fill>
    <fill>
      <patternFill patternType="solid">
        <fgColor rgb="FFFFCC81"/>
        <bgColor indexed="64"/>
      </patternFill>
    </fill>
    <fill>
      <patternFill patternType="solid">
        <fgColor rgb="FFC0C0C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0"/>
        <bgColor indexed="64"/>
      </patternFill>
    </fill>
    <fill>
      <patternFill patternType="solid">
        <fgColor rgb="FFBDFFFF"/>
        <bgColor indexed="64"/>
      </patternFill>
    </fill>
    <fill>
      <patternFill patternType="solid">
        <fgColor rgb="FFFFFF00"/>
        <bgColor indexed="64"/>
      </patternFill>
    </fill>
    <fill>
      <patternFill patternType="solid">
        <fgColor rgb="FF92D050"/>
        <bgColor indexed="64"/>
      </patternFill>
    </fill>
  </fills>
  <borders count="104">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diagonal/>
    </border>
    <border>
      <left style="medium">
        <color indexed="64"/>
      </left>
      <right style="hair">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hair">
        <color indexed="64"/>
      </right>
      <top style="thin">
        <color indexed="64"/>
      </top>
      <bottom/>
      <diagonal/>
    </border>
    <border>
      <left style="thin">
        <color rgb="FF000000"/>
      </left>
      <right style="hair">
        <color indexed="64"/>
      </right>
      <top/>
      <bottom/>
      <diagonal/>
    </border>
    <border>
      <left style="thin">
        <color rgb="FF000000"/>
      </left>
      <right style="hair">
        <color indexed="64"/>
      </right>
      <top/>
      <bottom style="thin">
        <color indexed="64"/>
      </bottom>
      <diagonal/>
    </border>
    <border>
      <left/>
      <right/>
      <top/>
      <bottom style="thin">
        <color indexed="64"/>
      </bottom>
      <diagonal/>
    </border>
  </borders>
  <cellStyleXfs count="16">
    <xf numFmtId="0" fontId="0" fillId="0" borderId="0"/>
    <xf numFmtId="164" fontId="2"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22" fillId="0" borderId="0"/>
    <xf numFmtId="0" fontId="28" fillId="0" borderId="0"/>
    <xf numFmtId="0" fontId="5" fillId="0" borderId="0"/>
    <xf numFmtId="0" fontId="41" fillId="0" borderId="0"/>
    <xf numFmtId="0" fontId="5" fillId="0" borderId="0"/>
    <xf numFmtId="0" fontId="22" fillId="0" borderId="0"/>
    <xf numFmtId="0" fontId="5" fillId="0" borderId="0"/>
    <xf numFmtId="0" fontId="3" fillId="3" borderId="84" applyNumberFormat="0" applyFont="0" applyAlignment="0" applyProtection="0"/>
    <xf numFmtId="9" fontId="3"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cellStyleXfs>
  <cellXfs count="409">
    <xf numFmtId="0" fontId="0" fillId="0" borderId="0" xfId="0"/>
    <xf numFmtId="0" fontId="5" fillId="0" borderId="0" xfId="3"/>
    <xf numFmtId="0" fontId="9" fillId="0" borderId="0" xfId="3" applyFont="1" applyAlignment="1">
      <alignment horizontal="centerContinuous" vertical="center" wrapText="1"/>
    </xf>
    <xf numFmtId="0" fontId="6" fillId="0" borderId="0" xfId="3" applyFont="1" applyAlignment="1">
      <alignment horizontal="centerContinuous" vertical="center" wrapText="1"/>
    </xf>
    <xf numFmtId="0" fontId="5" fillId="0" borderId="0" xfId="3" applyAlignment="1">
      <alignment horizontal="centerContinuous" vertical="center" wrapText="1"/>
    </xf>
    <xf numFmtId="0" fontId="5" fillId="0" borderId="0" xfId="3" applyAlignment="1">
      <alignment horizontal="centerContinuous" vertical="center"/>
    </xf>
    <xf numFmtId="167" fontId="8" fillId="0" borderId="0" xfId="3" applyNumberFormat="1" applyFont="1" applyFill="1" applyAlignment="1">
      <alignment horizontal="center"/>
    </xf>
    <xf numFmtId="167" fontId="8" fillId="0" borderId="0" xfId="3" applyNumberFormat="1" applyFont="1" applyFill="1" applyBorder="1" applyAlignment="1">
      <alignment horizontal="center"/>
    </xf>
    <xf numFmtId="0" fontId="5" fillId="0" borderId="0" xfId="3" applyFont="1" applyFill="1"/>
    <xf numFmtId="0" fontId="15" fillId="0" borderId="0" xfId="3" applyFont="1"/>
    <xf numFmtId="0" fontId="15" fillId="0" borderId="0" xfId="3" applyFont="1" applyAlignment="1">
      <alignment horizontal="center" vertical="center"/>
    </xf>
    <xf numFmtId="0" fontId="19" fillId="0" borderId="0" xfId="3" applyFont="1"/>
    <xf numFmtId="0" fontId="5" fillId="0" borderId="0" xfId="3" applyFill="1"/>
    <xf numFmtId="0" fontId="18" fillId="0" borderId="0" xfId="3" applyFont="1" applyAlignment="1">
      <alignment horizontal="centerContinuous" vertical="center" wrapText="1"/>
    </xf>
    <xf numFmtId="2" fontId="5" fillId="0" borderId="0" xfId="3" applyNumberFormat="1"/>
    <xf numFmtId="0" fontId="5" fillId="0" borderId="0" xfId="3" applyProtection="1">
      <protection hidden="1"/>
    </xf>
    <xf numFmtId="0" fontId="6" fillId="0" borderId="0" xfId="3" applyFont="1" applyAlignment="1" applyProtection="1">
      <alignment horizontal="centerContinuous" vertical="center" wrapText="1"/>
      <protection hidden="1"/>
    </xf>
    <xf numFmtId="0" fontId="5" fillId="0" borderId="0" xfId="3" applyAlignment="1" applyProtection="1">
      <alignment horizontal="centerContinuous" vertical="center" wrapText="1"/>
      <protection hidden="1"/>
    </xf>
    <xf numFmtId="0" fontId="8" fillId="0" borderId="0" xfId="3" applyFont="1" applyAlignment="1" applyProtection="1">
      <alignment horizontal="centerContinuous" vertical="center" wrapText="1"/>
      <protection hidden="1"/>
    </xf>
    <xf numFmtId="0" fontId="5" fillId="0" borderId="0" xfId="3" applyFont="1" applyAlignment="1" applyProtection="1">
      <alignment horizontal="centerContinuous"/>
      <protection hidden="1"/>
    </xf>
    <xf numFmtId="0" fontId="5" fillId="0" borderId="0" xfId="3" applyAlignment="1" applyProtection="1">
      <alignment horizontal="centerContinuous" vertical="center"/>
      <protection hidden="1"/>
    </xf>
    <xf numFmtId="0" fontId="5" fillId="0" borderId="0" xfId="3" applyFont="1" applyProtection="1">
      <protection hidden="1"/>
    </xf>
    <xf numFmtId="0" fontId="29" fillId="0" borderId="0" xfId="6" applyFont="1"/>
    <xf numFmtId="1" fontId="9" fillId="0" borderId="0" xfId="6" applyNumberFormat="1" applyFont="1" applyAlignment="1">
      <alignment vertical="center" wrapText="1"/>
    </xf>
    <xf numFmtId="1" fontId="7" fillId="0" borderId="0" xfId="6" applyNumberFormat="1" applyFont="1" applyAlignment="1">
      <alignment vertical="center" wrapText="1"/>
    </xf>
    <xf numFmtId="1" fontId="6" fillId="0" borderId="0" xfId="6" applyNumberFormat="1" applyFont="1" applyAlignment="1">
      <alignment vertical="center" wrapText="1"/>
    </xf>
    <xf numFmtId="1" fontId="10" fillId="0" borderId="0" xfId="6" applyNumberFormat="1" applyFont="1" applyAlignment="1">
      <alignment vertical="center" wrapText="1"/>
    </xf>
    <xf numFmtId="1" fontId="13" fillId="0" borderId="0" xfId="6" applyNumberFormat="1" applyFont="1" applyAlignment="1">
      <alignment vertical="center" wrapText="1"/>
    </xf>
    <xf numFmtId="0" fontId="29" fillId="0" borderId="0" xfId="6" applyFont="1" applyAlignment="1">
      <alignment horizontal="center" vertical="center"/>
    </xf>
    <xf numFmtId="4" fontId="29" fillId="0" borderId="0" xfId="6" applyNumberFormat="1" applyFont="1"/>
    <xf numFmtId="0" fontId="5" fillId="0" borderId="0" xfId="6" applyFont="1"/>
    <xf numFmtId="0" fontId="12" fillId="0" borderId="0" xfId="6" applyFont="1"/>
    <xf numFmtId="0" fontId="28" fillId="0" borderId="0" xfId="6"/>
    <xf numFmtId="1" fontId="28" fillId="0" borderId="0" xfId="6" applyNumberFormat="1" applyAlignment="1">
      <alignment horizontal="centerContinuous" vertical="center"/>
    </xf>
    <xf numFmtId="0" fontId="28" fillId="0" borderId="0" xfId="6" applyAlignment="1">
      <alignment horizontal="centerContinuous" vertical="center"/>
    </xf>
    <xf numFmtId="0" fontId="16" fillId="0" borderId="0" xfId="6" applyFont="1"/>
    <xf numFmtId="0" fontId="28" fillId="0" borderId="0" xfId="6" applyFill="1"/>
    <xf numFmtId="1" fontId="28" fillId="0" borderId="0" xfId="6" applyNumberFormat="1"/>
    <xf numFmtId="0" fontId="5" fillId="0" borderId="0" xfId="3" applyAlignment="1">
      <alignment wrapText="1"/>
    </xf>
    <xf numFmtId="167" fontId="8" fillId="0" borderId="0" xfId="3" applyNumberFormat="1" applyFont="1" applyFill="1" applyAlignment="1">
      <alignment horizontal="center" wrapText="1"/>
    </xf>
    <xf numFmtId="0" fontId="5" fillId="0" borderId="0" xfId="3" applyFont="1" applyFill="1" applyAlignment="1">
      <alignment wrapText="1"/>
    </xf>
    <xf numFmtId="0" fontId="15" fillId="0" borderId="0" xfId="3" applyFont="1" applyAlignment="1">
      <alignment wrapText="1"/>
    </xf>
    <xf numFmtId="0" fontId="5" fillId="0" borderId="0" xfId="3" applyAlignment="1">
      <alignment horizontal="center" vertical="center"/>
    </xf>
    <xf numFmtId="1" fontId="24" fillId="0" borderId="0" xfId="6" applyNumberFormat="1" applyFont="1" applyAlignment="1">
      <alignment horizontal="centerContinuous" vertical="center" wrapText="1"/>
    </xf>
    <xf numFmtId="0" fontId="6" fillId="0" borderId="0" xfId="6" applyFont="1" applyAlignment="1">
      <alignment horizontal="centerContinuous" vertical="center" wrapText="1"/>
    </xf>
    <xf numFmtId="0" fontId="5" fillId="0" borderId="0" xfId="3" applyAlignment="1"/>
    <xf numFmtId="0" fontId="27" fillId="0" borderId="0" xfId="3" applyFont="1" applyAlignment="1" applyProtection="1">
      <alignment horizontal="center" vertical="center"/>
    </xf>
    <xf numFmtId="0" fontId="5" fillId="0" borderId="0" xfId="3" applyProtection="1"/>
    <xf numFmtId="0" fontId="5" fillId="0" borderId="0" xfId="3" applyAlignment="1">
      <alignment horizontal="centerContinuous"/>
    </xf>
    <xf numFmtId="0" fontId="5" fillId="0" borderId="1" xfId="3" applyFont="1" applyBorder="1"/>
    <xf numFmtId="0" fontId="41" fillId="0" borderId="1" xfId="8" applyBorder="1"/>
    <xf numFmtId="0" fontId="5" fillId="0" borderId="1" xfId="3" applyBorder="1"/>
    <xf numFmtId="0" fontId="41" fillId="0" borderId="2" xfId="8" applyBorder="1"/>
    <xf numFmtId="0" fontId="42" fillId="4" borderId="3" xfId="8" applyFont="1" applyFill="1" applyBorder="1" applyAlignment="1">
      <alignment horizontal="center" vertical="center"/>
    </xf>
    <xf numFmtId="0" fontId="41" fillId="4" borderId="4" xfId="8" applyFill="1" applyBorder="1"/>
    <xf numFmtId="0" fontId="33" fillId="5" borderId="5" xfId="3" applyFont="1" applyFill="1" applyBorder="1"/>
    <xf numFmtId="0" fontId="33" fillId="5" borderId="6" xfId="3" applyFont="1" applyFill="1" applyBorder="1"/>
    <xf numFmtId="0" fontId="43" fillId="5" borderId="7" xfId="8" applyFont="1" applyFill="1" applyBorder="1"/>
    <xf numFmtId="0" fontId="5" fillId="0" borderId="0" xfId="3" applyAlignment="1" applyProtection="1">
      <alignment horizontal="centerContinuous"/>
      <protection hidden="1"/>
    </xf>
    <xf numFmtId="0" fontId="5" fillId="0" borderId="0" xfId="3" quotePrefix="1"/>
    <xf numFmtId="0" fontId="15" fillId="0" borderId="0" xfId="3" quotePrefix="1" applyFont="1" applyAlignment="1">
      <alignment horizontal="center" vertical="center"/>
    </xf>
    <xf numFmtId="0" fontId="29" fillId="0" borderId="0" xfId="6" applyFont="1" applyAlignment="1">
      <alignment wrapText="1"/>
    </xf>
    <xf numFmtId="2" fontId="13" fillId="0" borderId="0" xfId="6" applyNumberFormat="1" applyFont="1" applyAlignment="1">
      <alignment vertical="center" wrapText="1"/>
    </xf>
    <xf numFmtId="0" fontId="15" fillId="4" borderId="3" xfId="4" applyFont="1" applyFill="1" applyBorder="1" applyAlignment="1">
      <alignment horizontal="centerContinuous" vertical="center"/>
    </xf>
    <xf numFmtId="0" fontId="15" fillId="4" borderId="8" xfId="4" applyFont="1" applyFill="1" applyBorder="1" applyAlignment="1">
      <alignment horizontal="centerContinuous" vertical="center"/>
    </xf>
    <xf numFmtId="14" fontId="6" fillId="0" borderId="9" xfId="4" applyNumberFormat="1" applyFont="1" applyBorder="1" applyAlignment="1">
      <alignment horizontal="center"/>
    </xf>
    <xf numFmtId="3" fontId="6" fillId="0" borderId="10" xfId="4" applyNumberFormat="1" applyFont="1" applyBorder="1" applyAlignment="1">
      <alignment horizontal="center"/>
    </xf>
    <xf numFmtId="0" fontId="5" fillId="0" borderId="11" xfId="3" applyFont="1" applyFill="1" applyBorder="1"/>
    <xf numFmtId="0" fontId="36" fillId="2" borderId="12" xfId="8" applyFont="1" applyFill="1" applyBorder="1" applyAlignment="1">
      <alignment horizontal="center" vertical="center"/>
    </xf>
    <xf numFmtId="0" fontId="35" fillId="0" borderId="13" xfId="8" applyFont="1" applyBorder="1" applyAlignment="1"/>
    <xf numFmtId="0" fontId="35" fillId="0" borderId="14" xfId="8" applyFont="1" applyBorder="1" applyAlignment="1"/>
    <xf numFmtId="14" fontId="29" fillId="0" borderId="0" xfId="6" applyNumberFormat="1" applyFont="1"/>
    <xf numFmtId="0" fontId="26" fillId="0" borderId="0" xfId="6" applyFont="1" applyBorder="1" applyAlignment="1">
      <alignment horizontal="center" vertical="center" wrapText="1"/>
    </xf>
    <xf numFmtId="0" fontId="15" fillId="0" borderId="0" xfId="6" applyFont="1" applyBorder="1" applyAlignment="1">
      <alignment horizontal="center" vertical="center" wrapText="1"/>
    </xf>
    <xf numFmtId="4" fontId="15" fillId="0" borderId="0" xfId="6" applyNumberFormat="1" applyFont="1" applyBorder="1" applyAlignment="1">
      <alignment horizontal="center" vertical="center" wrapText="1"/>
    </xf>
    <xf numFmtId="0" fontId="29" fillId="0" borderId="0" xfId="6" applyFont="1" applyBorder="1" applyAlignment="1">
      <alignment vertical="center"/>
    </xf>
    <xf numFmtId="0" fontId="44" fillId="4" borderId="15" xfId="6" applyFont="1" applyFill="1" applyBorder="1" applyAlignment="1">
      <alignment horizontal="center" vertical="center" wrapText="1"/>
    </xf>
    <xf numFmtId="4" fontId="44" fillId="4" borderId="15" xfId="6" applyNumberFormat="1" applyFont="1" applyFill="1" applyBorder="1" applyAlignment="1">
      <alignment horizontal="center" vertical="center" wrapText="1"/>
    </xf>
    <xf numFmtId="0" fontId="29" fillId="0" borderId="16" xfId="6" applyFont="1" applyBorder="1" applyAlignment="1">
      <alignment horizontal="center" vertical="center"/>
    </xf>
    <xf numFmtId="4" fontId="29" fillId="0" borderId="16" xfId="6" applyNumberFormat="1" applyFont="1" applyBorder="1" applyAlignment="1">
      <alignment horizontal="center" vertical="center" wrapText="1"/>
    </xf>
    <xf numFmtId="4" fontId="29" fillId="0" borderId="16" xfId="6" applyNumberFormat="1" applyFont="1" applyBorder="1" applyAlignment="1">
      <alignment horizontal="center" vertical="center"/>
    </xf>
    <xf numFmtId="169" fontId="29" fillId="0" borderId="16" xfId="6" applyNumberFormat="1" applyFont="1" applyBorder="1" applyAlignment="1">
      <alignment horizontal="center" vertical="center"/>
    </xf>
    <xf numFmtId="170" fontId="15" fillId="0" borderId="17" xfId="6" applyNumberFormat="1" applyFont="1" applyBorder="1" applyAlignment="1">
      <alignment horizontal="center" vertical="center"/>
    </xf>
    <xf numFmtId="4" fontId="15" fillId="0" borderId="17" xfId="6" applyNumberFormat="1" applyFont="1" applyBorder="1" applyAlignment="1">
      <alignment horizontal="center" vertical="center"/>
    </xf>
    <xf numFmtId="166" fontId="15" fillId="0" borderId="17" xfId="6" applyNumberFormat="1" applyFont="1" applyBorder="1" applyAlignment="1">
      <alignment horizontal="center"/>
    </xf>
    <xf numFmtId="0" fontId="44" fillId="4" borderId="18" xfId="6" applyFont="1" applyFill="1" applyBorder="1" applyAlignment="1">
      <alignment horizontal="center" vertical="center" wrapText="1"/>
    </xf>
    <xf numFmtId="4" fontId="44" fillId="4" borderId="18" xfId="6" applyNumberFormat="1" applyFont="1" applyFill="1" applyBorder="1" applyAlignment="1">
      <alignment horizontal="center" vertical="center" wrapText="1"/>
    </xf>
    <xf numFmtId="0" fontId="44" fillId="4" borderId="19" xfId="6" applyFont="1" applyFill="1" applyBorder="1" applyAlignment="1">
      <alignment horizontal="center" vertical="center"/>
    </xf>
    <xf numFmtId="1" fontId="45" fillId="0" borderId="20" xfId="6" applyNumberFormat="1" applyFont="1" applyBorder="1" applyAlignment="1">
      <alignment horizontal="center" vertical="center"/>
    </xf>
    <xf numFmtId="1" fontId="45" fillId="0" borderId="21" xfId="6" applyNumberFormat="1" applyFont="1" applyBorder="1" applyAlignment="1">
      <alignment horizontal="center" vertical="center"/>
    </xf>
    <xf numFmtId="171" fontId="45" fillId="0" borderId="21" xfId="6" applyNumberFormat="1" applyFont="1" applyBorder="1" applyAlignment="1">
      <alignment horizontal="left" wrapText="1"/>
    </xf>
    <xf numFmtId="0" fontId="15" fillId="0" borderId="21" xfId="3" applyFont="1" applyFill="1" applyBorder="1" applyAlignment="1">
      <alignment horizontal="left"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6" fillId="4" borderId="15" xfId="3" applyFont="1" applyFill="1" applyBorder="1" applyAlignment="1">
      <alignment vertical="center"/>
    </xf>
    <xf numFmtId="4" fontId="8" fillId="6" borderId="21" xfId="3" applyNumberFormat="1" applyFont="1" applyFill="1" applyBorder="1" applyAlignment="1">
      <alignment horizontal="center" vertical="center" wrapText="1"/>
    </xf>
    <xf numFmtId="0" fontId="8" fillId="0" borderId="24" xfId="3" applyFont="1" applyBorder="1" applyAlignment="1">
      <alignment vertical="center"/>
    </xf>
    <xf numFmtId="0" fontId="8" fillId="0" borderId="16" xfId="3" applyFont="1" applyBorder="1" applyAlignment="1">
      <alignment vertical="center"/>
    </xf>
    <xf numFmtId="0" fontId="5" fillId="0" borderId="25" xfId="3" applyBorder="1" applyAlignment="1">
      <alignment vertical="center"/>
    </xf>
    <xf numFmtId="0" fontId="5" fillId="4" borderId="26" xfId="3" applyFill="1" applyBorder="1" applyAlignment="1">
      <alignment vertical="center"/>
    </xf>
    <xf numFmtId="0" fontId="5" fillId="4" borderId="27" xfId="3" applyFill="1" applyBorder="1" applyAlignment="1">
      <alignment vertical="center"/>
    </xf>
    <xf numFmtId="9" fontId="17" fillId="4" borderId="28" xfId="12" applyNumberFormat="1" applyFont="1" applyFill="1" applyBorder="1" applyAlignment="1">
      <alignment horizontal="center" vertical="center" wrapText="1"/>
    </xf>
    <xf numFmtId="9" fontId="17" fillId="4" borderId="29" xfId="12" applyNumberFormat="1" applyFont="1" applyFill="1" applyBorder="1" applyAlignment="1">
      <alignment horizontal="center" vertical="center"/>
    </xf>
    <xf numFmtId="15" fontId="17" fillId="4" borderId="19" xfId="12" applyNumberFormat="1" applyFont="1" applyFill="1" applyBorder="1" applyAlignment="1">
      <alignment horizontal="center" vertical="center"/>
    </xf>
    <xf numFmtId="15" fontId="17" fillId="4" borderId="30" xfId="12" applyNumberFormat="1" applyFont="1" applyFill="1" applyBorder="1" applyAlignment="1">
      <alignment horizontal="center" vertical="center"/>
    </xf>
    <xf numFmtId="168" fontId="21" fillId="0" borderId="0" xfId="3" applyNumberFormat="1" applyFont="1" applyFill="1" applyAlignment="1">
      <alignment horizontal="center" vertical="center"/>
    </xf>
    <xf numFmtId="0" fontId="14" fillId="0" borderId="0" xfId="3" applyFont="1" applyFill="1" applyAlignment="1">
      <alignment horizontal="left" vertical="center"/>
    </xf>
    <xf numFmtId="0" fontId="19" fillId="0" borderId="0" xfId="3" applyFont="1" applyFill="1" applyAlignment="1">
      <alignment horizontal="center" vertical="center"/>
    </xf>
    <xf numFmtId="0" fontId="19" fillId="0" borderId="0" xfId="3" applyFont="1" applyFill="1" applyAlignment="1">
      <alignment horizontal="centerContinuous" vertical="center"/>
    </xf>
    <xf numFmtId="0" fontId="19" fillId="0" borderId="0" xfId="3" applyFont="1" applyFill="1" applyAlignment="1">
      <alignment vertical="center"/>
    </xf>
    <xf numFmtId="4" fontId="29" fillId="7" borderId="16" xfId="6" applyNumberFormat="1" applyFont="1" applyFill="1" applyBorder="1" applyAlignment="1">
      <alignment horizontal="center" vertical="center"/>
    </xf>
    <xf numFmtId="0" fontId="17" fillId="4" borderId="19" xfId="3" applyFont="1" applyFill="1" applyBorder="1" applyAlignment="1" applyProtection="1">
      <alignment horizontal="center" vertical="center" wrapText="1"/>
      <protection hidden="1"/>
    </xf>
    <xf numFmtId="1" fontId="17" fillId="0" borderId="20" xfId="3" applyNumberFormat="1" applyFont="1" applyFill="1" applyBorder="1" applyAlignment="1" applyProtection="1">
      <alignment horizontal="center" vertical="center"/>
      <protection hidden="1"/>
    </xf>
    <xf numFmtId="3" fontId="31" fillId="0" borderId="21" xfId="3" applyNumberFormat="1" applyFont="1" applyFill="1" applyBorder="1" applyAlignment="1" applyProtection="1">
      <alignment horizontal="center" vertical="center"/>
      <protection hidden="1"/>
    </xf>
    <xf numFmtId="3" fontId="34" fillId="0" borderId="21" xfId="3" applyNumberFormat="1" applyFont="1" applyFill="1" applyBorder="1" applyAlignment="1" applyProtection="1">
      <alignment horizontal="center" vertical="center"/>
      <protection hidden="1"/>
    </xf>
    <xf numFmtId="0" fontId="5" fillId="0" borderId="31" xfId="3" applyBorder="1" applyAlignment="1" applyProtection="1">
      <alignment vertical="center"/>
      <protection hidden="1"/>
    </xf>
    <xf numFmtId="1" fontId="17" fillId="0" borderId="20" xfId="3" applyNumberFormat="1" applyFont="1" applyFill="1" applyBorder="1" applyAlignment="1" applyProtection="1">
      <alignment horizontal="center" vertical="center" wrapText="1"/>
      <protection hidden="1"/>
    </xf>
    <xf numFmtId="0" fontId="5" fillId="0" borderId="31" xfId="3" applyFill="1" applyBorder="1" applyAlignment="1" applyProtection="1">
      <alignment horizontal="center" vertical="center" wrapText="1"/>
      <protection hidden="1"/>
    </xf>
    <xf numFmtId="0" fontId="15" fillId="0" borderId="32" xfId="3" applyFont="1" applyBorder="1" applyAlignment="1" applyProtection="1">
      <alignment horizontal="centerContinuous"/>
      <protection hidden="1"/>
    </xf>
    <xf numFmtId="0" fontId="15" fillId="0" borderId="33" xfId="3" applyFont="1" applyBorder="1" applyAlignment="1" applyProtection="1">
      <alignment horizontal="center" vertical="center"/>
      <protection hidden="1"/>
    </xf>
    <xf numFmtId="0" fontId="5" fillId="0" borderId="34" xfId="3" applyBorder="1" applyProtection="1">
      <protection hidden="1"/>
    </xf>
    <xf numFmtId="0" fontId="15" fillId="0" borderId="17" xfId="6" applyFont="1" applyBorder="1" applyAlignment="1">
      <alignment horizontal="right" vertical="center"/>
    </xf>
    <xf numFmtId="0" fontId="37" fillId="0" borderId="0" xfId="3" applyFont="1" applyFill="1" applyAlignment="1">
      <alignment horizontal="center" vertical="center"/>
    </xf>
    <xf numFmtId="168" fontId="37" fillId="0" borderId="0" xfId="3" applyNumberFormat="1" applyFont="1" applyFill="1" applyAlignment="1">
      <alignment horizontal="center" vertical="center"/>
    </xf>
    <xf numFmtId="0" fontId="46" fillId="0" borderId="0" xfId="0" applyFont="1"/>
    <xf numFmtId="0" fontId="37" fillId="0" borderId="0" xfId="3" applyFont="1" applyFill="1" applyAlignment="1">
      <alignment horizontal="center" vertical="center" wrapText="1"/>
    </xf>
    <xf numFmtId="4" fontId="8" fillId="0" borderId="16" xfId="3" applyNumberFormat="1" applyFont="1" applyBorder="1" applyAlignment="1">
      <alignment vertical="center"/>
    </xf>
    <xf numFmtId="15" fontId="8" fillId="6" borderId="21" xfId="3" applyNumberFormat="1" applyFont="1" applyFill="1" applyBorder="1" applyAlignment="1">
      <alignment horizontal="center" vertical="center" wrapText="1"/>
    </xf>
    <xf numFmtId="166" fontId="8" fillId="6" borderId="21" xfId="3" applyNumberFormat="1" applyFont="1" applyFill="1" applyBorder="1" applyAlignment="1">
      <alignment horizontal="center" vertical="center" wrapText="1"/>
    </xf>
    <xf numFmtId="4" fontId="8" fillId="6" borderId="21" xfId="3" quotePrefix="1" applyNumberFormat="1" applyFont="1" applyFill="1" applyBorder="1" applyAlignment="1">
      <alignment horizontal="center" vertical="center" wrapText="1"/>
    </xf>
    <xf numFmtId="174" fontId="6" fillId="4" borderId="15" xfId="3" applyNumberFormat="1" applyFont="1" applyFill="1" applyBorder="1" applyAlignment="1">
      <alignment horizontal="center" vertical="center"/>
    </xf>
    <xf numFmtId="0" fontId="47" fillId="0" borderId="0" xfId="3" applyFont="1" applyFill="1" applyAlignment="1">
      <alignment horizontal="center" vertical="center"/>
    </xf>
    <xf numFmtId="0" fontId="44" fillId="4" borderId="22" xfId="3" applyFont="1" applyFill="1" applyBorder="1" applyAlignment="1">
      <alignment horizontal="center" vertical="center"/>
    </xf>
    <xf numFmtId="0" fontId="49" fillId="0" borderId="0" xfId="3" applyFont="1"/>
    <xf numFmtId="0" fontId="48" fillId="4" borderId="22" xfId="3" applyFont="1" applyFill="1" applyBorder="1" applyAlignment="1">
      <alignment horizontal="center" vertical="center"/>
    </xf>
    <xf numFmtId="9" fontId="48" fillId="4" borderId="22" xfId="14" applyFont="1" applyFill="1" applyBorder="1" applyAlignment="1">
      <alignment horizontal="center" vertical="center" wrapText="1"/>
    </xf>
    <xf numFmtId="0" fontId="44" fillId="4" borderId="36" xfId="3" applyFont="1" applyFill="1" applyBorder="1" applyAlignment="1">
      <alignment horizontal="center" vertical="center"/>
    </xf>
    <xf numFmtId="0" fontId="15" fillId="0" borderId="30" xfId="3" quotePrefix="1" applyFont="1" applyFill="1" applyBorder="1" applyAlignment="1">
      <alignment horizontal="center" vertical="center"/>
    </xf>
    <xf numFmtId="49" fontId="8" fillId="6" borderId="21" xfId="14" applyNumberFormat="1" applyFont="1" applyFill="1" applyBorder="1" applyAlignment="1">
      <alignment horizontal="center" vertical="center" wrapText="1"/>
    </xf>
    <xf numFmtId="49" fontId="8" fillId="6" borderId="21" xfId="3" applyNumberFormat="1" applyFont="1" applyFill="1" applyBorder="1" applyAlignment="1">
      <alignment horizontal="center" vertical="center" wrapText="1"/>
    </xf>
    <xf numFmtId="1" fontId="8" fillId="6" borderId="37" xfId="3" applyNumberFormat="1" applyFont="1" applyFill="1" applyBorder="1" applyAlignment="1">
      <alignment horizontal="center" vertical="center" wrapText="1"/>
    </xf>
    <xf numFmtId="0" fontId="5" fillId="0" borderId="0" xfId="3" applyAlignment="1">
      <alignment vertical="center" wrapText="1"/>
    </xf>
    <xf numFmtId="9" fontId="8" fillId="6" borderId="21" xfId="13" applyFont="1" applyFill="1" applyBorder="1" applyAlignment="1">
      <alignment horizontal="center" vertical="center" wrapText="1"/>
    </xf>
    <xf numFmtId="0" fontId="15" fillId="4" borderId="38" xfId="3" applyFont="1" applyFill="1" applyBorder="1" applyAlignment="1">
      <alignment horizontal="center" vertical="center" wrapText="1"/>
    </xf>
    <xf numFmtId="0" fontId="15" fillId="4" borderId="39" xfId="3" applyFont="1" applyFill="1" applyBorder="1" applyAlignment="1">
      <alignment horizontal="center" vertical="center" wrapText="1"/>
    </xf>
    <xf numFmtId="0" fontId="23" fillId="0" borderId="0" xfId="11" applyFont="1" applyAlignment="1" applyProtection="1">
      <alignment horizontal="justify" vertical="center"/>
      <protection locked="0"/>
    </xf>
    <xf numFmtId="0" fontId="5" fillId="0" borderId="0" xfId="11" applyProtection="1">
      <protection hidden="1"/>
    </xf>
    <xf numFmtId="0" fontId="25" fillId="0" borderId="0" xfId="11" applyFont="1" applyAlignment="1" applyProtection="1">
      <alignment horizontal="centerContinuous" vertical="center" wrapText="1"/>
      <protection hidden="1"/>
    </xf>
    <xf numFmtId="0" fontId="50" fillId="0" borderId="0" xfId="11" applyFont="1" applyAlignment="1" applyProtection="1">
      <alignment horizontal="center" vertical="center"/>
      <protection locked="0"/>
    </xf>
    <xf numFmtId="0" fontId="23" fillId="0" borderId="0" xfId="11" applyFont="1" applyAlignment="1" applyProtection="1">
      <alignment horizontal="center" vertical="center"/>
      <protection locked="0"/>
    </xf>
    <xf numFmtId="0" fontId="5" fillId="0" borderId="0" xfId="11" applyAlignment="1" applyProtection="1">
      <alignment horizontal="center"/>
      <protection hidden="1"/>
    </xf>
    <xf numFmtId="0" fontId="0" fillId="0" borderId="0" xfId="0" applyAlignment="1">
      <alignment horizontal="center"/>
    </xf>
    <xf numFmtId="0" fontId="15" fillId="0" borderId="41" xfId="11" applyFont="1" applyBorder="1" applyAlignment="1" applyProtection="1">
      <alignment horizontal="center" vertical="center"/>
      <protection hidden="1"/>
    </xf>
    <xf numFmtId="0" fontId="23" fillId="0" borderId="0" xfId="11" applyFont="1" applyFill="1" applyAlignment="1" applyProtection="1">
      <alignment horizontal="justify" vertical="center"/>
      <protection locked="0"/>
    </xf>
    <xf numFmtId="0" fontId="5" fillId="0" borderId="0" xfId="11" applyFill="1" applyProtection="1">
      <protection hidden="1"/>
    </xf>
    <xf numFmtId="9" fontId="25" fillId="0" borderId="0" xfId="13" applyFont="1" applyAlignment="1" applyProtection="1">
      <alignment horizontal="centerContinuous" vertical="center" wrapText="1"/>
      <protection hidden="1"/>
    </xf>
    <xf numFmtId="9" fontId="40" fillId="0" borderId="0" xfId="13" applyFont="1"/>
    <xf numFmtId="9" fontId="15" fillId="0" borderId="41" xfId="13" applyFont="1" applyBorder="1" applyAlignment="1" applyProtection="1">
      <alignment horizontal="center" vertical="center"/>
      <protection hidden="1"/>
    </xf>
    <xf numFmtId="9" fontId="5" fillId="0" borderId="0" xfId="13" applyFont="1" applyProtection="1">
      <protection hidden="1"/>
    </xf>
    <xf numFmtId="9" fontId="17" fillId="4" borderId="35" xfId="12" applyNumberFormat="1" applyFont="1" applyFill="1" applyBorder="1" applyAlignment="1">
      <alignment horizontal="center" vertical="center" wrapText="1"/>
    </xf>
    <xf numFmtId="15" fontId="17" fillId="4" borderId="42" xfId="12" applyNumberFormat="1" applyFont="1" applyFill="1" applyBorder="1" applyAlignment="1">
      <alignment horizontal="center" vertical="center" wrapText="1"/>
    </xf>
    <xf numFmtId="0" fontId="6" fillId="0" borderId="0" xfId="11" applyNumberFormat="1" applyFont="1" applyAlignment="1" applyProtection="1">
      <alignment horizontal="centerContinuous" vertical="center" wrapText="1"/>
      <protection hidden="1"/>
    </xf>
    <xf numFmtId="0" fontId="0" fillId="0" borderId="0" xfId="0" applyNumberFormat="1"/>
    <xf numFmtId="0" fontId="15" fillId="0" borderId="41" xfId="11" applyNumberFormat="1" applyFont="1" applyBorder="1" applyAlignment="1" applyProtection="1">
      <alignment horizontal="center"/>
      <protection hidden="1"/>
    </xf>
    <xf numFmtId="0" fontId="15" fillId="0" borderId="20" xfId="3" applyNumberFormat="1" applyFont="1" applyFill="1" applyBorder="1" applyAlignment="1">
      <alignment horizontal="center" vertical="center" wrapText="1"/>
    </xf>
    <xf numFmtId="0" fontId="5" fillId="0" borderId="0" xfId="11" applyNumberFormat="1" applyProtection="1">
      <protection hidden="1"/>
    </xf>
    <xf numFmtId="0" fontId="17" fillId="0" borderId="21" xfId="3" applyFont="1" applyFill="1" applyBorder="1" applyAlignment="1" applyProtection="1">
      <alignment horizontal="left" vertical="center" wrapText="1"/>
      <protection hidden="1"/>
    </xf>
    <xf numFmtId="168" fontId="51" fillId="8" borderId="0" xfId="3" applyNumberFormat="1" applyFont="1" applyFill="1" applyAlignment="1">
      <alignment horizontal="center" vertical="center"/>
    </xf>
    <xf numFmtId="9" fontId="15" fillId="4" borderId="43" xfId="13" applyFont="1" applyFill="1" applyBorder="1" applyAlignment="1">
      <alignment horizontal="center" vertical="center" wrapText="1"/>
    </xf>
    <xf numFmtId="9" fontId="15" fillId="4" borderId="44" xfId="13" applyFont="1" applyFill="1" applyBorder="1" applyAlignment="1">
      <alignment horizontal="center" vertical="center" wrapText="1"/>
    </xf>
    <xf numFmtId="9" fontId="15" fillId="0" borderId="31" xfId="13" applyFont="1" applyFill="1" applyBorder="1" applyAlignment="1">
      <alignment horizontal="center" vertical="center" wrapText="1"/>
    </xf>
    <xf numFmtId="0" fontId="5" fillId="0" borderId="0" xfId="3" applyAlignment="1">
      <alignment horizontal="center" vertical="center" wrapText="1"/>
    </xf>
    <xf numFmtId="0" fontId="0" fillId="0" borderId="0" xfId="0" applyAlignment="1">
      <alignment horizontal="center" vertical="center"/>
    </xf>
    <xf numFmtId="0" fontId="8" fillId="0" borderId="16" xfId="3" applyFont="1" applyBorder="1" applyAlignment="1">
      <alignment horizontal="center" vertical="center"/>
    </xf>
    <xf numFmtId="1" fontId="6" fillId="0" borderId="0" xfId="6" applyNumberFormat="1" applyFont="1" applyAlignment="1">
      <alignment horizontal="center" vertical="center" wrapText="1"/>
    </xf>
    <xf numFmtId="0" fontId="44" fillId="4" borderId="45" xfId="6" applyFont="1" applyFill="1" applyBorder="1" applyAlignment="1">
      <alignment horizontal="center" vertical="center" wrapText="1"/>
    </xf>
    <xf numFmtId="1" fontId="45" fillId="0" borderId="31" xfId="6" applyNumberFormat="1" applyFont="1" applyBorder="1" applyAlignment="1">
      <alignment horizontal="center" vertical="center" wrapText="1"/>
    </xf>
    <xf numFmtId="0" fontId="41" fillId="8" borderId="0" xfId="8" applyFill="1"/>
    <xf numFmtId="0" fontId="41" fillId="8" borderId="0" xfId="8" applyFill="1" applyAlignment="1">
      <alignment horizontal="center" vertical="center"/>
    </xf>
    <xf numFmtId="0" fontId="41" fillId="8" borderId="0" xfId="8" quotePrefix="1" applyFill="1"/>
    <xf numFmtId="0" fontId="42" fillId="4" borderId="4" xfId="8" applyFont="1" applyFill="1" applyBorder="1" applyAlignment="1">
      <alignment horizontal="center" vertical="center"/>
    </xf>
    <xf numFmtId="0" fontId="41" fillId="9" borderId="22" xfId="8" applyFill="1" applyBorder="1" applyAlignment="1">
      <alignment horizontal="center" vertical="center"/>
    </xf>
    <xf numFmtId="0" fontId="48" fillId="4" borderId="22" xfId="3" applyFont="1" applyFill="1" applyBorder="1" applyAlignment="1">
      <alignment horizontal="center" vertical="center" wrapText="1"/>
    </xf>
    <xf numFmtId="0" fontId="48" fillId="4" borderId="42" xfId="3" applyFont="1" applyFill="1" applyBorder="1" applyAlignment="1">
      <alignment horizontal="center" vertical="center"/>
    </xf>
    <xf numFmtId="0" fontId="6" fillId="4" borderId="15" xfId="3" applyFont="1" applyFill="1" applyBorder="1" applyAlignment="1">
      <alignment horizontal="center" vertical="center"/>
    </xf>
    <xf numFmtId="0" fontId="44" fillId="4" borderId="23" xfId="3" applyFont="1" applyFill="1" applyBorder="1" applyAlignment="1">
      <alignment horizontal="center" vertical="center"/>
    </xf>
    <xf numFmtId="0" fontId="8" fillId="0" borderId="47" xfId="3" applyFont="1" applyFill="1" applyBorder="1" applyAlignment="1">
      <alignment horizontal="center" vertical="center"/>
    </xf>
    <xf numFmtId="10" fontId="8" fillId="0" borderId="22" xfId="13" applyNumberFormat="1" applyFont="1" applyFill="1" applyBorder="1" applyAlignment="1">
      <alignment horizontal="center" vertical="center" wrapText="1"/>
    </xf>
    <xf numFmtId="0" fontId="15" fillId="0" borderId="49" xfId="3" quotePrefix="1" applyFont="1" applyFill="1" applyBorder="1" applyAlignment="1">
      <alignment horizontal="center" vertical="center"/>
    </xf>
    <xf numFmtId="0" fontId="48" fillId="4" borderId="50" xfId="3" applyFont="1" applyFill="1" applyBorder="1" applyAlignment="1">
      <alignment vertical="center"/>
    </xf>
    <xf numFmtId="0" fontId="48" fillId="4" borderId="17" xfId="3" applyFont="1" applyFill="1" applyBorder="1" applyAlignment="1">
      <alignment vertical="center"/>
    </xf>
    <xf numFmtId="0" fontId="8" fillId="0" borderId="25" xfId="3" applyFont="1" applyBorder="1" applyAlignment="1">
      <alignment vertical="center"/>
    </xf>
    <xf numFmtId="49" fontId="8" fillId="0" borderId="51" xfId="3" applyNumberFormat="1" applyFont="1" applyFill="1" applyBorder="1" applyAlignment="1">
      <alignment horizontal="left" vertical="top" wrapText="1"/>
    </xf>
    <xf numFmtId="0" fontId="0" fillId="0" borderId="0" xfId="0" applyBorder="1" applyAlignment="1">
      <alignment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52" xfId="0" applyNumberFormat="1" applyBorder="1" applyAlignment="1">
      <alignment vertical="center"/>
    </xf>
    <xf numFmtId="0" fontId="0" fillId="0" borderId="53" xfId="0" applyBorder="1" applyAlignment="1">
      <alignment vertical="center"/>
    </xf>
    <xf numFmtId="1" fontId="9" fillId="0" borderId="0" xfId="3" applyNumberFormat="1" applyFont="1" applyAlignment="1">
      <alignment horizontal="centerContinuous" vertical="center" wrapText="1"/>
    </xf>
    <xf numFmtId="1" fontId="9" fillId="0" borderId="0" xfId="3" applyNumberFormat="1" applyFont="1" applyAlignment="1">
      <alignment horizontal="center" vertical="center" wrapText="1"/>
    </xf>
    <xf numFmtId="0" fontId="9" fillId="0" borderId="0" xfId="3" applyFont="1" applyAlignment="1">
      <alignment horizontal="center" vertical="center" wrapText="1"/>
    </xf>
    <xf numFmtId="0" fontId="5" fillId="0" borderId="0" xfId="3" applyBorder="1" applyAlignment="1">
      <alignment horizontal="justify" vertical="center" wrapText="1"/>
    </xf>
    <xf numFmtId="0" fontId="8" fillId="0" borderId="0" xfId="3" applyFont="1" applyBorder="1" applyAlignment="1">
      <alignment vertical="center"/>
    </xf>
    <xf numFmtId="0" fontId="5" fillId="4" borderId="56" xfId="3" applyFill="1" applyBorder="1" applyAlignment="1">
      <alignment vertical="center"/>
    </xf>
    <xf numFmtId="49" fontId="52" fillId="10" borderId="47" xfId="3" applyNumberFormat="1" applyFont="1" applyFill="1" applyBorder="1" applyAlignment="1">
      <alignment horizontal="justify" vertical="center" wrapText="1"/>
    </xf>
    <xf numFmtId="0" fontId="53" fillId="10" borderId="47" xfId="3" applyFont="1" applyFill="1" applyBorder="1" applyAlignment="1">
      <alignment horizontal="justify" vertical="center" wrapText="1"/>
    </xf>
    <xf numFmtId="3" fontId="8" fillId="6" borderId="21" xfId="3" applyNumberFormat="1" applyFont="1" applyFill="1" applyBorder="1" applyAlignment="1">
      <alignment horizontal="center" vertical="center" wrapText="1"/>
    </xf>
    <xf numFmtId="0" fontId="20" fillId="8" borderId="0" xfId="3" applyFont="1" applyFill="1" applyAlignment="1">
      <alignment horizontal="center" vertical="center"/>
    </xf>
    <xf numFmtId="0" fontId="5" fillId="8" borderId="0" xfId="3" applyFill="1" applyAlignment="1">
      <alignment vertical="center"/>
    </xf>
    <xf numFmtId="0" fontId="12" fillId="8" borderId="0" xfId="3" applyFont="1" applyFill="1" applyAlignment="1">
      <alignment horizontal="center" vertical="center"/>
    </xf>
    <xf numFmtId="167" fontId="11" fillId="8" borderId="0" xfId="3" applyNumberFormat="1" applyFont="1" applyFill="1" applyAlignment="1">
      <alignment horizontal="center" vertical="center"/>
    </xf>
    <xf numFmtId="167" fontId="20" fillId="8" borderId="0" xfId="3" applyNumberFormat="1" applyFont="1" applyFill="1" applyAlignment="1">
      <alignment horizontal="center" vertical="center"/>
    </xf>
    <xf numFmtId="4" fontId="20" fillId="8" borderId="0" xfId="3" applyNumberFormat="1" applyFont="1" applyFill="1" applyAlignment="1">
      <alignment vertical="center"/>
    </xf>
    <xf numFmtId="0" fontId="5" fillId="8" borderId="0" xfId="3" applyFill="1"/>
    <xf numFmtId="0" fontId="12" fillId="8" borderId="0" xfId="4" applyFont="1" applyFill="1" applyAlignment="1">
      <alignment horizontal="center"/>
    </xf>
    <xf numFmtId="3" fontId="5" fillId="8" borderId="0" xfId="4" applyNumberFormat="1" applyFill="1"/>
    <xf numFmtId="0" fontId="12" fillId="8" borderId="0" xfId="3" applyFont="1" applyFill="1" applyAlignment="1">
      <alignment horizontal="center"/>
    </xf>
    <xf numFmtId="14" fontId="19" fillId="8" borderId="0" xfId="3" applyNumberFormat="1" applyFont="1" applyFill="1"/>
    <xf numFmtId="0" fontId="8" fillId="8" borderId="0" xfId="3" applyFont="1" applyFill="1" applyAlignment="1">
      <alignment horizontal="center" vertical="center"/>
    </xf>
    <xf numFmtId="2" fontId="8" fillId="8" borderId="0" xfId="3" applyNumberFormat="1" applyFont="1" applyFill="1" applyAlignment="1">
      <alignment horizontal="center" vertical="center"/>
    </xf>
    <xf numFmtId="172" fontId="8" fillId="8" borderId="0" xfId="3" applyNumberFormat="1" applyFont="1" applyFill="1" applyAlignment="1">
      <alignment horizontal="center" vertical="center"/>
    </xf>
    <xf numFmtId="0" fontId="15" fillId="0" borderId="48" xfId="3" quotePrefix="1" applyFont="1" applyFill="1" applyBorder="1" applyAlignment="1">
      <alignment horizontal="center" vertical="center"/>
    </xf>
    <xf numFmtId="0" fontId="8" fillId="0" borderId="81" xfId="3" applyFont="1" applyBorder="1" applyAlignment="1">
      <alignment horizontal="center" vertical="center" wrapText="1"/>
    </xf>
    <xf numFmtId="0" fontId="5" fillId="0" borderId="80" xfId="3" applyBorder="1" applyAlignment="1">
      <alignment horizontal="center" vertical="center" wrapText="1"/>
    </xf>
    <xf numFmtId="0" fontId="5" fillId="0" borderId="81" xfId="3" applyBorder="1" applyAlignment="1">
      <alignment horizontal="center" vertical="center" wrapText="1"/>
    </xf>
    <xf numFmtId="0" fontId="5" fillId="0" borderId="82" xfId="3" applyBorder="1" applyAlignment="1">
      <alignment horizontal="center" vertical="center" wrapText="1"/>
    </xf>
    <xf numFmtId="4" fontId="55" fillId="0" borderId="16" xfId="6" applyNumberFormat="1" applyFont="1" applyBorder="1" applyAlignment="1">
      <alignment horizontal="center" vertical="center" wrapText="1"/>
    </xf>
    <xf numFmtId="4" fontId="52" fillId="0" borderId="16" xfId="6" applyNumberFormat="1" applyFont="1" applyBorder="1" applyAlignment="1">
      <alignment horizontal="center" vertical="center"/>
    </xf>
    <xf numFmtId="169" fontId="52" fillId="0" borderId="16" xfId="6" applyNumberFormat="1" applyFont="1" applyBorder="1" applyAlignment="1">
      <alignment horizontal="center" vertical="center"/>
    </xf>
    <xf numFmtId="0" fontId="5" fillId="0" borderId="0" xfId="6" applyFont="1" applyAlignment="1">
      <alignment horizontal="center" vertical="center"/>
    </xf>
    <xf numFmtId="0" fontId="28" fillId="0" borderId="0" xfId="6" applyAlignment="1">
      <alignment horizontal="center" vertical="center"/>
    </xf>
    <xf numFmtId="0" fontId="12" fillId="0" borderId="0" xfId="6" applyFont="1" applyAlignment="1">
      <alignment horizontal="center" vertical="center"/>
    </xf>
    <xf numFmtId="0" fontId="5" fillId="0" borderId="22" xfId="3" applyBorder="1" applyAlignment="1">
      <alignment horizontal="center" vertical="center"/>
    </xf>
    <xf numFmtId="0" fontId="0" fillId="0" borderId="36" xfId="0" applyBorder="1" applyAlignment="1">
      <alignment horizontal="center" vertical="center"/>
    </xf>
    <xf numFmtId="0" fontId="0" fillId="0" borderId="79" xfId="0" applyBorder="1" applyAlignment="1">
      <alignment horizontal="center" vertical="center"/>
    </xf>
    <xf numFmtId="0" fontId="28" fillId="0" borderId="22" xfId="6" applyBorder="1" applyAlignment="1">
      <alignment horizontal="center" vertical="center"/>
    </xf>
    <xf numFmtId="14" fontId="56" fillId="0" borderId="0" xfId="0" applyNumberFormat="1" applyFont="1" applyBorder="1" applyAlignment="1">
      <alignment horizontal="center" vertical="center"/>
    </xf>
    <xf numFmtId="4" fontId="8" fillId="0" borderId="40" xfId="3" applyNumberFormat="1" applyFont="1" applyFill="1" applyBorder="1" applyAlignment="1">
      <alignment horizontal="center" vertical="center" wrapText="1"/>
    </xf>
    <xf numFmtId="4" fontId="8" fillId="0" borderId="48" xfId="3" quotePrefix="1" applyNumberFormat="1" applyFont="1" applyFill="1" applyBorder="1" applyAlignment="1">
      <alignment horizontal="center" vertical="center"/>
    </xf>
    <xf numFmtId="0" fontId="48" fillId="4" borderId="85" xfId="3" applyFont="1" applyFill="1" applyBorder="1" applyAlignment="1">
      <alignment horizontal="center" vertical="center" wrapText="1"/>
    </xf>
    <xf numFmtId="0" fontId="19" fillId="0" borderId="0" xfId="3" applyFont="1" applyAlignment="1">
      <alignment horizontal="center" vertical="center"/>
    </xf>
    <xf numFmtId="0" fontId="5" fillId="0" borderId="81" xfId="3" applyBorder="1" applyAlignment="1">
      <alignment horizontal="center" vertical="center"/>
    </xf>
    <xf numFmtId="0" fontId="8" fillId="0" borderId="82" xfId="3" applyFont="1" applyFill="1" applyBorder="1" applyAlignment="1">
      <alignment horizontal="center" vertical="center"/>
    </xf>
    <xf numFmtId="0" fontId="5" fillId="0" borderId="0" xfId="3" applyFill="1" applyAlignment="1">
      <alignment horizontal="center" vertical="center"/>
    </xf>
    <xf numFmtId="0" fontId="5" fillId="0" borderId="85" xfId="3" applyBorder="1" applyAlignment="1">
      <alignment horizontal="center" vertical="center"/>
    </xf>
    <xf numFmtId="0" fontId="49" fillId="0" borderId="0" xfId="3" applyFont="1" applyAlignment="1">
      <alignment horizontal="center" vertical="center"/>
    </xf>
    <xf numFmtId="0" fontId="5" fillId="0" borderId="19" xfId="3" applyBorder="1" applyAlignment="1">
      <alignment horizontal="center" vertical="center"/>
    </xf>
    <xf numFmtId="4" fontId="8" fillId="0" borderId="22" xfId="3" applyNumberFormat="1" applyFont="1" applyFill="1" applyBorder="1" applyAlignment="1">
      <alignment horizontal="center" vertical="center" wrapText="1"/>
    </xf>
    <xf numFmtId="4" fontId="5" fillId="0" borderId="22" xfId="3" applyNumberFormat="1" applyBorder="1" applyAlignment="1">
      <alignment horizontal="center" vertical="center"/>
    </xf>
    <xf numFmtId="4" fontId="5" fillId="0" borderId="19" xfId="3" applyNumberFormat="1" applyBorder="1" applyAlignment="1">
      <alignment horizontal="center" vertical="center"/>
    </xf>
    <xf numFmtId="0" fontId="15" fillId="0" borderId="23" xfId="3" quotePrefix="1" applyFont="1" applyFill="1" applyBorder="1" applyAlignment="1">
      <alignment horizontal="center" vertical="center"/>
    </xf>
    <xf numFmtId="4" fontId="5" fillId="0" borderId="85" xfId="3" applyNumberFormat="1" applyBorder="1" applyAlignment="1">
      <alignment horizontal="center" vertical="center"/>
    </xf>
    <xf numFmtId="0" fontId="1" fillId="9" borderId="22" xfId="8" applyFont="1" applyFill="1" applyBorder="1" applyAlignment="1">
      <alignment horizontal="center" vertical="center"/>
    </xf>
    <xf numFmtId="0" fontId="57" fillId="4" borderId="54" xfId="3" applyFont="1" applyFill="1" applyBorder="1" applyAlignment="1">
      <alignment horizontal="center" vertical="center"/>
    </xf>
    <xf numFmtId="0" fontId="6" fillId="0" borderId="85" xfId="3" quotePrefix="1" applyFont="1" applyFill="1" applyBorder="1" applyAlignment="1">
      <alignment horizontal="center" vertical="center"/>
    </xf>
    <xf numFmtId="2" fontId="0" fillId="0" borderId="0" xfId="0" applyNumberFormat="1"/>
    <xf numFmtId="0" fontId="15" fillId="0" borderId="81" xfId="3" applyFont="1" applyBorder="1" applyAlignment="1">
      <alignment horizontal="center" vertical="center" wrapText="1"/>
    </xf>
    <xf numFmtId="0" fontId="8" fillId="0" borderId="29" xfId="3" applyFont="1" applyFill="1" applyBorder="1" applyAlignment="1">
      <alignment horizontal="center" vertical="center"/>
    </xf>
    <xf numFmtId="0" fontId="8" fillId="0" borderId="19" xfId="3" applyFont="1" applyFill="1" applyBorder="1" applyAlignment="1">
      <alignment horizontal="center" vertical="center" wrapText="1"/>
    </xf>
    <xf numFmtId="10" fontId="8" fillId="0" borderId="19" xfId="13" applyNumberFormat="1" applyFont="1" applyFill="1" applyBorder="1" applyAlignment="1">
      <alignment horizontal="center" vertical="center" wrapText="1"/>
    </xf>
    <xf numFmtId="4" fontId="8" fillId="0" borderId="19" xfId="3" applyNumberFormat="1" applyFont="1" applyFill="1" applyBorder="1" applyAlignment="1">
      <alignment horizontal="center" vertical="center" wrapText="1"/>
    </xf>
    <xf numFmtId="0" fontId="8" fillId="0" borderId="30" xfId="3" applyFont="1" applyFill="1" applyBorder="1" applyAlignment="1">
      <alignment horizontal="center" vertical="center" wrapText="1"/>
    </xf>
    <xf numFmtId="0" fontId="5" fillId="0" borderId="47" xfId="3" applyBorder="1" applyAlignment="1">
      <alignment horizontal="center" vertical="center" wrapText="1"/>
    </xf>
    <xf numFmtId="0" fontId="5" fillId="0" borderId="29" xfId="3" applyBorder="1" applyAlignment="1">
      <alignment horizontal="center" vertical="center" wrapText="1"/>
    </xf>
    <xf numFmtId="0" fontId="48" fillId="4" borderId="22" xfId="3" applyFont="1" applyFill="1" applyBorder="1" applyAlignment="1">
      <alignment horizontal="center" vertical="center" wrapText="1"/>
    </xf>
    <xf numFmtId="0" fontId="6" fillId="4" borderId="15" xfId="3" applyFont="1" applyFill="1" applyBorder="1" applyAlignment="1">
      <alignment horizontal="center" vertical="center"/>
    </xf>
    <xf numFmtId="0" fontId="48" fillId="4" borderId="91" xfId="3" applyFont="1" applyFill="1" applyBorder="1" applyAlignment="1">
      <alignment horizontal="center" vertical="center" wrapText="1"/>
    </xf>
    <xf numFmtId="9" fontId="48" fillId="0" borderId="90" xfId="13" applyFont="1" applyBorder="1" applyAlignment="1">
      <alignment horizontal="center" vertical="center"/>
    </xf>
    <xf numFmtId="0" fontId="48" fillId="4" borderId="28" xfId="3" applyFont="1" applyFill="1" applyBorder="1" applyAlignment="1">
      <alignment horizontal="center" vertical="center" wrapText="1"/>
    </xf>
    <xf numFmtId="0" fontId="48" fillId="0" borderId="42" xfId="3" applyFont="1" applyBorder="1" applyAlignment="1">
      <alignment horizontal="center" vertical="center"/>
    </xf>
    <xf numFmtId="0" fontId="44" fillId="4" borderId="18" xfId="6" applyFont="1" applyFill="1" applyBorder="1" applyAlignment="1">
      <alignment horizontal="center" vertical="center" wrapText="1"/>
    </xf>
    <xf numFmtId="0" fontId="44" fillId="4" borderId="15" xfId="6" applyFont="1" applyFill="1" applyBorder="1" applyAlignment="1">
      <alignment horizontal="center" vertical="center" wrapText="1"/>
    </xf>
    <xf numFmtId="4" fontId="44" fillId="4" borderId="18" xfId="6" applyNumberFormat="1" applyFont="1" applyFill="1" applyBorder="1" applyAlignment="1">
      <alignment horizontal="center" vertical="center" wrapText="1"/>
    </xf>
    <xf numFmtId="1" fontId="6" fillId="0" borderId="0" xfId="6" applyNumberFormat="1" applyFont="1" applyFill="1" applyBorder="1" applyAlignment="1">
      <alignment horizontal="center" vertical="center" wrapText="1"/>
    </xf>
    <xf numFmtId="0" fontId="32" fillId="0" borderId="0" xfId="6" applyFont="1" applyAlignment="1">
      <alignment horizontal="center" vertical="center"/>
    </xf>
    <xf numFmtId="1" fontId="9" fillId="0" borderId="0" xfId="6" applyNumberFormat="1" applyFont="1" applyAlignment="1">
      <alignment horizontal="center" vertical="center" wrapText="1"/>
    </xf>
    <xf numFmtId="1" fontId="6" fillId="0" borderId="0" xfId="6" applyNumberFormat="1" applyFont="1" applyAlignment="1">
      <alignment horizontal="center" vertical="center" wrapText="1"/>
    </xf>
    <xf numFmtId="0" fontId="58" fillId="0" borderId="0" xfId="3" applyFont="1" applyAlignment="1">
      <alignment horizontal="center" vertical="center" wrapText="1"/>
    </xf>
    <xf numFmtId="173" fontId="58" fillId="0" borderId="0" xfId="6" applyNumberFormat="1" applyFont="1" applyAlignment="1">
      <alignment horizontal="center" vertical="center" wrapText="1"/>
    </xf>
    <xf numFmtId="0" fontId="6" fillId="11" borderId="22" xfId="3" applyFont="1" applyFill="1" applyBorder="1" applyAlignment="1">
      <alignment horizontal="center" vertical="center" wrapText="1"/>
    </xf>
    <xf numFmtId="1" fontId="44" fillId="4" borderId="63" xfId="6" applyNumberFormat="1" applyFont="1" applyFill="1" applyBorder="1" applyAlignment="1">
      <alignment horizontal="center" vertical="center"/>
    </xf>
    <xf numFmtId="1" fontId="44" fillId="4" borderId="64" xfId="6" applyNumberFormat="1" applyFont="1" applyFill="1" applyBorder="1" applyAlignment="1">
      <alignment horizontal="center" vertical="center"/>
    </xf>
    <xf numFmtId="1" fontId="44" fillId="4" borderId="35" xfId="6" applyNumberFormat="1" applyFont="1" applyFill="1" applyBorder="1" applyAlignment="1">
      <alignment horizontal="center" vertical="center" wrapText="1"/>
    </xf>
    <xf numFmtId="1" fontId="44" fillId="4" borderId="19" xfId="6" applyNumberFormat="1" applyFont="1" applyFill="1" applyBorder="1" applyAlignment="1">
      <alignment horizontal="center" vertical="center" wrapText="1"/>
    </xf>
    <xf numFmtId="0" fontId="44" fillId="4" borderId="35" xfId="6" applyFont="1" applyFill="1" applyBorder="1" applyAlignment="1">
      <alignment horizontal="center" vertical="center"/>
    </xf>
    <xf numFmtId="0" fontId="44" fillId="4" borderId="65" xfId="6" applyFont="1" applyFill="1" applyBorder="1" applyAlignment="1">
      <alignment horizontal="center" vertical="center"/>
    </xf>
    <xf numFmtId="1" fontId="6" fillId="0" borderId="0" xfId="10" applyNumberFormat="1" applyFont="1" applyAlignment="1" applyProtection="1">
      <alignment horizontal="center" vertical="center" wrapText="1"/>
      <protection hidden="1"/>
    </xf>
    <xf numFmtId="1" fontId="30" fillId="0" borderId="0" xfId="6" applyNumberFormat="1" applyFont="1" applyAlignment="1">
      <alignment horizontal="center" vertical="center" wrapText="1"/>
    </xf>
    <xf numFmtId="0" fontId="15" fillId="4" borderId="66" xfId="3" applyNumberFormat="1" applyFont="1" applyFill="1" applyBorder="1" applyAlignment="1">
      <alignment horizontal="center" vertical="center" wrapText="1"/>
    </xf>
    <xf numFmtId="0" fontId="15" fillId="4" borderId="67" xfId="3" applyNumberFormat="1" applyFont="1" applyFill="1" applyBorder="1" applyAlignment="1">
      <alignment horizontal="center" vertical="center" wrapText="1"/>
    </xf>
    <xf numFmtId="0" fontId="6" fillId="0" borderId="0" xfId="11" applyNumberFormat="1" applyFont="1" applyAlignment="1" applyProtection="1">
      <alignment horizontal="center" vertical="center" wrapText="1"/>
      <protection hidden="1"/>
    </xf>
    <xf numFmtId="0" fontId="48" fillId="4" borderId="50" xfId="3" applyFont="1" applyFill="1" applyBorder="1" applyAlignment="1">
      <alignment horizontal="center" vertical="center"/>
    </xf>
    <xf numFmtId="0" fontId="48" fillId="4" borderId="17" xfId="3" applyFont="1" applyFill="1" applyBorder="1" applyAlignment="1">
      <alignment horizontal="center" vertical="center"/>
    </xf>
    <xf numFmtId="0" fontId="48" fillId="4" borderId="68" xfId="3" applyFont="1" applyFill="1" applyBorder="1" applyAlignment="1">
      <alignment horizontal="center" vertical="center"/>
    </xf>
    <xf numFmtId="0" fontId="48" fillId="4" borderId="41" xfId="3" applyFont="1" applyFill="1" applyBorder="1" applyAlignment="1">
      <alignment horizontal="center" vertical="center"/>
    </xf>
    <xf numFmtId="0" fontId="48" fillId="4" borderId="63" xfId="3" applyFont="1" applyFill="1" applyBorder="1" applyAlignment="1">
      <alignment horizontal="center" vertical="center"/>
    </xf>
    <xf numFmtId="0" fontId="48" fillId="4" borderId="73" xfId="3" applyFont="1" applyFill="1" applyBorder="1" applyAlignment="1">
      <alignment horizontal="center" vertical="center" wrapText="1"/>
    </xf>
    <xf numFmtId="0" fontId="48" fillId="4" borderId="74" xfId="3" applyFont="1" applyFill="1" applyBorder="1" applyAlignment="1">
      <alignment horizontal="center" vertical="center" wrapText="1"/>
    </xf>
    <xf numFmtId="0" fontId="48" fillId="4" borderId="75" xfId="3" applyFont="1" applyFill="1" applyBorder="1" applyAlignment="1">
      <alignment horizontal="center" vertical="center" wrapText="1"/>
    </xf>
    <xf numFmtId="0" fontId="48" fillId="8" borderId="61" xfId="3" applyFont="1" applyFill="1" applyBorder="1" applyAlignment="1">
      <alignment horizontal="justify" vertical="center" wrapText="1"/>
    </xf>
    <xf numFmtId="0" fontId="48" fillId="8" borderId="18" xfId="3" applyFont="1" applyFill="1" applyBorder="1" applyAlignment="1">
      <alignment horizontal="justify" vertical="center" wrapText="1"/>
    </xf>
    <xf numFmtId="0" fontId="48" fillId="8" borderId="62" xfId="3" applyFont="1" applyFill="1" applyBorder="1" applyAlignment="1">
      <alignment horizontal="justify" vertical="center" wrapText="1"/>
    </xf>
    <xf numFmtId="0" fontId="48" fillId="8" borderId="53" xfId="3" applyFont="1" applyFill="1" applyBorder="1" applyAlignment="1">
      <alignment horizontal="justify" vertical="center" wrapText="1"/>
    </xf>
    <xf numFmtId="0" fontId="48" fillId="8" borderId="0" xfId="3" applyFont="1" applyFill="1" applyBorder="1" applyAlignment="1">
      <alignment horizontal="justify" vertical="center" wrapText="1"/>
    </xf>
    <xf numFmtId="0" fontId="48" fillId="8" borderId="52" xfId="3" applyFont="1" applyFill="1" applyBorder="1" applyAlignment="1">
      <alignment horizontal="justify" vertical="center" wrapText="1"/>
    </xf>
    <xf numFmtId="0" fontId="48" fillId="8" borderId="26" xfId="3" applyFont="1" applyFill="1" applyBorder="1" applyAlignment="1">
      <alignment horizontal="justify" vertical="center" wrapText="1"/>
    </xf>
    <xf numFmtId="0" fontId="48" fillId="8" borderId="15" xfId="3" applyFont="1" applyFill="1" applyBorder="1" applyAlignment="1">
      <alignment horizontal="justify" vertical="center" wrapText="1"/>
    </xf>
    <xf numFmtId="0" fontId="48" fillId="8" borderId="27" xfId="3" applyFont="1" applyFill="1" applyBorder="1" applyAlignment="1">
      <alignment horizontal="justify" vertical="center" wrapText="1"/>
    </xf>
    <xf numFmtId="0" fontId="14" fillId="0" borderId="40" xfId="3" applyFont="1" applyFill="1" applyBorder="1" applyAlignment="1">
      <alignment horizontal="center" vertical="center" wrapText="1"/>
    </xf>
    <xf numFmtId="0" fontId="14" fillId="0" borderId="39" xfId="3" applyFont="1" applyFill="1" applyBorder="1" applyAlignment="1">
      <alignment horizontal="center" vertical="center" wrapText="1"/>
    </xf>
    <xf numFmtId="0" fontId="44" fillId="4" borderId="40" xfId="3" applyFont="1" applyFill="1" applyBorder="1" applyAlignment="1">
      <alignment horizontal="center" vertical="center" wrapText="1"/>
    </xf>
    <xf numFmtId="0" fontId="44" fillId="4" borderId="39" xfId="3" applyFont="1" applyFill="1" applyBorder="1" applyAlignment="1">
      <alignment horizontal="center" vertical="center" wrapText="1"/>
    </xf>
    <xf numFmtId="9" fontId="14" fillId="0" borderId="55" xfId="13" quotePrefix="1" applyFont="1" applyFill="1" applyBorder="1" applyAlignment="1">
      <alignment horizontal="center" vertical="center"/>
    </xf>
    <xf numFmtId="9" fontId="14" fillId="0" borderId="90" xfId="13" quotePrefix="1" applyFont="1" applyFill="1" applyBorder="1" applyAlignment="1">
      <alignment horizontal="center" vertical="center"/>
    </xf>
    <xf numFmtId="0" fontId="48" fillId="4" borderId="22" xfId="3" applyFont="1" applyFill="1" applyBorder="1" applyAlignment="1">
      <alignment horizontal="center" vertical="center" wrapText="1"/>
    </xf>
    <xf numFmtId="0" fontId="48" fillId="4" borderId="35" xfId="3" applyFont="1" applyFill="1" applyBorder="1" applyAlignment="1">
      <alignment horizontal="center" vertical="center" wrapText="1"/>
    </xf>
    <xf numFmtId="15" fontId="48" fillId="4" borderId="35" xfId="3" applyNumberFormat="1" applyFont="1" applyFill="1" applyBorder="1" applyAlignment="1">
      <alignment horizontal="center" vertical="center" wrapText="1"/>
    </xf>
    <xf numFmtId="15" fontId="48" fillId="4" borderId="22" xfId="3" applyNumberFormat="1" applyFont="1" applyFill="1" applyBorder="1" applyAlignment="1">
      <alignment horizontal="center" vertical="center" wrapText="1"/>
    </xf>
    <xf numFmtId="0" fontId="15" fillId="4" borderId="50" xfId="3" applyFont="1" applyFill="1" applyBorder="1" applyAlignment="1">
      <alignment horizontal="center" vertical="center" wrapText="1"/>
    </xf>
    <xf numFmtId="0" fontId="15" fillId="4" borderId="71" xfId="3" applyFont="1" applyFill="1" applyBorder="1" applyAlignment="1">
      <alignment horizontal="center" vertical="center" wrapText="1"/>
    </xf>
    <xf numFmtId="0" fontId="48" fillId="4" borderId="55" xfId="3" applyFont="1" applyFill="1" applyBorder="1" applyAlignment="1">
      <alignment horizontal="center" vertical="center" wrapText="1"/>
    </xf>
    <xf numFmtId="0" fontId="48" fillId="4" borderId="60" xfId="3" applyFont="1" applyFill="1" applyBorder="1" applyAlignment="1">
      <alignment horizontal="center" vertical="center" wrapText="1"/>
    </xf>
    <xf numFmtId="0" fontId="6" fillId="4" borderId="26" xfId="3" applyFont="1" applyFill="1" applyBorder="1" applyAlignment="1">
      <alignment horizontal="center" vertical="center"/>
    </xf>
    <xf numFmtId="0" fontId="6" fillId="4" borderId="15" xfId="3" applyFont="1" applyFill="1" applyBorder="1" applyAlignment="1">
      <alignment horizontal="center" vertical="center"/>
    </xf>
    <xf numFmtId="0" fontId="6" fillId="4" borderId="0" xfId="3" applyFont="1" applyFill="1" applyBorder="1" applyAlignment="1">
      <alignment horizontal="center" vertical="center"/>
    </xf>
    <xf numFmtId="0" fontId="6" fillId="4" borderId="52" xfId="3" applyFont="1" applyFill="1" applyBorder="1" applyAlignment="1">
      <alignment horizontal="center" vertical="center"/>
    </xf>
    <xf numFmtId="0" fontId="48" fillId="4" borderId="54" xfId="3" applyFont="1" applyFill="1" applyBorder="1" applyAlignment="1">
      <alignment horizontal="center" vertical="center"/>
    </xf>
    <xf numFmtId="0" fontId="48" fillId="4" borderId="72" xfId="3" applyFont="1" applyFill="1" applyBorder="1" applyAlignment="1">
      <alignment horizontal="center" vertical="center"/>
    </xf>
    <xf numFmtId="0" fontId="15" fillId="4" borderId="69" xfId="3" applyFont="1" applyFill="1" applyBorder="1" applyAlignment="1">
      <alignment horizontal="center" vertical="center" wrapText="1"/>
    </xf>
    <xf numFmtId="0" fontId="15" fillId="4" borderId="58" xfId="3" applyFont="1" applyFill="1" applyBorder="1" applyAlignment="1">
      <alignment horizontal="center" vertical="center" wrapText="1"/>
    </xf>
    <xf numFmtId="0" fontId="15" fillId="4" borderId="70" xfId="3" applyFont="1" applyFill="1" applyBorder="1" applyAlignment="1">
      <alignment horizontal="center" vertical="center" wrapText="1"/>
    </xf>
    <xf numFmtId="0" fontId="15" fillId="4" borderId="53" xfId="3" applyFont="1" applyFill="1" applyBorder="1" applyAlignment="1">
      <alignment horizontal="center" vertical="center" wrapText="1"/>
    </xf>
    <xf numFmtId="0" fontId="15" fillId="4" borderId="0" xfId="3" applyFont="1" applyFill="1" applyBorder="1" applyAlignment="1">
      <alignment horizontal="center" vertical="center" wrapText="1"/>
    </xf>
    <xf numFmtId="0" fontId="15" fillId="4" borderId="57" xfId="3" applyFont="1" applyFill="1" applyBorder="1" applyAlignment="1">
      <alignment horizontal="center" vertical="center" wrapText="1"/>
    </xf>
    <xf numFmtId="0" fontId="48" fillId="4" borderId="69" xfId="3" applyFont="1" applyFill="1" applyBorder="1" applyAlignment="1">
      <alignment horizontal="center" vertical="center" wrapText="1"/>
    </xf>
    <xf numFmtId="0" fontId="48" fillId="4" borderId="70" xfId="3" applyFont="1" applyFill="1" applyBorder="1" applyAlignment="1">
      <alignment horizontal="center" vertical="center" wrapText="1"/>
    </xf>
    <xf numFmtId="0" fontId="48" fillId="4" borderId="76" xfId="3" applyFont="1" applyFill="1" applyBorder="1" applyAlignment="1">
      <alignment horizontal="center" vertical="center" wrapText="1"/>
    </xf>
    <xf numFmtId="0" fontId="48" fillId="4" borderId="77" xfId="3" applyFont="1" applyFill="1" applyBorder="1" applyAlignment="1">
      <alignment horizontal="center" vertical="center" wrapText="1"/>
    </xf>
    <xf numFmtId="0" fontId="15" fillId="8" borderId="26" xfId="3" applyFont="1" applyFill="1" applyBorder="1" applyAlignment="1">
      <alignment horizontal="center" vertical="center" wrapText="1"/>
    </xf>
    <xf numFmtId="0" fontId="15" fillId="8" borderId="15" xfId="3" applyFont="1" applyFill="1" applyBorder="1" applyAlignment="1">
      <alignment horizontal="center" vertical="center" wrapText="1"/>
    </xf>
    <xf numFmtId="0" fontId="15" fillId="8" borderId="27" xfId="3" applyFont="1" applyFill="1" applyBorder="1" applyAlignment="1">
      <alignment horizontal="center" vertical="center" wrapText="1"/>
    </xf>
    <xf numFmtId="0" fontId="15" fillId="4" borderId="17" xfId="3" applyFont="1" applyFill="1" applyBorder="1" applyAlignment="1">
      <alignment horizontal="center" vertical="center" wrapText="1"/>
    </xf>
    <xf numFmtId="0" fontId="15" fillId="4" borderId="54" xfId="3" applyFont="1" applyFill="1" applyBorder="1" applyAlignment="1">
      <alignment horizontal="center" vertical="center" wrapText="1"/>
    </xf>
    <xf numFmtId="0" fontId="48" fillId="4" borderId="65" xfId="3" applyFont="1" applyFill="1" applyBorder="1" applyAlignment="1">
      <alignment horizontal="center" vertical="center" wrapText="1"/>
    </xf>
    <xf numFmtId="0" fontId="48" fillId="4" borderId="63" xfId="3" applyFont="1" applyFill="1" applyBorder="1" applyAlignment="1">
      <alignment horizontal="center" vertical="center" wrapText="1"/>
    </xf>
    <xf numFmtId="0" fontId="48" fillId="4" borderId="38" xfId="3" applyFont="1" applyFill="1" applyBorder="1" applyAlignment="1">
      <alignment horizontal="center" vertical="center" wrapText="1"/>
    </xf>
    <xf numFmtId="0" fontId="48" fillId="4" borderId="46" xfId="3" applyFont="1" applyFill="1" applyBorder="1" applyAlignment="1">
      <alignment horizontal="center" vertical="center" wrapText="1"/>
    </xf>
    <xf numFmtId="0" fontId="48" fillId="4" borderId="78" xfId="3" applyFont="1" applyFill="1" applyBorder="1" applyAlignment="1">
      <alignment horizontal="center" vertical="center"/>
    </xf>
    <xf numFmtId="0" fontId="48" fillId="4" borderId="60" xfId="3" applyFont="1" applyFill="1" applyBorder="1" applyAlignment="1">
      <alignment horizontal="center" vertical="center"/>
    </xf>
    <xf numFmtId="0" fontId="14" fillId="0" borderId="0" xfId="3" applyFont="1" applyFill="1" applyBorder="1" applyAlignment="1">
      <alignment horizontal="center" vertical="center"/>
    </xf>
    <xf numFmtId="0" fontId="48" fillId="4" borderId="68" xfId="3" applyFont="1" applyFill="1" applyBorder="1" applyAlignment="1">
      <alignment horizontal="center" vertical="center" wrapText="1"/>
    </xf>
    <xf numFmtId="0" fontId="48" fillId="4" borderId="24" xfId="3" applyFont="1" applyFill="1" applyBorder="1" applyAlignment="1">
      <alignment horizontal="center" vertical="center" wrapText="1"/>
    </xf>
    <xf numFmtId="0" fontId="48" fillId="4" borderId="65" xfId="3" applyFont="1" applyFill="1" applyBorder="1" applyAlignment="1">
      <alignment horizontal="center" vertical="center"/>
    </xf>
    <xf numFmtId="0" fontId="15" fillId="4" borderId="26"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48" fillId="4" borderId="86" xfId="3" applyFont="1" applyFill="1" applyBorder="1" applyAlignment="1">
      <alignment horizontal="center" vertical="center" wrapText="1"/>
    </xf>
    <xf numFmtId="0" fontId="48" fillId="4" borderId="87" xfId="3" applyFont="1" applyFill="1" applyBorder="1" applyAlignment="1">
      <alignment horizontal="center" vertical="center" wrapText="1"/>
    </xf>
    <xf numFmtId="0" fontId="48" fillId="4" borderId="59" xfId="3" applyFont="1" applyFill="1" applyBorder="1" applyAlignment="1">
      <alignment horizontal="center" vertical="center" wrapText="1"/>
    </xf>
    <xf numFmtId="0" fontId="48" fillId="4" borderId="88" xfId="3" applyFont="1" applyFill="1" applyBorder="1" applyAlignment="1">
      <alignment horizontal="center" vertical="center" wrapText="1"/>
    </xf>
    <xf numFmtId="0" fontId="48" fillId="4" borderId="78" xfId="3" applyFont="1" applyFill="1" applyBorder="1" applyAlignment="1">
      <alignment horizontal="center" vertical="center" wrapText="1"/>
    </xf>
    <xf numFmtId="0" fontId="48" fillId="4" borderId="89" xfId="3" applyFont="1" applyFill="1" applyBorder="1" applyAlignment="1">
      <alignment horizontal="center" vertical="center" wrapText="1"/>
    </xf>
    <xf numFmtId="0" fontId="48" fillId="4" borderId="80" xfId="3" applyFont="1" applyFill="1" applyBorder="1" applyAlignment="1">
      <alignment horizontal="center" vertical="center" wrapText="1"/>
    </xf>
    <xf numFmtId="0" fontId="48" fillId="4" borderId="81" xfId="3" applyFont="1" applyFill="1" applyBorder="1" applyAlignment="1">
      <alignment horizontal="center" vertical="center" wrapText="1"/>
    </xf>
    <xf numFmtId="0" fontId="48" fillId="4" borderId="83" xfId="3" applyFont="1" applyFill="1" applyBorder="1" applyAlignment="1">
      <alignment horizontal="center" vertical="center" wrapText="1"/>
    </xf>
    <xf numFmtId="1" fontId="9" fillId="0" borderId="0" xfId="3" applyNumberFormat="1" applyFont="1" applyAlignment="1">
      <alignment horizontal="center" vertical="center" wrapText="1"/>
    </xf>
    <xf numFmtId="0" fontId="9" fillId="0" borderId="0" xfId="3" applyFont="1" applyAlignment="1">
      <alignment horizontal="center" vertical="center" wrapText="1"/>
    </xf>
    <xf numFmtId="0" fontId="48" fillId="4" borderId="53" xfId="3" applyFont="1" applyFill="1" applyBorder="1" applyAlignment="1">
      <alignment horizontal="center" vertical="center" wrapText="1"/>
    </xf>
    <xf numFmtId="1" fontId="7" fillId="0" borderId="0" xfId="3" applyNumberFormat="1" applyFont="1" applyAlignment="1" applyProtection="1">
      <alignment horizontal="center" vertical="center" wrapText="1"/>
    </xf>
    <xf numFmtId="0" fontId="6" fillId="0" borderId="0" xfId="3" applyFont="1" applyAlignment="1" applyProtection="1">
      <alignment horizontal="center" vertical="center" wrapText="1"/>
      <protection hidden="1"/>
    </xf>
    <xf numFmtId="175" fontId="9" fillId="0" borderId="0" xfId="3" applyNumberFormat="1" applyFont="1" applyAlignment="1" applyProtection="1">
      <alignment horizontal="center" vertical="center" wrapText="1"/>
      <protection hidden="1"/>
    </xf>
    <xf numFmtId="0" fontId="17" fillId="4" borderId="65" xfId="3" applyFont="1" applyFill="1" applyBorder="1" applyAlignment="1" applyProtection="1">
      <alignment horizontal="center" vertical="center" wrapText="1"/>
      <protection hidden="1"/>
    </xf>
    <xf numFmtId="0" fontId="17" fillId="4" borderId="45" xfId="3" applyFont="1" applyFill="1" applyBorder="1" applyAlignment="1" applyProtection="1">
      <alignment horizontal="center" vertical="center" wrapText="1"/>
      <protection hidden="1"/>
    </xf>
    <xf numFmtId="0" fontId="17" fillId="4" borderId="35" xfId="3" applyFont="1" applyFill="1" applyBorder="1" applyAlignment="1" applyProtection="1">
      <alignment horizontal="center" vertical="center" wrapText="1"/>
      <protection hidden="1"/>
    </xf>
    <xf numFmtId="0" fontId="17" fillId="4" borderId="63" xfId="3" applyFont="1" applyFill="1" applyBorder="1" applyAlignment="1" applyProtection="1">
      <alignment horizontal="center" vertical="center" wrapText="1"/>
      <protection hidden="1"/>
    </xf>
    <xf numFmtId="0" fontId="17" fillId="4" borderId="64" xfId="3" applyFont="1" applyFill="1" applyBorder="1" applyAlignment="1" applyProtection="1">
      <alignment horizontal="center" vertical="center" wrapText="1"/>
      <protection hidden="1"/>
    </xf>
    <xf numFmtId="0" fontId="17" fillId="4" borderId="35" xfId="3" applyFont="1" applyFill="1" applyBorder="1" applyAlignment="1" applyProtection="1">
      <alignment horizontal="center" vertical="center"/>
      <protection hidden="1"/>
    </xf>
    <xf numFmtId="0" fontId="17" fillId="4" borderId="19" xfId="3" applyFont="1" applyFill="1" applyBorder="1" applyAlignment="1" applyProtection="1">
      <alignment horizontal="center" vertical="center"/>
      <protection hidden="1"/>
    </xf>
    <xf numFmtId="0" fontId="20" fillId="8" borderId="0" xfId="3" applyFont="1" applyFill="1" applyAlignment="1">
      <alignment horizontal="center" vertical="center"/>
    </xf>
    <xf numFmtId="0" fontId="8" fillId="6" borderId="21" xfId="14" applyNumberFormat="1" applyFont="1" applyFill="1" applyBorder="1" applyAlignment="1">
      <alignment horizontal="center" vertical="center" wrapText="1"/>
    </xf>
    <xf numFmtId="0" fontId="8" fillId="6" borderId="21" xfId="3" applyNumberFormat="1" applyFont="1" applyFill="1" applyBorder="1" applyAlignment="1">
      <alignment horizontal="center" vertical="center" wrapText="1"/>
    </xf>
    <xf numFmtId="49" fontId="8" fillId="6" borderId="92" xfId="3" applyNumberFormat="1" applyFont="1" applyFill="1" applyBorder="1" applyAlignment="1">
      <alignment horizontal="center" vertical="center" wrapText="1"/>
    </xf>
    <xf numFmtId="49" fontId="8" fillId="6" borderId="33" xfId="3" applyNumberFormat="1" applyFont="1" applyFill="1" applyBorder="1" applyAlignment="1">
      <alignment horizontal="center" vertical="center" wrapText="1"/>
    </xf>
    <xf numFmtId="15" fontId="8" fillId="6" borderId="92" xfId="3" applyNumberFormat="1" applyFont="1" applyFill="1" applyBorder="1" applyAlignment="1">
      <alignment horizontal="center" vertical="center" wrapText="1"/>
    </xf>
    <xf numFmtId="15" fontId="8" fillId="6" borderId="33" xfId="3" applyNumberFormat="1" applyFont="1" applyFill="1" applyBorder="1" applyAlignment="1">
      <alignment horizontal="center" vertical="center" wrapText="1"/>
    </xf>
    <xf numFmtId="166" fontId="8" fillId="6" borderId="92" xfId="3" applyNumberFormat="1" applyFont="1" applyFill="1" applyBorder="1" applyAlignment="1">
      <alignment horizontal="center" vertical="center" wrapText="1"/>
    </xf>
    <xf numFmtId="166" fontId="8" fillId="6" borderId="33" xfId="3" applyNumberFormat="1" applyFont="1" applyFill="1" applyBorder="1" applyAlignment="1">
      <alignment horizontal="center" vertical="center" wrapText="1"/>
    </xf>
    <xf numFmtId="1" fontId="8" fillId="6" borderId="93" xfId="3" applyNumberFormat="1" applyFont="1" applyFill="1" applyBorder="1" applyAlignment="1">
      <alignment horizontal="center" vertical="center" wrapText="1"/>
    </xf>
    <xf numFmtId="1" fontId="8" fillId="6" borderId="94" xfId="3" applyNumberFormat="1" applyFont="1" applyFill="1" applyBorder="1" applyAlignment="1">
      <alignment horizontal="center" vertical="center" wrapText="1"/>
    </xf>
    <xf numFmtId="49" fontId="8" fillId="6" borderId="95" xfId="3" applyNumberFormat="1" applyFont="1" applyFill="1" applyBorder="1" applyAlignment="1">
      <alignment horizontal="center" vertical="center" wrapText="1"/>
    </xf>
    <xf numFmtId="15" fontId="8" fillId="6" borderId="95" xfId="3" applyNumberFormat="1" applyFont="1" applyFill="1" applyBorder="1" applyAlignment="1">
      <alignment horizontal="center" vertical="center" wrapText="1"/>
    </xf>
    <xf numFmtId="166" fontId="8" fillId="6" borderId="95" xfId="3" applyNumberFormat="1" applyFont="1" applyFill="1" applyBorder="1" applyAlignment="1">
      <alignment horizontal="center" vertical="center" wrapText="1"/>
    </xf>
    <xf numFmtId="1" fontId="8" fillId="6" borderId="96" xfId="3" applyNumberFormat="1" applyFont="1" applyFill="1" applyBorder="1" applyAlignment="1">
      <alignment horizontal="center" vertical="center" wrapText="1"/>
    </xf>
    <xf numFmtId="178" fontId="59" fillId="0" borderId="97" xfId="0" applyNumberFormat="1" applyFont="1" applyBorder="1" applyAlignment="1">
      <alignment horizontal="left" vertical="center" indent="1" shrinkToFit="1"/>
    </xf>
    <xf numFmtId="178" fontId="59" fillId="0" borderId="98" xfId="0" applyNumberFormat="1" applyFont="1" applyBorder="1" applyAlignment="1">
      <alignment horizontal="left" vertical="center" indent="1" shrinkToFit="1"/>
    </xf>
    <xf numFmtId="178" fontId="59" fillId="0" borderId="99" xfId="0" applyNumberFormat="1" applyFont="1" applyBorder="1" applyAlignment="1">
      <alignment horizontal="left" vertical="center" indent="1" shrinkToFit="1"/>
    </xf>
    <xf numFmtId="166" fontId="8" fillId="6" borderId="100" xfId="3" applyNumberFormat="1" applyFont="1" applyFill="1" applyBorder="1" applyAlignment="1">
      <alignment horizontal="center" vertical="center" wrapText="1"/>
    </xf>
    <xf numFmtId="166" fontId="8" fillId="6" borderId="101" xfId="3" applyNumberFormat="1" applyFont="1" applyFill="1" applyBorder="1" applyAlignment="1">
      <alignment horizontal="center" vertical="center" wrapText="1"/>
    </xf>
    <xf numFmtId="166" fontId="8" fillId="6" borderId="102" xfId="3" applyNumberFormat="1" applyFont="1" applyFill="1" applyBorder="1" applyAlignment="1">
      <alignment horizontal="center" vertical="center" wrapText="1"/>
    </xf>
    <xf numFmtId="49" fontId="8" fillId="6" borderId="92" xfId="14" applyNumberFormat="1" applyFont="1" applyFill="1" applyBorder="1" applyAlignment="1">
      <alignment horizontal="center" vertical="center" wrapText="1"/>
    </xf>
    <xf numFmtId="49" fontId="8" fillId="6" borderId="33" xfId="14" applyNumberFormat="1" applyFont="1" applyFill="1" applyBorder="1" applyAlignment="1">
      <alignment horizontal="center" vertical="center" wrapText="1"/>
    </xf>
    <xf numFmtId="0" fontId="60" fillId="0" borderId="58" xfId="0" applyFont="1" applyBorder="1" applyAlignment="1">
      <alignment horizontal="center" vertical="center" wrapText="1"/>
    </xf>
    <xf numFmtId="0" fontId="60" fillId="0" borderId="103" xfId="0" applyFont="1" applyBorder="1" applyAlignment="1">
      <alignment horizontal="center" vertical="center" wrapText="1"/>
    </xf>
    <xf numFmtId="0" fontId="8" fillId="6" borderId="92" xfId="14" applyNumberFormat="1" applyFont="1" applyFill="1" applyBorder="1" applyAlignment="1">
      <alignment vertical="center" wrapText="1"/>
    </xf>
    <xf numFmtId="49" fontId="8" fillId="0" borderId="51" xfId="3" applyNumberFormat="1" applyFont="1" applyFill="1" applyBorder="1" applyAlignment="1">
      <alignment horizontal="center" vertical="center" wrapText="1"/>
    </xf>
    <xf numFmtId="14" fontId="8" fillId="6" borderId="21" xfId="3" applyNumberFormat="1" applyFont="1" applyFill="1" applyBorder="1" applyAlignment="1">
      <alignment horizontal="center" vertical="center" wrapText="1"/>
    </xf>
    <xf numFmtId="4" fontId="8" fillId="6" borderId="92" xfId="3" applyNumberFormat="1" applyFont="1" applyFill="1" applyBorder="1" applyAlignment="1">
      <alignment vertical="center" wrapText="1"/>
    </xf>
    <xf numFmtId="0" fontId="8" fillId="6" borderId="92" xfId="14" applyNumberFormat="1" applyFont="1" applyFill="1" applyBorder="1" applyAlignment="1">
      <alignment horizontal="center" vertical="center" wrapText="1"/>
    </xf>
    <xf numFmtId="0" fontId="8" fillId="6" borderId="33" xfId="14" applyNumberFormat="1" applyFont="1" applyFill="1" applyBorder="1" applyAlignment="1">
      <alignment horizontal="center" vertical="center" wrapText="1"/>
    </xf>
    <xf numFmtId="49" fontId="8" fillId="6" borderId="95" xfId="14" applyNumberFormat="1" applyFont="1" applyFill="1" applyBorder="1" applyAlignment="1">
      <alignment horizontal="center" vertical="center" wrapText="1"/>
    </xf>
  </cellXfs>
  <cellStyles count="16">
    <cellStyle name="Millares 2" xfId="1" xr:uid="{00000000-0005-0000-0000-000000000000}"/>
    <cellStyle name="Moneda 2" xfId="2" xr:uid="{00000000-0005-0000-0000-000001000000}"/>
    <cellStyle name="Normal" xfId="0" builtinId="0"/>
    <cellStyle name="Normal 2" xfId="3" xr:uid="{00000000-0005-0000-0000-000003000000}"/>
    <cellStyle name="Normal 2 2" xfId="4" xr:uid="{00000000-0005-0000-0000-000004000000}"/>
    <cellStyle name="Normal 2_Kresidual" xfId="5" xr:uid="{00000000-0005-0000-0000-000005000000}"/>
    <cellStyle name="Normal 3" xfId="6" xr:uid="{00000000-0005-0000-0000-000006000000}"/>
    <cellStyle name="Normal 3 2" xfId="7" xr:uid="{00000000-0005-0000-0000-000007000000}"/>
    <cellStyle name="Normal 4" xfId="8" xr:uid="{00000000-0005-0000-0000-000008000000}"/>
    <cellStyle name="Normal 4 2" xfId="9" xr:uid="{00000000-0005-0000-0000-000009000000}"/>
    <cellStyle name="Normal_Kresidual" xfId="10" xr:uid="{00000000-0005-0000-0000-00000A000000}"/>
    <cellStyle name="Normal_Kresidual 2" xfId="11" xr:uid="{00000000-0005-0000-0000-00000B000000}"/>
    <cellStyle name="Notas" xfId="12" builtinId="10"/>
    <cellStyle name="Porcentaje" xfId="13" builtinId="5"/>
    <cellStyle name="Porcentual 2" xfId="14" xr:uid="{00000000-0005-0000-0000-00000E000000}"/>
    <cellStyle name="Porcentual 3" xfId="15" xr:uid="{00000000-0005-0000-0000-00000F000000}"/>
  </cellStyles>
  <dxfs count="2128">
    <dxf>
      <font>
        <b/>
        <i val="0"/>
      </font>
      <fill>
        <patternFill>
          <bgColor theme="0"/>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font>
    </dxf>
    <dxf>
      <font>
        <b/>
        <i val="0"/>
        <color rgb="FFFF0000"/>
      </font>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9" defaultPivotStyle="PivotStyleLight16"/>
  <colors>
    <mruColors>
      <color rgb="FF002060"/>
      <color rgb="FFA7E8FF"/>
      <color rgb="FFFFD5D5"/>
      <color rgb="FFB80000"/>
      <color rgb="FFFFCC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1155700</xdr:colOff>
          <xdr:row>23</xdr:row>
          <xdr:rowOff>69850</xdr:rowOff>
        </xdr:from>
        <xdr:to>
          <xdr:col>3</xdr:col>
          <xdr:colOff>736600</xdr:colOff>
          <xdr:row>25</xdr:row>
          <xdr:rowOff>50800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200" b="0" i="0" u="none" strike="noStrike" baseline="0">
                  <a:solidFill>
                    <a:srgbClr val="000000"/>
                  </a:solidFill>
                  <a:latin typeface="Calibri"/>
                  <a:cs typeface="Calibri"/>
                </a:rPr>
                <a:t>Publicar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printerSettings" Target="../printerSettings/printerSettings3.bin"/><Relationship Id="rId7"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4.bin"/><Relationship Id="rId7" Type="http://schemas.openxmlformats.org/officeDocument/2006/relationships/vmlDrawing" Target="../drawings/vmlDrawing2.v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4" Type="http://schemas.openxmlformats.org/officeDocument/2006/relationships/printerSettings" Target="../printerSettings/printerSettings1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22"/>
  <sheetViews>
    <sheetView showGridLines="0" topLeftCell="A7" workbookViewId="0">
      <selection activeCell="D9" sqref="D9"/>
    </sheetView>
  </sheetViews>
  <sheetFormatPr baseColWidth="10" defaultColWidth="11.5" defaultRowHeight="10"/>
  <cols>
    <col min="1" max="1" width="2.33203125" style="22" customWidth="1"/>
    <col min="2" max="2" width="13.08203125" style="28" customWidth="1"/>
    <col min="3" max="3" width="27.58203125" style="28" customWidth="1"/>
    <col min="4" max="4" width="13.58203125" style="29" customWidth="1"/>
    <col min="5" max="5" width="10.08203125" style="29" customWidth="1"/>
    <col min="6" max="6" width="10.75" style="22" customWidth="1"/>
    <col min="7" max="7" width="3" style="22" customWidth="1"/>
    <col min="8" max="16384" width="11.5" style="22"/>
  </cols>
  <sheetData>
    <row r="1" spans="2:29" ht="20.149999999999999" customHeight="1">
      <c r="B1" s="275" t="s">
        <v>12</v>
      </c>
      <c r="C1" s="275"/>
      <c r="D1" s="275"/>
      <c r="E1" s="275"/>
      <c r="F1" s="275"/>
      <c r="G1" s="23"/>
      <c r="H1" s="23"/>
      <c r="I1" s="23"/>
      <c r="J1" s="23"/>
      <c r="K1" s="23"/>
      <c r="L1" s="23"/>
      <c r="M1" s="23"/>
      <c r="N1" s="23"/>
      <c r="O1" s="23"/>
      <c r="P1" s="23"/>
      <c r="Q1" s="23"/>
      <c r="R1" s="23"/>
      <c r="S1" s="23"/>
      <c r="T1" s="23"/>
      <c r="U1" s="23"/>
      <c r="V1" s="23"/>
      <c r="W1" s="23"/>
      <c r="X1" s="23"/>
      <c r="Y1" s="23"/>
      <c r="Z1" s="23"/>
      <c r="AA1" s="23"/>
      <c r="AB1" s="23"/>
      <c r="AC1" s="23"/>
    </row>
    <row r="2" spans="2:29" ht="15.75" customHeight="1">
      <c r="B2" s="276" t="s">
        <v>13</v>
      </c>
      <c r="C2" s="276"/>
      <c r="D2" s="276"/>
      <c r="E2" s="276"/>
      <c r="F2" s="276"/>
      <c r="G2" s="24"/>
      <c r="H2" s="24"/>
      <c r="I2" s="24"/>
      <c r="J2" s="24"/>
      <c r="K2" s="24"/>
      <c r="L2" s="24"/>
      <c r="M2" s="24"/>
      <c r="N2" s="24"/>
      <c r="O2" s="24"/>
      <c r="P2" s="24"/>
      <c r="Q2" s="24"/>
      <c r="R2" s="24"/>
      <c r="S2" s="24"/>
      <c r="T2" s="24"/>
      <c r="U2" s="24"/>
      <c r="V2" s="24"/>
      <c r="W2" s="24"/>
      <c r="X2" s="24"/>
      <c r="Y2" s="24"/>
      <c r="Z2" s="24"/>
      <c r="AA2" s="24"/>
      <c r="AB2" s="24"/>
      <c r="AC2" s="24"/>
    </row>
    <row r="3" spans="2:29" ht="15.75" customHeight="1">
      <c r="B3" s="276" t="s">
        <v>60</v>
      </c>
      <c r="C3" s="276"/>
      <c r="D3" s="276"/>
      <c r="E3" s="276"/>
      <c r="F3" s="276"/>
      <c r="G3" s="25"/>
      <c r="H3" s="25"/>
      <c r="I3" s="25"/>
      <c r="J3" s="25"/>
      <c r="K3" s="25"/>
      <c r="L3" s="25"/>
      <c r="M3" s="25"/>
      <c r="N3" s="25"/>
      <c r="O3" s="25"/>
      <c r="P3" s="25"/>
      <c r="Q3" s="25"/>
      <c r="R3" s="25"/>
      <c r="S3" s="25"/>
      <c r="T3" s="25"/>
      <c r="U3" s="25"/>
      <c r="V3" s="25"/>
      <c r="W3" s="25"/>
      <c r="X3" s="25"/>
      <c r="Y3" s="25"/>
      <c r="Z3" s="25"/>
      <c r="AA3" s="25"/>
      <c r="AB3" s="25"/>
      <c r="AC3" s="25"/>
    </row>
    <row r="4" spans="2:29" s="61" customFormat="1" ht="15.75" customHeight="1">
      <c r="B4" s="277" t="s">
        <v>73</v>
      </c>
      <c r="C4" s="277"/>
      <c r="D4" s="277"/>
      <c r="E4" s="277"/>
      <c r="F4" s="277"/>
      <c r="G4" s="26"/>
      <c r="H4" s="26"/>
      <c r="I4" s="26"/>
      <c r="J4" s="26"/>
      <c r="K4" s="26"/>
      <c r="L4" s="26"/>
      <c r="M4" s="26"/>
      <c r="N4" s="26"/>
      <c r="O4" s="26"/>
      <c r="P4" s="26"/>
      <c r="Q4" s="26"/>
      <c r="R4" s="26"/>
      <c r="S4" s="26"/>
      <c r="T4" s="26"/>
      <c r="U4" s="26"/>
      <c r="V4" s="26"/>
      <c r="W4" s="26"/>
      <c r="X4" s="26"/>
      <c r="Y4" s="26"/>
      <c r="Z4" s="26"/>
      <c r="AA4" s="26"/>
      <c r="AB4" s="26"/>
      <c r="AC4" s="26"/>
    </row>
    <row r="5" spans="2:29" ht="15.75" customHeight="1">
      <c r="B5" s="278" t="s">
        <v>152</v>
      </c>
      <c r="C5" s="278"/>
      <c r="D5" s="278"/>
      <c r="E5" s="278"/>
      <c r="F5" s="278"/>
      <c r="G5" s="27"/>
      <c r="H5" s="27"/>
      <c r="I5" s="27"/>
      <c r="J5" s="27"/>
      <c r="K5" s="27"/>
      <c r="L5" s="27"/>
      <c r="M5" s="27"/>
      <c r="N5" s="27"/>
      <c r="O5" s="27"/>
      <c r="P5" s="27"/>
      <c r="Q5" s="27"/>
      <c r="R5" s="27"/>
      <c r="S5" s="27"/>
      <c r="T5" s="27"/>
      <c r="U5" s="27"/>
      <c r="V5" s="27"/>
      <c r="W5" s="27"/>
      <c r="X5" s="27"/>
      <c r="Y5" s="27"/>
      <c r="Z5" s="27"/>
      <c r="AA5" s="27"/>
      <c r="AB5" s="27"/>
      <c r="AC5" s="27"/>
    </row>
    <row r="6" spans="2:29" ht="36" customHeight="1">
      <c r="B6" s="276" t="str">
        <f>"OBJETO: "&amp;C15</f>
        <v>OBJETO: MANTENIMIENTO DE LA CARRETERA PUERTO RICO - MINA BLANCA, RUTA 65, TRAMO 6504, DEPARTAMENTO DE CAQUETÁ</v>
      </c>
      <c r="C6" s="276"/>
      <c r="D6" s="276"/>
      <c r="E6" s="276"/>
      <c r="F6" s="276"/>
      <c r="G6" s="27"/>
      <c r="H6" s="27"/>
      <c r="I6" s="27"/>
      <c r="J6" s="62"/>
      <c r="K6" s="27"/>
      <c r="L6" s="27"/>
      <c r="M6" s="27"/>
      <c r="N6" s="27"/>
      <c r="O6" s="27"/>
      <c r="P6" s="27"/>
      <c r="Q6" s="27"/>
      <c r="R6" s="27"/>
      <c r="S6" s="27"/>
      <c r="T6" s="27"/>
      <c r="U6" s="27"/>
      <c r="V6" s="27"/>
      <c r="W6" s="27"/>
      <c r="X6" s="27"/>
      <c r="Y6" s="27"/>
      <c r="Z6" s="27"/>
      <c r="AA6" s="27"/>
      <c r="AB6" s="27"/>
      <c r="AC6" s="27"/>
    </row>
    <row r="7" spans="2:29" ht="13">
      <c r="B7" s="174"/>
      <c r="C7" s="174"/>
      <c r="D7" s="174"/>
      <c r="E7" s="174"/>
      <c r="F7" s="174"/>
      <c r="G7" s="27"/>
      <c r="H7" s="27"/>
      <c r="I7" s="27"/>
      <c r="J7" s="62"/>
      <c r="K7" s="27"/>
      <c r="L7" s="27"/>
      <c r="M7" s="27"/>
      <c r="N7" s="27"/>
      <c r="O7" s="27"/>
      <c r="P7" s="27"/>
      <c r="Q7" s="27"/>
      <c r="R7" s="27"/>
      <c r="S7" s="27"/>
      <c r="T7" s="27"/>
      <c r="U7" s="27"/>
      <c r="V7" s="27"/>
      <c r="W7" s="27"/>
      <c r="X7" s="27"/>
      <c r="Y7" s="27"/>
      <c r="Z7" s="27"/>
      <c r="AA7" s="27"/>
      <c r="AB7" s="27"/>
      <c r="AC7" s="27"/>
    </row>
    <row r="8" spans="2:29" customFormat="1" ht="15.5">
      <c r="B8" s="273" t="s">
        <v>87</v>
      </c>
      <c r="C8" s="273"/>
      <c r="D8" s="236">
        <v>43761</v>
      </c>
      <c r="E8" s="29"/>
      <c r="F8" s="22"/>
      <c r="G8" s="22"/>
      <c r="H8" s="255"/>
    </row>
    <row r="9" spans="2:29" customFormat="1" ht="15.5"/>
    <row r="10" spans="2:29" ht="15.5">
      <c r="B10" s="274" t="s">
        <v>82</v>
      </c>
      <c r="C10" s="274"/>
      <c r="D10" s="274"/>
      <c r="E10" s="274"/>
      <c r="F10" s="274"/>
      <c r="H10" s="71"/>
    </row>
    <row r="11" spans="2:29" ht="10.5" thickBot="1"/>
    <row r="12" spans="2:29" ht="11.5" customHeight="1">
      <c r="B12" s="85" t="s">
        <v>83</v>
      </c>
      <c r="C12" s="270" t="s">
        <v>24</v>
      </c>
      <c r="D12" s="272" t="s">
        <v>41</v>
      </c>
      <c r="E12" s="272"/>
      <c r="F12" s="86" t="s">
        <v>9</v>
      </c>
      <c r="H12" s="71"/>
    </row>
    <row r="13" spans="2:29" ht="11" thickBot="1">
      <c r="B13" s="76" t="s">
        <v>40</v>
      </c>
      <c r="C13" s="271"/>
      <c r="D13" s="77" t="s">
        <v>36</v>
      </c>
      <c r="E13" s="77" t="s">
        <v>37</v>
      </c>
      <c r="F13" s="77" t="s">
        <v>39</v>
      </c>
    </row>
    <row r="14" spans="2:29" ht="3.65" customHeight="1">
      <c r="B14" s="72">
        <v>0</v>
      </c>
      <c r="C14" s="73"/>
      <c r="D14" s="74"/>
      <c r="E14" s="74"/>
      <c r="F14" s="74"/>
    </row>
    <row r="15" spans="2:29" ht="79.5" customHeight="1">
      <c r="B15" s="78">
        <v>1</v>
      </c>
      <c r="C15" s="226" t="s">
        <v>153</v>
      </c>
      <c r="D15" s="227">
        <v>1539231386</v>
      </c>
      <c r="E15" s="110">
        <f>IF(D15="","",D15/LOOKUP(VALUE($D$8),SMLM!$A$2:$D$100,SMLM!$D$2:$D$100))</f>
        <v>1858.7147042201816</v>
      </c>
      <c r="F15" s="228" t="s">
        <v>154</v>
      </c>
    </row>
    <row r="16" spans="2:29" hidden="1">
      <c r="B16" s="78"/>
      <c r="C16" s="79"/>
      <c r="D16" s="80"/>
      <c r="E16" s="110" t="str">
        <f>IF(D16="","",D16/LOOKUP(VALUE($D$8),SMLM!$A$2:$D$100,SMLM!$D$2:$D$100))</f>
        <v/>
      </c>
      <c r="F16" s="81"/>
    </row>
    <row r="17" spans="2:6" hidden="1">
      <c r="B17" s="78"/>
      <c r="C17" s="79"/>
      <c r="D17" s="80"/>
      <c r="E17" s="110" t="str">
        <f>IF(D17="","",D17/LOOKUP(VALUE($D$8),SMLM!$A$2:$D$100,SMLM!$D$2:$D$100))</f>
        <v/>
      </c>
      <c r="F17" s="81"/>
    </row>
    <row r="18" spans="2:6" hidden="1">
      <c r="B18" s="78"/>
      <c r="C18" s="79"/>
      <c r="D18" s="80"/>
      <c r="E18" s="110" t="str">
        <f>IF(D18="","",D18/LOOKUP(VALUE($D$8),SMLM!$A$2:$D$100,SMLM!$D$2:$D$100))</f>
        <v/>
      </c>
      <c r="F18" s="81"/>
    </row>
    <row r="19" spans="2:6" hidden="1">
      <c r="B19" s="78"/>
      <c r="C19" s="79"/>
      <c r="D19" s="80"/>
      <c r="E19" s="110" t="str">
        <f>IF(D19="","",D19/LOOKUP(VALUE($D$8),SMLM!$A$2:$D$100,SMLM!$D$2:$D$100))</f>
        <v/>
      </c>
      <c r="F19" s="81"/>
    </row>
    <row r="20" spans="2:6" hidden="1">
      <c r="B20" s="78"/>
      <c r="C20" s="79"/>
      <c r="D20" s="80"/>
      <c r="E20" s="110" t="str">
        <f>IF(D20="","",D20/LOOKUP(VALUE($D$8),SMLM!$A$2:$D$100,SMLM!$D$2:$D$100))</f>
        <v/>
      </c>
      <c r="F20" s="81"/>
    </row>
    <row r="21" spans="2:6" ht="3" customHeight="1" thickBot="1">
      <c r="B21" s="75"/>
      <c r="C21" s="75"/>
      <c r="D21" s="75"/>
      <c r="E21" s="75"/>
      <c r="F21" s="75"/>
    </row>
    <row r="22" spans="2:6" ht="11" thickBot="1">
      <c r="B22" s="82">
        <f>COUNT(B15:B20)</f>
        <v>1</v>
      </c>
      <c r="C22" s="121" t="s">
        <v>42</v>
      </c>
      <c r="D22" s="83">
        <f>SUM(D15:D21)</f>
        <v>1539231386</v>
      </c>
      <c r="E22" s="83">
        <f>SUM(E15:E21)</f>
        <v>1858.7147042201816</v>
      </c>
      <c r="F22" s="84"/>
    </row>
  </sheetData>
  <customSheetViews>
    <customSheetView guid="{9F94E489-9692-4C63-A554-7FBA98A324C0}">
      <selection activeCell="C4" sqref="C4"/>
      <rowBreaks count="24" manualBreakCount="24">
        <brk id="94" min="1" max="11" man="1"/>
        <brk id="164" min="1" max="11" man="1"/>
        <brk id="234" min="1" max="11" man="1"/>
        <brk id="304" min="1" max="11" man="1"/>
        <brk id="374" min="1" max="11" man="1"/>
        <brk id="444" min="1" max="11" man="1"/>
        <brk id="513" min="1" max="11" man="1"/>
        <brk id="583" min="1" max="11" man="1"/>
        <brk id="653" min="1" max="11" man="1"/>
        <brk id="723" min="1" max="11" man="1"/>
        <brk id="793" min="1" max="11" man="1"/>
        <brk id="863" min="1" max="11" man="1"/>
        <brk id="933" min="1" max="11" man="1"/>
        <brk id="1003" min="1" max="11" man="1"/>
        <brk id="1073" min="1" max="11" man="1"/>
        <brk id="1143" min="1" max="11" man="1"/>
        <brk id="1213" min="1" max="11" man="1"/>
        <brk id="1283" min="1" max="11" man="1"/>
        <brk id="1353" min="1" max="11" man="1"/>
        <brk id="1423" min="1" max="11" man="1"/>
        <brk id="1493" min="1" max="11" man="1"/>
        <brk id="1563" min="1" max="11" man="1"/>
        <brk id="1633" min="1" max="11" man="1"/>
        <brk id="1703" min="1" max="11" man="1"/>
      </rowBreaks>
      <colBreaks count="4" manualBreakCount="4">
        <brk id="15" max="37" man="1"/>
        <brk id="23" max="1048575" man="1"/>
        <brk id="36" max="1048575" man="1"/>
        <brk id="49" max="1048575" man="1"/>
      </colBreaks>
      <pageMargins left="0.75" right="0.75" top="1" bottom="1" header="0.5" footer="0.5"/>
    </customSheetView>
    <customSheetView guid="{0CBEA09E-24B8-4CE5-A052-7237E9208379}" showRuler="0">
      <pageMargins left="0.75" right="0.75" top="1" bottom="1" header="0" footer="0"/>
      <headerFooter alignWithMargins="0"/>
    </customSheetView>
    <customSheetView guid="{6E71BEFB-61B2-401E-9961-32884E4CD56C}" showRuler="0" topLeftCell="A7">
      <selection activeCell="E17" sqref="E17"/>
      <pageMargins left="0.78740157480314965" right="0.78740157480314965" top="0.98425196850393704" bottom="0.98425196850393704" header="0" footer="0"/>
      <pageSetup orientation="portrait" horizontalDpi="4294967293" r:id="rId1"/>
      <headerFooter alignWithMargins="0"/>
    </customSheetView>
    <customSheetView guid="{74BDB053-C30B-49CC-8134-2CE4C1966D2C}" showRuler="0">
      <selection activeCell="H15" sqref="H15"/>
      <pageMargins left="0.78740157480314965" right="0.78740157480314965" top="0.98425196850393704" bottom="0.98425196850393704" header="0" footer="0"/>
      <pageSetup orientation="portrait" horizontalDpi="4294967293" r:id="rId2"/>
      <headerFooter alignWithMargins="0"/>
    </customSheetView>
    <customSheetView guid="{40B815EE-4446-47D1-839D-2EFF5F5EF0E5}" showRuler="0">
      <selection activeCell="C6" sqref="C6"/>
      <pageMargins left="0.78740157480314965" right="0.78740157480314965" top="0.98425196850393704" bottom="0.98425196850393704" header="0" footer="0"/>
      <pageSetup orientation="portrait" horizontalDpi="4294967293" r:id="rId3"/>
      <headerFooter alignWithMargins="0"/>
    </customSheetView>
    <customSheetView guid="{52F59514-34F3-4352-A05C-5BB41CEA0827}" showRuler="0">
      <selection activeCell="G39" sqref="G39"/>
      <pageMargins left="0.78740157480314965" right="0.78740157480314965" top="0.98425196850393704" bottom="0.98425196850393704" header="0" footer="0"/>
      <pageSetup orientation="portrait" horizontalDpi="4294967293" r:id="rId4"/>
      <headerFooter alignWithMargins="0"/>
    </customSheetView>
    <customSheetView guid="{9F94E489-9692-4C63-A554-7FBA98A324C0}" state="veryHidden">
      <selection activeCell="H15" sqref="H15"/>
      <pageMargins left="0.75" right="0.75" top="1" bottom="1" header="0.5" footer="0.5"/>
    </customSheetView>
    <customSheetView guid="{9F94E489-9692-4C63-A554-7FBA98A324C0}" topLeftCell="A43">
      <selection activeCell="E21" sqref="E21"/>
      <pageMargins left="0.75" right="0.75" top="1" bottom="1" header="0.5" footer="0.5"/>
    </customSheetView>
    <customSheetView guid="{9F94E489-9692-4C63-A554-7FBA98A324C0}">
      <selection activeCell="E17" sqref="E17"/>
      <pageMargins left="0.75" right="0.75" top="1" bottom="1" header="0.5" footer="0.5"/>
    </customSheetView>
  </customSheetViews>
  <mergeCells count="10">
    <mergeCell ref="C12:C13"/>
    <mergeCell ref="D12:E12"/>
    <mergeCell ref="B8:C8"/>
    <mergeCell ref="B10:F10"/>
    <mergeCell ref="B1:F1"/>
    <mergeCell ref="B2:F2"/>
    <mergeCell ref="B3:F3"/>
    <mergeCell ref="B4:F4"/>
    <mergeCell ref="B5:F5"/>
    <mergeCell ref="B6:F6"/>
  </mergeCells>
  <phoneticPr fontId="4" type="noConversion"/>
  <dataValidations count="1">
    <dataValidation type="list" allowBlank="1" showInputMessage="1" showErrorMessage="1" sqref="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5"/>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ignoredErrors>
    <ignoredError sqref="B22" formulaRange="1"/>
  </ignoredErrors>
  <drawing r:id="rId6"/>
  <legacyDrawing r:id="rId7"/>
  <mc:AlternateContent xmlns:mc="http://schemas.openxmlformats.org/markup-compatibility/2006">
    <mc:Choice Requires="x14">
      <controls>
        <mc:AlternateContent xmlns:mc="http://schemas.openxmlformats.org/markup-compatibility/2006">
          <mc:Choice Requires="x14">
            <control shapeId="1033" r:id="rId8" name="Button 9">
              <controlPr defaultSize="0" print="0" autoFill="0" autoPict="0" macro="[0]!PublicarV2">
                <anchor moveWithCells="1" sizeWithCells="1">
                  <from>
                    <xdr:col>2</xdr:col>
                    <xdr:colOff>1155700</xdr:colOff>
                    <xdr:row>23</xdr:row>
                    <xdr:rowOff>69850</xdr:rowOff>
                  </from>
                  <to>
                    <xdr:col>3</xdr:col>
                    <xdr:colOff>736600</xdr:colOff>
                    <xdr:row>25</xdr:row>
                    <xdr:rowOff>50800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H435"/>
  <sheetViews>
    <sheetView showGridLines="0" topLeftCell="A13" zoomScaleNormal="100" workbookViewId="0">
      <selection activeCell="D14" sqref="D14"/>
    </sheetView>
  </sheetViews>
  <sheetFormatPr baseColWidth="10" defaultColWidth="11.5" defaultRowHeight="12.5"/>
  <cols>
    <col min="1" max="1" width="2.83203125" style="32" customWidth="1"/>
    <col min="2" max="2" width="5.75" style="37" customWidth="1"/>
    <col min="3" max="3" width="10.58203125" style="37" customWidth="1"/>
    <col min="4" max="4" width="41.5" style="32" customWidth="1"/>
    <col min="5" max="5" width="13.08203125" style="32" customWidth="1"/>
    <col min="6" max="6" width="11.5" style="32"/>
    <col min="7" max="7" width="14.58203125" style="230" customWidth="1"/>
    <col min="8" max="8" width="23" style="230" customWidth="1"/>
    <col min="9" max="16384" width="11.5" style="32"/>
  </cols>
  <sheetData>
    <row r="1" spans="2:8" s="30" customFormat="1" ht="20.149999999999999" customHeight="1">
      <c r="B1" s="276" t="str">
        <f>PRESUPUESTOS!B1</f>
        <v>INSTITUTO NACIONAL DE VÍAS</v>
      </c>
      <c r="C1" s="276"/>
      <c r="D1" s="276"/>
      <c r="E1" s="276"/>
      <c r="G1" s="229"/>
      <c r="H1" s="229"/>
    </row>
    <row r="2" spans="2:8" s="30" customFormat="1" ht="13">
      <c r="B2" s="276" t="str">
        <f>PRESUPUESTOS!B2</f>
        <v>DIRECCIÓN GENERAL</v>
      </c>
      <c r="C2" s="276"/>
      <c r="D2" s="276"/>
      <c r="E2" s="276"/>
      <c r="G2" s="229"/>
      <c r="H2" s="229"/>
    </row>
    <row r="3" spans="2:8" s="30" customFormat="1" ht="13">
      <c r="B3" s="276" t="str">
        <f>PRESUPUESTOS!B3</f>
        <v>DIRECCIÓN DE CONTRATACIÓN</v>
      </c>
      <c r="C3" s="276"/>
      <c r="D3" s="276"/>
      <c r="E3" s="276"/>
      <c r="G3" s="229"/>
      <c r="H3" s="229"/>
    </row>
    <row r="4" spans="2:8" s="31" customFormat="1" ht="13">
      <c r="B4" s="276" t="str">
        <f>PRESUPUESTOS!B4</f>
        <v>DIRECCIÓN OPERATIVA</v>
      </c>
      <c r="C4" s="276"/>
      <c r="D4" s="276"/>
      <c r="E4" s="276"/>
      <c r="G4" s="231"/>
      <c r="H4" s="231"/>
    </row>
    <row r="5" spans="2:8" s="30" customFormat="1" ht="13">
      <c r="B5" s="276" t="str">
        <f>PRESUPUESTOS!B5</f>
        <v>LP-DO-SRN-048-2019</v>
      </c>
      <c r="C5" s="276"/>
      <c r="D5" s="276"/>
      <c r="E5" s="276"/>
      <c r="G5" s="229"/>
      <c r="H5" s="229"/>
    </row>
    <row r="6" spans="2:8" s="30" customFormat="1" ht="13">
      <c r="B6" s="276" t="str">
        <f>PRESUPUESTOS!B6</f>
        <v>OBJETO: MANTENIMIENTO DE LA CARRETERA PUERTO RICO - MINA BLANCA, RUTA 65, TRAMO 6504, DEPARTAMENTO DE CAQUETÁ</v>
      </c>
      <c r="C6" s="276"/>
      <c r="D6" s="276"/>
      <c r="E6" s="276"/>
      <c r="G6" s="229"/>
      <c r="H6" s="229"/>
    </row>
    <row r="7" spans="2:8" s="30" customFormat="1" ht="15">
      <c r="B7" s="44"/>
      <c r="C7" s="43"/>
      <c r="D7" s="43"/>
      <c r="E7" s="43"/>
      <c r="G7" s="229"/>
      <c r="H7" s="229"/>
    </row>
    <row r="8" spans="2:8" ht="13">
      <c r="B8" s="286" t="s">
        <v>19</v>
      </c>
      <c r="C8" s="286"/>
      <c r="D8" s="286"/>
      <c r="E8" s="286"/>
    </row>
    <row r="9" spans="2:8" ht="13">
      <c r="B9" s="276" t="s">
        <v>128</v>
      </c>
      <c r="C9" s="287"/>
      <c r="D9" s="287"/>
      <c r="E9" s="287"/>
    </row>
    <row r="10" spans="2:8" ht="13" thickBot="1">
      <c r="B10" s="33"/>
      <c r="C10" s="33"/>
      <c r="D10" s="34"/>
      <c r="E10" s="34"/>
    </row>
    <row r="11" spans="2:8" ht="21" customHeight="1">
      <c r="B11" s="280" t="s">
        <v>43</v>
      </c>
      <c r="C11" s="282" t="s">
        <v>86</v>
      </c>
      <c r="D11" s="284" t="s">
        <v>11</v>
      </c>
      <c r="E11" s="285"/>
      <c r="G11" s="279" t="s">
        <v>116</v>
      </c>
      <c r="H11" s="279"/>
    </row>
    <row r="12" spans="2:8" s="35" customFormat="1" ht="33" customHeight="1" thickBot="1">
      <c r="B12" s="281"/>
      <c r="C12" s="283"/>
      <c r="D12" s="87" t="s">
        <v>84</v>
      </c>
      <c r="E12" s="175" t="s">
        <v>85</v>
      </c>
      <c r="G12" s="279"/>
      <c r="H12" s="279"/>
    </row>
    <row r="13" spans="2:8" customFormat="1" ht="3.65" customHeight="1">
      <c r="G13" s="233"/>
      <c r="H13" s="234"/>
    </row>
    <row r="14" spans="2:8">
      <c r="B14" s="88">
        <v>1</v>
      </c>
      <c r="C14" s="89">
        <v>1</v>
      </c>
      <c r="D14" s="90" t="s">
        <v>155</v>
      </c>
      <c r="E14" s="176">
        <v>1</v>
      </c>
      <c r="G14" s="235">
        <f t="shared" ref="G14:G37" si="0">COUNTIF($D$14:$D$37,D14)</f>
        <v>1</v>
      </c>
      <c r="H14" s="232" t="str">
        <f>IF(G14=1,"NOMBRE OK","NOMBRE REPETIDO")</f>
        <v>NOMBRE OK</v>
      </c>
    </row>
    <row r="15" spans="2:8">
      <c r="B15" s="88">
        <v>2</v>
      </c>
      <c r="C15" s="89">
        <f t="shared" ref="C15:C37" si="1">+C14+1</f>
        <v>2</v>
      </c>
      <c r="D15" s="90" t="s">
        <v>156</v>
      </c>
      <c r="E15" s="176">
        <v>2</v>
      </c>
      <c r="G15" s="235">
        <f t="shared" si="0"/>
        <v>1</v>
      </c>
      <c r="H15" s="232" t="str">
        <f t="shared" ref="H15:H37" si="2">IF(G15=1,"NOMBRE OK","NOMBRE REPETIDO")</f>
        <v>NOMBRE OK</v>
      </c>
    </row>
    <row r="16" spans="2:8">
      <c r="B16" s="88">
        <v>3</v>
      </c>
      <c r="C16" s="89">
        <f t="shared" si="1"/>
        <v>3</v>
      </c>
      <c r="D16" s="90" t="s">
        <v>157</v>
      </c>
      <c r="E16" s="176">
        <v>2</v>
      </c>
      <c r="G16" s="235">
        <f t="shared" si="0"/>
        <v>1</v>
      </c>
      <c r="H16" s="232" t="str">
        <f t="shared" si="2"/>
        <v>NOMBRE OK</v>
      </c>
    </row>
    <row r="17" spans="2:8">
      <c r="B17" s="88">
        <v>4</v>
      </c>
      <c r="C17" s="89">
        <f t="shared" si="1"/>
        <v>4</v>
      </c>
      <c r="D17" s="90" t="s">
        <v>158</v>
      </c>
      <c r="E17" s="176">
        <v>1</v>
      </c>
      <c r="G17" s="235">
        <f t="shared" si="0"/>
        <v>1</v>
      </c>
      <c r="H17" s="232" t="str">
        <f t="shared" si="2"/>
        <v>NOMBRE OK</v>
      </c>
    </row>
    <row r="18" spans="2:8">
      <c r="B18" s="88">
        <v>5</v>
      </c>
      <c r="C18" s="89">
        <f t="shared" si="1"/>
        <v>5</v>
      </c>
      <c r="D18" s="90" t="s">
        <v>166</v>
      </c>
      <c r="E18" s="176">
        <v>2</v>
      </c>
      <c r="G18" s="235">
        <f t="shared" si="0"/>
        <v>1</v>
      </c>
      <c r="H18" s="232" t="str">
        <f t="shared" si="2"/>
        <v>NOMBRE OK</v>
      </c>
    </row>
    <row r="19" spans="2:8">
      <c r="B19" s="88">
        <v>6</v>
      </c>
      <c r="C19" s="89">
        <f t="shared" si="1"/>
        <v>6</v>
      </c>
      <c r="D19" s="90" t="s">
        <v>167</v>
      </c>
      <c r="E19" s="176">
        <v>1</v>
      </c>
      <c r="G19" s="235">
        <f t="shared" si="0"/>
        <v>1</v>
      </c>
      <c r="H19" s="232" t="str">
        <f t="shared" si="2"/>
        <v>NOMBRE OK</v>
      </c>
    </row>
    <row r="20" spans="2:8" s="36" customFormat="1">
      <c r="B20" s="88">
        <v>7</v>
      </c>
      <c r="C20" s="89">
        <f t="shared" si="1"/>
        <v>7</v>
      </c>
      <c r="D20" s="90" t="s">
        <v>168</v>
      </c>
      <c r="E20" s="176">
        <v>1</v>
      </c>
      <c r="G20" s="235">
        <f t="shared" si="0"/>
        <v>1</v>
      </c>
      <c r="H20" s="232" t="str">
        <f t="shared" si="2"/>
        <v>NOMBRE OK</v>
      </c>
    </row>
    <row r="21" spans="2:8">
      <c r="B21" s="88">
        <v>8</v>
      </c>
      <c r="C21" s="89">
        <f t="shared" si="1"/>
        <v>8</v>
      </c>
      <c r="D21" s="90" t="s">
        <v>169</v>
      </c>
      <c r="E21" s="176">
        <v>1</v>
      </c>
      <c r="G21" s="235">
        <f t="shared" si="0"/>
        <v>1</v>
      </c>
      <c r="H21" s="232" t="str">
        <f t="shared" si="2"/>
        <v>NOMBRE OK</v>
      </c>
    </row>
    <row r="22" spans="2:8">
      <c r="B22" s="88">
        <v>9</v>
      </c>
      <c r="C22" s="89">
        <f t="shared" si="1"/>
        <v>9</v>
      </c>
      <c r="D22" s="90" t="s">
        <v>159</v>
      </c>
      <c r="E22" s="176">
        <v>2</v>
      </c>
      <c r="G22" s="235">
        <f t="shared" si="0"/>
        <v>1</v>
      </c>
      <c r="H22" s="232" t="str">
        <f t="shared" si="2"/>
        <v>NOMBRE OK</v>
      </c>
    </row>
    <row r="23" spans="2:8">
      <c r="B23" s="88">
        <v>10</v>
      </c>
      <c r="C23" s="89">
        <f t="shared" si="1"/>
        <v>10</v>
      </c>
      <c r="D23" s="90" t="s">
        <v>170</v>
      </c>
      <c r="E23" s="176">
        <v>2</v>
      </c>
      <c r="G23" s="235">
        <f t="shared" si="0"/>
        <v>1</v>
      </c>
      <c r="H23" s="232" t="str">
        <f t="shared" si="2"/>
        <v>NOMBRE OK</v>
      </c>
    </row>
    <row r="24" spans="2:8">
      <c r="B24" s="88">
        <v>11</v>
      </c>
      <c r="C24" s="89">
        <f t="shared" si="1"/>
        <v>11</v>
      </c>
      <c r="D24" s="90" t="s">
        <v>160</v>
      </c>
      <c r="E24" s="176">
        <v>2</v>
      </c>
      <c r="G24" s="235">
        <f t="shared" si="0"/>
        <v>1</v>
      </c>
      <c r="H24" s="232" t="str">
        <f t="shared" si="2"/>
        <v>NOMBRE OK</v>
      </c>
    </row>
    <row r="25" spans="2:8" ht="21">
      <c r="B25" s="88">
        <v>12</v>
      </c>
      <c r="C25" s="89">
        <f t="shared" si="1"/>
        <v>12</v>
      </c>
      <c r="D25" s="90" t="s">
        <v>161</v>
      </c>
      <c r="E25" s="176">
        <v>1</v>
      </c>
      <c r="G25" s="235">
        <f t="shared" si="0"/>
        <v>1</v>
      </c>
      <c r="H25" s="232" t="str">
        <f t="shared" si="2"/>
        <v>NOMBRE OK</v>
      </c>
    </row>
    <row r="26" spans="2:8">
      <c r="B26" s="88">
        <v>13</v>
      </c>
      <c r="C26" s="89">
        <f t="shared" si="1"/>
        <v>13</v>
      </c>
      <c r="D26" s="90" t="s">
        <v>162</v>
      </c>
      <c r="E26" s="176">
        <v>2</v>
      </c>
      <c r="G26" s="235">
        <f t="shared" si="0"/>
        <v>1</v>
      </c>
      <c r="H26" s="232" t="str">
        <f t="shared" si="2"/>
        <v>NOMBRE OK</v>
      </c>
    </row>
    <row r="27" spans="2:8">
      <c r="B27" s="88">
        <v>14</v>
      </c>
      <c r="C27" s="89">
        <f t="shared" si="1"/>
        <v>14</v>
      </c>
      <c r="D27" s="90" t="s">
        <v>163</v>
      </c>
      <c r="E27" s="176">
        <v>2</v>
      </c>
      <c r="G27" s="235">
        <f t="shared" si="0"/>
        <v>1</v>
      </c>
      <c r="H27" s="232" t="str">
        <f t="shared" si="2"/>
        <v>NOMBRE OK</v>
      </c>
    </row>
    <row r="28" spans="2:8">
      <c r="B28" s="88">
        <v>15</v>
      </c>
      <c r="C28" s="89">
        <f t="shared" si="1"/>
        <v>15</v>
      </c>
      <c r="D28" s="90" t="s">
        <v>164</v>
      </c>
      <c r="E28" s="176">
        <v>1</v>
      </c>
      <c r="G28" s="235">
        <f t="shared" si="0"/>
        <v>1</v>
      </c>
      <c r="H28" s="232" t="str">
        <f>IF(G28=1,"NOMBRE OK","NOMBRE REPETIDO")</f>
        <v>NOMBRE OK</v>
      </c>
    </row>
    <row r="29" spans="2:8">
      <c r="B29" s="88">
        <v>16</v>
      </c>
      <c r="C29" s="89">
        <f t="shared" si="1"/>
        <v>16</v>
      </c>
      <c r="D29" s="90" t="s">
        <v>165</v>
      </c>
      <c r="E29" s="176">
        <v>4</v>
      </c>
      <c r="G29" s="235">
        <f t="shared" si="0"/>
        <v>1</v>
      </c>
      <c r="H29" s="232" t="str">
        <f t="shared" si="2"/>
        <v>NOMBRE OK</v>
      </c>
    </row>
    <row r="30" spans="2:8">
      <c r="B30" s="88">
        <v>17</v>
      </c>
      <c r="C30" s="89">
        <f t="shared" si="1"/>
        <v>17</v>
      </c>
      <c r="D30" s="90" t="s">
        <v>171</v>
      </c>
      <c r="E30" s="176">
        <v>2</v>
      </c>
      <c r="G30" s="235">
        <f t="shared" si="0"/>
        <v>1</v>
      </c>
      <c r="H30" s="232" t="str">
        <f t="shared" si="2"/>
        <v>NOMBRE OK</v>
      </c>
    </row>
    <row r="31" spans="2:8">
      <c r="B31" s="88">
        <v>18</v>
      </c>
      <c r="C31" s="89">
        <f t="shared" si="1"/>
        <v>18</v>
      </c>
      <c r="D31" s="90" t="s">
        <v>172</v>
      </c>
      <c r="E31" s="176">
        <v>2</v>
      </c>
      <c r="G31" s="235">
        <f t="shared" si="0"/>
        <v>1</v>
      </c>
      <c r="H31" s="232" t="str">
        <f t="shared" si="2"/>
        <v>NOMBRE OK</v>
      </c>
    </row>
    <row r="32" spans="2:8">
      <c r="B32" s="88">
        <v>19</v>
      </c>
      <c r="C32" s="89">
        <f t="shared" si="1"/>
        <v>19</v>
      </c>
      <c r="D32" s="90" t="s">
        <v>173</v>
      </c>
      <c r="E32" s="176">
        <v>2</v>
      </c>
      <c r="G32" s="235">
        <f t="shared" si="0"/>
        <v>1</v>
      </c>
      <c r="H32" s="232" t="str">
        <f t="shared" si="2"/>
        <v>NOMBRE OK</v>
      </c>
    </row>
    <row r="33" spans="2:8">
      <c r="B33" s="88">
        <v>20</v>
      </c>
      <c r="C33" s="89">
        <f t="shared" si="1"/>
        <v>20</v>
      </c>
      <c r="D33" s="90" t="s">
        <v>174</v>
      </c>
      <c r="E33" s="176">
        <v>2</v>
      </c>
      <c r="G33" s="235">
        <f t="shared" si="0"/>
        <v>1</v>
      </c>
      <c r="H33" s="232" t="str">
        <f t="shared" si="2"/>
        <v>NOMBRE OK</v>
      </c>
    </row>
    <row r="34" spans="2:8">
      <c r="B34" s="88">
        <v>21</v>
      </c>
      <c r="C34" s="89">
        <f t="shared" si="1"/>
        <v>21</v>
      </c>
      <c r="D34" s="90" t="s">
        <v>175</v>
      </c>
      <c r="E34" s="176">
        <v>1</v>
      </c>
      <c r="G34" s="235">
        <f t="shared" si="0"/>
        <v>1</v>
      </c>
      <c r="H34" s="232" t="str">
        <f t="shared" si="2"/>
        <v>NOMBRE OK</v>
      </c>
    </row>
    <row r="35" spans="2:8">
      <c r="B35" s="88">
        <v>22</v>
      </c>
      <c r="C35" s="89">
        <f t="shared" si="1"/>
        <v>22</v>
      </c>
      <c r="D35" s="90" t="s">
        <v>176</v>
      </c>
      <c r="E35" s="176">
        <v>2</v>
      </c>
      <c r="G35" s="235">
        <f t="shared" si="0"/>
        <v>1</v>
      </c>
      <c r="H35" s="232" t="str">
        <f t="shared" si="2"/>
        <v>NOMBRE OK</v>
      </c>
    </row>
    <row r="36" spans="2:8">
      <c r="B36" s="88">
        <v>23</v>
      </c>
      <c r="C36" s="89">
        <f t="shared" si="1"/>
        <v>23</v>
      </c>
      <c r="D36" s="90" t="s">
        <v>177</v>
      </c>
      <c r="E36" s="176">
        <v>2</v>
      </c>
      <c r="G36" s="235">
        <f t="shared" si="0"/>
        <v>1</v>
      </c>
      <c r="H36" s="232" t="str">
        <f t="shared" si="2"/>
        <v>NOMBRE OK</v>
      </c>
    </row>
    <row r="37" spans="2:8">
      <c r="B37" s="88">
        <v>24</v>
      </c>
      <c r="C37" s="89">
        <f t="shared" si="1"/>
        <v>24</v>
      </c>
      <c r="D37" s="90" t="s">
        <v>178</v>
      </c>
      <c r="E37" s="176">
        <v>2</v>
      </c>
      <c r="G37" s="235">
        <f t="shared" si="0"/>
        <v>1</v>
      </c>
      <c r="H37" s="232" t="str">
        <f t="shared" si="2"/>
        <v>NOMBRE OK</v>
      </c>
    </row>
    <row r="38" spans="2:8" s="22" customFormat="1">
      <c r="B38" s="37"/>
      <c r="C38" s="37"/>
      <c r="D38" s="32"/>
      <c r="E38" s="32"/>
      <c r="G38" s="28"/>
      <c r="H38" s="28"/>
    </row>
    <row r="39" spans="2:8" s="22" customFormat="1">
      <c r="B39" s="37"/>
      <c r="C39" s="37"/>
      <c r="D39" s="32"/>
      <c r="E39" s="32"/>
      <c r="G39" s="28"/>
      <c r="H39" s="28"/>
    </row>
    <row r="40" spans="2:8" s="22" customFormat="1">
      <c r="B40" s="37"/>
      <c r="C40" s="37"/>
      <c r="D40" s="32"/>
      <c r="E40" s="32"/>
      <c r="G40" s="28"/>
      <c r="H40" s="28"/>
    </row>
    <row r="41" spans="2:8" s="22" customFormat="1">
      <c r="B41" s="37"/>
      <c r="C41" s="37"/>
      <c r="D41" s="32"/>
      <c r="E41" s="32"/>
      <c r="G41" s="28"/>
      <c r="H41" s="28"/>
    </row>
    <row r="42" spans="2:8" s="22" customFormat="1">
      <c r="B42" s="37"/>
      <c r="C42" s="37"/>
      <c r="D42" s="32"/>
      <c r="E42" s="32"/>
      <c r="G42" s="28"/>
      <c r="H42" s="28"/>
    </row>
    <row r="43" spans="2:8" s="22" customFormat="1">
      <c r="B43" s="37"/>
      <c r="C43" s="37"/>
      <c r="D43" s="32"/>
      <c r="E43" s="32"/>
      <c r="G43" s="28"/>
      <c r="H43" s="28"/>
    </row>
    <row r="44" spans="2:8" s="22" customFormat="1">
      <c r="B44" s="37"/>
      <c r="C44" s="37"/>
      <c r="D44" s="32"/>
      <c r="E44" s="32"/>
      <c r="G44" s="28"/>
      <c r="H44" s="28"/>
    </row>
    <row r="45" spans="2:8" s="22" customFormat="1">
      <c r="B45" s="37"/>
      <c r="C45" s="37"/>
      <c r="D45" s="32"/>
      <c r="E45" s="32"/>
      <c r="G45" s="28"/>
      <c r="H45" s="28"/>
    </row>
    <row r="46" spans="2:8" s="22" customFormat="1">
      <c r="B46" s="37"/>
      <c r="C46" s="37"/>
      <c r="D46" s="32"/>
      <c r="E46" s="32"/>
      <c r="G46" s="28"/>
      <c r="H46" s="28"/>
    </row>
    <row r="47" spans="2:8" s="22" customFormat="1">
      <c r="B47" s="37"/>
      <c r="C47" s="37"/>
      <c r="D47" s="32"/>
      <c r="E47" s="32"/>
      <c r="G47" s="28"/>
      <c r="H47" s="28"/>
    </row>
    <row r="48" spans="2:8" s="22" customFormat="1">
      <c r="B48" s="37"/>
      <c r="C48" s="37"/>
      <c r="D48" s="32"/>
      <c r="E48" s="32"/>
      <c r="G48" s="28"/>
      <c r="H48" s="28"/>
    </row>
    <row r="49" spans="2:8" s="22" customFormat="1">
      <c r="B49" s="37"/>
      <c r="C49" s="37"/>
      <c r="D49" s="32"/>
      <c r="E49" s="32"/>
      <c r="G49" s="28"/>
      <c r="H49" s="28"/>
    </row>
    <row r="50" spans="2:8" s="22" customFormat="1">
      <c r="B50" s="37"/>
      <c r="C50" s="37"/>
      <c r="D50" s="32"/>
      <c r="E50" s="32"/>
      <c r="G50" s="28"/>
      <c r="H50" s="28"/>
    </row>
    <row r="51" spans="2:8" s="22" customFormat="1">
      <c r="B51" s="37"/>
      <c r="C51" s="37"/>
      <c r="D51" s="32"/>
      <c r="E51" s="32"/>
      <c r="G51" s="28"/>
      <c r="H51" s="28"/>
    </row>
    <row r="52" spans="2:8" s="22" customFormat="1">
      <c r="B52" s="37"/>
      <c r="C52" s="37"/>
      <c r="D52" s="32"/>
      <c r="E52" s="32"/>
      <c r="G52" s="28"/>
      <c r="H52" s="28"/>
    </row>
    <row r="53" spans="2:8" s="22" customFormat="1">
      <c r="B53" s="37"/>
      <c r="C53" s="37"/>
      <c r="D53" s="32"/>
      <c r="E53" s="32"/>
      <c r="G53" s="28"/>
      <c r="H53" s="28"/>
    </row>
    <row r="54" spans="2:8" s="22" customFormat="1">
      <c r="B54" s="37"/>
      <c r="C54" s="37"/>
      <c r="D54" s="32"/>
      <c r="E54" s="32"/>
      <c r="G54" s="28"/>
      <c r="H54" s="28"/>
    </row>
    <row r="55" spans="2:8" s="22" customFormat="1">
      <c r="B55" s="37"/>
      <c r="C55" s="37"/>
      <c r="D55" s="32"/>
      <c r="E55" s="32"/>
      <c r="G55" s="28"/>
      <c r="H55" s="28"/>
    </row>
    <row r="56" spans="2:8" s="22" customFormat="1">
      <c r="B56" s="37"/>
      <c r="C56" s="37"/>
      <c r="D56" s="32"/>
      <c r="E56" s="32"/>
      <c r="G56" s="28"/>
      <c r="H56" s="28"/>
    </row>
    <row r="57" spans="2:8" s="22" customFormat="1">
      <c r="B57" s="37"/>
      <c r="C57" s="37"/>
      <c r="D57" s="32"/>
      <c r="E57" s="32"/>
      <c r="G57" s="28"/>
      <c r="H57" s="28"/>
    </row>
    <row r="58" spans="2:8" s="22" customFormat="1">
      <c r="B58" s="37"/>
      <c r="C58" s="37"/>
      <c r="D58" s="32"/>
      <c r="E58" s="32"/>
      <c r="G58" s="28"/>
      <c r="H58" s="28"/>
    </row>
    <row r="59" spans="2:8" s="22" customFormat="1">
      <c r="B59" s="37"/>
      <c r="C59" s="37"/>
      <c r="D59" s="32"/>
      <c r="E59" s="32"/>
      <c r="G59" s="28"/>
      <c r="H59" s="28"/>
    </row>
    <row r="60" spans="2:8" s="22" customFormat="1">
      <c r="B60" s="37"/>
      <c r="C60" s="37"/>
      <c r="D60" s="32"/>
      <c r="E60" s="32"/>
      <c r="G60" s="28"/>
      <c r="H60" s="28"/>
    </row>
    <row r="61" spans="2:8" s="22" customFormat="1">
      <c r="B61" s="37"/>
      <c r="C61" s="37"/>
      <c r="D61" s="32"/>
      <c r="E61" s="32"/>
      <c r="G61" s="28"/>
      <c r="H61" s="28"/>
    </row>
    <row r="62" spans="2:8" s="22" customFormat="1">
      <c r="B62" s="37"/>
      <c r="C62" s="37"/>
      <c r="D62" s="32"/>
      <c r="E62" s="32"/>
      <c r="G62" s="28"/>
      <c r="H62" s="28"/>
    </row>
    <row r="63" spans="2:8" s="22" customFormat="1">
      <c r="B63" s="37"/>
      <c r="C63" s="37"/>
      <c r="D63" s="32"/>
      <c r="E63" s="32"/>
      <c r="G63" s="28"/>
      <c r="H63" s="28"/>
    </row>
    <row r="64" spans="2:8" s="22" customFormat="1">
      <c r="B64" s="37"/>
      <c r="C64" s="37"/>
      <c r="D64" s="32"/>
      <c r="E64" s="32"/>
      <c r="G64" s="28"/>
      <c r="H64" s="28"/>
    </row>
    <row r="65" spans="2:8" s="22" customFormat="1">
      <c r="B65" s="37"/>
      <c r="C65" s="37"/>
      <c r="D65" s="32"/>
      <c r="E65" s="32"/>
      <c r="G65" s="28"/>
      <c r="H65" s="28"/>
    </row>
    <row r="66" spans="2:8" s="22" customFormat="1">
      <c r="B66" s="37"/>
      <c r="C66" s="37"/>
      <c r="D66" s="32"/>
      <c r="E66" s="32"/>
      <c r="G66" s="28"/>
      <c r="H66" s="28"/>
    </row>
    <row r="67" spans="2:8" s="22" customFormat="1">
      <c r="B67" s="37"/>
      <c r="C67" s="37"/>
      <c r="D67" s="32"/>
      <c r="E67" s="32"/>
      <c r="G67" s="28"/>
      <c r="H67" s="28"/>
    </row>
    <row r="68" spans="2:8" s="22" customFormat="1">
      <c r="B68" s="37"/>
      <c r="C68" s="37"/>
      <c r="D68" s="32"/>
      <c r="E68" s="32"/>
      <c r="G68" s="28"/>
      <c r="H68" s="28"/>
    </row>
    <row r="69" spans="2:8" s="22" customFormat="1">
      <c r="B69" s="37"/>
      <c r="C69" s="37"/>
      <c r="D69" s="32"/>
      <c r="E69" s="32"/>
      <c r="G69" s="28"/>
      <c r="H69" s="28"/>
    </row>
    <row r="70" spans="2:8" s="22" customFormat="1">
      <c r="B70" s="37"/>
      <c r="C70" s="37"/>
      <c r="D70" s="32"/>
      <c r="E70" s="32"/>
      <c r="G70" s="28"/>
      <c r="H70" s="28"/>
    </row>
    <row r="71" spans="2:8" s="22" customFormat="1">
      <c r="B71" s="37"/>
      <c r="C71" s="37"/>
      <c r="D71" s="32"/>
      <c r="E71" s="32"/>
      <c r="G71" s="28"/>
      <c r="H71" s="28"/>
    </row>
    <row r="72" spans="2:8" s="22" customFormat="1">
      <c r="B72" s="37"/>
      <c r="C72" s="37"/>
      <c r="D72" s="32"/>
      <c r="E72" s="32"/>
      <c r="G72" s="28"/>
      <c r="H72" s="28"/>
    </row>
    <row r="73" spans="2:8" s="22" customFormat="1">
      <c r="B73" s="37"/>
      <c r="C73" s="37"/>
      <c r="D73" s="32"/>
      <c r="E73" s="32"/>
      <c r="G73" s="28"/>
      <c r="H73" s="28"/>
    </row>
    <row r="74" spans="2:8" s="22" customFormat="1">
      <c r="B74" s="37"/>
      <c r="C74" s="37"/>
      <c r="D74" s="32"/>
      <c r="E74" s="32"/>
      <c r="G74" s="28"/>
      <c r="H74" s="28"/>
    </row>
    <row r="75" spans="2:8" s="22" customFormat="1">
      <c r="B75" s="37"/>
      <c r="C75" s="37"/>
      <c r="D75" s="32"/>
      <c r="E75" s="32"/>
      <c r="G75" s="28"/>
      <c r="H75" s="28"/>
    </row>
    <row r="76" spans="2:8" s="22" customFormat="1">
      <c r="B76" s="37"/>
      <c r="C76" s="37"/>
      <c r="D76" s="32"/>
      <c r="E76" s="32"/>
      <c r="G76" s="28"/>
      <c r="H76" s="28"/>
    </row>
    <row r="77" spans="2:8" s="22" customFormat="1">
      <c r="B77" s="37"/>
      <c r="C77" s="37"/>
      <c r="D77" s="32"/>
      <c r="E77" s="32"/>
      <c r="G77" s="28"/>
      <c r="H77" s="28"/>
    </row>
    <row r="78" spans="2:8" s="22" customFormat="1">
      <c r="B78" s="37"/>
      <c r="C78" s="37"/>
      <c r="D78" s="32"/>
      <c r="E78" s="32"/>
      <c r="G78" s="28"/>
      <c r="H78" s="28"/>
    </row>
    <row r="79" spans="2:8" s="22" customFormat="1">
      <c r="B79" s="37"/>
      <c r="C79" s="37"/>
      <c r="D79" s="32"/>
      <c r="E79" s="32"/>
      <c r="G79" s="28"/>
      <c r="H79" s="28"/>
    </row>
    <row r="80" spans="2:8" s="22" customFormat="1">
      <c r="B80" s="37"/>
      <c r="C80" s="37"/>
      <c r="D80" s="32"/>
      <c r="E80" s="32"/>
      <c r="G80" s="28"/>
      <c r="H80" s="28"/>
    </row>
    <row r="81" spans="2:8" s="22" customFormat="1">
      <c r="B81" s="37"/>
      <c r="C81" s="37"/>
      <c r="D81" s="32"/>
      <c r="E81" s="32"/>
      <c r="G81" s="28"/>
      <c r="H81" s="28"/>
    </row>
    <row r="82" spans="2:8" s="22" customFormat="1">
      <c r="B82" s="37"/>
      <c r="C82" s="37"/>
      <c r="D82" s="32"/>
      <c r="E82" s="32"/>
      <c r="G82" s="28"/>
      <c r="H82" s="28"/>
    </row>
    <row r="83" spans="2:8" s="22" customFormat="1">
      <c r="B83" s="37"/>
      <c r="C83" s="37"/>
      <c r="D83" s="32"/>
      <c r="E83" s="32"/>
      <c r="G83" s="28"/>
      <c r="H83" s="28"/>
    </row>
    <row r="84" spans="2:8" s="22" customFormat="1">
      <c r="B84" s="37"/>
      <c r="C84" s="37"/>
      <c r="D84" s="32"/>
      <c r="E84" s="32"/>
      <c r="G84" s="28"/>
      <c r="H84" s="28"/>
    </row>
    <row r="85" spans="2:8" s="22" customFormat="1">
      <c r="B85" s="37"/>
      <c r="C85" s="37"/>
      <c r="D85" s="32"/>
      <c r="E85" s="32"/>
      <c r="G85" s="28"/>
      <c r="H85" s="28"/>
    </row>
    <row r="86" spans="2:8" s="22" customFormat="1">
      <c r="B86" s="37"/>
      <c r="C86" s="37"/>
      <c r="D86" s="32"/>
      <c r="E86" s="32"/>
      <c r="G86" s="28"/>
      <c r="H86" s="28"/>
    </row>
    <row r="87" spans="2:8" s="22" customFormat="1">
      <c r="B87" s="37"/>
      <c r="C87" s="37"/>
      <c r="D87" s="32"/>
      <c r="E87" s="32"/>
      <c r="G87" s="28"/>
      <c r="H87" s="28"/>
    </row>
    <row r="88" spans="2:8" s="22" customFormat="1">
      <c r="B88" s="37"/>
      <c r="C88" s="37"/>
      <c r="D88" s="32"/>
      <c r="E88" s="32"/>
      <c r="G88" s="28"/>
      <c r="H88" s="28"/>
    </row>
    <row r="89" spans="2:8" s="22" customFormat="1">
      <c r="B89" s="37"/>
      <c r="C89" s="37"/>
      <c r="D89" s="32"/>
      <c r="E89" s="32"/>
      <c r="G89" s="28"/>
      <c r="H89" s="28"/>
    </row>
    <row r="90" spans="2:8" s="22" customFormat="1">
      <c r="B90" s="37"/>
      <c r="C90" s="37"/>
      <c r="D90" s="32"/>
      <c r="E90" s="32"/>
      <c r="G90" s="28"/>
      <c r="H90" s="28"/>
    </row>
    <row r="91" spans="2:8" s="22" customFormat="1">
      <c r="B91" s="37"/>
      <c r="C91" s="37"/>
      <c r="D91" s="32"/>
      <c r="E91" s="32"/>
      <c r="G91" s="28"/>
      <c r="H91" s="28"/>
    </row>
    <row r="92" spans="2:8" s="22" customFormat="1">
      <c r="B92" s="37"/>
      <c r="C92" s="37"/>
      <c r="D92" s="32"/>
      <c r="E92" s="32"/>
      <c r="G92" s="28"/>
      <c r="H92" s="28"/>
    </row>
    <row r="93" spans="2:8" s="22" customFormat="1">
      <c r="B93" s="37"/>
      <c r="C93" s="37"/>
      <c r="D93" s="32"/>
      <c r="E93" s="32"/>
      <c r="G93" s="28"/>
      <c r="H93" s="28"/>
    </row>
    <row r="94" spans="2:8" s="22" customFormat="1">
      <c r="B94" s="37"/>
      <c r="C94" s="37"/>
      <c r="D94" s="32"/>
      <c r="E94" s="32"/>
      <c r="G94" s="28"/>
      <c r="H94" s="28"/>
    </row>
    <row r="95" spans="2:8" s="22" customFormat="1">
      <c r="B95" s="37"/>
      <c r="C95" s="37"/>
      <c r="D95" s="32"/>
      <c r="E95" s="32"/>
      <c r="G95" s="28"/>
      <c r="H95" s="28"/>
    </row>
    <row r="96" spans="2:8" s="22" customFormat="1">
      <c r="B96" s="37"/>
      <c r="C96" s="37"/>
      <c r="D96" s="32"/>
      <c r="E96" s="32"/>
      <c r="G96" s="28"/>
      <c r="H96" s="28"/>
    </row>
    <row r="97" spans="2:8" s="22" customFormat="1">
      <c r="B97" s="37"/>
      <c r="C97" s="37"/>
      <c r="D97" s="32"/>
      <c r="E97" s="32"/>
      <c r="G97" s="28"/>
      <c r="H97" s="28"/>
    </row>
    <row r="98" spans="2:8" s="22" customFormat="1">
      <c r="B98" s="37"/>
      <c r="C98" s="37"/>
      <c r="D98" s="32"/>
      <c r="E98" s="32"/>
      <c r="G98" s="28"/>
      <c r="H98" s="28"/>
    </row>
    <row r="99" spans="2:8" s="22" customFormat="1">
      <c r="B99" s="37"/>
      <c r="C99" s="37"/>
      <c r="D99" s="32"/>
      <c r="E99" s="32"/>
      <c r="G99" s="28"/>
      <c r="H99" s="28"/>
    </row>
    <row r="100" spans="2:8" s="22" customFormat="1">
      <c r="B100" s="37"/>
      <c r="C100" s="37"/>
      <c r="D100" s="32"/>
      <c r="E100" s="32"/>
      <c r="G100" s="28"/>
      <c r="H100" s="28"/>
    </row>
    <row r="101" spans="2:8" s="22" customFormat="1">
      <c r="B101" s="37"/>
      <c r="C101" s="37"/>
      <c r="D101" s="32"/>
      <c r="E101" s="32"/>
      <c r="G101" s="28"/>
      <c r="H101" s="28"/>
    </row>
    <row r="102" spans="2:8" s="22" customFormat="1">
      <c r="B102" s="37"/>
      <c r="C102" s="37"/>
      <c r="D102" s="32"/>
      <c r="E102" s="32"/>
      <c r="G102" s="28"/>
      <c r="H102" s="28"/>
    </row>
    <row r="103" spans="2:8" s="22" customFormat="1">
      <c r="B103" s="37"/>
      <c r="C103" s="37"/>
      <c r="D103" s="32"/>
      <c r="E103" s="32"/>
      <c r="G103" s="28"/>
      <c r="H103" s="28"/>
    </row>
    <row r="104" spans="2:8" s="22" customFormat="1">
      <c r="B104" s="37"/>
      <c r="C104" s="37"/>
      <c r="D104" s="32"/>
      <c r="E104" s="32"/>
      <c r="G104" s="28"/>
      <c r="H104" s="28"/>
    </row>
    <row r="105" spans="2:8" s="22" customFormat="1">
      <c r="B105" s="37"/>
      <c r="C105" s="37"/>
      <c r="D105" s="32"/>
      <c r="E105" s="32"/>
      <c r="G105" s="28"/>
      <c r="H105" s="28"/>
    </row>
    <row r="106" spans="2:8" s="22" customFormat="1">
      <c r="B106" s="37"/>
      <c r="C106" s="37"/>
      <c r="D106" s="32"/>
      <c r="E106" s="32"/>
      <c r="G106" s="28"/>
      <c r="H106" s="28"/>
    </row>
    <row r="107" spans="2:8" s="22" customFormat="1">
      <c r="B107" s="37"/>
      <c r="C107" s="37"/>
      <c r="D107" s="32"/>
      <c r="E107" s="32"/>
      <c r="G107" s="28"/>
      <c r="H107" s="28"/>
    </row>
    <row r="108" spans="2:8" s="22" customFormat="1">
      <c r="B108" s="37"/>
      <c r="C108" s="37"/>
      <c r="D108" s="32"/>
      <c r="E108" s="32"/>
      <c r="G108" s="28"/>
      <c r="H108" s="28"/>
    </row>
    <row r="109" spans="2:8" s="22" customFormat="1">
      <c r="B109" s="37"/>
      <c r="C109" s="37"/>
      <c r="D109" s="32"/>
      <c r="E109" s="32"/>
      <c r="G109" s="28"/>
      <c r="H109" s="28"/>
    </row>
    <row r="110" spans="2:8" s="22" customFormat="1">
      <c r="B110" s="37"/>
      <c r="C110" s="37"/>
      <c r="D110" s="32"/>
      <c r="E110" s="32"/>
      <c r="G110" s="28"/>
      <c r="H110" s="28"/>
    </row>
    <row r="111" spans="2:8" s="22" customFormat="1">
      <c r="B111" s="37"/>
      <c r="C111" s="37"/>
      <c r="D111" s="32"/>
      <c r="E111" s="32"/>
      <c r="G111" s="28"/>
      <c r="H111" s="28"/>
    </row>
    <row r="112" spans="2:8" s="22" customFormat="1">
      <c r="B112" s="37"/>
      <c r="C112" s="37"/>
      <c r="D112" s="32"/>
      <c r="E112" s="32"/>
      <c r="G112" s="28"/>
      <c r="H112" s="28"/>
    </row>
    <row r="113" spans="2:8" s="22" customFormat="1">
      <c r="B113" s="37"/>
      <c r="C113" s="37"/>
      <c r="D113" s="32"/>
      <c r="E113" s="32"/>
      <c r="G113" s="28"/>
      <c r="H113" s="28"/>
    </row>
    <row r="114" spans="2:8" s="22" customFormat="1">
      <c r="B114" s="37"/>
      <c r="C114" s="37"/>
      <c r="D114" s="32"/>
      <c r="E114" s="32"/>
      <c r="G114" s="28"/>
      <c r="H114" s="28"/>
    </row>
    <row r="115" spans="2:8" s="22" customFormat="1">
      <c r="B115" s="37"/>
      <c r="C115" s="37"/>
      <c r="D115" s="32"/>
      <c r="E115" s="32"/>
      <c r="G115" s="28"/>
      <c r="H115" s="28"/>
    </row>
    <row r="116" spans="2:8" s="22" customFormat="1">
      <c r="B116" s="37"/>
      <c r="C116" s="37"/>
      <c r="D116" s="32"/>
      <c r="E116" s="32"/>
      <c r="G116" s="28"/>
      <c r="H116" s="28"/>
    </row>
    <row r="117" spans="2:8" s="22" customFormat="1">
      <c r="B117" s="37"/>
      <c r="C117" s="37"/>
      <c r="D117" s="32"/>
      <c r="E117" s="32"/>
      <c r="G117" s="28"/>
      <c r="H117" s="28"/>
    </row>
    <row r="118" spans="2:8" s="22" customFormat="1">
      <c r="B118" s="37"/>
      <c r="C118" s="37"/>
      <c r="D118" s="32"/>
      <c r="E118" s="32"/>
      <c r="G118" s="28"/>
      <c r="H118" s="28"/>
    </row>
    <row r="119" spans="2:8" s="22" customFormat="1">
      <c r="B119" s="37"/>
      <c r="C119" s="37"/>
      <c r="D119" s="32"/>
      <c r="E119" s="32"/>
      <c r="G119" s="28"/>
      <c r="H119" s="28"/>
    </row>
    <row r="120" spans="2:8" s="22" customFormat="1">
      <c r="B120" s="37"/>
      <c r="C120" s="37"/>
      <c r="D120" s="32"/>
      <c r="E120" s="32"/>
      <c r="G120" s="28"/>
      <c r="H120" s="28"/>
    </row>
    <row r="121" spans="2:8" s="22" customFormat="1">
      <c r="B121" s="37"/>
      <c r="C121" s="37"/>
      <c r="D121" s="32"/>
      <c r="E121" s="32"/>
      <c r="G121" s="28"/>
      <c r="H121" s="28"/>
    </row>
    <row r="122" spans="2:8" s="22" customFormat="1">
      <c r="B122" s="37"/>
      <c r="C122" s="37"/>
      <c r="D122" s="32"/>
      <c r="E122" s="32"/>
      <c r="G122" s="28"/>
      <c r="H122" s="28"/>
    </row>
    <row r="123" spans="2:8" s="22" customFormat="1">
      <c r="B123" s="37"/>
      <c r="C123" s="37"/>
      <c r="D123" s="32"/>
      <c r="E123" s="32"/>
      <c r="G123" s="28"/>
      <c r="H123" s="28"/>
    </row>
    <row r="124" spans="2:8" s="22" customFormat="1">
      <c r="B124" s="37"/>
      <c r="C124" s="37"/>
      <c r="D124" s="32"/>
      <c r="E124" s="32"/>
      <c r="G124" s="28"/>
      <c r="H124" s="28"/>
    </row>
    <row r="125" spans="2:8" s="22" customFormat="1">
      <c r="B125" s="37"/>
      <c r="C125" s="37"/>
      <c r="D125" s="32"/>
      <c r="E125" s="32"/>
      <c r="G125" s="28"/>
      <c r="H125" s="28"/>
    </row>
    <row r="126" spans="2:8" s="22" customFormat="1">
      <c r="B126" s="37"/>
      <c r="C126" s="37"/>
      <c r="D126" s="32"/>
      <c r="E126" s="32"/>
      <c r="G126" s="28"/>
      <c r="H126" s="28"/>
    </row>
    <row r="127" spans="2:8" s="22" customFormat="1">
      <c r="B127" s="37"/>
      <c r="C127" s="37"/>
      <c r="D127" s="32"/>
      <c r="E127" s="32"/>
      <c r="G127" s="28"/>
      <c r="H127" s="28"/>
    </row>
    <row r="128" spans="2:8" s="22" customFormat="1">
      <c r="B128" s="37"/>
      <c r="C128" s="37"/>
      <c r="D128" s="32"/>
      <c r="E128" s="32"/>
      <c r="G128" s="28"/>
      <c r="H128" s="28"/>
    </row>
    <row r="129" spans="2:8" s="22" customFormat="1">
      <c r="B129" s="37"/>
      <c r="C129" s="37"/>
      <c r="D129" s="32"/>
      <c r="E129" s="32"/>
      <c r="G129" s="28"/>
      <c r="H129" s="28"/>
    </row>
    <row r="130" spans="2:8" s="22" customFormat="1">
      <c r="B130" s="37"/>
      <c r="C130" s="37"/>
      <c r="D130" s="32"/>
      <c r="E130" s="32"/>
      <c r="G130" s="28"/>
      <c r="H130" s="28"/>
    </row>
    <row r="131" spans="2:8" s="22" customFormat="1">
      <c r="B131" s="37"/>
      <c r="C131" s="37"/>
      <c r="D131" s="32"/>
      <c r="E131" s="32"/>
      <c r="G131" s="28"/>
      <c r="H131" s="28"/>
    </row>
    <row r="132" spans="2:8" s="22" customFormat="1">
      <c r="B132" s="37"/>
      <c r="C132" s="37"/>
      <c r="D132" s="32"/>
      <c r="E132" s="32"/>
      <c r="G132" s="28"/>
      <c r="H132" s="28"/>
    </row>
    <row r="133" spans="2:8" s="22" customFormat="1">
      <c r="B133" s="37"/>
      <c r="C133" s="37"/>
      <c r="D133" s="32"/>
      <c r="E133" s="32"/>
      <c r="G133" s="28"/>
      <c r="H133" s="28"/>
    </row>
    <row r="134" spans="2:8" s="22" customFormat="1">
      <c r="B134" s="37"/>
      <c r="C134" s="37"/>
      <c r="D134" s="32"/>
      <c r="E134" s="32"/>
      <c r="G134" s="28"/>
      <c r="H134" s="28"/>
    </row>
    <row r="135" spans="2:8" s="22" customFormat="1">
      <c r="B135" s="37"/>
      <c r="C135" s="37"/>
      <c r="D135" s="32"/>
      <c r="E135" s="32"/>
      <c r="G135" s="28"/>
      <c r="H135" s="28"/>
    </row>
    <row r="136" spans="2:8" s="22" customFormat="1">
      <c r="B136" s="37"/>
      <c r="C136" s="37"/>
      <c r="D136" s="32"/>
      <c r="E136" s="32"/>
      <c r="G136" s="28"/>
      <c r="H136" s="28"/>
    </row>
    <row r="137" spans="2:8" s="22" customFormat="1">
      <c r="B137" s="37"/>
      <c r="C137" s="37"/>
      <c r="D137" s="32"/>
      <c r="E137" s="32"/>
      <c r="G137" s="28"/>
      <c r="H137" s="28"/>
    </row>
    <row r="138" spans="2:8" s="22" customFormat="1">
      <c r="B138" s="37"/>
      <c r="C138" s="37"/>
      <c r="D138" s="32"/>
      <c r="E138" s="32"/>
      <c r="G138" s="28"/>
      <c r="H138" s="28"/>
    </row>
    <row r="139" spans="2:8" s="22" customFormat="1">
      <c r="B139" s="37"/>
      <c r="C139" s="37"/>
      <c r="D139" s="32"/>
      <c r="E139" s="32"/>
      <c r="G139" s="28"/>
      <c r="H139" s="28"/>
    </row>
    <row r="140" spans="2:8" s="22" customFormat="1">
      <c r="B140" s="37"/>
      <c r="C140" s="37"/>
      <c r="D140" s="32"/>
      <c r="E140" s="32"/>
      <c r="G140" s="28"/>
      <c r="H140" s="28"/>
    </row>
    <row r="141" spans="2:8" s="22" customFormat="1">
      <c r="B141" s="37"/>
      <c r="C141" s="37"/>
      <c r="D141" s="32"/>
      <c r="E141" s="32"/>
      <c r="G141" s="28"/>
      <c r="H141" s="28"/>
    </row>
    <row r="142" spans="2:8" s="22" customFormat="1">
      <c r="B142" s="37"/>
      <c r="C142" s="37"/>
      <c r="D142" s="32"/>
      <c r="E142" s="32"/>
      <c r="G142" s="28"/>
      <c r="H142" s="28"/>
    </row>
    <row r="143" spans="2:8" s="22" customFormat="1">
      <c r="B143" s="37"/>
      <c r="C143" s="37"/>
      <c r="D143" s="32"/>
      <c r="E143" s="32"/>
      <c r="G143" s="28"/>
      <c r="H143" s="28"/>
    </row>
    <row r="144" spans="2:8" s="22" customFormat="1">
      <c r="B144" s="37"/>
      <c r="C144" s="37"/>
      <c r="D144" s="32"/>
      <c r="E144" s="32"/>
      <c r="G144" s="28"/>
      <c r="H144" s="28"/>
    </row>
    <row r="145" spans="2:8" s="22" customFormat="1">
      <c r="B145" s="37"/>
      <c r="C145" s="37"/>
      <c r="D145" s="32"/>
      <c r="E145" s="32"/>
      <c r="G145" s="28"/>
      <c r="H145" s="28"/>
    </row>
    <row r="146" spans="2:8" s="22" customFormat="1">
      <c r="B146" s="37"/>
      <c r="C146" s="37"/>
      <c r="D146" s="32"/>
      <c r="E146" s="32"/>
      <c r="G146" s="28"/>
      <c r="H146" s="28"/>
    </row>
    <row r="147" spans="2:8" s="22" customFormat="1">
      <c r="B147" s="37"/>
      <c r="C147" s="37"/>
      <c r="D147" s="32"/>
      <c r="E147" s="32"/>
      <c r="G147" s="28"/>
      <c r="H147" s="28"/>
    </row>
    <row r="148" spans="2:8" s="22" customFormat="1">
      <c r="B148" s="37"/>
      <c r="C148" s="37"/>
      <c r="D148" s="32"/>
      <c r="E148" s="32"/>
      <c r="G148" s="28"/>
      <c r="H148" s="28"/>
    </row>
    <row r="149" spans="2:8" s="22" customFormat="1">
      <c r="B149" s="37"/>
      <c r="C149" s="37"/>
      <c r="D149" s="32"/>
      <c r="E149" s="32"/>
      <c r="G149" s="28"/>
      <c r="H149" s="28"/>
    </row>
    <row r="150" spans="2:8" s="22" customFormat="1">
      <c r="B150" s="37"/>
      <c r="C150" s="37"/>
      <c r="D150" s="32"/>
      <c r="E150" s="32"/>
      <c r="G150" s="28"/>
      <c r="H150" s="28"/>
    </row>
    <row r="151" spans="2:8" s="22" customFormat="1">
      <c r="B151" s="37"/>
      <c r="C151" s="37"/>
      <c r="D151" s="32"/>
      <c r="E151" s="32"/>
      <c r="G151" s="28"/>
      <c r="H151" s="28"/>
    </row>
    <row r="152" spans="2:8" s="22" customFormat="1">
      <c r="B152" s="37"/>
      <c r="C152" s="37"/>
      <c r="D152" s="32"/>
      <c r="E152" s="32"/>
      <c r="G152" s="28"/>
      <c r="H152" s="28"/>
    </row>
    <row r="153" spans="2:8" s="22" customFormat="1">
      <c r="B153" s="37"/>
      <c r="C153" s="37"/>
      <c r="D153" s="32"/>
      <c r="E153" s="32"/>
      <c r="G153" s="28"/>
      <c r="H153" s="28"/>
    </row>
    <row r="154" spans="2:8" s="22" customFormat="1">
      <c r="B154" s="37"/>
      <c r="C154" s="37"/>
      <c r="D154" s="32"/>
      <c r="E154" s="32"/>
      <c r="G154" s="28"/>
      <c r="H154" s="28"/>
    </row>
    <row r="155" spans="2:8" s="22" customFormat="1">
      <c r="B155" s="37"/>
      <c r="C155" s="37"/>
      <c r="D155" s="32"/>
      <c r="E155" s="32"/>
      <c r="G155" s="28"/>
      <c r="H155" s="28"/>
    </row>
    <row r="156" spans="2:8" s="22" customFormat="1">
      <c r="B156" s="37"/>
      <c r="C156" s="37"/>
      <c r="D156" s="32"/>
      <c r="E156" s="32"/>
      <c r="G156" s="28"/>
      <c r="H156" s="28"/>
    </row>
    <row r="157" spans="2:8" s="22" customFormat="1">
      <c r="B157" s="37"/>
      <c r="C157" s="37"/>
      <c r="D157" s="32"/>
      <c r="E157" s="32"/>
      <c r="G157" s="28"/>
      <c r="H157" s="28"/>
    </row>
    <row r="158" spans="2:8" s="22" customFormat="1">
      <c r="B158" s="37"/>
      <c r="C158" s="37"/>
      <c r="D158" s="32"/>
      <c r="E158" s="32"/>
      <c r="G158" s="28"/>
      <c r="H158" s="28"/>
    </row>
    <row r="159" spans="2:8" s="22" customFormat="1">
      <c r="B159" s="37"/>
      <c r="C159" s="37"/>
      <c r="D159" s="32"/>
      <c r="E159" s="32"/>
      <c r="G159" s="28"/>
      <c r="H159" s="28"/>
    </row>
    <row r="160" spans="2:8" s="22" customFormat="1">
      <c r="B160" s="37"/>
      <c r="C160" s="37"/>
      <c r="D160" s="32"/>
      <c r="E160" s="32"/>
      <c r="G160" s="28"/>
      <c r="H160" s="28"/>
    </row>
    <row r="161" spans="2:8" s="22" customFormat="1">
      <c r="B161" s="37"/>
      <c r="C161" s="37"/>
      <c r="D161" s="32"/>
      <c r="E161" s="32"/>
      <c r="G161" s="28"/>
      <c r="H161" s="28"/>
    </row>
    <row r="162" spans="2:8" s="22" customFormat="1">
      <c r="B162" s="37"/>
      <c r="C162" s="37"/>
      <c r="D162" s="32"/>
      <c r="E162" s="32"/>
      <c r="G162" s="28"/>
      <c r="H162" s="28"/>
    </row>
    <row r="163" spans="2:8" s="22" customFormat="1">
      <c r="B163" s="37"/>
      <c r="C163" s="37"/>
      <c r="D163" s="32"/>
      <c r="E163" s="32"/>
      <c r="G163" s="28"/>
      <c r="H163" s="28"/>
    </row>
    <row r="164" spans="2:8" s="22" customFormat="1">
      <c r="B164" s="37"/>
      <c r="C164" s="37"/>
      <c r="D164" s="32"/>
      <c r="E164" s="32"/>
      <c r="G164" s="28"/>
      <c r="H164" s="28"/>
    </row>
    <row r="165" spans="2:8" s="22" customFormat="1">
      <c r="B165" s="37"/>
      <c r="C165" s="37"/>
      <c r="D165" s="32"/>
      <c r="E165" s="32"/>
      <c r="G165" s="28"/>
      <c r="H165" s="28"/>
    </row>
    <row r="166" spans="2:8" s="22" customFormat="1">
      <c r="B166" s="37"/>
      <c r="C166" s="37"/>
      <c r="D166" s="32"/>
      <c r="E166" s="32"/>
      <c r="G166" s="28"/>
      <c r="H166" s="28"/>
    </row>
    <row r="167" spans="2:8" s="22" customFormat="1">
      <c r="B167" s="37"/>
      <c r="C167" s="37"/>
      <c r="D167" s="32"/>
      <c r="E167" s="32"/>
      <c r="G167" s="28"/>
      <c r="H167" s="28"/>
    </row>
    <row r="168" spans="2:8" s="22" customFormat="1">
      <c r="B168" s="37"/>
      <c r="C168" s="37"/>
      <c r="D168" s="32"/>
      <c r="E168" s="32"/>
      <c r="G168" s="28"/>
      <c r="H168" s="28"/>
    </row>
    <row r="169" spans="2:8" s="22" customFormat="1">
      <c r="B169" s="37"/>
      <c r="C169" s="37"/>
      <c r="D169" s="32"/>
      <c r="E169" s="32"/>
      <c r="G169" s="28"/>
      <c r="H169" s="28"/>
    </row>
    <row r="170" spans="2:8" s="22" customFormat="1">
      <c r="B170" s="37"/>
      <c r="C170" s="37"/>
      <c r="D170" s="32"/>
      <c r="E170" s="32"/>
      <c r="G170" s="28"/>
      <c r="H170" s="28"/>
    </row>
    <row r="171" spans="2:8" s="22" customFormat="1">
      <c r="B171" s="37"/>
      <c r="C171" s="37"/>
      <c r="D171" s="32"/>
      <c r="E171" s="32"/>
      <c r="G171" s="28"/>
      <c r="H171" s="28"/>
    </row>
    <row r="172" spans="2:8" s="22" customFormat="1">
      <c r="B172" s="37"/>
      <c r="C172" s="37"/>
      <c r="D172" s="32"/>
      <c r="E172" s="32"/>
      <c r="G172" s="28"/>
      <c r="H172" s="28"/>
    </row>
    <row r="173" spans="2:8" s="22" customFormat="1">
      <c r="B173" s="37"/>
      <c r="C173" s="37"/>
      <c r="D173" s="32"/>
      <c r="E173" s="32"/>
      <c r="G173" s="28"/>
      <c r="H173" s="28"/>
    </row>
    <row r="174" spans="2:8" s="22" customFormat="1">
      <c r="B174" s="37"/>
      <c r="C174" s="37"/>
      <c r="D174" s="32"/>
      <c r="E174" s="32"/>
      <c r="G174" s="28"/>
      <c r="H174" s="28"/>
    </row>
    <row r="175" spans="2:8" s="22" customFormat="1">
      <c r="B175" s="37"/>
      <c r="C175" s="37"/>
      <c r="D175" s="32"/>
      <c r="E175" s="32"/>
      <c r="G175" s="28"/>
      <c r="H175" s="28"/>
    </row>
    <row r="176" spans="2:8" s="22" customFormat="1">
      <c r="B176" s="37"/>
      <c r="C176" s="37"/>
      <c r="D176" s="32"/>
      <c r="E176" s="32"/>
      <c r="G176" s="28"/>
      <c r="H176" s="28"/>
    </row>
    <row r="177" spans="2:8" s="22" customFormat="1">
      <c r="B177" s="37"/>
      <c r="C177" s="37"/>
      <c r="D177" s="32"/>
      <c r="E177" s="32"/>
      <c r="G177" s="28"/>
      <c r="H177" s="28"/>
    </row>
    <row r="178" spans="2:8" s="22" customFormat="1">
      <c r="B178" s="37"/>
      <c r="C178" s="37"/>
      <c r="D178" s="32"/>
      <c r="E178" s="32"/>
      <c r="G178" s="28"/>
      <c r="H178" s="28"/>
    </row>
    <row r="179" spans="2:8" s="22" customFormat="1">
      <c r="B179" s="37"/>
      <c r="C179" s="37"/>
      <c r="D179" s="32"/>
      <c r="E179" s="32"/>
      <c r="G179" s="28"/>
      <c r="H179" s="28"/>
    </row>
    <row r="180" spans="2:8" s="22" customFormat="1">
      <c r="B180" s="37"/>
      <c r="C180" s="37"/>
      <c r="D180" s="32"/>
      <c r="E180" s="32"/>
      <c r="G180" s="28"/>
      <c r="H180" s="28"/>
    </row>
    <row r="181" spans="2:8" s="22" customFormat="1">
      <c r="B181" s="37"/>
      <c r="C181" s="37"/>
      <c r="D181" s="32"/>
      <c r="E181" s="32"/>
      <c r="G181" s="28"/>
      <c r="H181" s="28"/>
    </row>
    <row r="182" spans="2:8" s="22" customFormat="1">
      <c r="B182" s="37"/>
      <c r="C182" s="37"/>
      <c r="D182" s="32"/>
      <c r="E182" s="32"/>
      <c r="G182" s="28"/>
      <c r="H182" s="28"/>
    </row>
    <row r="183" spans="2:8" s="22" customFormat="1">
      <c r="B183" s="37"/>
      <c r="C183" s="37"/>
      <c r="D183" s="32"/>
      <c r="E183" s="32"/>
      <c r="G183" s="28"/>
      <c r="H183" s="28"/>
    </row>
    <row r="184" spans="2:8" s="22" customFormat="1">
      <c r="B184" s="37"/>
      <c r="C184" s="37"/>
      <c r="D184" s="32"/>
      <c r="E184" s="32"/>
      <c r="G184" s="28"/>
      <c r="H184" s="28"/>
    </row>
    <row r="185" spans="2:8" s="22" customFormat="1">
      <c r="B185" s="37"/>
      <c r="C185" s="37"/>
      <c r="D185" s="32"/>
      <c r="E185" s="32"/>
      <c r="G185" s="28"/>
      <c r="H185" s="28"/>
    </row>
    <row r="186" spans="2:8" s="22" customFormat="1">
      <c r="B186" s="37"/>
      <c r="C186" s="37"/>
      <c r="D186" s="32"/>
      <c r="E186" s="32"/>
      <c r="G186" s="28"/>
      <c r="H186" s="28"/>
    </row>
    <row r="187" spans="2:8" s="22" customFormat="1">
      <c r="B187" s="37"/>
      <c r="C187" s="37"/>
      <c r="D187" s="32"/>
      <c r="E187" s="32"/>
      <c r="G187" s="28"/>
      <c r="H187" s="28"/>
    </row>
    <row r="188" spans="2:8" s="22" customFormat="1">
      <c r="B188" s="37"/>
      <c r="C188" s="37"/>
      <c r="D188" s="32"/>
      <c r="E188" s="32"/>
      <c r="G188" s="28"/>
      <c r="H188" s="28"/>
    </row>
    <row r="189" spans="2:8" s="22" customFormat="1">
      <c r="B189" s="37"/>
      <c r="C189" s="37"/>
      <c r="D189" s="32"/>
      <c r="E189" s="32"/>
      <c r="G189" s="28"/>
      <c r="H189" s="28"/>
    </row>
    <row r="190" spans="2:8" s="22" customFormat="1">
      <c r="B190" s="37"/>
      <c r="C190" s="37"/>
      <c r="D190" s="32"/>
      <c r="E190" s="32"/>
      <c r="G190" s="28"/>
      <c r="H190" s="28"/>
    </row>
    <row r="191" spans="2:8" s="22" customFormat="1">
      <c r="B191" s="37"/>
      <c r="C191" s="37"/>
      <c r="D191" s="32"/>
      <c r="E191" s="32"/>
      <c r="G191" s="28"/>
      <c r="H191" s="28"/>
    </row>
    <row r="192" spans="2:8" s="22" customFormat="1">
      <c r="B192" s="37"/>
      <c r="C192" s="37"/>
      <c r="D192" s="32"/>
      <c r="E192" s="32"/>
      <c r="G192" s="28"/>
      <c r="H192" s="28"/>
    </row>
    <row r="193" spans="2:8" s="22" customFormat="1">
      <c r="B193" s="37"/>
      <c r="C193" s="37"/>
      <c r="D193" s="32"/>
      <c r="E193" s="32"/>
      <c r="G193" s="28"/>
      <c r="H193" s="28"/>
    </row>
    <row r="194" spans="2:8" s="22" customFormat="1">
      <c r="B194" s="37"/>
      <c r="C194" s="37"/>
      <c r="D194" s="32"/>
      <c r="E194" s="32"/>
      <c r="G194" s="28"/>
      <c r="H194" s="28"/>
    </row>
    <row r="195" spans="2:8" s="22" customFormat="1">
      <c r="B195" s="37"/>
      <c r="C195" s="37"/>
      <c r="D195" s="32"/>
      <c r="E195" s="32"/>
      <c r="G195" s="28"/>
      <c r="H195" s="28"/>
    </row>
    <row r="196" spans="2:8" s="22" customFormat="1">
      <c r="B196" s="37"/>
      <c r="C196" s="37"/>
      <c r="D196" s="32"/>
      <c r="E196" s="32"/>
      <c r="G196" s="28"/>
      <c r="H196" s="28"/>
    </row>
    <row r="197" spans="2:8" s="22" customFormat="1">
      <c r="B197" s="37"/>
      <c r="C197" s="37"/>
      <c r="D197" s="32"/>
      <c r="E197" s="32"/>
      <c r="G197" s="28"/>
      <c r="H197" s="28"/>
    </row>
    <row r="198" spans="2:8" s="22" customFormat="1">
      <c r="B198" s="37"/>
      <c r="C198" s="37"/>
      <c r="D198" s="32"/>
      <c r="E198" s="32"/>
      <c r="G198" s="28"/>
      <c r="H198" s="28"/>
    </row>
    <row r="199" spans="2:8" s="22" customFormat="1">
      <c r="B199" s="37"/>
      <c r="C199" s="37"/>
      <c r="D199" s="32"/>
      <c r="E199" s="32"/>
      <c r="G199" s="28"/>
      <c r="H199" s="28"/>
    </row>
    <row r="200" spans="2:8" s="22" customFormat="1">
      <c r="B200" s="37"/>
      <c r="C200" s="37"/>
      <c r="D200" s="32"/>
      <c r="E200" s="32"/>
      <c r="G200" s="28"/>
      <c r="H200" s="28"/>
    </row>
    <row r="201" spans="2:8" s="22" customFormat="1">
      <c r="B201" s="37"/>
      <c r="C201" s="37"/>
      <c r="D201" s="32"/>
      <c r="E201" s="32"/>
      <c r="G201" s="28"/>
      <c r="H201" s="28"/>
    </row>
    <row r="202" spans="2:8" s="22" customFormat="1">
      <c r="B202" s="37"/>
      <c r="C202" s="37"/>
      <c r="D202" s="32"/>
      <c r="E202" s="32"/>
      <c r="G202" s="28"/>
      <c r="H202" s="28"/>
    </row>
    <row r="203" spans="2:8" s="22" customFormat="1">
      <c r="B203" s="37"/>
      <c r="C203" s="37"/>
      <c r="D203" s="32"/>
      <c r="E203" s="32"/>
      <c r="G203" s="28"/>
      <c r="H203" s="28"/>
    </row>
    <row r="204" spans="2:8" s="22" customFormat="1">
      <c r="B204" s="37"/>
      <c r="C204" s="37"/>
      <c r="D204" s="32"/>
      <c r="E204" s="32"/>
      <c r="G204" s="28"/>
      <c r="H204" s="28"/>
    </row>
    <row r="205" spans="2:8" s="22" customFormat="1">
      <c r="B205" s="37"/>
      <c r="C205" s="37"/>
      <c r="D205" s="32"/>
      <c r="E205" s="32"/>
      <c r="G205" s="28"/>
      <c r="H205" s="28"/>
    </row>
    <row r="206" spans="2:8" s="22" customFormat="1">
      <c r="B206" s="37"/>
      <c r="C206" s="37"/>
      <c r="D206" s="32"/>
      <c r="E206" s="32"/>
      <c r="G206" s="28"/>
      <c r="H206" s="28"/>
    </row>
    <row r="207" spans="2:8" s="22" customFormat="1">
      <c r="B207" s="37"/>
      <c r="C207" s="37"/>
      <c r="D207" s="32"/>
      <c r="E207" s="32"/>
      <c r="G207" s="28"/>
      <c r="H207" s="28"/>
    </row>
    <row r="208" spans="2:8" s="22" customFormat="1">
      <c r="B208" s="37"/>
      <c r="C208" s="37"/>
      <c r="D208" s="32"/>
      <c r="E208" s="32"/>
      <c r="G208" s="28"/>
      <c r="H208" s="28"/>
    </row>
    <row r="209" spans="2:8" s="22" customFormat="1">
      <c r="B209" s="37"/>
      <c r="C209" s="37"/>
      <c r="D209" s="32"/>
      <c r="E209" s="32"/>
      <c r="G209" s="28"/>
      <c r="H209" s="28"/>
    </row>
    <row r="210" spans="2:8" s="22" customFormat="1">
      <c r="B210" s="37"/>
      <c r="C210" s="37"/>
      <c r="D210" s="32"/>
      <c r="E210" s="32"/>
      <c r="G210" s="28"/>
      <c r="H210" s="28"/>
    </row>
    <row r="211" spans="2:8" s="22" customFormat="1">
      <c r="B211" s="37"/>
      <c r="C211" s="37"/>
      <c r="D211" s="32"/>
      <c r="E211" s="32"/>
      <c r="G211" s="28"/>
      <c r="H211" s="28"/>
    </row>
    <row r="212" spans="2:8" s="22" customFormat="1">
      <c r="B212" s="37"/>
      <c r="C212" s="37"/>
      <c r="D212" s="32"/>
      <c r="E212" s="32"/>
      <c r="G212" s="28"/>
      <c r="H212" s="28"/>
    </row>
    <row r="213" spans="2:8" s="22" customFormat="1">
      <c r="B213" s="37"/>
      <c r="C213" s="37"/>
      <c r="D213" s="32"/>
      <c r="E213" s="32"/>
      <c r="G213" s="28"/>
      <c r="H213" s="28"/>
    </row>
    <row r="214" spans="2:8" s="22" customFormat="1">
      <c r="B214" s="37"/>
      <c r="C214" s="37"/>
      <c r="D214" s="32"/>
      <c r="E214" s="32"/>
      <c r="G214" s="28"/>
      <c r="H214" s="28"/>
    </row>
    <row r="215" spans="2:8" s="22" customFormat="1">
      <c r="B215" s="37"/>
      <c r="C215" s="37"/>
      <c r="D215" s="32"/>
      <c r="E215" s="32"/>
      <c r="G215" s="28"/>
      <c r="H215" s="28"/>
    </row>
    <row r="216" spans="2:8" s="22" customFormat="1">
      <c r="B216" s="37"/>
      <c r="C216" s="37"/>
      <c r="D216" s="32"/>
      <c r="E216" s="32"/>
      <c r="G216" s="28"/>
      <c r="H216" s="28"/>
    </row>
    <row r="217" spans="2:8" s="22" customFormat="1">
      <c r="B217" s="37"/>
      <c r="C217" s="37"/>
      <c r="D217" s="32"/>
      <c r="E217" s="32"/>
      <c r="G217" s="28"/>
      <c r="H217" s="28"/>
    </row>
    <row r="218" spans="2:8" s="22" customFormat="1">
      <c r="B218" s="37"/>
      <c r="C218" s="37"/>
      <c r="D218" s="32"/>
      <c r="E218" s="32"/>
      <c r="G218" s="28"/>
      <c r="H218" s="28"/>
    </row>
    <row r="219" spans="2:8" s="22" customFormat="1">
      <c r="B219" s="37"/>
      <c r="C219" s="37"/>
      <c r="D219" s="32"/>
      <c r="E219" s="32"/>
      <c r="G219" s="28"/>
      <c r="H219" s="28"/>
    </row>
    <row r="220" spans="2:8" s="22" customFormat="1">
      <c r="B220" s="37"/>
      <c r="C220" s="37"/>
      <c r="D220" s="32"/>
      <c r="E220" s="32"/>
      <c r="G220" s="28"/>
      <c r="H220" s="28"/>
    </row>
    <row r="221" spans="2:8" s="22" customFormat="1">
      <c r="B221" s="37"/>
      <c r="C221" s="37"/>
      <c r="D221" s="32"/>
      <c r="E221" s="32"/>
      <c r="G221" s="28"/>
      <c r="H221" s="28"/>
    </row>
    <row r="222" spans="2:8" s="22" customFormat="1">
      <c r="B222" s="37"/>
      <c r="C222" s="37"/>
      <c r="D222" s="32"/>
      <c r="E222" s="32"/>
      <c r="G222" s="28"/>
      <c r="H222" s="28"/>
    </row>
    <row r="223" spans="2:8" s="22" customFormat="1">
      <c r="B223" s="37"/>
      <c r="C223" s="37"/>
      <c r="D223" s="32"/>
      <c r="E223" s="32"/>
      <c r="G223" s="28"/>
      <c r="H223" s="28"/>
    </row>
    <row r="224" spans="2:8" s="22" customFormat="1">
      <c r="B224" s="37"/>
      <c r="C224" s="37"/>
      <c r="D224" s="32"/>
      <c r="E224" s="32"/>
      <c r="G224" s="28"/>
      <c r="H224" s="28"/>
    </row>
    <row r="225" spans="2:8" s="22" customFormat="1">
      <c r="B225" s="37"/>
      <c r="C225" s="37"/>
      <c r="D225" s="32"/>
      <c r="E225" s="32"/>
      <c r="G225" s="28"/>
      <c r="H225" s="28"/>
    </row>
    <row r="226" spans="2:8" s="22" customFormat="1">
      <c r="B226" s="37"/>
      <c r="C226" s="37"/>
      <c r="D226" s="32"/>
      <c r="E226" s="32"/>
      <c r="G226" s="28"/>
      <c r="H226" s="28"/>
    </row>
    <row r="227" spans="2:8" s="22" customFormat="1">
      <c r="B227" s="37"/>
      <c r="C227" s="37"/>
      <c r="D227" s="32"/>
      <c r="E227" s="32"/>
      <c r="G227" s="28"/>
      <c r="H227" s="28"/>
    </row>
    <row r="228" spans="2:8" s="22" customFormat="1">
      <c r="B228" s="37"/>
      <c r="C228" s="37"/>
      <c r="D228" s="32"/>
      <c r="E228" s="32"/>
      <c r="G228" s="28"/>
      <c r="H228" s="28"/>
    </row>
    <row r="229" spans="2:8" s="22" customFormat="1">
      <c r="B229" s="37"/>
      <c r="C229" s="37"/>
      <c r="D229" s="32"/>
      <c r="E229" s="32"/>
      <c r="G229" s="28"/>
      <c r="H229" s="28"/>
    </row>
    <row r="230" spans="2:8" s="22" customFormat="1">
      <c r="B230" s="37"/>
      <c r="C230" s="37"/>
      <c r="D230" s="32"/>
      <c r="E230" s="32"/>
      <c r="G230" s="28"/>
      <c r="H230" s="28"/>
    </row>
    <row r="231" spans="2:8" s="22" customFormat="1">
      <c r="B231" s="37"/>
      <c r="C231" s="37"/>
      <c r="D231" s="32"/>
      <c r="E231" s="32"/>
      <c r="G231" s="28"/>
      <c r="H231" s="28"/>
    </row>
    <row r="232" spans="2:8" s="22" customFormat="1">
      <c r="B232" s="37"/>
      <c r="C232" s="37"/>
      <c r="D232" s="32"/>
      <c r="E232" s="32"/>
      <c r="G232" s="28"/>
      <c r="H232" s="28"/>
    </row>
    <row r="233" spans="2:8" s="22" customFormat="1">
      <c r="B233" s="37"/>
      <c r="C233" s="37"/>
      <c r="D233" s="32"/>
      <c r="E233" s="32"/>
      <c r="G233" s="28"/>
      <c r="H233" s="28"/>
    </row>
    <row r="234" spans="2:8" s="22" customFormat="1">
      <c r="B234" s="37"/>
      <c r="C234" s="37"/>
      <c r="D234" s="32"/>
      <c r="E234" s="32"/>
      <c r="G234" s="28"/>
      <c r="H234" s="28"/>
    </row>
    <row r="235" spans="2:8" s="22" customFormat="1">
      <c r="B235" s="37"/>
      <c r="C235" s="37"/>
      <c r="D235" s="32"/>
      <c r="E235" s="32"/>
      <c r="G235" s="28"/>
      <c r="H235" s="28"/>
    </row>
    <row r="236" spans="2:8" s="22" customFormat="1">
      <c r="B236" s="37"/>
      <c r="C236" s="37"/>
      <c r="D236" s="32"/>
      <c r="E236" s="32"/>
      <c r="G236" s="28"/>
      <c r="H236" s="28"/>
    </row>
    <row r="237" spans="2:8" s="22" customFormat="1">
      <c r="B237" s="37"/>
      <c r="C237" s="37"/>
      <c r="D237" s="32"/>
      <c r="E237" s="32"/>
      <c r="G237" s="28"/>
      <c r="H237" s="28"/>
    </row>
    <row r="238" spans="2:8" s="22" customFormat="1">
      <c r="B238" s="37"/>
      <c r="C238" s="37"/>
      <c r="D238" s="32"/>
      <c r="E238" s="32"/>
      <c r="G238" s="28"/>
      <c r="H238" s="28"/>
    </row>
    <row r="239" spans="2:8" s="22" customFormat="1">
      <c r="B239" s="37"/>
      <c r="C239" s="37"/>
      <c r="D239" s="32"/>
      <c r="E239" s="32"/>
      <c r="G239" s="28"/>
      <c r="H239" s="28"/>
    </row>
    <row r="240" spans="2:8" s="22" customFormat="1">
      <c r="B240" s="37"/>
      <c r="C240" s="37"/>
      <c r="D240" s="32"/>
      <c r="E240" s="32"/>
      <c r="G240" s="28"/>
      <c r="H240" s="28"/>
    </row>
    <row r="241" spans="2:8" s="22" customFormat="1">
      <c r="B241" s="37"/>
      <c r="C241" s="37"/>
      <c r="D241" s="32"/>
      <c r="E241" s="32"/>
      <c r="G241" s="28"/>
      <c r="H241" s="28"/>
    </row>
    <row r="242" spans="2:8" s="22" customFormat="1">
      <c r="B242" s="37"/>
      <c r="C242" s="37"/>
      <c r="D242" s="32"/>
      <c r="E242" s="32"/>
      <c r="G242" s="28"/>
      <c r="H242" s="28"/>
    </row>
    <row r="243" spans="2:8" s="22" customFormat="1">
      <c r="B243" s="37"/>
      <c r="C243" s="37"/>
      <c r="D243" s="32"/>
      <c r="E243" s="32"/>
      <c r="G243" s="28"/>
      <c r="H243" s="28"/>
    </row>
    <row r="244" spans="2:8" s="22" customFormat="1">
      <c r="B244" s="37"/>
      <c r="C244" s="37"/>
      <c r="D244" s="32"/>
      <c r="E244" s="32"/>
      <c r="G244" s="28"/>
      <c r="H244" s="28"/>
    </row>
    <row r="245" spans="2:8" s="22" customFormat="1">
      <c r="B245" s="37"/>
      <c r="C245" s="37"/>
      <c r="D245" s="32"/>
      <c r="E245" s="32"/>
      <c r="G245" s="28"/>
      <c r="H245" s="28"/>
    </row>
    <row r="246" spans="2:8" s="22" customFormat="1">
      <c r="B246" s="37"/>
      <c r="C246" s="37"/>
      <c r="D246" s="32"/>
      <c r="E246" s="32"/>
      <c r="G246" s="28"/>
      <c r="H246" s="28"/>
    </row>
    <row r="247" spans="2:8" s="22" customFormat="1">
      <c r="B247" s="37"/>
      <c r="C247" s="37"/>
      <c r="D247" s="32"/>
      <c r="E247" s="32"/>
      <c r="G247" s="28"/>
      <c r="H247" s="28"/>
    </row>
    <row r="248" spans="2:8" s="22" customFormat="1">
      <c r="B248" s="37"/>
      <c r="C248" s="37"/>
      <c r="D248" s="32"/>
      <c r="E248" s="32"/>
      <c r="G248" s="28"/>
      <c r="H248" s="28"/>
    </row>
    <row r="249" spans="2:8" s="22" customFormat="1">
      <c r="B249" s="37"/>
      <c r="C249" s="37"/>
      <c r="D249" s="32"/>
      <c r="E249" s="32"/>
      <c r="G249" s="28"/>
      <c r="H249" s="28"/>
    </row>
    <row r="250" spans="2:8" s="22" customFormat="1">
      <c r="B250" s="37"/>
      <c r="C250" s="37"/>
      <c r="D250" s="32"/>
      <c r="E250" s="32"/>
      <c r="G250" s="28"/>
      <c r="H250" s="28"/>
    </row>
    <row r="251" spans="2:8" s="22" customFormat="1">
      <c r="B251" s="37"/>
      <c r="C251" s="37"/>
      <c r="D251" s="32"/>
      <c r="E251" s="32"/>
      <c r="G251" s="28"/>
      <c r="H251" s="28"/>
    </row>
    <row r="252" spans="2:8" s="22" customFormat="1">
      <c r="B252" s="37"/>
      <c r="C252" s="37"/>
      <c r="D252" s="32"/>
      <c r="E252" s="32"/>
      <c r="G252" s="28"/>
      <c r="H252" s="28"/>
    </row>
    <row r="253" spans="2:8" s="22" customFormat="1">
      <c r="B253" s="37"/>
      <c r="C253" s="37"/>
      <c r="D253" s="32"/>
      <c r="E253" s="32"/>
      <c r="G253" s="28"/>
      <c r="H253" s="28"/>
    </row>
    <row r="254" spans="2:8" s="22" customFormat="1">
      <c r="B254" s="37"/>
      <c r="C254" s="37"/>
      <c r="D254" s="32"/>
      <c r="E254" s="32"/>
      <c r="G254" s="28"/>
      <c r="H254" s="28"/>
    </row>
    <row r="255" spans="2:8" s="22" customFormat="1">
      <c r="B255" s="37"/>
      <c r="C255" s="37"/>
      <c r="D255" s="32"/>
      <c r="E255" s="32"/>
      <c r="G255" s="28"/>
      <c r="H255" s="28"/>
    </row>
    <row r="256" spans="2:8" s="22" customFormat="1">
      <c r="B256" s="37"/>
      <c r="C256" s="37"/>
      <c r="D256" s="32"/>
      <c r="E256" s="32"/>
      <c r="G256" s="28"/>
      <c r="H256" s="28"/>
    </row>
    <row r="257" spans="2:8" s="22" customFormat="1">
      <c r="B257" s="37"/>
      <c r="C257" s="37"/>
      <c r="D257" s="32"/>
      <c r="E257" s="32"/>
      <c r="G257" s="28"/>
      <c r="H257" s="28"/>
    </row>
    <row r="258" spans="2:8" s="22" customFormat="1">
      <c r="B258" s="37"/>
      <c r="C258" s="37"/>
      <c r="D258" s="32"/>
      <c r="E258" s="32"/>
      <c r="G258" s="28"/>
      <c r="H258" s="28"/>
    </row>
    <row r="259" spans="2:8" s="22" customFormat="1">
      <c r="B259" s="37"/>
      <c r="C259" s="37"/>
      <c r="D259" s="32"/>
      <c r="E259" s="32"/>
      <c r="G259" s="28"/>
      <c r="H259" s="28"/>
    </row>
    <row r="260" spans="2:8" s="22" customFormat="1">
      <c r="B260" s="37"/>
      <c r="C260" s="37"/>
      <c r="D260" s="32"/>
      <c r="E260" s="32"/>
      <c r="G260" s="28"/>
      <c r="H260" s="28"/>
    </row>
    <row r="261" spans="2:8" s="22" customFormat="1">
      <c r="B261" s="37"/>
      <c r="C261" s="37"/>
      <c r="D261" s="32"/>
      <c r="E261" s="32"/>
      <c r="G261" s="28"/>
      <c r="H261" s="28"/>
    </row>
    <row r="262" spans="2:8" s="22" customFormat="1">
      <c r="B262" s="37"/>
      <c r="C262" s="37"/>
      <c r="D262" s="32"/>
      <c r="E262" s="32"/>
      <c r="G262" s="28"/>
      <c r="H262" s="28"/>
    </row>
    <row r="263" spans="2:8" s="22" customFormat="1">
      <c r="B263" s="37"/>
      <c r="C263" s="37"/>
      <c r="D263" s="32"/>
      <c r="E263" s="32"/>
      <c r="G263" s="28"/>
      <c r="H263" s="28"/>
    </row>
    <row r="264" spans="2:8" s="22" customFormat="1">
      <c r="B264" s="37"/>
      <c r="C264" s="37"/>
      <c r="D264" s="32"/>
      <c r="E264" s="32"/>
      <c r="G264" s="28"/>
      <c r="H264" s="28"/>
    </row>
    <row r="265" spans="2:8" s="22" customFormat="1">
      <c r="B265" s="37"/>
      <c r="C265" s="37"/>
      <c r="D265" s="32"/>
      <c r="E265" s="32"/>
      <c r="G265" s="28"/>
      <c r="H265" s="28"/>
    </row>
    <row r="266" spans="2:8" s="22" customFormat="1">
      <c r="B266" s="37"/>
      <c r="C266" s="37"/>
      <c r="D266" s="32"/>
      <c r="E266" s="32"/>
      <c r="G266" s="28"/>
      <c r="H266" s="28"/>
    </row>
    <row r="267" spans="2:8" s="22" customFormat="1">
      <c r="B267" s="37"/>
      <c r="C267" s="37"/>
      <c r="D267" s="32"/>
      <c r="E267" s="32"/>
      <c r="G267" s="28"/>
      <c r="H267" s="28"/>
    </row>
    <row r="268" spans="2:8" s="22" customFormat="1">
      <c r="B268" s="37"/>
      <c r="C268" s="37"/>
      <c r="D268" s="32"/>
      <c r="E268" s="32"/>
      <c r="G268" s="28"/>
      <c r="H268" s="28"/>
    </row>
    <row r="269" spans="2:8" s="22" customFormat="1">
      <c r="B269" s="37"/>
      <c r="C269" s="37"/>
      <c r="D269" s="32"/>
      <c r="E269" s="32"/>
      <c r="G269" s="28"/>
      <c r="H269" s="28"/>
    </row>
    <row r="270" spans="2:8" s="22" customFormat="1">
      <c r="B270" s="37"/>
      <c r="C270" s="37"/>
      <c r="D270" s="32"/>
      <c r="E270" s="32"/>
      <c r="G270" s="28"/>
      <c r="H270" s="28"/>
    </row>
    <row r="271" spans="2:8" s="22" customFormat="1">
      <c r="B271" s="37"/>
      <c r="C271" s="37"/>
      <c r="D271" s="32"/>
      <c r="E271" s="32"/>
      <c r="G271" s="28"/>
      <c r="H271" s="28"/>
    </row>
    <row r="272" spans="2:8" s="22" customFormat="1">
      <c r="B272" s="37"/>
      <c r="C272" s="37"/>
      <c r="D272" s="32"/>
      <c r="E272" s="32"/>
      <c r="G272" s="28"/>
      <c r="H272" s="28"/>
    </row>
    <row r="273" spans="2:8" s="22" customFormat="1">
      <c r="B273" s="37"/>
      <c r="C273" s="37"/>
      <c r="D273" s="32"/>
      <c r="E273" s="32"/>
      <c r="G273" s="28"/>
      <c r="H273" s="28"/>
    </row>
    <row r="274" spans="2:8" s="22" customFormat="1">
      <c r="B274" s="37"/>
      <c r="C274" s="37"/>
      <c r="D274" s="32"/>
      <c r="E274" s="32"/>
      <c r="G274" s="28"/>
      <c r="H274" s="28"/>
    </row>
    <row r="275" spans="2:8" s="22" customFormat="1">
      <c r="B275" s="37"/>
      <c r="C275" s="37"/>
      <c r="D275" s="32"/>
      <c r="E275" s="32"/>
      <c r="G275" s="28"/>
      <c r="H275" s="28"/>
    </row>
    <row r="276" spans="2:8" s="22" customFormat="1">
      <c r="B276" s="37"/>
      <c r="C276" s="37"/>
      <c r="D276" s="32"/>
      <c r="E276" s="32"/>
      <c r="G276" s="28"/>
      <c r="H276" s="28"/>
    </row>
    <row r="277" spans="2:8" s="22" customFormat="1">
      <c r="B277" s="37"/>
      <c r="C277" s="37"/>
      <c r="D277" s="32"/>
      <c r="E277" s="32"/>
      <c r="G277" s="28"/>
      <c r="H277" s="28"/>
    </row>
    <row r="278" spans="2:8" s="22" customFormat="1">
      <c r="B278" s="37"/>
      <c r="C278" s="37"/>
      <c r="D278" s="32"/>
      <c r="E278" s="32"/>
      <c r="G278" s="28"/>
      <c r="H278" s="28"/>
    </row>
    <row r="279" spans="2:8" s="22" customFormat="1">
      <c r="B279" s="37"/>
      <c r="C279" s="37"/>
      <c r="D279" s="32"/>
      <c r="E279" s="32"/>
      <c r="G279" s="28"/>
      <c r="H279" s="28"/>
    </row>
    <row r="280" spans="2:8" s="22" customFormat="1">
      <c r="B280" s="37"/>
      <c r="C280" s="37"/>
      <c r="D280" s="32"/>
      <c r="E280" s="32"/>
      <c r="G280" s="28"/>
      <c r="H280" s="28"/>
    </row>
    <row r="281" spans="2:8" s="22" customFormat="1">
      <c r="B281" s="37"/>
      <c r="C281" s="37"/>
      <c r="D281" s="32"/>
      <c r="E281" s="32"/>
      <c r="G281" s="28"/>
      <c r="H281" s="28"/>
    </row>
    <row r="282" spans="2:8" s="22" customFormat="1">
      <c r="B282" s="37"/>
      <c r="C282" s="37"/>
      <c r="D282" s="32"/>
      <c r="E282" s="32"/>
      <c r="G282" s="28"/>
      <c r="H282" s="28"/>
    </row>
    <row r="283" spans="2:8" s="22" customFormat="1">
      <c r="B283" s="37"/>
      <c r="C283" s="37"/>
      <c r="D283" s="32"/>
      <c r="E283" s="32"/>
      <c r="G283" s="28"/>
      <c r="H283" s="28"/>
    </row>
    <row r="284" spans="2:8" s="22" customFormat="1">
      <c r="B284" s="37"/>
      <c r="C284" s="37"/>
      <c r="D284" s="32"/>
      <c r="E284" s="32"/>
      <c r="G284" s="28"/>
      <c r="H284" s="28"/>
    </row>
    <row r="285" spans="2:8" s="22" customFormat="1">
      <c r="B285" s="37"/>
      <c r="C285" s="37"/>
      <c r="D285" s="32"/>
      <c r="E285" s="32"/>
      <c r="G285" s="28"/>
      <c r="H285" s="28"/>
    </row>
    <row r="286" spans="2:8" s="22" customFormat="1">
      <c r="B286" s="37"/>
      <c r="C286" s="37"/>
      <c r="D286" s="32"/>
      <c r="E286" s="32"/>
      <c r="G286" s="28"/>
      <c r="H286" s="28"/>
    </row>
    <row r="287" spans="2:8" s="22" customFormat="1">
      <c r="B287" s="37"/>
      <c r="C287" s="37"/>
      <c r="D287" s="32"/>
      <c r="E287" s="32"/>
      <c r="G287" s="28"/>
      <c r="H287" s="28"/>
    </row>
    <row r="288" spans="2:8" s="22" customFormat="1">
      <c r="B288" s="37"/>
      <c r="C288" s="37"/>
      <c r="D288" s="32"/>
      <c r="E288" s="32"/>
      <c r="G288" s="28"/>
      <c r="H288" s="28"/>
    </row>
    <row r="289" spans="2:8" s="22" customFormat="1">
      <c r="B289" s="37"/>
      <c r="C289" s="37"/>
      <c r="D289" s="32"/>
      <c r="E289" s="32"/>
      <c r="G289" s="28"/>
      <c r="H289" s="28"/>
    </row>
    <row r="290" spans="2:8" s="22" customFormat="1">
      <c r="B290" s="37"/>
      <c r="C290" s="37"/>
      <c r="D290" s="32"/>
      <c r="E290" s="32"/>
      <c r="G290" s="28"/>
      <c r="H290" s="28"/>
    </row>
    <row r="291" spans="2:8" s="22" customFormat="1">
      <c r="B291" s="37"/>
      <c r="C291" s="37"/>
      <c r="D291" s="32"/>
      <c r="E291" s="32"/>
      <c r="G291" s="28"/>
      <c r="H291" s="28"/>
    </row>
    <row r="292" spans="2:8" s="22" customFormat="1">
      <c r="B292" s="37"/>
      <c r="C292" s="37"/>
      <c r="D292" s="32"/>
      <c r="E292" s="32"/>
      <c r="G292" s="28"/>
      <c r="H292" s="28"/>
    </row>
    <row r="293" spans="2:8" s="22" customFormat="1">
      <c r="B293" s="37"/>
      <c r="C293" s="37"/>
      <c r="D293" s="32"/>
      <c r="E293" s="32"/>
      <c r="G293" s="28"/>
      <c r="H293" s="28"/>
    </row>
    <row r="294" spans="2:8" s="22" customFormat="1">
      <c r="B294" s="37"/>
      <c r="C294" s="37"/>
      <c r="D294" s="32"/>
      <c r="E294" s="32"/>
      <c r="G294" s="28"/>
      <c r="H294" s="28"/>
    </row>
    <row r="295" spans="2:8" s="22" customFormat="1">
      <c r="B295" s="37"/>
      <c r="C295" s="37"/>
      <c r="D295" s="32"/>
      <c r="E295" s="32"/>
      <c r="G295" s="28"/>
      <c r="H295" s="28"/>
    </row>
    <row r="296" spans="2:8" s="22" customFormat="1">
      <c r="B296" s="37"/>
      <c r="C296" s="37"/>
      <c r="D296" s="32"/>
      <c r="E296" s="32"/>
      <c r="G296" s="28"/>
      <c r="H296" s="28"/>
    </row>
    <row r="297" spans="2:8" s="22" customFormat="1">
      <c r="B297" s="37"/>
      <c r="C297" s="37"/>
      <c r="D297" s="32"/>
      <c r="E297" s="32"/>
      <c r="G297" s="28"/>
      <c r="H297" s="28"/>
    </row>
    <row r="298" spans="2:8" s="22" customFormat="1">
      <c r="B298" s="37"/>
      <c r="C298" s="37"/>
      <c r="D298" s="32"/>
      <c r="E298" s="32"/>
      <c r="G298" s="28"/>
      <c r="H298" s="28"/>
    </row>
    <row r="299" spans="2:8" s="22" customFormat="1">
      <c r="B299" s="37"/>
      <c r="C299" s="37"/>
      <c r="D299" s="32"/>
      <c r="E299" s="32"/>
      <c r="G299" s="28"/>
      <c r="H299" s="28"/>
    </row>
    <row r="300" spans="2:8" s="22" customFormat="1">
      <c r="B300" s="37"/>
      <c r="C300" s="37"/>
      <c r="D300" s="32"/>
      <c r="E300" s="32"/>
      <c r="G300" s="28"/>
      <c r="H300" s="28"/>
    </row>
    <row r="301" spans="2:8" s="22" customFormat="1">
      <c r="B301" s="37"/>
      <c r="C301" s="37"/>
      <c r="D301" s="32"/>
      <c r="E301" s="32"/>
      <c r="G301" s="28"/>
      <c r="H301" s="28"/>
    </row>
    <row r="302" spans="2:8" s="22" customFormat="1">
      <c r="B302" s="37"/>
      <c r="C302" s="37"/>
      <c r="D302" s="32"/>
      <c r="E302" s="32"/>
      <c r="G302" s="28"/>
      <c r="H302" s="28"/>
    </row>
    <row r="303" spans="2:8" s="22" customFormat="1">
      <c r="B303" s="37"/>
      <c r="C303" s="37"/>
      <c r="D303" s="32"/>
      <c r="E303" s="32"/>
      <c r="G303" s="28"/>
      <c r="H303" s="28"/>
    </row>
    <row r="304" spans="2:8" s="22" customFormat="1">
      <c r="B304" s="37"/>
      <c r="C304" s="37"/>
      <c r="D304" s="32"/>
      <c r="E304" s="32"/>
      <c r="G304" s="28"/>
      <c r="H304" s="28"/>
    </row>
    <row r="305" spans="2:8" s="22" customFormat="1">
      <c r="B305" s="37"/>
      <c r="C305" s="37"/>
      <c r="D305" s="32"/>
      <c r="E305" s="32"/>
      <c r="G305" s="28"/>
      <c r="H305" s="28"/>
    </row>
    <row r="306" spans="2:8" s="22" customFormat="1">
      <c r="B306" s="37"/>
      <c r="C306" s="37"/>
      <c r="D306" s="32"/>
      <c r="E306" s="32"/>
      <c r="G306" s="28"/>
      <c r="H306" s="28"/>
    </row>
    <row r="307" spans="2:8" s="22" customFormat="1">
      <c r="B307" s="37"/>
      <c r="C307" s="37"/>
      <c r="D307" s="32"/>
      <c r="E307" s="32"/>
      <c r="G307" s="28"/>
      <c r="H307" s="28"/>
    </row>
    <row r="308" spans="2:8" s="22" customFormat="1">
      <c r="B308" s="37"/>
      <c r="C308" s="37"/>
      <c r="D308" s="32"/>
      <c r="E308" s="32"/>
      <c r="G308" s="28"/>
      <c r="H308" s="28"/>
    </row>
    <row r="309" spans="2:8" s="22" customFormat="1">
      <c r="B309" s="37"/>
      <c r="C309" s="37"/>
      <c r="D309" s="32"/>
      <c r="E309" s="32"/>
      <c r="G309" s="28"/>
      <c r="H309" s="28"/>
    </row>
    <row r="310" spans="2:8" s="22" customFormat="1">
      <c r="B310" s="37"/>
      <c r="C310" s="37"/>
      <c r="D310" s="32"/>
      <c r="E310" s="32"/>
      <c r="G310" s="28"/>
      <c r="H310" s="28"/>
    </row>
    <row r="311" spans="2:8" s="22" customFormat="1">
      <c r="B311" s="37"/>
      <c r="C311" s="37"/>
      <c r="D311" s="32"/>
      <c r="E311" s="32"/>
      <c r="G311" s="28"/>
      <c r="H311" s="28"/>
    </row>
    <row r="312" spans="2:8" s="22" customFormat="1">
      <c r="B312" s="37"/>
      <c r="C312" s="37"/>
      <c r="D312" s="32"/>
      <c r="E312" s="32"/>
      <c r="G312" s="28"/>
      <c r="H312" s="28"/>
    </row>
    <row r="313" spans="2:8" s="22" customFormat="1">
      <c r="B313" s="37"/>
      <c r="C313" s="37"/>
      <c r="D313" s="32"/>
      <c r="E313" s="32"/>
      <c r="G313" s="28"/>
      <c r="H313" s="28"/>
    </row>
    <row r="314" spans="2:8" s="22" customFormat="1">
      <c r="B314" s="37"/>
      <c r="C314" s="37"/>
      <c r="D314" s="32"/>
      <c r="E314" s="32"/>
      <c r="G314" s="28"/>
      <c r="H314" s="28"/>
    </row>
    <row r="315" spans="2:8" s="22" customFormat="1">
      <c r="B315" s="37"/>
      <c r="C315" s="37"/>
      <c r="D315" s="32"/>
      <c r="E315" s="32"/>
      <c r="G315" s="28"/>
      <c r="H315" s="28"/>
    </row>
    <row r="316" spans="2:8" s="22" customFormat="1">
      <c r="B316" s="37"/>
      <c r="C316" s="37"/>
      <c r="D316" s="32"/>
      <c r="E316" s="32"/>
      <c r="G316" s="28"/>
      <c r="H316" s="28"/>
    </row>
    <row r="317" spans="2:8" s="22" customFormat="1">
      <c r="B317" s="37"/>
      <c r="C317" s="37"/>
      <c r="D317" s="32"/>
      <c r="E317" s="32"/>
      <c r="G317" s="28"/>
      <c r="H317" s="28"/>
    </row>
    <row r="318" spans="2:8" s="22" customFormat="1">
      <c r="B318" s="37"/>
      <c r="C318" s="37"/>
      <c r="D318" s="32"/>
      <c r="E318" s="32"/>
      <c r="G318" s="28"/>
      <c r="H318" s="28"/>
    </row>
    <row r="319" spans="2:8" s="22" customFormat="1">
      <c r="B319" s="37"/>
      <c r="C319" s="37"/>
      <c r="D319" s="32"/>
      <c r="E319" s="32"/>
      <c r="G319" s="28"/>
      <c r="H319" s="28"/>
    </row>
    <row r="320" spans="2:8" s="22" customFormat="1">
      <c r="B320" s="37"/>
      <c r="C320" s="37"/>
      <c r="D320" s="32"/>
      <c r="E320" s="32"/>
      <c r="G320" s="28"/>
      <c r="H320" s="28"/>
    </row>
    <row r="321" spans="2:8" s="22" customFormat="1">
      <c r="B321" s="37"/>
      <c r="C321" s="37"/>
      <c r="D321" s="32"/>
      <c r="E321" s="32"/>
      <c r="G321" s="28"/>
      <c r="H321" s="28"/>
    </row>
    <row r="322" spans="2:8" s="22" customFormat="1">
      <c r="B322" s="37"/>
      <c r="C322" s="37"/>
      <c r="D322" s="32"/>
      <c r="E322" s="32"/>
      <c r="G322" s="28"/>
      <c r="H322" s="28"/>
    </row>
    <row r="323" spans="2:8" s="22" customFormat="1">
      <c r="B323" s="37"/>
      <c r="C323" s="37"/>
      <c r="D323" s="32"/>
      <c r="E323" s="32"/>
      <c r="G323" s="28"/>
      <c r="H323" s="28"/>
    </row>
    <row r="324" spans="2:8" s="22" customFormat="1">
      <c r="B324" s="37"/>
      <c r="C324" s="37"/>
      <c r="D324" s="32"/>
      <c r="E324" s="32"/>
      <c r="G324" s="28"/>
      <c r="H324" s="28"/>
    </row>
    <row r="325" spans="2:8" s="22" customFormat="1">
      <c r="B325" s="37"/>
      <c r="C325" s="37"/>
      <c r="D325" s="32"/>
      <c r="E325" s="32"/>
      <c r="G325" s="28"/>
      <c r="H325" s="28"/>
    </row>
    <row r="326" spans="2:8" s="22" customFormat="1">
      <c r="B326" s="37"/>
      <c r="C326" s="37"/>
      <c r="D326" s="32"/>
      <c r="E326" s="32"/>
      <c r="G326" s="28"/>
      <c r="H326" s="28"/>
    </row>
    <row r="327" spans="2:8" s="22" customFormat="1">
      <c r="B327" s="37"/>
      <c r="C327" s="37"/>
      <c r="D327" s="32"/>
      <c r="E327" s="32"/>
      <c r="G327" s="28"/>
      <c r="H327" s="28"/>
    </row>
    <row r="328" spans="2:8" s="22" customFormat="1">
      <c r="B328" s="37"/>
      <c r="C328" s="37"/>
      <c r="D328" s="32"/>
      <c r="E328" s="32"/>
      <c r="G328" s="28"/>
      <c r="H328" s="28"/>
    </row>
    <row r="329" spans="2:8" s="22" customFormat="1">
      <c r="B329" s="37"/>
      <c r="C329" s="37"/>
      <c r="D329" s="32"/>
      <c r="E329" s="32"/>
      <c r="G329" s="28"/>
      <c r="H329" s="28"/>
    </row>
    <row r="330" spans="2:8" s="22" customFormat="1">
      <c r="B330" s="37"/>
      <c r="C330" s="37"/>
      <c r="D330" s="32"/>
      <c r="E330" s="32"/>
      <c r="G330" s="28"/>
      <c r="H330" s="28"/>
    </row>
    <row r="331" spans="2:8" s="22" customFormat="1">
      <c r="B331" s="37"/>
      <c r="C331" s="37"/>
      <c r="D331" s="32"/>
      <c r="E331" s="32"/>
      <c r="G331" s="28"/>
      <c r="H331" s="28"/>
    </row>
    <row r="332" spans="2:8" s="22" customFormat="1">
      <c r="B332" s="37"/>
      <c r="C332" s="37"/>
      <c r="D332" s="32"/>
      <c r="E332" s="32"/>
      <c r="G332" s="28"/>
      <c r="H332" s="28"/>
    </row>
    <row r="333" spans="2:8" s="22" customFormat="1">
      <c r="B333" s="37"/>
      <c r="C333" s="37"/>
      <c r="D333" s="32"/>
      <c r="E333" s="32"/>
      <c r="G333" s="28"/>
      <c r="H333" s="28"/>
    </row>
    <row r="334" spans="2:8" s="22" customFormat="1">
      <c r="B334" s="37"/>
      <c r="C334" s="37"/>
      <c r="D334" s="32"/>
      <c r="E334" s="32"/>
      <c r="G334" s="28"/>
      <c r="H334" s="28"/>
    </row>
    <row r="335" spans="2:8" s="22" customFormat="1">
      <c r="B335" s="37"/>
      <c r="C335" s="37"/>
      <c r="D335" s="32"/>
      <c r="E335" s="32"/>
      <c r="G335" s="28"/>
      <c r="H335" s="28"/>
    </row>
    <row r="336" spans="2:8" s="22" customFormat="1">
      <c r="B336" s="37"/>
      <c r="C336" s="37"/>
      <c r="D336" s="32"/>
      <c r="E336" s="32"/>
      <c r="G336" s="28"/>
      <c r="H336" s="28"/>
    </row>
    <row r="337" spans="2:8" s="22" customFormat="1">
      <c r="B337" s="37"/>
      <c r="C337" s="37"/>
      <c r="D337" s="32"/>
      <c r="E337" s="32"/>
      <c r="G337" s="28"/>
      <c r="H337" s="28"/>
    </row>
    <row r="338" spans="2:8" s="22" customFormat="1">
      <c r="B338" s="37"/>
      <c r="C338" s="37"/>
      <c r="D338" s="32"/>
      <c r="E338" s="32"/>
      <c r="G338" s="28"/>
      <c r="H338" s="28"/>
    </row>
    <row r="339" spans="2:8" s="22" customFormat="1">
      <c r="B339" s="37"/>
      <c r="C339" s="37"/>
      <c r="D339" s="32"/>
      <c r="E339" s="32"/>
      <c r="G339" s="28"/>
      <c r="H339" s="28"/>
    </row>
    <row r="340" spans="2:8" s="22" customFormat="1">
      <c r="B340" s="37"/>
      <c r="C340" s="37"/>
      <c r="D340" s="32"/>
      <c r="E340" s="32"/>
      <c r="G340" s="28"/>
      <c r="H340" s="28"/>
    </row>
    <row r="341" spans="2:8" s="22" customFormat="1">
      <c r="B341" s="37"/>
      <c r="C341" s="37"/>
      <c r="D341" s="32"/>
      <c r="E341" s="32"/>
      <c r="G341" s="28"/>
      <c r="H341" s="28"/>
    </row>
    <row r="342" spans="2:8" s="22" customFormat="1">
      <c r="B342" s="37"/>
      <c r="C342" s="37"/>
      <c r="D342" s="32"/>
      <c r="E342" s="32"/>
      <c r="G342" s="28"/>
      <c r="H342" s="28"/>
    </row>
    <row r="343" spans="2:8" s="22" customFormat="1">
      <c r="B343" s="37"/>
      <c r="C343" s="37"/>
      <c r="D343" s="32"/>
      <c r="E343" s="32"/>
      <c r="G343" s="28"/>
      <c r="H343" s="28"/>
    </row>
    <row r="344" spans="2:8" s="22" customFormat="1">
      <c r="B344" s="37"/>
      <c r="C344" s="37"/>
      <c r="D344" s="32"/>
      <c r="E344" s="32"/>
      <c r="G344" s="28"/>
      <c r="H344" s="28"/>
    </row>
    <row r="345" spans="2:8" s="22" customFormat="1">
      <c r="B345" s="37"/>
      <c r="C345" s="37"/>
      <c r="D345" s="32"/>
      <c r="E345" s="32"/>
      <c r="G345" s="28"/>
      <c r="H345" s="28"/>
    </row>
    <row r="346" spans="2:8" s="22" customFormat="1">
      <c r="B346" s="37"/>
      <c r="C346" s="37"/>
      <c r="D346" s="32"/>
      <c r="E346" s="32"/>
      <c r="G346" s="28"/>
      <c r="H346" s="28"/>
    </row>
    <row r="347" spans="2:8" s="22" customFormat="1">
      <c r="B347" s="37"/>
      <c r="C347" s="37"/>
      <c r="D347" s="32"/>
      <c r="E347" s="32"/>
      <c r="G347" s="28"/>
      <c r="H347" s="28"/>
    </row>
    <row r="348" spans="2:8" s="22" customFormat="1">
      <c r="B348" s="37"/>
      <c r="C348" s="37"/>
      <c r="D348" s="32"/>
      <c r="E348" s="32"/>
      <c r="G348" s="28"/>
      <c r="H348" s="28"/>
    </row>
    <row r="349" spans="2:8" s="22" customFormat="1">
      <c r="B349" s="37"/>
      <c r="C349" s="37"/>
      <c r="D349" s="32"/>
      <c r="E349" s="32"/>
      <c r="G349" s="28"/>
      <c r="H349" s="28"/>
    </row>
    <row r="350" spans="2:8" s="22" customFormat="1">
      <c r="B350" s="37"/>
      <c r="C350" s="37"/>
      <c r="D350" s="32"/>
      <c r="E350" s="32"/>
      <c r="G350" s="28"/>
      <c r="H350" s="28"/>
    </row>
    <row r="351" spans="2:8" s="22" customFormat="1">
      <c r="B351" s="37"/>
      <c r="C351" s="37"/>
      <c r="D351" s="32"/>
      <c r="E351" s="32"/>
      <c r="G351" s="28"/>
      <c r="H351" s="28"/>
    </row>
    <row r="352" spans="2:8" s="22" customFormat="1">
      <c r="B352" s="37"/>
      <c r="C352" s="37"/>
      <c r="D352" s="32"/>
      <c r="E352" s="32"/>
      <c r="G352" s="28"/>
      <c r="H352" s="28"/>
    </row>
    <row r="353" spans="2:8" s="22" customFormat="1">
      <c r="B353" s="37"/>
      <c r="C353" s="37"/>
      <c r="D353" s="32"/>
      <c r="E353" s="32"/>
      <c r="G353" s="28"/>
      <c r="H353" s="28"/>
    </row>
    <row r="354" spans="2:8" s="22" customFormat="1">
      <c r="B354" s="37"/>
      <c r="C354" s="37"/>
      <c r="D354" s="32"/>
      <c r="E354" s="32"/>
      <c r="G354" s="28"/>
      <c r="H354" s="28"/>
    </row>
    <row r="355" spans="2:8" s="22" customFormat="1">
      <c r="B355" s="37"/>
      <c r="C355" s="37"/>
      <c r="D355" s="32"/>
      <c r="E355" s="32"/>
      <c r="G355" s="28"/>
      <c r="H355" s="28"/>
    </row>
    <row r="356" spans="2:8" s="22" customFormat="1">
      <c r="B356" s="37"/>
      <c r="C356" s="37"/>
      <c r="D356" s="32"/>
      <c r="E356" s="32"/>
      <c r="G356" s="28"/>
      <c r="H356" s="28"/>
    </row>
    <row r="357" spans="2:8" s="22" customFormat="1">
      <c r="B357" s="37"/>
      <c r="C357" s="37"/>
      <c r="D357" s="32"/>
      <c r="E357" s="32"/>
      <c r="G357" s="28"/>
      <c r="H357" s="28"/>
    </row>
    <row r="358" spans="2:8" s="22" customFormat="1">
      <c r="B358" s="37"/>
      <c r="C358" s="37"/>
      <c r="D358" s="32"/>
      <c r="E358" s="32"/>
      <c r="G358" s="28"/>
      <c r="H358" s="28"/>
    </row>
    <row r="359" spans="2:8" s="22" customFormat="1">
      <c r="B359" s="37"/>
      <c r="C359" s="37"/>
      <c r="D359" s="32"/>
      <c r="E359" s="32"/>
      <c r="G359" s="28"/>
      <c r="H359" s="28"/>
    </row>
    <row r="360" spans="2:8" s="22" customFormat="1">
      <c r="B360" s="37"/>
      <c r="C360" s="37"/>
      <c r="D360" s="32"/>
      <c r="E360" s="32"/>
      <c r="G360" s="28"/>
      <c r="H360" s="28"/>
    </row>
    <row r="361" spans="2:8" s="22" customFormat="1">
      <c r="B361" s="37"/>
      <c r="C361" s="37"/>
      <c r="D361" s="32"/>
      <c r="E361" s="32"/>
      <c r="G361" s="28"/>
      <c r="H361" s="28"/>
    </row>
    <row r="362" spans="2:8" s="22" customFormat="1">
      <c r="B362" s="37"/>
      <c r="C362" s="37"/>
      <c r="D362" s="32"/>
      <c r="E362" s="32"/>
      <c r="G362" s="28"/>
      <c r="H362" s="28"/>
    </row>
    <row r="363" spans="2:8" s="22" customFormat="1">
      <c r="B363" s="37"/>
      <c r="C363" s="37"/>
      <c r="D363" s="32"/>
      <c r="E363" s="32"/>
      <c r="G363" s="28"/>
      <c r="H363" s="28"/>
    </row>
    <row r="364" spans="2:8" s="22" customFormat="1">
      <c r="B364" s="37"/>
      <c r="C364" s="37"/>
      <c r="D364" s="32"/>
      <c r="E364" s="32"/>
      <c r="G364" s="28"/>
      <c r="H364" s="28"/>
    </row>
    <row r="365" spans="2:8" s="22" customFormat="1">
      <c r="B365" s="37"/>
      <c r="C365" s="37"/>
      <c r="D365" s="32"/>
      <c r="E365" s="32"/>
      <c r="G365" s="28"/>
      <c r="H365" s="28"/>
    </row>
    <row r="366" spans="2:8" s="22" customFormat="1">
      <c r="B366" s="37"/>
      <c r="C366" s="37"/>
      <c r="D366" s="32"/>
      <c r="E366" s="32"/>
      <c r="G366" s="28"/>
      <c r="H366" s="28"/>
    </row>
    <row r="367" spans="2:8" s="22" customFormat="1">
      <c r="B367" s="37"/>
      <c r="C367" s="37"/>
      <c r="D367" s="32"/>
      <c r="E367" s="32"/>
      <c r="G367" s="28"/>
      <c r="H367" s="28"/>
    </row>
    <row r="368" spans="2:8" s="22" customFormat="1">
      <c r="B368" s="37"/>
      <c r="C368" s="37"/>
      <c r="D368" s="32"/>
      <c r="E368" s="32"/>
      <c r="G368" s="28"/>
      <c r="H368" s="28"/>
    </row>
    <row r="369" spans="2:8" s="22" customFormat="1">
      <c r="B369" s="37"/>
      <c r="C369" s="37"/>
      <c r="D369" s="32"/>
      <c r="E369" s="32"/>
      <c r="G369" s="28"/>
      <c r="H369" s="28"/>
    </row>
    <row r="370" spans="2:8" s="22" customFormat="1">
      <c r="B370" s="37"/>
      <c r="C370" s="37"/>
      <c r="D370" s="32"/>
      <c r="E370" s="32"/>
      <c r="G370" s="28"/>
      <c r="H370" s="28"/>
    </row>
    <row r="371" spans="2:8" s="22" customFormat="1">
      <c r="B371" s="37"/>
      <c r="C371" s="37"/>
      <c r="D371" s="32"/>
      <c r="E371" s="32"/>
      <c r="G371" s="28"/>
      <c r="H371" s="28"/>
    </row>
    <row r="372" spans="2:8" s="22" customFormat="1">
      <c r="B372" s="37"/>
      <c r="C372" s="37"/>
      <c r="D372" s="32"/>
      <c r="E372" s="32"/>
      <c r="G372" s="28"/>
      <c r="H372" s="28"/>
    </row>
    <row r="373" spans="2:8" s="22" customFormat="1">
      <c r="B373" s="37"/>
      <c r="C373" s="37"/>
      <c r="D373" s="32"/>
      <c r="E373" s="32"/>
      <c r="G373" s="28"/>
      <c r="H373" s="28"/>
    </row>
    <row r="374" spans="2:8" s="22" customFormat="1">
      <c r="B374" s="37"/>
      <c r="C374" s="37"/>
      <c r="D374" s="32"/>
      <c r="E374" s="32"/>
      <c r="G374" s="28"/>
      <c r="H374" s="28"/>
    </row>
    <row r="375" spans="2:8" s="22" customFormat="1">
      <c r="B375" s="37"/>
      <c r="C375" s="37"/>
      <c r="D375" s="32"/>
      <c r="E375" s="32"/>
      <c r="G375" s="28"/>
      <c r="H375" s="28"/>
    </row>
    <row r="376" spans="2:8" s="22" customFormat="1">
      <c r="B376" s="37"/>
      <c r="C376" s="37"/>
      <c r="D376" s="32"/>
      <c r="E376" s="32"/>
      <c r="G376" s="28"/>
      <c r="H376" s="28"/>
    </row>
    <row r="377" spans="2:8" s="22" customFormat="1">
      <c r="B377" s="37"/>
      <c r="C377" s="37"/>
      <c r="D377" s="32"/>
      <c r="E377" s="32"/>
      <c r="G377" s="28"/>
      <c r="H377" s="28"/>
    </row>
    <row r="378" spans="2:8" s="22" customFormat="1">
      <c r="B378" s="37"/>
      <c r="C378" s="37"/>
      <c r="D378" s="32"/>
      <c r="E378" s="32"/>
      <c r="G378" s="28"/>
      <c r="H378" s="28"/>
    </row>
    <row r="379" spans="2:8" s="22" customFormat="1">
      <c r="B379" s="37"/>
      <c r="C379" s="37"/>
      <c r="D379" s="32"/>
      <c r="E379" s="32"/>
      <c r="G379" s="28"/>
      <c r="H379" s="28"/>
    </row>
    <row r="380" spans="2:8" s="22" customFormat="1">
      <c r="B380" s="37"/>
      <c r="C380" s="37"/>
      <c r="D380" s="32"/>
      <c r="E380" s="32"/>
      <c r="G380" s="28"/>
      <c r="H380" s="28"/>
    </row>
    <row r="381" spans="2:8" s="22" customFormat="1">
      <c r="B381" s="37"/>
      <c r="C381" s="37"/>
      <c r="D381" s="32"/>
      <c r="E381" s="32"/>
      <c r="G381" s="28"/>
      <c r="H381" s="28"/>
    </row>
    <row r="382" spans="2:8" s="22" customFormat="1">
      <c r="B382" s="37"/>
      <c r="C382" s="37"/>
      <c r="D382" s="32"/>
      <c r="E382" s="32"/>
      <c r="G382" s="28"/>
      <c r="H382" s="28"/>
    </row>
    <row r="383" spans="2:8" s="22" customFormat="1">
      <c r="B383" s="37"/>
      <c r="C383" s="37"/>
      <c r="D383" s="32"/>
      <c r="E383" s="32"/>
      <c r="G383" s="28"/>
      <c r="H383" s="28"/>
    </row>
    <row r="384" spans="2:8" s="22" customFormat="1">
      <c r="B384" s="37"/>
      <c r="C384" s="37"/>
      <c r="D384" s="32"/>
      <c r="E384" s="32"/>
      <c r="G384" s="28"/>
      <c r="H384" s="28"/>
    </row>
    <row r="385" spans="2:8" s="22" customFormat="1">
      <c r="B385" s="37"/>
      <c r="C385" s="37"/>
      <c r="D385" s="32"/>
      <c r="E385" s="32"/>
      <c r="G385" s="28"/>
      <c r="H385" s="28"/>
    </row>
    <row r="386" spans="2:8" s="22" customFormat="1">
      <c r="B386" s="37"/>
      <c r="C386" s="37"/>
      <c r="D386" s="32"/>
      <c r="E386" s="32"/>
      <c r="G386" s="28"/>
      <c r="H386" s="28"/>
    </row>
    <row r="387" spans="2:8" s="22" customFormat="1">
      <c r="B387" s="37"/>
      <c r="C387" s="37"/>
      <c r="D387" s="32"/>
      <c r="E387" s="32"/>
      <c r="G387" s="28"/>
      <c r="H387" s="28"/>
    </row>
    <row r="388" spans="2:8" s="22" customFormat="1">
      <c r="B388" s="37"/>
      <c r="C388" s="37"/>
      <c r="D388" s="32"/>
      <c r="E388" s="32"/>
      <c r="G388" s="28"/>
      <c r="H388" s="28"/>
    </row>
    <row r="389" spans="2:8" s="22" customFormat="1">
      <c r="B389" s="37"/>
      <c r="C389" s="37"/>
      <c r="D389" s="32"/>
      <c r="E389" s="32"/>
      <c r="G389" s="28"/>
      <c r="H389" s="28"/>
    </row>
    <row r="390" spans="2:8" s="22" customFormat="1">
      <c r="B390" s="37"/>
      <c r="C390" s="37"/>
      <c r="D390" s="32"/>
      <c r="E390" s="32"/>
      <c r="G390" s="28"/>
      <c r="H390" s="28"/>
    </row>
    <row r="391" spans="2:8" s="22" customFormat="1">
      <c r="B391" s="37"/>
      <c r="C391" s="37"/>
      <c r="D391" s="32"/>
      <c r="E391" s="32"/>
      <c r="G391" s="28"/>
      <c r="H391" s="28"/>
    </row>
    <row r="392" spans="2:8" s="22" customFormat="1">
      <c r="B392" s="37"/>
      <c r="C392" s="37"/>
      <c r="D392" s="32"/>
      <c r="E392" s="32"/>
      <c r="G392" s="28"/>
      <c r="H392" s="28"/>
    </row>
    <row r="393" spans="2:8" s="22" customFormat="1">
      <c r="B393" s="37"/>
      <c r="C393" s="37"/>
      <c r="D393" s="32"/>
      <c r="E393" s="32"/>
      <c r="G393" s="28"/>
      <c r="H393" s="28"/>
    </row>
    <row r="394" spans="2:8" s="22" customFormat="1">
      <c r="B394" s="37"/>
      <c r="C394" s="37"/>
      <c r="D394" s="32"/>
      <c r="E394" s="32"/>
      <c r="G394" s="28"/>
      <c r="H394" s="28"/>
    </row>
    <row r="395" spans="2:8" s="22" customFormat="1">
      <c r="B395" s="37"/>
      <c r="C395" s="37"/>
      <c r="D395" s="32"/>
      <c r="E395" s="32"/>
      <c r="G395" s="28"/>
      <c r="H395" s="28"/>
    </row>
    <row r="396" spans="2:8" s="22" customFormat="1">
      <c r="B396" s="37"/>
      <c r="C396" s="37"/>
      <c r="D396" s="32"/>
      <c r="E396" s="32"/>
      <c r="G396" s="28"/>
      <c r="H396" s="28"/>
    </row>
    <row r="397" spans="2:8" s="22" customFormat="1">
      <c r="B397" s="37"/>
      <c r="C397" s="37"/>
      <c r="D397" s="32"/>
      <c r="E397" s="32"/>
      <c r="G397" s="28"/>
      <c r="H397" s="28"/>
    </row>
    <row r="398" spans="2:8" s="22" customFormat="1">
      <c r="B398" s="37"/>
      <c r="C398" s="37"/>
      <c r="D398" s="32"/>
      <c r="E398" s="32"/>
      <c r="G398" s="28"/>
      <c r="H398" s="28"/>
    </row>
    <row r="399" spans="2:8" s="22" customFormat="1">
      <c r="B399" s="37"/>
      <c r="C399" s="37"/>
      <c r="D399" s="32"/>
      <c r="E399" s="32"/>
      <c r="G399" s="28"/>
      <c r="H399" s="28"/>
    </row>
    <row r="400" spans="2:8" s="22" customFormat="1">
      <c r="B400" s="37"/>
      <c r="C400" s="37"/>
      <c r="D400" s="32"/>
      <c r="E400" s="32"/>
      <c r="G400" s="28"/>
      <c r="H400" s="28"/>
    </row>
    <row r="401" spans="2:8" s="22" customFormat="1">
      <c r="B401" s="37"/>
      <c r="C401" s="37"/>
      <c r="D401" s="32"/>
      <c r="E401" s="32"/>
      <c r="G401" s="28"/>
      <c r="H401" s="28"/>
    </row>
    <row r="402" spans="2:8" s="22" customFormat="1">
      <c r="B402" s="37"/>
      <c r="C402" s="37"/>
      <c r="D402" s="32"/>
      <c r="E402" s="32"/>
      <c r="G402" s="28"/>
      <c r="H402" s="28"/>
    </row>
    <row r="403" spans="2:8" s="22" customFormat="1">
      <c r="B403" s="37"/>
      <c r="C403" s="37"/>
      <c r="D403" s="32"/>
      <c r="E403" s="32"/>
      <c r="G403" s="28"/>
      <c r="H403" s="28"/>
    </row>
    <row r="404" spans="2:8" s="22" customFormat="1">
      <c r="B404" s="37"/>
      <c r="C404" s="37"/>
      <c r="D404" s="32"/>
      <c r="E404" s="32"/>
      <c r="G404" s="28"/>
      <c r="H404" s="28"/>
    </row>
    <row r="405" spans="2:8" s="22" customFormat="1">
      <c r="B405" s="37"/>
      <c r="C405" s="37"/>
      <c r="D405" s="32"/>
      <c r="E405" s="32"/>
      <c r="G405" s="28"/>
      <c r="H405" s="28"/>
    </row>
    <row r="406" spans="2:8" s="22" customFormat="1">
      <c r="B406" s="37"/>
      <c r="C406" s="37"/>
      <c r="D406" s="32"/>
      <c r="E406" s="32"/>
      <c r="G406" s="28"/>
      <c r="H406" s="28"/>
    </row>
    <row r="407" spans="2:8" s="22" customFormat="1">
      <c r="B407" s="37"/>
      <c r="C407" s="37"/>
      <c r="D407" s="32"/>
      <c r="E407" s="32"/>
      <c r="G407" s="28"/>
      <c r="H407" s="28"/>
    </row>
    <row r="408" spans="2:8" s="22" customFormat="1">
      <c r="B408" s="37"/>
      <c r="C408" s="37"/>
      <c r="D408" s="32"/>
      <c r="E408" s="32"/>
      <c r="G408" s="28"/>
      <c r="H408" s="28"/>
    </row>
    <row r="409" spans="2:8" s="22" customFormat="1">
      <c r="B409" s="37"/>
      <c r="C409" s="37"/>
      <c r="D409" s="32"/>
      <c r="E409" s="32"/>
      <c r="G409" s="28"/>
      <c r="H409" s="28"/>
    </row>
    <row r="410" spans="2:8" s="22" customFormat="1">
      <c r="B410" s="37"/>
      <c r="C410" s="37"/>
      <c r="D410" s="32"/>
      <c r="E410" s="32"/>
      <c r="G410" s="28"/>
      <c r="H410" s="28"/>
    </row>
    <row r="411" spans="2:8" s="22" customFormat="1">
      <c r="B411" s="37"/>
      <c r="C411" s="37"/>
      <c r="D411" s="32"/>
      <c r="E411" s="32"/>
      <c r="G411" s="28"/>
      <c r="H411" s="28"/>
    </row>
    <row r="412" spans="2:8" s="22" customFormat="1">
      <c r="B412" s="37"/>
      <c r="C412" s="37"/>
      <c r="D412" s="32"/>
      <c r="E412" s="32"/>
      <c r="G412" s="28"/>
      <c r="H412" s="28"/>
    </row>
    <row r="413" spans="2:8" s="22" customFormat="1">
      <c r="B413" s="37"/>
      <c r="C413" s="37"/>
      <c r="D413" s="32"/>
      <c r="E413" s="32"/>
      <c r="G413" s="28"/>
      <c r="H413" s="28"/>
    </row>
    <row r="414" spans="2:8" s="22" customFormat="1">
      <c r="B414" s="37"/>
      <c r="C414" s="37"/>
      <c r="D414" s="32"/>
      <c r="E414" s="32"/>
      <c r="G414" s="28"/>
      <c r="H414" s="28"/>
    </row>
    <row r="415" spans="2:8" s="22" customFormat="1">
      <c r="B415" s="37"/>
      <c r="C415" s="37"/>
      <c r="D415" s="32"/>
      <c r="E415" s="32"/>
      <c r="G415" s="28"/>
      <c r="H415" s="28"/>
    </row>
    <row r="416" spans="2:8" s="22" customFormat="1">
      <c r="B416" s="37"/>
      <c r="C416" s="37"/>
      <c r="D416" s="32"/>
      <c r="E416" s="32"/>
      <c r="G416" s="28"/>
      <c r="H416" s="28"/>
    </row>
    <row r="417" spans="2:8" s="22" customFormat="1">
      <c r="B417" s="37"/>
      <c r="C417" s="37"/>
      <c r="D417" s="32"/>
      <c r="E417" s="32"/>
      <c r="G417" s="28"/>
      <c r="H417" s="28"/>
    </row>
    <row r="418" spans="2:8" s="22" customFormat="1">
      <c r="B418" s="37"/>
      <c r="C418" s="37"/>
      <c r="D418" s="32"/>
      <c r="E418" s="32"/>
      <c r="G418" s="28"/>
      <c r="H418" s="28"/>
    </row>
    <row r="419" spans="2:8" s="22" customFormat="1">
      <c r="B419" s="37"/>
      <c r="C419" s="37"/>
      <c r="D419" s="32"/>
      <c r="E419" s="32"/>
      <c r="G419" s="28"/>
      <c r="H419" s="28"/>
    </row>
    <row r="420" spans="2:8" s="22" customFormat="1">
      <c r="B420" s="37"/>
      <c r="C420" s="37"/>
      <c r="D420" s="32"/>
      <c r="E420" s="32"/>
      <c r="G420" s="28"/>
      <c r="H420" s="28"/>
    </row>
    <row r="421" spans="2:8" s="22" customFormat="1">
      <c r="B421" s="37"/>
      <c r="C421" s="37"/>
      <c r="D421" s="32"/>
      <c r="E421" s="32"/>
      <c r="G421" s="28"/>
      <c r="H421" s="28"/>
    </row>
    <row r="422" spans="2:8" s="22" customFormat="1">
      <c r="B422" s="37"/>
      <c r="C422" s="37"/>
      <c r="D422" s="32"/>
      <c r="E422" s="32"/>
      <c r="G422" s="28"/>
      <c r="H422" s="28"/>
    </row>
    <row r="423" spans="2:8" s="22" customFormat="1">
      <c r="B423" s="37"/>
      <c r="C423" s="37"/>
      <c r="D423" s="32"/>
      <c r="E423" s="32"/>
      <c r="G423" s="28"/>
      <c r="H423" s="28"/>
    </row>
    <row r="424" spans="2:8" s="22" customFormat="1">
      <c r="B424" s="37"/>
      <c r="C424" s="37"/>
      <c r="D424" s="32"/>
      <c r="E424" s="32"/>
      <c r="G424" s="28"/>
      <c r="H424" s="28"/>
    </row>
    <row r="425" spans="2:8" s="22" customFormat="1">
      <c r="B425" s="37"/>
      <c r="C425" s="37"/>
      <c r="D425" s="32"/>
      <c r="E425" s="32"/>
      <c r="G425" s="28"/>
      <c r="H425" s="28"/>
    </row>
    <row r="426" spans="2:8" s="22" customFormat="1">
      <c r="B426" s="37"/>
      <c r="C426" s="37"/>
      <c r="D426" s="32"/>
      <c r="E426" s="32"/>
      <c r="G426" s="28"/>
      <c r="H426" s="28"/>
    </row>
    <row r="427" spans="2:8" s="22" customFormat="1">
      <c r="B427" s="37"/>
      <c r="C427" s="37"/>
      <c r="D427" s="32"/>
      <c r="E427" s="32"/>
      <c r="G427" s="28"/>
      <c r="H427" s="28"/>
    </row>
    <row r="428" spans="2:8" s="22" customFormat="1">
      <c r="B428" s="37"/>
      <c r="C428" s="37"/>
      <c r="D428" s="32"/>
      <c r="E428" s="32"/>
      <c r="G428" s="28"/>
      <c r="H428" s="28"/>
    </row>
    <row r="429" spans="2:8" s="22" customFormat="1">
      <c r="B429" s="37"/>
      <c r="C429" s="37"/>
      <c r="D429" s="32"/>
      <c r="E429" s="32"/>
      <c r="G429" s="28"/>
      <c r="H429" s="28"/>
    </row>
    <row r="430" spans="2:8" s="22" customFormat="1">
      <c r="B430" s="37"/>
      <c r="C430" s="37"/>
      <c r="D430" s="32"/>
      <c r="E430" s="32"/>
      <c r="G430" s="28"/>
      <c r="H430" s="28"/>
    </row>
    <row r="431" spans="2:8" s="22" customFormat="1">
      <c r="B431" s="37"/>
      <c r="C431" s="37"/>
      <c r="D431" s="32"/>
      <c r="E431" s="32"/>
      <c r="G431" s="28"/>
      <c r="H431" s="28"/>
    </row>
    <row r="432" spans="2:8" s="22" customFormat="1">
      <c r="B432" s="37"/>
      <c r="C432" s="37"/>
      <c r="D432" s="32"/>
      <c r="E432" s="32"/>
      <c r="G432" s="28"/>
      <c r="H432" s="28"/>
    </row>
    <row r="433" spans="2:8" s="22" customFormat="1">
      <c r="B433" s="37"/>
      <c r="C433" s="37"/>
      <c r="D433" s="32"/>
      <c r="E433" s="32"/>
      <c r="G433" s="28"/>
      <c r="H433" s="28"/>
    </row>
    <row r="434" spans="2:8" s="22" customFormat="1">
      <c r="B434" s="37"/>
      <c r="C434" s="37"/>
      <c r="D434" s="32"/>
      <c r="E434" s="32"/>
      <c r="G434" s="28"/>
      <c r="H434" s="28"/>
    </row>
    <row r="435" spans="2:8" s="22" customFormat="1">
      <c r="B435" s="37"/>
      <c r="C435" s="37"/>
      <c r="D435" s="32"/>
      <c r="E435" s="32"/>
      <c r="G435" s="28"/>
      <c r="H435" s="28"/>
    </row>
  </sheetData>
  <sheetProtection selectLockedCells="1"/>
  <customSheetViews>
    <customSheetView guid="{9F94E489-9692-4C63-A554-7FBA98A324C0}" scale="70" topLeftCell="A76">
      <selection activeCell="F127" sqref="F127"/>
      <rowBreaks count="3" manualBreakCount="3">
        <brk id="51" min="1" max="27" man="1"/>
        <brk id="99" max="16383" man="1"/>
        <brk id="148"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0CBEA09E-24B8-4CE5-A052-7237E9208379}" showRuler="0" topLeftCell="A34">
      <pageMargins left="0.75" right="0.75" top="1" bottom="1" header="0" footer="0"/>
      <headerFooter alignWithMargins="0"/>
    </customSheetView>
    <customSheetView guid="{6E71BEFB-61B2-401E-9961-32884E4CD56C}" scale="70" zeroValues="0" showRuler="0" topLeftCell="A69">
      <selection activeCell="C99" sqref="C99"/>
      <rowBreaks count="2" manualBreakCount="2">
        <brk id="51" min="1" max="27" man="1"/>
        <brk id="99" max="16383" man="1"/>
      </rowBreaks>
      <colBreaks count="3" manualBreakCount="3">
        <brk id="20" max="37" man="1"/>
        <brk id="39" max="1048575" man="1"/>
        <brk id="52" max="1048575" man="1"/>
      </colBreaks>
      <pageMargins left="0.43307086614173229" right="0.27559055118110237" top="0.39370078740157483" bottom="0.19685039370078741" header="0" footer="0"/>
      <printOptions horizontalCentered="1" verticalCentered="1"/>
      <pageSetup scale="79" pageOrder="overThenDown" orientation="landscape" r:id="rId1"/>
      <headerFooter alignWithMargins="0"/>
    </customSheetView>
    <customSheetView guid="{74BDB053-C30B-49CC-8134-2CE4C1966D2C}" scale="85" zeroValues="0" showRuler="0" topLeftCell="B1">
      <pane ySplit="12" topLeftCell="A68" activePane="bottomLeft" state="frozen"/>
      <selection pane="bottomLeft" activeCell="E74" sqref="E74"/>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2"/>
      <headerFooter alignWithMargins="0"/>
    </customSheetView>
    <customSheetView guid="{40B815EE-4446-47D1-839D-2EFF5F5EF0E5}" scale="85" zeroValues="0" showRuler="0" topLeftCell="A22">
      <selection activeCell="Q6" sqref="Q6"/>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3"/>
      <headerFooter alignWithMargins="0"/>
    </customSheetView>
    <customSheetView guid="{52F59514-34F3-4352-A05C-5BB41CEA0827}" scale="85" zeroValues="0" showRuler="0">
      <pane ySplit="12" topLeftCell="A100" activePane="bottomLeft" state="frozen"/>
      <selection pane="bottomLeft" activeCell="B46" sqref="B46:E46"/>
      <rowBreaks count="3" manualBreakCount="3">
        <brk id="51" min="1" max="27" man="1"/>
        <brk id="99" max="16383" man="1"/>
        <brk id="152" max="16383" man="1"/>
      </rowBreaks>
      <colBreaks count="4" manualBreakCount="4">
        <brk id="15" max="37" man="1"/>
        <brk id="23" max="1048575"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4"/>
      <headerFooter alignWithMargins="0"/>
    </customSheetView>
    <customSheetView guid="{9F94E489-9692-4C63-A554-7FBA98A324C0}" scale="71" topLeftCell="C1213">
      <selection activeCell="E61" sqref="E61"/>
      <rowBreaks count="3" manualBreakCount="3">
        <brk id="51" min="1" max="27" man="1"/>
        <brk id="99" max="16383" man="1"/>
        <brk id="156"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9F94E489-9692-4C63-A554-7FBA98A324C0}" scale="115" topLeftCell="A12">
      <pane xSplit="2" ySplit="3" topLeftCell="C104" activePane="bottomRight" state="frozen"/>
      <selection pane="bottomRight" activeCell="C98" sqref="C98"/>
      <rowBreaks count="5" manualBreakCount="5">
        <brk id="49" max="16383" man="1"/>
        <brk id="50" max="16383" man="1"/>
        <brk id="51" min="1" max="27" man="1"/>
        <brk id="99" max="16383" man="1"/>
        <brk id="156" max="16383" man="1"/>
      </rowBreaks>
      <colBreaks count="5" manualBreakCount="5">
        <brk id="18" max="1048575" man="1"/>
        <brk id="19" max="37" man="1"/>
        <brk id="32" max="1048575" man="1"/>
        <brk id="36" max="1048575" man="1"/>
        <brk id="49" max="1048575" man="1"/>
      </colBreaks>
      <pageMargins left="0.75" right="0.75" top="1" bottom="1" header="0.5" footer="0.5"/>
      <printOptions horizontalCentered="1" verticalCentered="1"/>
    </customSheetView>
    <customSheetView guid="{9F94E489-9692-4C63-A554-7FBA98A324C0}" scale="70" zeroValues="0" topLeftCell="A82">
      <selection activeCell="D79" sqref="D79"/>
      <rowBreaks count="2" manualBreakCount="2">
        <brk id="51" min="1" max="27" man="1"/>
        <brk id="99" max="16383" man="1"/>
      </rowBreaks>
      <colBreaks count="3" manualBreakCount="3">
        <brk id="20" max="37" man="1"/>
        <brk id="39" max="1048575" man="1"/>
        <brk id="52" max="1048575" man="1"/>
      </colBreaks>
      <pageMargins left="0.75" right="0.75" top="1" bottom="1" header="0.5" footer="0.5"/>
      <printOptions horizontalCentered="1" verticalCentered="1"/>
    </customSheetView>
  </customSheetViews>
  <mergeCells count="12">
    <mergeCell ref="B1:E1"/>
    <mergeCell ref="B2:E2"/>
    <mergeCell ref="B3:E3"/>
    <mergeCell ref="B4:E4"/>
    <mergeCell ref="B5:E5"/>
    <mergeCell ref="G11:H12"/>
    <mergeCell ref="B6:E6"/>
    <mergeCell ref="B11:B12"/>
    <mergeCell ref="C11:C12"/>
    <mergeCell ref="D11:E11"/>
    <mergeCell ref="B8:E8"/>
    <mergeCell ref="B9:E9"/>
  </mergeCells>
  <phoneticPr fontId="4" type="noConversion"/>
  <conditionalFormatting sqref="B14:E37">
    <cfRule type="expression" dxfId="2127" priority="5" stopIfTrue="1">
      <formula>MOD(ROW(),2)</formula>
    </cfRule>
  </conditionalFormatting>
  <conditionalFormatting sqref="H14:H37">
    <cfRule type="cellIs" dxfId="2126"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5"/>
  <colBreaks count="2" manualBreakCount="2">
    <brk id="11" max="1048575" man="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F76"/>
  <sheetViews>
    <sheetView showGridLines="0" topLeftCell="A32" workbookViewId="0">
      <selection activeCell="C45" sqref="C45"/>
    </sheetView>
  </sheetViews>
  <sheetFormatPr baseColWidth="10" defaultColWidth="8.83203125" defaultRowHeight="12.5"/>
  <cols>
    <col min="1" max="1" width="1.75" style="145" bestFit="1" customWidth="1"/>
    <col min="2" max="2" width="16.33203125" style="165" customWidth="1"/>
    <col min="3" max="3" width="48.9140625" style="146" customWidth="1"/>
    <col min="4" max="4" width="14.33203125" style="158" customWidth="1"/>
    <col min="5" max="16384" width="8.83203125" style="146"/>
  </cols>
  <sheetData>
    <row r="1" spans="1:6" ht="19.5" customHeight="1">
      <c r="B1" s="290" t="str">
        <f>+PRESUPUESTOS!B1</f>
        <v>INSTITUTO NACIONAL DE VÍAS</v>
      </c>
      <c r="C1" s="290"/>
      <c r="D1" s="290"/>
    </row>
    <row r="2" spans="1:6" ht="19.5" customHeight="1">
      <c r="B2" s="290" t="str">
        <f>+PRESUPUESTOS!B2</f>
        <v>DIRECCIÓN GENERAL</v>
      </c>
      <c r="C2" s="290"/>
      <c r="D2" s="290"/>
    </row>
    <row r="3" spans="1:6" ht="19.5" customHeight="1">
      <c r="B3" s="290" t="str">
        <f>+PRESUPUESTOS!B3</f>
        <v>DIRECCIÓN DE CONTRATACIÓN</v>
      </c>
      <c r="C3" s="290"/>
      <c r="D3" s="290"/>
    </row>
    <row r="4" spans="1:6" ht="19.5" customHeight="1">
      <c r="B4" s="290" t="str">
        <f>+PRESUPUESTOS!B4</f>
        <v>DIRECCIÓN OPERATIVA</v>
      </c>
      <c r="C4" s="290"/>
      <c r="D4" s="290"/>
    </row>
    <row r="5" spans="1:6" ht="19.5" customHeight="1">
      <c r="B5" s="290" t="str">
        <f>+PRESUPUESTOS!B5</f>
        <v>LP-DO-SRN-048-2019</v>
      </c>
      <c r="C5" s="290"/>
      <c r="D5" s="290"/>
    </row>
    <row r="6" spans="1:6" ht="19.5" customHeight="1">
      <c r="B6" s="290" t="str">
        <f>+PRESUPUESTOS!B6</f>
        <v>OBJETO: MANTENIMIENTO DE LA CARRETERA PUERTO RICO - MINA BLANCA, RUTA 65, TRAMO 6504, DEPARTAMENTO DE CAQUETÁ</v>
      </c>
      <c r="C6" s="290"/>
      <c r="D6" s="290"/>
    </row>
    <row r="7" spans="1:6" ht="13">
      <c r="B7" s="161"/>
      <c r="C7" s="147"/>
      <c r="D7" s="155"/>
    </row>
    <row r="8" spans="1:6" ht="13">
      <c r="B8" s="290" t="s">
        <v>55</v>
      </c>
      <c r="C8" s="290"/>
      <c r="D8" s="290"/>
    </row>
    <row r="9" spans="1:6" ht="13">
      <c r="B9" s="290" t="s">
        <v>75</v>
      </c>
      <c r="C9" s="290"/>
      <c r="D9" s="290"/>
    </row>
    <row r="10" spans="1:6" customFormat="1" ht="9" customHeight="1">
      <c r="B10" s="162"/>
      <c r="D10" s="156"/>
    </row>
    <row r="11" spans="1:6" ht="9" customHeight="1" thickBot="1">
      <c r="A11" s="148"/>
      <c r="B11" s="148"/>
      <c r="C11" s="148"/>
      <c r="D11" s="148"/>
    </row>
    <row r="12" spans="1:6" ht="21">
      <c r="B12" s="288" t="s">
        <v>8</v>
      </c>
      <c r="C12" s="143" t="s">
        <v>53</v>
      </c>
      <c r="D12" s="168" t="s">
        <v>56</v>
      </c>
      <c r="F12"/>
    </row>
    <row r="13" spans="1:6" s="150" customFormat="1" ht="21.75" customHeight="1" thickBot="1">
      <c r="A13" s="149"/>
      <c r="B13" s="289" t="s">
        <v>7</v>
      </c>
      <c r="C13" s="144" t="s">
        <v>54</v>
      </c>
      <c r="D13" s="169" t="s">
        <v>57</v>
      </c>
      <c r="F13" s="151"/>
    </row>
    <row r="14" spans="1:6" ht="6" customHeight="1">
      <c r="B14" s="163"/>
      <c r="C14" s="152"/>
      <c r="D14" s="157"/>
    </row>
    <row r="15" spans="1:6" ht="15" customHeight="1">
      <c r="B15" s="164">
        <f>PROPONENTES!C14</f>
        <v>1</v>
      </c>
      <c r="C15" s="91" t="str">
        <f>IF(B15-INT(B15)&gt;1,"",VLOOKUP(B15,PROPONENTES!$C$13:$D$693,2,FALSE))</f>
        <v>CONSTRUCTORA ANCLA LTDA</v>
      </c>
      <c r="D15" s="170">
        <v>1</v>
      </c>
    </row>
    <row r="16" spans="1:6" s="154" customFormat="1" ht="15" customHeight="1">
      <c r="A16" s="153"/>
      <c r="B16" s="164">
        <f>PROPONENTES!C15</f>
        <v>2</v>
      </c>
      <c r="C16" s="91" t="str">
        <f>IF(B16-INT(B16)&gt;1,"",VLOOKUP(B16,PROPONENTES!$C$13:$D$693,2,FALSE))</f>
        <v>CONSORCIO EL CEDRO</v>
      </c>
      <c r="D16" s="170">
        <f>SUM(D17:D18)</f>
        <v>1</v>
      </c>
    </row>
    <row r="17" spans="1:4" s="154" customFormat="1" ht="15" customHeight="1">
      <c r="A17" s="153"/>
      <c r="B17" s="164">
        <v>2.1</v>
      </c>
      <c r="C17" s="91" t="s">
        <v>179</v>
      </c>
      <c r="D17" s="170">
        <v>0.5</v>
      </c>
    </row>
    <row r="18" spans="1:4" s="154" customFormat="1" ht="15" customHeight="1">
      <c r="A18" s="153"/>
      <c r="B18" s="164">
        <v>2.2000000000000002</v>
      </c>
      <c r="C18" s="91" t="s">
        <v>180</v>
      </c>
      <c r="D18" s="170">
        <v>0.5</v>
      </c>
    </row>
    <row r="19" spans="1:4" s="154" customFormat="1" ht="15" customHeight="1">
      <c r="A19" s="153"/>
      <c r="B19" s="164">
        <f>PROPONENTES!C16</f>
        <v>3</v>
      </c>
      <c r="C19" s="91" t="str">
        <f>IF(B19-INT(B19)&gt;1,"",VLOOKUP(B19,PROPONENTES!$C$13:$D$693,2,FALSE))</f>
        <v>CONSORCIO 65 RUTA VIAL</v>
      </c>
      <c r="D19" s="170">
        <f>SUM(D20:D21)</f>
        <v>1</v>
      </c>
    </row>
    <row r="20" spans="1:4" s="154" customFormat="1" ht="15" customHeight="1">
      <c r="A20" s="153"/>
      <c r="B20" s="164">
        <v>3.1</v>
      </c>
      <c r="C20" s="91" t="s">
        <v>181</v>
      </c>
      <c r="D20" s="170">
        <v>0.5</v>
      </c>
    </row>
    <row r="21" spans="1:4" s="154" customFormat="1" ht="15" customHeight="1">
      <c r="A21" s="153"/>
      <c r="B21" s="164">
        <v>3.2</v>
      </c>
      <c r="C21" s="91" t="s">
        <v>182</v>
      </c>
      <c r="D21" s="170">
        <v>0.5</v>
      </c>
    </row>
    <row r="22" spans="1:4" s="154" customFormat="1" ht="15" customHeight="1">
      <c r="A22" s="153"/>
      <c r="B22" s="164">
        <f>PROPONENTES!C17</f>
        <v>4</v>
      </c>
      <c r="C22" s="91" t="str">
        <f>IF(B22-INT(B22)&gt;1,"",VLOOKUP(B22,PROPONENTES!$C$13:$D$693,2,FALSE))</f>
        <v>JUAN CARLOS BRICEÑO CHAVES</v>
      </c>
      <c r="D22" s="170">
        <v>1</v>
      </c>
    </row>
    <row r="23" spans="1:4" s="154" customFormat="1" ht="15" customHeight="1">
      <c r="A23" s="153"/>
      <c r="B23" s="164">
        <f>PROPONENTES!C18</f>
        <v>5</v>
      </c>
      <c r="C23" s="91" t="str">
        <f>IF(B23-INT(B23)&gt;1,"",VLOOKUP(B23,PROPONENTES!$C$13:$D$693,2,FALSE))</f>
        <v>CONSORCIO PUERTO RICO</v>
      </c>
      <c r="D23" s="170">
        <f>SUM(D24:D25)</f>
        <v>1</v>
      </c>
    </row>
    <row r="24" spans="1:4" s="154" customFormat="1" ht="15" customHeight="1">
      <c r="A24" s="153"/>
      <c r="B24" s="164">
        <v>5.0999999999999996</v>
      </c>
      <c r="C24" s="91" t="s">
        <v>183</v>
      </c>
      <c r="D24" s="170">
        <v>0.5</v>
      </c>
    </row>
    <row r="25" spans="1:4" s="154" customFormat="1" ht="15" customHeight="1">
      <c r="A25" s="153"/>
      <c r="B25" s="164">
        <v>5.2</v>
      </c>
      <c r="C25" s="91" t="s">
        <v>184</v>
      </c>
      <c r="D25" s="170">
        <v>0.5</v>
      </c>
    </row>
    <row r="26" spans="1:4" s="154" customFormat="1" ht="15" customHeight="1">
      <c r="A26" s="153"/>
      <c r="B26" s="164">
        <f>PROPONENTES!C19</f>
        <v>6</v>
      </c>
      <c r="C26" s="91" t="str">
        <f>IF(B26-INT(B26)&gt;1,"",VLOOKUP(B26,PROPONENTES!$C$13:$D$693,2,FALSE))</f>
        <v>CUMBRE INGENIERÍA S.A.S.</v>
      </c>
      <c r="D26" s="170">
        <v>1</v>
      </c>
    </row>
    <row r="27" spans="1:4" s="154" customFormat="1" ht="15" customHeight="1">
      <c r="A27" s="153"/>
      <c r="B27" s="164">
        <f>PROPONENTES!C20</f>
        <v>7</v>
      </c>
      <c r="C27" s="91" t="str">
        <f>IF(B27-INT(B27)&gt;1,"",VLOOKUP(B27,PROPONENTES!$C$13:$D$693,2,FALSE))</f>
        <v>ISAÍAS VARGAS GONZÁLEZ</v>
      </c>
      <c r="D27" s="170">
        <v>1</v>
      </c>
    </row>
    <row r="28" spans="1:4" s="154" customFormat="1" ht="15" customHeight="1">
      <c r="A28" s="153"/>
      <c r="B28" s="164">
        <f>PROPONENTES!C21</f>
        <v>8</v>
      </c>
      <c r="C28" s="91" t="str">
        <f>IF(B28-INT(B28)&gt;1,"",VLOOKUP(B28,PROPONENTES!$C$13:$D$693,2,FALSE))</f>
        <v>PROTECO INGENIERÍA S.A.S</v>
      </c>
      <c r="D28" s="170">
        <v>1</v>
      </c>
    </row>
    <row r="29" spans="1:4" s="154" customFormat="1" ht="15" customHeight="1">
      <c r="A29" s="153"/>
      <c r="B29" s="164">
        <f>PROPONENTES!C22</f>
        <v>9</v>
      </c>
      <c r="C29" s="91" t="str">
        <f>IF(B29-INT(B29)&gt;1,"",VLOOKUP(B29,PROPONENTES!$C$13:$D$693,2,FALSE))</f>
        <v>CONSORCIO JAM.</v>
      </c>
      <c r="D29" s="170">
        <f>SUM(D30:D31)</f>
        <v>1</v>
      </c>
    </row>
    <row r="30" spans="1:4" s="154" customFormat="1" ht="15" customHeight="1">
      <c r="A30" s="153"/>
      <c r="B30" s="164">
        <v>9.1</v>
      </c>
      <c r="C30" s="91" t="s">
        <v>258</v>
      </c>
      <c r="D30" s="170">
        <v>0.5</v>
      </c>
    </row>
    <row r="31" spans="1:4" s="154" customFormat="1" ht="15" customHeight="1">
      <c r="A31" s="153"/>
      <c r="B31" s="164">
        <v>9.1999999999999993</v>
      </c>
      <c r="C31" s="91" t="s">
        <v>185</v>
      </c>
      <c r="D31" s="170">
        <v>0.5</v>
      </c>
    </row>
    <row r="32" spans="1:4" s="154" customFormat="1" ht="15" customHeight="1">
      <c r="A32" s="153"/>
      <c r="B32" s="164">
        <f>PROPONENTES!C23</f>
        <v>10</v>
      </c>
      <c r="C32" s="91" t="str">
        <f>IF(B32-INT(B32)&gt;1,"",VLOOKUP(B32,PROPONENTES!$C$13:$D$693,2,FALSE))</f>
        <v>UNIÓN TEMPORAL CAQUETÁ 2019</v>
      </c>
      <c r="D32" s="170">
        <f>SUM(D33:D34)</f>
        <v>1</v>
      </c>
    </row>
    <row r="33" spans="1:4" s="154" customFormat="1" ht="15" customHeight="1">
      <c r="A33" s="153"/>
      <c r="B33" s="164">
        <v>10.1</v>
      </c>
      <c r="C33" s="91" t="s">
        <v>186</v>
      </c>
      <c r="D33" s="170">
        <v>0.5</v>
      </c>
    </row>
    <row r="34" spans="1:4" s="154" customFormat="1" ht="15" customHeight="1">
      <c r="A34" s="153"/>
      <c r="B34" s="164">
        <v>10.199999999999999</v>
      </c>
      <c r="C34" s="91" t="s">
        <v>187</v>
      </c>
      <c r="D34" s="170">
        <v>0.5</v>
      </c>
    </row>
    <row r="35" spans="1:4" ht="15" customHeight="1">
      <c r="B35" s="164">
        <f>PROPONENTES!C24</f>
        <v>11</v>
      </c>
      <c r="C35" s="91" t="str">
        <f>IF(B35-INT(B35)&gt;1,"",VLOOKUP(B35,PROPONENTES!$C$13:$D$693,2,FALSE))</f>
        <v>UNIÓN TEMPORAL VÍAS PUERTO RICO C&amp;E</v>
      </c>
      <c r="D35" s="170">
        <f>SUM(D36:D37)</f>
        <v>1</v>
      </c>
    </row>
    <row r="36" spans="1:4" ht="15" customHeight="1">
      <c r="B36" s="164">
        <v>11.1</v>
      </c>
      <c r="C36" s="91" t="s">
        <v>188</v>
      </c>
      <c r="D36" s="170">
        <v>0.75</v>
      </c>
    </row>
    <row r="37" spans="1:4" ht="15" customHeight="1">
      <c r="B37" s="164">
        <v>11.2</v>
      </c>
      <c r="C37" s="91" t="s">
        <v>189</v>
      </c>
      <c r="D37" s="170">
        <v>0.25</v>
      </c>
    </row>
    <row r="38" spans="1:4" s="154" customFormat="1" ht="20.5" customHeight="1">
      <c r="A38" s="153"/>
      <c r="B38" s="164">
        <f>PROPONENTES!C25</f>
        <v>12</v>
      </c>
      <c r="C38" s="91" t="str">
        <f>IF(B38-INT(B38)&gt;1,"",VLOOKUP(B38,PROPONENTES!$C$13:$D$693,2,FALSE))</f>
        <v>CONSULTORÍA Y
CONSTRUCCIÓN S.A.S. – CON &amp; CON</v>
      </c>
      <c r="D38" s="170">
        <v>1</v>
      </c>
    </row>
    <row r="39" spans="1:4" s="154" customFormat="1" ht="15" customHeight="1">
      <c r="A39" s="153"/>
      <c r="B39" s="164">
        <f>PROPONENTES!C26</f>
        <v>13</v>
      </c>
      <c r="C39" s="91" t="str">
        <f>IF(B39-INT(B39)&gt;1,"",VLOOKUP(B39,PROPONENTES!$C$13:$D$693,2,FALSE))</f>
        <v>UNIÓN TEMPORAL VÍAS COLOMBIA</v>
      </c>
      <c r="D39" s="170">
        <f>SUM(D40:D41)</f>
        <v>1</v>
      </c>
    </row>
    <row r="40" spans="1:4" s="154" customFormat="1" ht="15" customHeight="1">
      <c r="A40" s="153"/>
      <c r="B40" s="164">
        <v>13.1</v>
      </c>
      <c r="C40" s="91" t="s">
        <v>190</v>
      </c>
      <c r="D40" s="170">
        <v>0.5</v>
      </c>
    </row>
    <row r="41" spans="1:4" s="154" customFormat="1" ht="15" customHeight="1">
      <c r="A41" s="153"/>
      <c r="B41" s="164">
        <v>13.2</v>
      </c>
      <c r="C41" s="91" t="s">
        <v>191</v>
      </c>
      <c r="D41" s="170">
        <v>0.5</v>
      </c>
    </row>
    <row r="42" spans="1:4" s="154" customFormat="1" ht="15" customHeight="1">
      <c r="A42" s="153"/>
      <c r="B42" s="164">
        <f>PROPONENTES!C27</f>
        <v>14</v>
      </c>
      <c r="C42" s="91" t="str">
        <f>IF(B42-INT(B42)&gt;1,"",VLOOKUP(B42,PROPONENTES!$C$13:$D$693,2,FALSE))</f>
        <v>UNIÓN TEMPORAL VÍAS COLOMBIA 1</v>
      </c>
      <c r="D42" s="170">
        <f>SUM(D43:D44)</f>
        <v>1</v>
      </c>
    </row>
    <row r="43" spans="1:4" s="154" customFormat="1" ht="15" customHeight="1">
      <c r="A43" s="153"/>
      <c r="B43" s="164">
        <v>14.1</v>
      </c>
      <c r="C43" s="91" t="s">
        <v>192</v>
      </c>
      <c r="D43" s="170">
        <v>0.7</v>
      </c>
    </row>
    <row r="44" spans="1:4" s="154" customFormat="1" ht="15" customHeight="1">
      <c r="A44" s="153"/>
      <c r="B44" s="164">
        <v>14.2</v>
      </c>
      <c r="C44" s="91" t="s">
        <v>193</v>
      </c>
      <c r="D44" s="170">
        <v>0.3</v>
      </c>
    </row>
    <row r="45" spans="1:4" s="154" customFormat="1" ht="15" customHeight="1">
      <c r="A45" s="153"/>
      <c r="B45" s="164">
        <f>PROPONENTES!C28</f>
        <v>15</v>
      </c>
      <c r="C45" s="91" t="str">
        <f>IF(B45-INT(B45)&gt;1,"",VLOOKUP(B45,PROPONENTES!$C$13:$D$693,2,FALSE))</f>
        <v>DP Ingenieros</v>
      </c>
      <c r="D45" s="170">
        <v>1</v>
      </c>
    </row>
    <row r="46" spans="1:4" s="154" customFormat="1" ht="15" customHeight="1">
      <c r="A46" s="153"/>
      <c r="B46" s="164">
        <f>PROPONENTES!C29</f>
        <v>16</v>
      </c>
      <c r="C46" s="91" t="str">
        <f>IF(B46-INT(B46)&gt;1,"",VLOOKUP(B46,PROPONENTES!$C$13:$D$693,2,FALSE))</f>
        <v>CONSORCIO SAN JUDAS TADEO</v>
      </c>
      <c r="D46" s="170">
        <f>SUM(D47:D50)</f>
        <v>1</v>
      </c>
    </row>
    <row r="47" spans="1:4" s="154" customFormat="1" ht="15" customHeight="1">
      <c r="A47" s="153"/>
      <c r="B47" s="164">
        <v>16.100000000000001</v>
      </c>
      <c r="C47" s="91" t="s">
        <v>194</v>
      </c>
      <c r="D47" s="170">
        <v>0.05</v>
      </c>
    </row>
    <row r="48" spans="1:4" s="154" customFormat="1" ht="15" customHeight="1">
      <c r="A48" s="153"/>
      <c r="B48" s="164">
        <v>16.2</v>
      </c>
      <c r="C48" s="91" t="s">
        <v>195</v>
      </c>
      <c r="D48" s="170">
        <v>0.05</v>
      </c>
    </row>
    <row r="49" spans="1:4" s="154" customFormat="1" ht="15" customHeight="1">
      <c r="A49" s="153"/>
      <c r="B49" s="164">
        <v>16.3</v>
      </c>
      <c r="C49" s="91" t="s">
        <v>259</v>
      </c>
      <c r="D49" s="170">
        <v>0.1</v>
      </c>
    </row>
    <row r="50" spans="1:4" s="154" customFormat="1" ht="15" customHeight="1">
      <c r="A50" s="153"/>
      <c r="B50" s="164">
        <v>16.399999999999999</v>
      </c>
      <c r="C50" s="91" t="s">
        <v>196</v>
      </c>
      <c r="D50" s="170">
        <v>0.8</v>
      </c>
    </row>
    <row r="51" spans="1:4" s="154" customFormat="1" ht="15" customHeight="1">
      <c r="A51" s="153"/>
      <c r="B51" s="164">
        <f>PROPONENTES!C30</f>
        <v>17</v>
      </c>
      <c r="C51" s="91" t="str">
        <f>IF(B51-INT(B51)&gt;1,"",VLOOKUP(B51,PROPONENTES!$C$13:$D$693,2,FALSE))</f>
        <v>CONSORCIO INVIAS 48 CAQUETÁ DM</v>
      </c>
      <c r="D51" s="170">
        <f>SUM(D52:D53)</f>
        <v>1</v>
      </c>
    </row>
    <row r="52" spans="1:4" s="154" customFormat="1" ht="15" customHeight="1">
      <c r="A52" s="153"/>
      <c r="B52" s="164">
        <v>17.100000000000001</v>
      </c>
      <c r="C52" s="91" t="s">
        <v>260</v>
      </c>
      <c r="D52" s="170">
        <v>0.75</v>
      </c>
    </row>
    <row r="53" spans="1:4" s="154" customFormat="1" ht="15" customHeight="1">
      <c r="A53" s="153"/>
      <c r="B53" s="164">
        <v>17.2</v>
      </c>
      <c r="C53" s="91" t="s">
        <v>197</v>
      </c>
      <c r="D53" s="170">
        <v>0.25</v>
      </c>
    </row>
    <row r="54" spans="1:4" s="154" customFormat="1" ht="15" customHeight="1">
      <c r="A54" s="153"/>
      <c r="B54" s="164">
        <f>PROPONENTES!C31</f>
        <v>18</v>
      </c>
      <c r="C54" s="91" t="str">
        <f>IF(B54-INT(B54)&gt;1,"",VLOOKUP(B54,PROPONENTES!$C$13:$D$693,2,FALSE))</f>
        <v>CONSORCIO MINA BLANCA 11</v>
      </c>
      <c r="D54" s="170">
        <f>SUM(D55:D56)</f>
        <v>1</v>
      </c>
    </row>
    <row r="55" spans="1:4" s="154" customFormat="1" ht="15" customHeight="1">
      <c r="A55" s="153"/>
      <c r="B55" s="164">
        <v>18.100000000000001</v>
      </c>
      <c r="C55" s="91" t="s">
        <v>261</v>
      </c>
      <c r="D55" s="170">
        <v>0.5</v>
      </c>
    </row>
    <row r="56" spans="1:4" s="154" customFormat="1" ht="15" customHeight="1">
      <c r="A56" s="153"/>
      <c r="B56" s="164">
        <v>18.2</v>
      </c>
      <c r="C56" s="91" t="s">
        <v>198</v>
      </c>
      <c r="D56" s="170">
        <v>0.5</v>
      </c>
    </row>
    <row r="57" spans="1:4" s="154" customFormat="1" ht="15" customHeight="1">
      <c r="A57" s="153"/>
      <c r="B57" s="164">
        <f>PROPONENTES!C32</f>
        <v>19</v>
      </c>
      <c r="C57" s="91" t="str">
        <f>IF(B57-INT(B57)&gt;1,"",VLOOKUP(B57,PROPONENTES!$C$13:$D$693,2,FALSE))</f>
        <v>CONSORCIO VIAS JUVER</v>
      </c>
      <c r="D57" s="170">
        <f>SUM(D58:D59)</f>
        <v>1</v>
      </c>
    </row>
    <row r="58" spans="1:4" s="154" customFormat="1" ht="15" customHeight="1">
      <c r="A58" s="153"/>
      <c r="B58" s="164">
        <v>19.100000000000001</v>
      </c>
      <c r="C58" s="91" t="s">
        <v>262</v>
      </c>
      <c r="D58" s="170">
        <v>0.5</v>
      </c>
    </row>
    <row r="59" spans="1:4" s="154" customFormat="1" ht="15" customHeight="1">
      <c r="A59" s="153"/>
      <c r="B59" s="164">
        <v>19.2</v>
      </c>
      <c r="C59" s="91" t="s">
        <v>263</v>
      </c>
      <c r="D59" s="170">
        <v>0.5</v>
      </c>
    </row>
    <row r="60" spans="1:4" s="154" customFormat="1" ht="15" customHeight="1">
      <c r="A60" s="153"/>
      <c r="B60" s="164">
        <f>PROPONENTES!C33</f>
        <v>20</v>
      </c>
      <c r="C60" s="91" t="str">
        <f>IF(B60-INT(B60)&gt;1,"",VLOOKUP(B60,PROPONENTES!$C$13:$D$693,2,FALSE))</f>
        <v>CONSORCIO MINA BLANCA</v>
      </c>
      <c r="D60" s="170">
        <f>SUM(D61:D62)</f>
        <v>1</v>
      </c>
    </row>
    <row r="61" spans="1:4" s="154" customFormat="1" ht="15" customHeight="1">
      <c r="A61" s="153"/>
      <c r="B61" s="164">
        <v>20.100000000000001</v>
      </c>
      <c r="C61" s="91" t="s">
        <v>264</v>
      </c>
      <c r="D61" s="170">
        <v>0.5</v>
      </c>
    </row>
    <row r="62" spans="1:4" s="154" customFormat="1" ht="15" customHeight="1">
      <c r="A62" s="153"/>
      <c r="B62" s="164">
        <v>20.2</v>
      </c>
      <c r="C62" s="91" t="s">
        <v>199</v>
      </c>
      <c r="D62" s="170">
        <v>0.5</v>
      </c>
    </row>
    <row r="63" spans="1:4" ht="15" customHeight="1">
      <c r="B63" s="164">
        <f>PROPONENTES!C34</f>
        <v>21</v>
      </c>
      <c r="C63" s="91" t="str">
        <f>IF(B63-INT(B63)&gt;1,"",VLOOKUP(B63,PROPONENTES!$C$13:$D$693,2,FALSE))</f>
        <v xml:space="preserve">CIPAVI LTDA </v>
      </c>
      <c r="D63" s="170">
        <v>1</v>
      </c>
    </row>
    <row r="64" spans="1:4" s="154" customFormat="1" ht="15" customHeight="1">
      <c r="A64" s="153"/>
      <c r="B64" s="164">
        <f>PROPONENTES!C35</f>
        <v>22</v>
      </c>
      <c r="C64" s="91" t="str">
        <f>IF(B64-INT(B64)&gt;1,"",VLOOKUP(B64,PROPONENTES!$C$13:$D$693,2,FALSE))</f>
        <v>UNION TEMPORAL VIAL PUERTO RICO 2019.</v>
      </c>
      <c r="D64" s="170">
        <f>SUM(D65:D66)</f>
        <v>1</v>
      </c>
    </row>
    <row r="65" spans="1:4" s="154" customFormat="1" ht="15" customHeight="1">
      <c r="A65" s="153"/>
      <c r="B65" s="164">
        <v>22.1</v>
      </c>
      <c r="C65" s="91" t="s">
        <v>200</v>
      </c>
      <c r="D65" s="170">
        <v>0.5</v>
      </c>
    </row>
    <row r="66" spans="1:4" s="154" customFormat="1" ht="15" customHeight="1">
      <c r="A66" s="153"/>
      <c r="B66" s="164">
        <v>22.2</v>
      </c>
      <c r="C66" s="91" t="s">
        <v>320</v>
      </c>
      <c r="D66" s="170">
        <v>0.5</v>
      </c>
    </row>
    <row r="67" spans="1:4" s="154" customFormat="1" ht="15" customHeight="1">
      <c r="A67" s="153"/>
      <c r="B67" s="164">
        <f>PROPONENTES!C36</f>
        <v>23</v>
      </c>
      <c r="C67" s="91" t="str">
        <f>IF(B67-INT(B67)&gt;1,"",VLOOKUP(B67,PROPONENTES!$C$13:$D$693,2,FALSE))</f>
        <v>CONSORCIO CAQUETÁ S&amp;S.</v>
      </c>
      <c r="D67" s="170">
        <f>SUM(D68:D69)</f>
        <v>1</v>
      </c>
    </row>
    <row r="68" spans="1:4" s="154" customFormat="1" ht="15" customHeight="1">
      <c r="A68" s="153"/>
      <c r="B68" s="164">
        <v>23.1</v>
      </c>
      <c r="C68" s="91" t="s">
        <v>265</v>
      </c>
      <c r="D68" s="170">
        <v>0.6</v>
      </c>
    </row>
    <row r="69" spans="1:4" s="154" customFormat="1" ht="15" customHeight="1">
      <c r="A69" s="153"/>
      <c r="B69" s="164">
        <v>23.2</v>
      </c>
      <c r="C69" s="91" t="s">
        <v>201</v>
      </c>
      <c r="D69" s="170">
        <v>0.4</v>
      </c>
    </row>
    <row r="70" spans="1:4" s="154" customFormat="1" ht="15" customHeight="1">
      <c r="A70" s="153"/>
      <c r="B70" s="164">
        <f>PROPONENTES!C37</f>
        <v>24</v>
      </c>
      <c r="C70" s="91" t="str">
        <f>IF(B70-INT(B70)&gt;1,"",VLOOKUP(B70,PROPONENTES!$C$13:$D$693,2,FALSE))</f>
        <v>CONSORCIO VIAL 2019</v>
      </c>
      <c r="D70" s="170">
        <f>SUM(D71:D72)</f>
        <v>1</v>
      </c>
    </row>
    <row r="71" spans="1:4" s="154" customFormat="1" ht="15" customHeight="1">
      <c r="A71" s="153"/>
      <c r="B71" s="164">
        <v>24.1</v>
      </c>
      <c r="C71" s="91" t="s">
        <v>202</v>
      </c>
      <c r="D71" s="170">
        <v>0.49</v>
      </c>
    </row>
    <row r="72" spans="1:4" s="154" customFormat="1" ht="15" customHeight="1">
      <c r="A72" s="153"/>
      <c r="B72" s="164">
        <v>24.2</v>
      </c>
      <c r="C72" s="91" t="s">
        <v>203</v>
      </c>
      <c r="D72" s="170">
        <v>0.51</v>
      </c>
    </row>
    <row r="73" spans="1:4" ht="24.75" customHeight="1"/>
    <row r="74" spans="1:4" ht="24.75" customHeight="1"/>
    <row r="75" spans="1:4" ht="24.75" customHeight="1"/>
    <row r="76" spans="1:4" ht="24.75" customHeight="1"/>
  </sheetData>
  <sheetProtection insertRows="0" deleteRows="0"/>
  <mergeCells count="9">
    <mergeCell ref="B12:B13"/>
    <mergeCell ref="B1:D1"/>
    <mergeCell ref="B2:D2"/>
    <mergeCell ref="B3:D3"/>
    <mergeCell ref="B4:D4"/>
    <mergeCell ref="B5:D5"/>
    <mergeCell ref="B6:D6"/>
    <mergeCell ref="B8:D8"/>
    <mergeCell ref="B9:D9"/>
  </mergeCells>
  <conditionalFormatting sqref="B15:D72">
    <cfRule type="expression" dxfId="2125" priority="14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5" tint="0.39997558519241921"/>
    <pageSetUpPr fitToPage="1"/>
  </sheetPr>
  <dimension ref="A1:AF668"/>
  <sheetViews>
    <sheetView showGridLines="0" tabSelected="1" topLeftCell="B651" zoomScale="70" zoomScaleNormal="70" workbookViewId="0">
      <selection activeCell="O439" sqref="O439:U448"/>
    </sheetView>
  </sheetViews>
  <sheetFormatPr baseColWidth="10" defaultColWidth="11.5" defaultRowHeight="15.5"/>
  <cols>
    <col min="1" max="1" width="2.83203125" style="124" bestFit="1" customWidth="1"/>
    <col min="2" max="2" width="5.58203125" customWidth="1"/>
    <col min="3" max="3" width="14.5" bestFit="1" customWidth="1"/>
    <col min="4" max="4" width="8.5" customWidth="1"/>
    <col min="5" max="5" width="33.75" customWidth="1"/>
    <col min="6" max="6" width="15.33203125" customWidth="1"/>
    <col min="7" max="8" width="12.83203125" customWidth="1"/>
    <col min="9" max="9" width="14" customWidth="1"/>
    <col min="10" max="10" width="14.83203125" customWidth="1"/>
    <col min="11" max="11" width="14" customWidth="1"/>
    <col min="12" max="12" width="14.5" customWidth="1"/>
    <col min="13" max="13" width="16.08203125" customWidth="1"/>
    <col min="14" max="14" width="23" customWidth="1"/>
    <col min="15" max="15" width="32.33203125" customWidth="1"/>
    <col min="16" max="16" width="23.25" customWidth="1"/>
    <col min="17" max="17" width="15.5" customWidth="1"/>
    <col min="18" max="18" width="17.75" style="172" customWidth="1"/>
    <col min="19" max="19" width="15.83203125" style="172" customWidth="1"/>
    <col min="20" max="20" width="15.58203125" bestFit="1" customWidth="1"/>
    <col min="21" max="21" width="42" customWidth="1"/>
    <col min="22" max="22" width="22.83203125" customWidth="1"/>
    <col min="23" max="23" width="5.75" customWidth="1"/>
    <col min="24" max="24" width="24.08203125" style="172" customWidth="1"/>
    <col min="25" max="25" width="5.75" customWidth="1"/>
    <col min="26" max="26" width="18" style="172" customWidth="1"/>
    <col min="27" max="27" width="19.33203125" style="172" customWidth="1"/>
    <col min="28" max="28" width="24.33203125" style="172" customWidth="1"/>
    <col min="29" max="29" width="16.33203125" style="172" customWidth="1"/>
    <col min="30" max="30" width="5.75" customWidth="1"/>
    <col min="31" max="31" width="21.33203125" customWidth="1"/>
    <col min="32" max="32" width="18" customWidth="1"/>
  </cols>
  <sheetData>
    <row r="1" spans="1:29" s="1" customFormat="1" ht="18">
      <c r="A1" s="122"/>
      <c r="B1" s="364" t="str">
        <f>PRESUPUESTOS!B1</f>
        <v>INSTITUTO NACIONAL DE VÍAS</v>
      </c>
      <c r="C1" s="364"/>
      <c r="D1" s="364"/>
      <c r="E1" s="364"/>
      <c r="F1" s="364"/>
      <c r="G1" s="364"/>
      <c r="H1" s="364"/>
      <c r="I1" s="364"/>
      <c r="J1" s="364"/>
      <c r="K1" s="364"/>
      <c r="L1" s="364"/>
      <c r="M1" s="364"/>
      <c r="N1" s="364"/>
      <c r="O1" s="364"/>
      <c r="P1" s="364"/>
      <c r="Q1" s="364"/>
      <c r="R1" s="364"/>
      <c r="S1" s="364"/>
      <c r="T1" s="364"/>
      <c r="U1" s="364"/>
      <c r="V1" s="199"/>
      <c r="X1" s="42"/>
      <c r="Z1" s="42"/>
      <c r="AA1" s="42"/>
      <c r="AB1" s="42"/>
      <c r="AC1" s="42"/>
    </row>
    <row r="2" spans="1:29" s="1" customFormat="1" ht="18">
      <c r="A2" s="122"/>
      <c r="B2" s="364" t="str">
        <f>PRESUPUESTOS!B2</f>
        <v>DIRECCIÓN GENERAL</v>
      </c>
      <c r="C2" s="364"/>
      <c r="D2" s="364"/>
      <c r="E2" s="364"/>
      <c r="F2" s="364"/>
      <c r="G2" s="364"/>
      <c r="H2" s="364"/>
      <c r="I2" s="364"/>
      <c r="J2" s="364"/>
      <c r="K2" s="364"/>
      <c r="L2" s="364"/>
      <c r="M2" s="364"/>
      <c r="N2" s="364"/>
      <c r="O2" s="364"/>
      <c r="P2" s="364"/>
      <c r="Q2" s="364"/>
      <c r="R2" s="364"/>
      <c r="S2" s="364"/>
      <c r="T2" s="364"/>
      <c r="U2" s="364"/>
      <c r="V2" s="199"/>
      <c r="X2" s="42"/>
      <c r="Z2" s="42"/>
      <c r="AA2" s="42"/>
      <c r="AB2" s="42"/>
      <c r="AC2" s="42"/>
    </row>
    <row r="3" spans="1:29" s="1" customFormat="1" ht="18">
      <c r="A3" s="122"/>
      <c r="B3" s="364" t="str">
        <f>PRESUPUESTOS!B3</f>
        <v>DIRECCIÓN DE CONTRATACIÓN</v>
      </c>
      <c r="C3" s="364"/>
      <c r="D3" s="364"/>
      <c r="E3" s="364"/>
      <c r="F3" s="364"/>
      <c r="G3" s="364"/>
      <c r="H3" s="364"/>
      <c r="I3" s="364"/>
      <c r="J3" s="364"/>
      <c r="K3" s="364"/>
      <c r="L3" s="364"/>
      <c r="M3" s="364"/>
      <c r="N3" s="364"/>
      <c r="O3" s="364"/>
      <c r="P3" s="364"/>
      <c r="Q3" s="364"/>
      <c r="R3" s="364"/>
      <c r="S3" s="364"/>
      <c r="T3" s="364"/>
      <c r="U3" s="364"/>
      <c r="V3" s="199"/>
      <c r="X3" s="42"/>
      <c r="Z3" s="42"/>
      <c r="AA3" s="42"/>
      <c r="AB3" s="42"/>
      <c r="AC3" s="42"/>
    </row>
    <row r="4" spans="1:29" s="1" customFormat="1" ht="18">
      <c r="A4" s="122"/>
      <c r="B4" s="364" t="str">
        <f>PRESUPUESTOS!B4</f>
        <v>DIRECCIÓN OPERATIVA</v>
      </c>
      <c r="C4" s="364"/>
      <c r="D4" s="364"/>
      <c r="E4" s="364"/>
      <c r="F4" s="364"/>
      <c r="G4" s="364"/>
      <c r="H4" s="364"/>
      <c r="I4" s="364"/>
      <c r="J4" s="364"/>
      <c r="K4" s="364"/>
      <c r="L4" s="364"/>
      <c r="M4" s="364"/>
      <c r="N4" s="364"/>
      <c r="O4" s="364"/>
      <c r="P4" s="364"/>
      <c r="Q4" s="364"/>
      <c r="R4" s="364"/>
      <c r="S4" s="364"/>
      <c r="T4" s="364"/>
      <c r="U4" s="364"/>
      <c r="V4" s="199"/>
      <c r="X4" s="42"/>
      <c r="Z4" s="42"/>
      <c r="AA4" s="42"/>
      <c r="AB4" s="42"/>
      <c r="AC4" s="42"/>
    </row>
    <row r="5" spans="1:29" s="1" customFormat="1" ht="18">
      <c r="A5" s="122"/>
      <c r="B5" s="364" t="str">
        <f>PRESUPUESTOS!B5</f>
        <v>LP-DO-SRN-048-2019</v>
      </c>
      <c r="C5" s="364"/>
      <c r="D5" s="364"/>
      <c r="E5" s="364"/>
      <c r="F5" s="364"/>
      <c r="G5" s="364"/>
      <c r="H5" s="364"/>
      <c r="I5" s="364"/>
      <c r="J5" s="364"/>
      <c r="K5" s="364"/>
      <c r="L5" s="364"/>
      <c r="M5" s="364"/>
      <c r="N5" s="364"/>
      <c r="O5" s="364"/>
      <c r="P5" s="364"/>
      <c r="Q5" s="364"/>
      <c r="R5" s="364"/>
      <c r="S5" s="364"/>
      <c r="T5" s="364"/>
      <c r="U5" s="364"/>
      <c r="V5" s="199"/>
      <c r="X5" s="42"/>
      <c r="Z5" s="42"/>
      <c r="AA5" s="42"/>
      <c r="AB5" s="42"/>
      <c r="AC5" s="42"/>
    </row>
    <row r="6" spans="1:29" s="1" customFormat="1" ht="18">
      <c r="A6" s="122"/>
      <c r="B6" s="364" t="str">
        <f>PRESUPUESTOS!B6</f>
        <v>OBJETO: MANTENIMIENTO DE LA CARRETERA PUERTO RICO - MINA BLANCA, RUTA 65, TRAMO 6504, DEPARTAMENTO DE CAQUETÁ</v>
      </c>
      <c r="C6" s="364"/>
      <c r="D6" s="364"/>
      <c r="E6" s="364"/>
      <c r="F6" s="364"/>
      <c r="G6" s="364"/>
      <c r="H6" s="364"/>
      <c r="I6" s="364"/>
      <c r="J6" s="364"/>
      <c r="K6" s="364"/>
      <c r="L6" s="364"/>
      <c r="M6" s="364"/>
      <c r="N6" s="364"/>
      <c r="O6" s="364"/>
      <c r="P6" s="364"/>
      <c r="Q6" s="364"/>
      <c r="R6" s="364"/>
      <c r="S6" s="364"/>
      <c r="T6" s="364"/>
      <c r="U6" s="364"/>
      <c r="V6" s="199"/>
      <c r="X6" s="42"/>
      <c r="Z6" s="42"/>
      <c r="AA6" s="42"/>
      <c r="AB6" s="42"/>
      <c r="AC6" s="42"/>
    </row>
    <row r="7" spans="1:29" s="1" customFormat="1" ht="18">
      <c r="A7" s="122"/>
      <c r="B7" s="198"/>
      <c r="C7" s="13"/>
      <c r="D7" s="13"/>
      <c r="E7" s="4"/>
      <c r="F7" s="4"/>
      <c r="G7" s="4"/>
      <c r="H7" s="4"/>
      <c r="I7" s="4"/>
      <c r="J7" s="4"/>
      <c r="K7" s="4"/>
      <c r="L7" s="48"/>
      <c r="M7" s="48"/>
      <c r="N7" s="48"/>
      <c r="O7" s="48"/>
      <c r="P7" s="48"/>
      <c r="Q7" s="48"/>
      <c r="R7" s="42"/>
      <c r="S7" s="171"/>
      <c r="T7" s="4"/>
      <c r="U7" s="48"/>
      <c r="V7" s="48"/>
      <c r="X7" s="42"/>
      <c r="Z7" s="42"/>
      <c r="AA7" s="42"/>
      <c r="AB7" s="42"/>
      <c r="AC7" s="42"/>
    </row>
    <row r="8" spans="1:29" s="1" customFormat="1" ht="18">
      <c r="A8" s="122"/>
      <c r="B8" s="365" t="s">
        <v>20</v>
      </c>
      <c r="C8" s="365"/>
      <c r="D8" s="365"/>
      <c r="E8" s="365"/>
      <c r="F8" s="365"/>
      <c r="G8" s="365"/>
      <c r="H8" s="365"/>
      <c r="I8" s="365"/>
      <c r="J8" s="365"/>
      <c r="K8" s="365"/>
      <c r="L8" s="365"/>
      <c r="M8" s="365"/>
      <c r="N8" s="365"/>
      <c r="O8" s="365"/>
      <c r="P8" s="365"/>
      <c r="Q8" s="365"/>
      <c r="R8" s="365"/>
      <c r="S8" s="365"/>
      <c r="T8" s="365"/>
      <c r="U8" s="365"/>
      <c r="V8" s="200"/>
      <c r="X8" s="42"/>
      <c r="Z8" s="42"/>
      <c r="AA8" s="42"/>
      <c r="AB8" s="42"/>
      <c r="AC8" s="42"/>
    </row>
    <row r="9" spans="1:29" s="1" customFormat="1" ht="18">
      <c r="A9" s="122"/>
      <c r="B9" s="365" t="s">
        <v>129</v>
      </c>
      <c r="C9" s="365"/>
      <c r="D9" s="365"/>
      <c r="E9" s="365"/>
      <c r="F9" s="365"/>
      <c r="G9" s="365"/>
      <c r="H9" s="365"/>
      <c r="I9" s="365"/>
      <c r="J9" s="365"/>
      <c r="K9" s="365"/>
      <c r="L9" s="365"/>
      <c r="M9" s="365"/>
      <c r="N9" s="365"/>
      <c r="O9" s="365"/>
      <c r="P9" s="365"/>
      <c r="Q9" s="365"/>
      <c r="R9" s="365"/>
      <c r="S9" s="365"/>
      <c r="T9" s="365"/>
      <c r="U9" s="365"/>
      <c r="V9" s="200"/>
      <c r="X9" s="42"/>
      <c r="Z9" s="42"/>
      <c r="AA9" s="42"/>
      <c r="AB9" s="42"/>
      <c r="AC9" s="42"/>
    </row>
    <row r="10" spans="1:29" s="1" customFormat="1" ht="13">
      <c r="A10" s="122"/>
      <c r="B10" s="3"/>
      <c r="C10" s="3"/>
      <c r="D10" s="3"/>
      <c r="E10" s="4"/>
      <c r="F10" s="4"/>
      <c r="G10" s="4"/>
      <c r="H10" s="4"/>
      <c r="I10" s="4"/>
      <c r="J10" s="4"/>
      <c r="K10" s="4"/>
      <c r="L10" s="48"/>
      <c r="M10" s="48"/>
      <c r="N10" s="48"/>
      <c r="O10" s="48"/>
      <c r="P10" s="48"/>
      <c r="Q10" s="48"/>
      <c r="R10" s="42"/>
      <c r="S10" s="42"/>
      <c r="T10" s="5"/>
      <c r="X10" s="42"/>
      <c r="Z10" s="42"/>
      <c r="AA10" s="42"/>
      <c r="AB10" s="42"/>
      <c r="AC10" s="42"/>
    </row>
    <row r="11" spans="1:29" s="1" customFormat="1" ht="18" customHeight="1">
      <c r="A11" s="122"/>
      <c r="B11" s="3"/>
      <c r="C11" s="2"/>
      <c r="D11" s="2"/>
      <c r="E11" s="4"/>
      <c r="F11" s="4"/>
      <c r="G11" s="4"/>
      <c r="H11" s="4"/>
      <c r="I11" s="4"/>
      <c r="J11" s="4"/>
      <c r="K11" s="4"/>
      <c r="L11" s="48"/>
      <c r="M11" s="48"/>
      <c r="N11" s="48"/>
      <c r="O11" s="48"/>
      <c r="P11" s="48"/>
      <c r="Q11" s="48"/>
      <c r="R11" s="42"/>
      <c r="S11" s="42"/>
      <c r="T11" s="5"/>
      <c r="X11" s="42"/>
      <c r="Z11" s="42"/>
      <c r="AA11" s="42"/>
      <c r="AB11" s="42"/>
      <c r="AC11" s="42"/>
    </row>
    <row r="12" spans="1:29" s="1" customFormat="1" ht="13" thickBot="1">
      <c r="A12" s="122"/>
      <c r="C12" s="38"/>
      <c r="I12" s="42"/>
      <c r="L12" s="45"/>
      <c r="M12" s="45"/>
      <c r="N12" s="45"/>
      <c r="O12" s="45"/>
      <c r="P12" s="45"/>
      <c r="Q12" s="45"/>
      <c r="R12" s="42"/>
      <c r="S12" s="42"/>
      <c r="X12" s="42"/>
      <c r="Z12" s="42"/>
      <c r="AA12" s="42"/>
      <c r="AB12" s="42"/>
      <c r="AC12" s="42"/>
    </row>
    <row r="13" spans="1:29" s="1" customFormat="1" ht="23">
      <c r="A13" s="122"/>
      <c r="B13" s="6"/>
      <c r="C13" s="39"/>
      <c r="D13" s="7"/>
      <c r="E13" s="7"/>
      <c r="F13" s="7"/>
      <c r="G13" s="42"/>
      <c r="H13" s="42"/>
      <c r="I13" s="42"/>
      <c r="R13" s="101" t="s">
        <v>137</v>
      </c>
      <c r="S13" s="159" t="s">
        <v>58</v>
      </c>
      <c r="T13" s="160" t="s">
        <v>59</v>
      </c>
      <c r="X13" s="42"/>
      <c r="Z13" s="42"/>
      <c r="AA13" s="42"/>
      <c r="AB13" s="42"/>
      <c r="AC13" s="42"/>
    </row>
    <row r="14" spans="1:29" s="1" customFormat="1" ht="13" thickBot="1">
      <c r="A14" s="122"/>
      <c r="B14" s="8"/>
      <c r="C14" s="40"/>
      <c r="D14" s="8"/>
      <c r="E14" s="8"/>
      <c r="F14" s="8"/>
      <c r="G14" s="42"/>
      <c r="H14" s="42"/>
      <c r="I14" s="42"/>
      <c r="K14" s="14"/>
      <c r="M14" s="59"/>
      <c r="N14" s="59"/>
      <c r="O14" s="59"/>
      <c r="P14" s="59"/>
      <c r="Q14" s="59"/>
      <c r="R14" s="102">
        <v>0.5</v>
      </c>
      <c r="S14" s="103">
        <v>29221</v>
      </c>
      <c r="T14" s="104">
        <f>fcierre</f>
        <v>43761</v>
      </c>
      <c r="X14" s="42"/>
      <c r="Z14" s="42"/>
      <c r="AA14" s="42"/>
      <c r="AB14" s="42"/>
      <c r="AC14" s="42"/>
    </row>
    <row r="15" spans="1:29" s="1" customFormat="1" ht="12.5">
      <c r="A15" s="122"/>
      <c r="B15" s="9"/>
      <c r="C15" s="41"/>
      <c r="D15" s="9"/>
      <c r="E15" s="9"/>
      <c r="F15" s="9"/>
      <c r="G15" s="10"/>
      <c r="H15" s="10"/>
      <c r="I15" s="10"/>
      <c r="J15" s="9"/>
      <c r="K15" s="10"/>
      <c r="L15" s="10"/>
      <c r="M15" s="60"/>
      <c r="N15" s="60"/>
      <c r="O15" s="60"/>
      <c r="P15" s="60"/>
      <c r="Q15" s="60"/>
      <c r="R15" s="10"/>
      <c r="S15" s="10"/>
      <c r="T15" s="10"/>
      <c r="X15" s="42"/>
      <c r="Z15" s="42"/>
      <c r="AA15" s="42"/>
      <c r="AB15" s="42"/>
      <c r="AC15" s="42"/>
    </row>
    <row r="16" spans="1:29" s="11" customFormat="1" ht="23.5" thickBot="1">
      <c r="A16" s="167">
        <v>1</v>
      </c>
      <c r="B16" s="349" t="s">
        <v>1</v>
      </c>
      <c r="C16" s="349"/>
      <c r="D16" s="349"/>
      <c r="E16" s="105">
        <f>VLOOKUP(A16,PROPONENTES!$B$14:$D$37,2,FALSE)</f>
        <v>1</v>
      </c>
      <c r="F16" s="106" t="str">
        <f>VLOOKUP(E16,PROPONENTES!$C$14:$D$37,2,FALSE)</f>
        <v>CONSTRUCTORA ANCLA LTDA</v>
      </c>
      <c r="G16" s="107"/>
      <c r="H16" s="107"/>
      <c r="I16" s="107"/>
      <c r="J16" s="106"/>
      <c r="K16" s="106"/>
      <c r="L16" s="105"/>
      <c r="M16" s="107"/>
      <c r="N16" s="107"/>
      <c r="O16" s="107"/>
      <c r="P16" s="107"/>
      <c r="Q16" s="107"/>
      <c r="R16" s="107"/>
      <c r="S16" s="107"/>
      <c r="T16" s="108"/>
      <c r="U16" s="109"/>
      <c r="V16" s="109"/>
      <c r="X16" s="240"/>
      <c r="Z16" s="240"/>
      <c r="AA16" s="240"/>
      <c r="AB16" s="240"/>
      <c r="AC16" s="240"/>
    </row>
    <row r="17" spans="1:32" s="133" customFormat="1" ht="69.75" customHeight="1">
      <c r="A17" s="131"/>
      <c r="B17" s="350" t="s">
        <v>88</v>
      </c>
      <c r="C17" s="345" t="s">
        <v>48</v>
      </c>
      <c r="D17" s="352" t="s">
        <v>130</v>
      </c>
      <c r="E17" s="295"/>
      <c r="F17" s="352" t="s">
        <v>93</v>
      </c>
      <c r="G17" s="295"/>
      <c r="H17" s="315" t="s">
        <v>89</v>
      </c>
      <c r="I17" s="315" t="s">
        <v>103</v>
      </c>
      <c r="J17" s="315" t="s">
        <v>2</v>
      </c>
      <c r="K17" s="315" t="s">
        <v>27</v>
      </c>
      <c r="L17" s="315" t="s">
        <v>28</v>
      </c>
      <c r="M17" s="316" t="s">
        <v>29</v>
      </c>
      <c r="N17" s="315" t="s">
        <v>104</v>
      </c>
      <c r="O17" s="343" t="s">
        <v>78</v>
      </c>
      <c r="P17" s="344"/>
      <c r="Q17" s="345" t="s">
        <v>144</v>
      </c>
      <c r="R17" s="345" t="s">
        <v>101</v>
      </c>
      <c r="S17" s="294" t="s">
        <v>3</v>
      </c>
      <c r="T17" s="295"/>
      <c r="U17" s="347" t="s">
        <v>18</v>
      </c>
      <c r="V17" s="366" t="s">
        <v>102</v>
      </c>
      <c r="X17" s="361" t="s">
        <v>146</v>
      </c>
      <c r="AB17" s="245"/>
      <c r="AC17" s="361" t="s">
        <v>123</v>
      </c>
      <c r="AE17" s="268" t="s">
        <v>151</v>
      </c>
      <c r="AF17" s="269">
        <v>1</v>
      </c>
    </row>
    <row r="18" spans="1:32" s="133" customFormat="1" ht="99" customHeight="1" thickBot="1">
      <c r="A18" s="131"/>
      <c r="B18" s="351"/>
      <c r="C18" s="346"/>
      <c r="D18" s="134" t="s">
        <v>10</v>
      </c>
      <c r="E18" s="134" t="s">
        <v>4</v>
      </c>
      <c r="F18" s="134" t="s">
        <v>15</v>
      </c>
      <c r="G18" s="135" t="s">
        <v>90</v>
      </c>
      <c r="H18" s="314"/>
      <c r="I18" s="314"/>
      <c r="J18" s="314"/>
      <c r="K18" s="314"/>
      <c r="L18" s="314"/>
      <c r="M18" s="317"/>
      <c r="N18" s="314"/>
      <c r="O18" s="182" t="s">
        <v>76</v>
      </c>
      <c r="P18" s="182" t="s">
        <v>334</v>
      </c>
      <c r="Q18" s="346"/>
      <c r="R18" s="346"/>
      <c r="S18" s="182" t="s">
        <v>81</v>
      </c>
      <c r="T18" s="182" t="s">
        <v>77</v>
      </c>
      <c r="U18" s="348"/>
      <c r="V18" s="336"/>
      <c r="X18" s="362"/>
      <c r="Z18" s="245"/>
      <c r="AA18" s="245"/>
      <c r="AB18" s="245"/>
      <c r="AC18" s="362"/>
      <c r="AE18" s="266" t="s">
        <v>150</v>
      </c>
      <c r="AF18" s="267">
        <v>0.5</v>
      </c>
    </row>
    <row r="19" spans="1:32" s="1" customFormat="1" ht="13" thickBot="1">
      <c r="A19" s="122"/>
      <c r="B19" s="96"/>
      <c r="C19" s="97"/>
      <c r="D19" s="97"/>
      <c r="E19" s="97"/>
      <c r="F19" s="97"/>
      <c r="G19" s="97"/>
      <c r="H19" s="97"/>
      <c r="I19" s="97"/>
      <c r="J19" s="97"/>
      <c r="K19" s="97"/>
      <c r="L19" s="97"/>
      <c r="M19" s="97"/>
      <c r="N19" s="97"/>
      <c r="O19" s="97"/>
      <c r="P19" s="97"/>
      <c r="Q19" s="97"/>
      <c r="R19" s="173"/>
      <c r="S19" s="173"/>
      <c r="T19" s="97"/>
      <c r="U19" s="191"/>
      <c r="V19" s="202"/>
      <c r="X19" s="241"/>
      <c r="Z19" s="42"/>
      <c r="AA19" s="42"/>
      <c r="AB19" s="42"/>
      <c r="AC19" s="241"/>
    </row>
    <row r="20" spans="1:32" s="141" customFormat="1" ht="115.5">
      <c r="A20" s="125" t="str">
        <f>"A"&amp;E16</f>
        <v>A1</v>
      </c>
      <c r="B20" s="140">
        <v>1</v>
      </c>
      <c r="C20" s="139" t="s">
        <v>204</v>
      </c>
      <c r="D20" s="139" t="s">
        <v>205</v>
      </c>
      <c r="E20" s="139" t="s">
        <v>206</v>
      </c>
      <c r="F20" s="139" t="s">
        <v>207</v>
      </c>
      <c r="G20" s="142">
        <v>0.95</v>
      </c>
      <c r="H20" s="142" t="s">
        <v>115</v>
      </c>
      <c r="I20" s="138" t="s">
        <v>50</v>
      </c>
      <c r="J20" s="378" t="str">
        <f>+PROPONENTES!D14</f>
        <v>CONSTRUCTORA ANCLA LTDA</v>
      </c>
      <c r="K20" s="127">
        <v>40598</v>
      </c>
      <c r="L20" s="127">
        <v>41836</v>
      </c>
      <c r="M20" s="128">
        <f>IF(OR(K20="",L20=""),"",IF(OR(K20&gt;$T$14,K20&lt;$S$14,L20&gt;$T$14,AND(K20&lt;$S$14,L20&lt;$S$14)),"FUERA DE RANGO",IF(K20&gt;=$S$14,ROUND(((L20-K20+1)/360*12),1),ROUND(((L20-$S$14+1)/360*12),1))))</f>
        <v>41.3</v>
      </c>
      <c r="N20" s="206">
        <v>2</v>
      </c>
      <c r="O20" s="138" t="s">
        <v>50</v>
      </c>
      <c r="P20" s="128" t="s">
        <v>50</v>
      </c>
      <c r="Q20" s="128" t="s">
        <v>111</v>
      </c>
      <c r="R20" s="95">
        <v>6704.31</v>
      </c>
      <c r="S20" s="95">
        <f t="shared" ref="S20:S25" si="0">IF(OR(G20="",R20=""),"",R20*G20)</f>
        <v>6369.0945000000002</v>
      </c>
      <c r="T20" s="129">
        <f>IF(OR(I20="NO",I20="",I20&lt;&gt;"SI",S20=""),"",IF(OR(L20&lt;$S$14,L20&gt;$T$14,L20=""),0,ROUND(S20,2)))</f>
        <v>6369.09</v>
      </c>
      <c r="U20" s="192"/>
      <c r="V20" s="204"/>
      <c r="X20" s="222" t="s">
        <v>50</v>
      </c>
      <c r="Z20" s="223" t="str">
        <f t="shared" ref="Z20:Z25" si="1">IF(T20="","",IF(T20&gt;=PORCREQCTO*POSMMLV,"SI","NO"))</f>
        <v>SI</v>
      </c>
      <c r="AA20" s="296" t="str">
        <f>"VERIFICACIÓN CUMPLIMIENTO "&amp;PORCREQCTO*100&amp;"% DEL PO"</f>
        <v>VERIFICACIÓN CUMPLIMIENTO 50% DEL PO</v>
      </c>
      <c r="AB20" s="171"/>
      <c r="AC20" s="256"/>
    </row>
    <row r="21" spans="1:32" s="141" customFormat="1" ht="73.5">
      <c r="A21" s="125" t="str">
        <f>"B"&amp;E16</f>
        <v>B1</v>
      </c>
      <c r="B21" s="140">
        <v>2</v>
      </c>
      <c r="C21" s="139" t="s">
        <v>208</v>
      </c>
      <c r="D21" s="139" t="s">
        <v>209</v>
      </c>
      <c r="E21" s="139" t="s">
        <v>210</v>
      </c>
      <c r="F21" s="139" t="s">
        <v>207</v>
      </c>
      <c r="G21" s="142">
        <v>0.54</v>
      </c>
      <c r="H21" s="142" t="s">
        <v>115</v>
      </c>
      <c r="I21" s="138" t="s">
        <v>50</v>
      </c>
      <c r="J21" s="378" t="str">
        <f>+J20</f>
        <v>CONSTRUCTORA ANCLA LTDA</v>
      </c>
      <c r="K21" s="127">
        <v>42353</v>
      </c>
      <c r="L21" s="127">
        <v>42947</v>
      </c>
      <c r="M21" s="128">
        <f t="shared" ref="M21:M25" si="2">IF(OR(K21="",L21=""),"",IF(OR(K21&gt;$T$14,K21&lt;$S$14,L21&gt;$T$14,AND(K21&lt;$S$14,L21&lt;$S$14)),"FUERA DE RANGO",IF(K21&gt;=$S$14,ROUND(((L21-K21+1)/360*12),1),ROUND(((L21-$S$14+1)/360*12),1))))</f>
        <v>19.8</v>
      </c>
      <c r="N21" s="206">
        <v>29</v>
      </c>
      <c r="O21" s="138" t="s">
        <v>50</v>
      </c>
      <c r="P21" s="128" t="s">
        <v>50</v>
      </c>
      <c r="Q21" s="128" t="s">
        <v>111</v>
      </c>
      <c r="R21" s="95">
        <v>2082.4899999999998</v>
      </c>
      <c r="S21" s="95">
        <f t="shared" si="0"/>
        <v>1124.5445999999999</v>
      </c>
      <c r="T21" s="129">
        <f t="shared" ref="T21:T25" si="3">IF(OR(I21="NO",I21="",I21&lt;&gt;"SI",S21=""),"",IF(OR(L21&lt;$S$14,L21&gt;$T$14,L21=""),0,ROUND(S21,2)))</f>
        <v>1124.54</v>
      </c>
      <c r="U21" s="192"/>
      <c r="V21" s="204"/>
      <c r="X21" s="222"/>
      <c r="Z21" s="224" t="str">
        <f t="shared" si="1"/>
        <v>SI</v>
      </c>
      <c r="AA21" s="297"/>
      <c r="AB21" s="171"/>
      <c r="AC21" s="256"/>
    </row>
    <row r="22" spans="1:32" s="141" customFormat="1" ht="12.5">
      <c r="A22" s="125" t="str">
        <f>"C"&amp;E16</f>
        <v>C1</v>
      </c>
      <c r="B22" s="140"/>
      <c r="C22" s="139"/>
      <c r="D22" s="139"/>
      <c r="E22" s="139"/>
      <c r="F22" s="139"/>
      <c r="G22" s="142"/>
      <c r="H22" s="142"/>
      <c r="I22" s="138"/>
      <c r="J22" s="138"/>
      <c r="K22" s="127"/>
      <c r="L22" s="127"/>
      <c r="M22" s="128" t="str">
        <f t="shared" si="2"/>
        <v/>
      </c>
      <c r="N22" s="206"/>
      <c r="O22" s="138"/>
      <c r="P22" s="128"/>
      <c r="Q22" s="128"/>
      <c r="R22" s="95"/>
      <c r="S22" s="95" t="str">
        <f t="shared" si="0"/>
        <v/>
      </c>
      <c r="T22" s="129" t="str">
        <f t="shared" si="3"/>
        <v/>
      </c>
      <c r="U22" s="192"/>
      <c r="V22" s="204"/>
      <c r="X22" s="222"/>
      <c r="Z22" s="224" t="str">
        <f t="shared" si="1"/>
        <v/>
      </c>
      <c r="AA22" s="297"/>
      <c r="AB22" s="171"/>
      <c r="AC22" s="256"/>
    </row>
    <row r="23" spans="1:32" s="141" customFormat="1" ht="12.5">
      <c r="A23" s="125" t="str">
        <f>"D"&amp;E16</f>
        <v>D1</v>
      </c>
      <c r="B23" s="140"/>
      <c r="C23" s="139"/>
      <c r="D23" s="139"/>
      <c r="E23" s="139"/>
      <c r="F23" s="139"/>
      <c r="G23" s="142"/>
      <c r="H23" s="142"/>
      <c r="I23" s="138"/>
      <c r="J23" s="138"/>
      <c r="K23" s="127"/>
      <c r="L23" s="127"/>
      <c r="M23" s="128" t="str">
        <f t="shared" si="2"/>
        <v/>
      </c>
      <c r="N23" s="206"/>
      <c r="O23" s="138"/>
      <c r="P23" s="128"/>
      <c r="Q23" s="128"/>
      <c r="R23" s="95"/>
      <c r="S23" s="95" t="str">
        <f t="shared" si="0"/>
        <v/>
      </c>
      <c r="T23" s="129" t="str">
        <f t="shared" si="3"/>
        <v/>
      </c>
      <c r="U23" s="192"/>
      <c r="V23" s="204"/>
      <c r="X23" s="222"/>
      <c r="Z23" s="224" t="str">
        <f t="shared" si="1"/>
        <v/>
      </c>
      <c r="AA23" s="297"/>
      <c r="AB23" s="171"/>
      <c r="AC23" s="256"/>
    </row>
    <row r="24" spans="1:32" s="141" customFormat="1" ht="12.5">
      <c r="A24" s="125" t="str">
        <f>"E"&amp;E16</f>
        <v>E1</v>
      </c>
      <c r="B24" s="140"/>
      <c r="C24" s="139"/>
      <c r="D24" s="139"/>
      <c r="E24" s="139"/>
      <c r="F24" s="139"/>
      <c r="G24" s="142"/>
      <c r="H24" s="142"/>
      <c r="I24" s="138"/>
      <c r="J24" s="138"/>
      <c r="K24" s="127"/>
      <c r="L24" s="127"/>
      <c r="M24" s="128" t="str">
        <f t="shared" si="2"/>
        <v/>
      </c>
      <c r="N24" s="206"/>
      <c r="O24" s="138"/>
      <c r="P24" s="128"/>
      <c r="Q24" s="128"/>
      <c r="R24" s="95"/>
      <c r="S24" s="95" t="str">
        <f t="shared" si="0"/>
        <v/>
      </c>
      <c r="T24" s="129" t="str">
        <f t="shared" si="3"/>
        <v/>
      </c>
      <c r="U24" s="192"/>
      <c r="V24" s="204"/>
      <c r="X24" s="222"/>
      <c r="Z24" s="224" t="str">
        <f t="shared" si="1"/>
        <v/>
      </c>
      <c r="AA24" s="297"/>
      <c r="AB24" s="171"/>
      <c r="AC24" s="256"/>
    </row>
    <row r="25" spans="1:32" s="141" customFormat="1" ht="13" thickBot="1">
      <c r="A25" s="125" t="str">
        <f>"F"&amp;E16</f>
        <v>F1</v>
      </c>
      <c r="B25" s="140"/>
      <c r="C25" s="139"/>
      <c r="D25" s="139"/>
      <c r="E25" s="139"/>
      <c r="F25" s="139"/>
      <c r="G25" s="142"/>
      <c r="H25" s="142"/>
      <c r="I25" s="138"/>
      <c r="J25" s="138"/>
      <c r="K25" s="127"/>
      <c r="L25" s="127"/>
      <c r="M25" s="128" t="str">
        <f t="shared" si="2"/>
        <v/>
      </c>
      <c r="N25" s="206"/>
      <c r="O25" s="138"/>
      <c r="P25" s="128"/>
      <c r="Q25" s="128"/>
      <c r="R25" s="95"/>
      <c r="S25" s="95" t="str">
        <f t="shared" si="0"/>
        <v/>
      </c>
      <c r="T25" s="129" t="str">
        <f t="shared" si="3"/>
        <v/>
      </c>
      <c r="U25" s="192"/>
      <c r="V25" s="204"/>
      <c r="X25" s="222"/>
      <c r="Z25" s="225" t="str">
        <f t="shared" si="1"/>
        <v/>
      </c>
      <c r="AA25" s="363"/>
      <c r="AB25" s="171"/>
      <c r="AC25" s="256"/>
    </row>
    <row r="26" spans="1:32" s="1" customFormat="1" ht="13" thickBot="1">
      <c r="A26" s="122"/>
      <c r="B26" s="96"/>
      <c r="C26" s="97"/>
      <c r="D26" s="97"/>
      <c r="E26" s="97"/>
      <c r="F26" s="97"/>
      <c r="G26" s="97"/>
      <c r="H26" s="97"/>
      <c r="I26" s="97"/>
      <c r="J26" s="97"/>
      <c r="K26" s="97"/>
      <c r="L26" s="97"/>
      <c r="M26" s="97"/>
      <c r="N26" s="97"/>
      <c r="O26" s="97"/>
      <c r="P26" s="97"/>
      <c r="Q26" s="97"/>
      <c r="R26" s="173"/>
      <c r="S26" s="173"/>
      <c r="T26" s="126"/>
      <c r="U26" s="98"/>
      <c r="V26" s="205"/>
      <c r="X26" s="242"/>
      <c r="Z26" s="42"/>
      <c r="AA26" s="42"/>
      <c r="AB26" s="42"/>
      <c r="AC26" s="242"/>
    </row>
    <row r="27" spans="1:32" s="12" customFormat="1" ht="17.25" customHeight="1" thickBot="1">
      <c r="A27" s="123"/>
      <c r="B27" s="99"/>
      <c r="C27" s="94"/>
      <c r="D27" s="94"/>
      <c r="E27" s="94"/>
      <c r="F27" s="94"/>
      <c r="G27" s="94"/>
      <c r="H27" s="94"/>
      <c r="I27" s="94"/>
      <c r="J27" s="94"/>
      <c r="K27" s="94"/>
      <c r="L27" s="94"/>
      <c r="M27" s="94"/>
      <c r="N27" s="94"/>
      <c r="O27" s="94"/>
      <c r="P27" s="94"/>
      <c r="Q27" s="94"/>
      <c r="R27" s="184"/>
      <c r="S27" s="184"/>
      <c r="T27" s="130">
        <f>SUM(T20:T25)</f>
        <v>7493.63</v>
      </c>
      <c r="U27" s="100"/>
      <c r="V27" s="203"/>
      <c r="X27" s="243"/>
      <c r="Z27" s="243"/>
      <c r="AA27" s="243"/>
      <c r="AB27" s="243"/>
      <c r="AC27" s="243"/>
    </row>
    <row r="28" spans="1:32" ht="17.25" customHeight="1">
      <c r="B28" s="197"/>
      <c r="C28" s="193"/>
      <c r="D28" s="193"/>
      <c r="E28" s="193"/>
      <c r="F28" s="193"/>
      <c r="G28" s="193"/>
      <c r="H28" s="193"/>
      <c r="I28" s="193"/>
      <c r="J28" s="193"/>
      <c r="K28" s="193"/>
      <c r="L28" s="193"/>
      <c r="M28" s="193"/>
      <c r="N28" s="193"/>
      <c r="O28" s="193"/>
      <c r="P28" s="193"/>
      <c r="Q28" s="193"/>
      <c r="R28" s="194"/>
      <c r="S28" s="194"/>
      <c r="T28" s="195"/>
      <c r="U28" s="196"/>
      <c r="V28" s="195"/>
    </row>
    <row r="29" spans="1:32" s="1" customFormat="1" ht="16.5" customHeight="1" thickBot="1">
      <c r="A29" s="122"/>
      <c r="B29" s="322" t="s">
        <v>45</v>
      </c>
      <c r="C29" s="323"/>
      <c r="D29" s="323"/>
      <c r="E29" s="323"/>
      <c r="F29" s="323"/>
      <c r="G29" s="324"/>
      <c r="H29" s="324"/>
      <c r="I29" s="324"/>
      <c r="J29" s="324"/>
      <c r="K29" s="324"/>
      <c r="L29" s="324"/>
      <c r="M29" s="324"/>
      <c r="N29" s="324"/>
      <c r="O29" s="324"/>
      <c r="P29" s="324"/>
      <c r="Q29" s="324"/>
      <c r="R29" s="324"/>
      <c r="S29" s="324"/>
      <c r="T29" s="324"/>
      <c r="U29" s="325"/>
      <c r="V29" s="201"/>
      <c r="X29" s="42"/>
      <c r="Z29" s="42"/>
      <c r="AA29" s="42"/>
      <c r="AB29" s="42"/>
      <c r="AC29" s="42"/>
    </row>
    <row r="30" spans="1:32" s="1" customFormat="1" ht="15.75" customHeight="1" thickBot="1">
      <c r="A30" s="122" t="str">
        <f>"G"&amp;E16</f>
        <v>G1</v>
      </c>
      <c r="B30" s="291" t="s">
        <v>97</v>
      </c>
      <c r="C30" s="292"/>
      <c r="D30" s="292"/>
      <c r="E30" s="292"/>
      <c r="F30" s="292"/>
      <c r="G30" s="326"/>
      <c r="H30" s="291" t="s">
        <v>100</v>
      </c>
      <c r="I30" s="292"/>
      <c r="J30" s="292"/>
      <c r="K30" s="292"/>
      <c r="L30" s="292"/>
      <c r="M30" s="292"/>
      <c r="N30" s="292"/>
      <c r="O30" s="189" t="s">
        <v>23</v>
      </c>
      <c r="P30" s="190"/>
      <c r="Q30" s="190"/>
      <c r="R30" s="190"/>
      <c r="S30" s="190"/>
      <c r="T30" s="190"/>
      <c r="U30" s="253"/>
      <c r="V30" s="201"/>
      <c r="X30" s="239" t="s">
        <v>117</v>
      </c>
      <c r="Z30" s="355" t="s">
        <v>119</v>
      </c>
      <c r="AA30" s="345" t="s">
        <v>120</v>
      </c>
      <c r="AB30" s="345" t="s">
        <v>148</v>
      </c>
      <c r="AC30" s="359" t="s">
        <v>149</v>
      </c>
    </row>
    <row r="31" spans="1:32" s="1" customFormat="1" ht="15.75" customHeight="1" thickBot="1">
      <c r="A31" s="122" t="str">
        <f>"H"&amp;E16</f>
        <v>H1</v>
      </c>
      <c r="B31" s="293" t="s">
        <v>132</v>
      </c>
      <c r="C31" s="294"/>
      <c r="D31" s="294"/>
      <c r="E31" s="294"/>
      <c r="F31" s="294"/>
      <c r="G31" s="327"/>
      <c r="H31" s="293" t="s">
        <v>17</v>
      </c>
      <c r="I31" s="294"/>
      <c r="J31" s="294"/>
      <c r="K31" s="294"/>
      <c r="L31" s="295"/>
      <c r="M31" s="183">
        <f>VLOOKUP(E16,PROPONENTES!$C$14:$E$37,3,0)</f>
        <v>1</v>
      </c>
      <c r="N31" s="296" t="s">
        <v>143</v>
      </c>
      <c r="O31" s="299"/>
      <c r="P31" s="300"/>
      <c r="Q31" s="300"/>
      <c r="R31" s="300"/>
      <c r="S31" s="300"/>
      <c r="T31" s="300"/>
      <c r="U31" s="301"/>
      <c r="V31" s="201"/>
      <c r="X31" s="244" t="str">
        <f>IF(M31="","",IF(M31=1,"INDIVIDUAL","ESTRUCTURA PLURAL"))</f>
        <v>INDIVIDUAL</v>
      </c>
      <c r="Z31" s="356"/>
      <c r="AA31" s="358"/>
      <c r="AB31" s="358"/>
      <c r="AC31" s="360"/>
    </row>
    <row r="32" spans="1:32" s="38" customFormat="1" ht="22.5" customHeight="1" thickBot="1">
      <c r="A32" s="122" t="str">
        <f>"I"&amp;E16</f>
        <v>I1</v>
      </c>
      <c r="B32" s="328" t="s">
        <v>131</v>
      </c>
      <c r="C32" s="329"/>
      <c r="D32" s="330"/>
      <c r="E32" s="308">
        <f>IF(AND(I20="SI",T20&gt;0),1,0)+IF(AND(I21="SI",T21&gt;0),1,0)+IF(AND(I22="SI",T22&gt;0),1,0)+IF(AND(I23="SI",T23&gt;0),1,0)+IF(AND(I24="SI",T24&gt;0),1,0)+IF(AND(I25="SI",T25&gt;0),1,0)</f>
        <v>2</v>
      </c>
      <c r="F32" s="310" t="s">
        <v>133</v>
      </c>
      <c r="G32" s="312">
        <f>IF(E32=0,"N/A",IF(AND(E32&gt;=1,E32&lt;=2),0.75,IF(AND(E32&gt;=3,E32&lt;=4),1.2,IF(AND(E32&gt;=5,E32&lt;=6),1.5,"REVISAR"))))</f>
        <v>0.75</v>
      </c>
      <c r="H32" s="334" t="s">
        <v>16</v>
      </c>
      <c r="I32" s="335"/>
      <c r="J32" s="314" t="s">
        <v>0</v>
      </c>
      <c r="K32" s="314" t="s">
        <v>140</v>
      </c>
      <c r="L32" s="314" t="s">
        <v>141</v>
      </c>
      <c r="M32" s="320" t="s">
        <v>142</v>
      </c>
      <c r="N32" s="297"/>
      <c r="O32" s="302"/>
      <c r="P32" s="303"/>
      <c r="Q32" s="303"/>
      <c r="R32" s="303"/>
      <c r="S32" s="303"/>
      <c r="T32" s="303"/>
      <c r="U32" s="304"/>
      <c r="V32" s="201"/>
      <c r="X32" s="171"/>
      <c r="Z32" s="356"/>
      <c r="AA32" s="358"/>
      <c r="AB32" s="358"/>
      <c r="AC32" s="360"/>
    </row>
    <row r="33" spans="1:29" s="38" customFormat="1" ht="15.75" customHeight="1" thickBot="1">
      <c r="A33" s="122" t="str">
        <f>"J"&amp;E16</f>
        <v>J1</v>
      </c>
      <c r="B33" s="331"/>
      <c r="C33" s="332"/>
      <c r="D33" s="333"/>
      <c r="E33" s="309"/>
      <c r="F33" s="311"/>
      <c r="G33" s="313"/>
      <c r="H33" s="336"/>
      <c r="I33" s="337"/>
      <c r="J33" s="314"/>
      <c r="K33" s="314"/>
      <c r="L33" s="314"/>
      <c r="M33" s="321"/>
      <c r="N33" s="298"/>
      <c r="O33" s="302"/>
      <c r="P33" s="303"/>
      <c r="Q33" s="303"/>
      <c r="R33" s="303"/>
      <c r="S33" s="303"/>
      <c r="T33" s="303"/>
      <c r="U33" s="304"/>
      <c r="V33" s="201"/>
      <c r="X33" s="239" t="s">
        <v>118</v>
      </c>
      <c r="Z33" s="357"/>
      <c r="AA33" s="346"/>
      <c r="AB33" s="346"/>
      <c r="AC33" s="321"/>
    </row>
    <row r="34" spans="1:29" s="1" customFormat="1" ht="16.899999999999999" customHeight="1" thickBot="1">
      <c r="A34" s="125" t="str">
        <f>"K"&amp;E16</f>
        <v>K1</v>
      </c>
      <c r="B34" s="293" t="s">
        <v>98</v>
      </c>
      <c r="C34" s="294"/>
      <c r="D34" s="294"/>
      <c r="E34" s="294"/>
      <c r="F34" s="294"/>
      <c r="G34" s="294"/>
      <c r="H34" s="186">
        <v>1</v>
      </c>
      <c r="I34" s="92" t="str">
        <f>IF(AND(H34&lt;=M31,M31&gt;1),VLOOKUP(VALUE(E16&amp;","&amp;H34),INTEGRANTES!$B$15:$D$72,2,0),"")</f>
        <v/>
      </c>
      <c r="J34" s="187" t="str">
        <f>IF(I34&lt;&gt;"",VLOOKUP(VALUE(E16&amp;","&amp;H34),INTEGRANTES!$B$15:$D$72,3,0),"")</f>
        <v/>
      </c>
      <c r="K34" s="247" t="str">
        <f>IF($I34="","",IF(G32="N/A","",ROUND($G32*POSMMLV*PORPOM,2)))</f>
        <v/>
      </c>
      <c r="L34" s="247" t="str">
        <f>IF(I34="","",SUMIF($J20:$J25,I34,$T20:$T25))</f>
        <v/>
      </c>
      <c r="M34" s="93" t="str">
        <f t="shared" ref="M34:M39" si="4">IF($I34="","",IF($K34&gt;L34,"NO CUMPLE","CUMPLE"))</f>
        <v/>
      </c>
      <c r="N34" s="93" t="str">
        <f t="shared" ref="N34:N39" si="5">IF($I34="","",IF(M34="CUMPLE","CUMPLE","NO CUMPLE"))</f>
        <v/>
      </c>
      <c r="O34" s="302"/>
      <c r="P34" s="303"/>
      <c r="Q34" s="303"/>
      <c r="R34" s="303"/>
      <c r="S34" s="303"/>
      <c r="T34" s="303"/>
      <c r="U34" s="304"/>
      <c r="V34" s="201"/>
      <c r="X34" s="244" t="str">
        <f>IF(X31="","",IF(X31="INDIVIDUAL","NO APLICA","VERIFICAR CUADRO"))</f>
        <v>NO APLICA</v>
      </c>
      <c r="Z34" s="262" t="str">
        <f>IF(AND(H34&lt;=M31,M31&gt;1),VLOOKUP(VALUE(E16&amp;","&amp;H34),INTEGRANTES!$B$15:$D$72,2,0),"")</f>
        <v/>
      </c>
      <c r="AA34" s="248" t="str">
        <f>IF(I34="","",SUMIF(J20:$J25,I34,$T20:$T25))</f>
        <v/>
      </c>
      <c r="AB34" s="232"/>
      <c r="AC34" s="250" t="str">
        <f>IF(OR(Z34="",AB34=""),"",IF(AND(AB34="X",AA34&gt;=X37),"CUMPLE","NO CUMPLE"))</f>
        <v/>
      </c>
    </row>
    <row r="35" spans="1:29" s="1" customFormat="1" ht="15.75" customHeight="1" thickBot="1">
      <c r="A35" s="125" t="str">
        <f>"L"&amp;E16</f>
        <v>L1</v>
      </c>
      <c r="B35" s="328" t="s">
        <v>134</v>
      </c>
      <c r="C35" s="329"/>
      <c r="D35" s="330"/>
      <c r="E35" s="132" t="s">
        <v>135</v>
      </c>
      <c r="F35" s="132" t="s">
        <v>136</v>
      </c>
      <c r="G35" s="136" t="s">
        <v>99</v>
      </c>
      <c r="H35" s="186">
        <v>2</v>
      </c>
      <c r="I35" s="92" t="str">
        <f>IF(AND(H35&lt;=M31,M31&gt;1),VLOOKUP(VALUE(E16&amp;","&amp;H35),INTEGRANTES!$B$15:$D$72,2,0),"")</f>
        <v/>
      </c>
      <c r="J35" s="187" t="str">
        <f>IF(I35&lt;&gt;"",VLOOKUP(VALUE(E16&amp;","&amp;H35),INTEGRANTES!$B$15:$D$72,3,0),"")</f>
        <v/>
      </c>
      <c r="K35" s="247" t="str">
        <f>IF($I35="","",IF(G32="N/A","",ROUND($G32*POSMMLV*PORPOM,2)))</f>
        <v/>
      </c>
      <c r="L35" s="247" t="str">
        <f>IF(I35="","",SUMIF($J20:$J25,I35,$T20:$T25))</f>
        <v/>
      </c>
      <c r="M35" s="93" t="str">
        <f t="shared" si="4"/>
        <v/>
      </c>
      <c r="N35" s="93" t="str">
        <f t="shared" si="5"/>
        <v/>
      </c>
      <c r="O35" s="302"/>
      <c r="P35" s="303"/>
      <c r="Q35" s="303"/>
      <c r="R35" s="303"/>
      <c r="S35" s="303"/>
      <c r="T35" s="303"/>
      <c r="U35" s="304"/>
      <c r="V35" s="201"/>
      <c r="X35" s="42"/>
      <c r="Z35" s="262" t="str">
        <f>IF(AND(H35&lt;=M31,M31&gt;1),VLOOKUP(VALUE(E16&amp;","&amp;H35),INTEGRANTES!$B$15:$D$72,2,0),"")</f>
        <v/>
      </c>
      <c r="AA35" s="248" t="str">
        <f>IF(I35="","",SUMIF(J20:$J25,I35,$T20:$T25))</f>
        <v/>
      </c>
      <c r="AB35" s="232"/>
      <c r="AC35" s="250" t="str">
        <f>IF(OR(Z35="",AB35=""),"",IF(AND(AB35="X",AA35&gt;=X37),"CUMPLE","NO CUMPLE"))</f>
        <v/>
      </c>
    </row>
    <row r="36" spans="1:29" s="1" customFormat="1" ht="24" customHeight="1" thickBot="1">
      <c r="A36" s="122" t="str">
        <f>"M"&amp;E16</f>
        <v>M1</v>
      </c>
      <c r="B36" s="331"/>
      <c r="C36" s="332"/>
      <c r="D36" s="333"/>
      <c r="E36" s="237">
        <f>IF(ISTEXT(G32),"NO APLICA",G32*POSMMLV)</f>
        <v>1394.0360281651363</v>
      </c>
      <c r="F36" s="238">
        <f>IF(E36="","",T27)</f>
        <v>7493.63</v>
      </c>
      <c r="G36" s="221" t="str">
        <f>IF(E36="","",IF(E36="NO APLICA","NO CUMPLE",IF(F36&gt;=E36,"CUMPLE", "NO CUMPLE")))</f>
        <v>CUMPLE</v>
      </c>
      <c r="H36" s="186">
        <v>3</v>
      </c>
      <c r="I36" s="92" t="str">
        <f>IF(AND(H36&lt;=M31,M31&gt;1),VLOOKUP(VALUE(E16&amp;","&amp;H36),INTEGRANTES!$B$15:$D$72,2,0),"")</f>
        <v/>
      </c>
      <c r="J36" s="187" t="str">
        <f>IF(I36&lt;&gt;"",VLOOKUP(VALUE(E16&amp;","&amp;H36),INTEGRANTES!$B$15:$D$72,3,0),"")</f>
        <v/>
      </c>
      <c r="K36" s="247" t="str">
        <f>IF($I36="","",IF(G32="N/A","",ROUND($G32*POSMMLV*PORPOM,2)))</f>
        <v/>
      </c>
      <c r="L36" s="247" t="str">
        <f>IF(I36="","",SUMIF($J20:$J25,I36,$T20:$T25))</f>
        <v/>
      </c>
      <c r="M36" s="93" t="str">
        <f t="shared" si="4"/>
        <v/>
      </c>
      <c r="N36" s="93" t="str">
        <f t="shared" si="5"/>
        <v/>
      </c>
      <c r="O36" s="302"/>
      <c r="P36" s="303"/>
      <c r="Q36" s="303"/>
      <c r="R36" s="303"/>
      <c r="S36" s="303"/>
      <c r="T36" s="303"/>
      <c r="U36" s="304"/>
      <c r="V36" s="201"/>
      <c r="X36" s="239" t="s">
        <v>145</v>
      </c>
      <c r="Z36" s="262" t="str">
        <f>IF(AND(H36&lt;=M31,M31&gt;1),VLOOKUP(VALUE(E16&amp;","&amp;H36),INTEGRANTES!$B$15:$D$72,2,0),"")</f>
        <v/>
      </c>
      <c r="AA36" s="248" t="str">
        <f>IF(I36="","",SUMIF(J20:$J25,I36,$T20:$T25))</f>
        <v/>
      </c>
      <c r="AB36" s="232"/>
      <c r="AC36" s="250" t="str">
        <f>IF(OR(Z36="",AB36=""),"",IF(AND(AB36="X",AA36&gt;=X37),"CUMPLE","NO CUMPLE"))</f>
        <v/>
      </c>
    </row>
    <row r="37" spans="1:29" s="1" customFormat="1" ht="16.5" customHeight="1" thickBot="1">
      <c r="A37" s="122" t="str">
        <f>"N"&amp;E16</f>
        <v>N1</v>
      </c>
      <c r="B37" s="293" t="s">
        <v>107</v>
      </c>
      <c r="C37" s="294"/>
      <c r="D37" s="294"/>
      <c r="E37" s="294"/>
      <c r="F37" s="294"/>
      <c r="G37" s="294"/>
      <c r="H37" s="186">
        <v>4</v>
      </c>
      <c r="I37" s="92" t="str">
        <f>IF(AND(H37&lt;=M31,M31&gt;1),VLOOKUP(VALUE(E16&amp;","&amp;H37),INTEGRANTES!$B$15:$D$72,2,0),"")</f>
        <v/>
      </c>
      <c r="J37" s="187" t="str">
        <f>IF(I37&lt;&gt;"",VLOOKUP(VALUE(E16&amp;","&amp;H37),INTEGRANTES!$B$15:$D$72,3,0),"")</f>
        <v/>
      </c>
      <c r="K37" s="247" t="str">
        <f>IF($I37="","",IF(G32="N/A","",ROUND($G32*POSMMLV*PORPOM,2)))</f>
        <v/>
      </c>
      <c r="L37" s="247" t="str">
        <f>IF(I37="","",SUMIF($J20:$J25,I37,$T20:$T25))</f>
        <v/>
      </c>
      <c r="M37" s="93" t="str">
        <f t="shared" si="4"/>
        <v/>
      </c>
      <c r="N37" s="93" t="str">
        <f t="shared" si="5"/>
        <v/>
      </c>
      <c r="O37" s="302"/>
      <c r="P37" s="303"/>
      <c r="Q37" s="303"/>
      <c r="R37" s="303"/>
      <c r="S37" s="303"/>
      <c r="T37" s="303"/>
      <c r="U37" s="304"/>
      <c r="V37" s="201"/>
      <c r="X37" s="251">
        <f>IF(G32="N/A","N/A",0.4*G32*POSMMLV)</f>
        <v>557.61441126605462</v>
      </c>
      <c r="Z37" s="262" t="str">
        <f>IF(AND(H37&lt;=M31,M31&gt;1),VLOOKUP(VALUE(E16&amp;","&amp;H37),INTEGRANTES!$B$15:$D$72,2,0),"")</f>
        <v/>
      </c>
      <c r="AA37" s="248" t="str">
        <f>IF(I37="","",SUMIF(J20:$J25,I37,$T20:$T25))</f>
        <v/>
      </c>
      <c r="AB37" s="232"/>
      <c r="AC37" s="250" t="str">
        <f>IF(OR(Z37="",AB37=""),"",IF(AND(AB37="X",AA37&gt;=X37),"CUMPLE","NO CUMPLE"))</f>
        <v/>
      </c>
    </row>
    <row r="38" spans="1:29" s="1" customFormat="1" ht="16.5" customHeight="1" thickBot="1">
      <c r="A38" s="122" t="str">
        <f>"O"&amp;E16</f>
        <v>O1</v>
      </c>
      <c r="B38" s="328" t="s">
        <v>108</v>
      </c>
      <c r="C38" s="329"/>
      <c r="D38" s="329"/>
      <c r="E38" s="329"/>
      <c r="F38" s="329"/>
      <c r="G38" s="185" t="s">
        <v>99</v>
      </c>
      <c r="H38" s="186">
        <v>5</v>
      </c>
      <c r="I38" s="92" t="str">
        <f>IF(AND(H38&lt;=M31,M31&gt;1),VLOOKUP(VALUE(E16&amp;","&amp;H38),INTEGRANTES!$B$15:$D$72,2,0),"")</f>
        <v/>
      </c>
      <c r="J38" s="187" t="str">
        <f>IF(I38&lt;&gt;"",VLOOKUP(VALUE(E16&amp;","&amp;H38),INTEGRANTES!$B$15:$D$72,3,0),"")</f>
        <v/>
      </c>
      <c r="K38" s="247" t="str">
        <f>IF($I38="","",IF(G32="N/A","",ROUND($G32*POSMMLV*PORPOM,2)))</f>
        <v/>
      </c>
      <c r="L38" s="247" t="str">
        <f>IF(I38="","",SUMIF($J20:$J25,I38,$T20:$T25))</f>
        <v/>
      </c>
      <c r="M38" s="93" t="str">
        <f t="shared" si="4"/>
        <v/>
      </c>
      <c r="N38" s="93" t="str">
        <f t="shared" si="5"/>
        <v/>
      </c>
      <c r="O38" s="302"/>
      <c r="P38" s="303"/>
      <c r="Q38" s="303"/>
      <c r="R38" s="303"/>
      <c r="S38" s="303"/>
      <c r="T38" s="303"/>
      <c r="U38" s="304"/>
      <c r="V38" s="201"/>
      <c r="X38" s="42"/>
      <c r="Z38" s="262" t="str">
        <f>IF(AND(H38&lt;=M31,M31&gt;1),VLOOKUP(VALUE(E16&amp;","&amp;H38),INTEGRANTES!$B$15:$D$72,2,0),"")</f>
        <v/>
      </c>
      <c r="AA38" s="248" t="str">
        <f>IF(I38="","",SUMIF(J20:$J25,I38,$T20:$T25))</f>
        <v/>
      </c>
      <c r="AB38" s="232"/>
      <c r="AC38" s="250" t="str">
        <f>IF(OR(Z38="",AB38=""),"",IF(AND(AB38="X",AA38&gt;=X37),"CUMPLE","NO CUMPLE"))</f>
        <v/>
      </c>
    </row>
    <row r="39" spans="1:29" s="1" customFormat="1" ht="15.75" customHeight="1" thickBot="1">
      <c r="A39" s="122" t="str">
        <f>"P"&amp;E16</f>
        <v>P1</v>
      </c>
      <c r="B39" s="353"/>
      <c r="C39" s="354"/>
      <c r="D39" s="354"/>
      <c r="E39" s="354"/>
      <c r="F39" s="354"/>
      <c r="G39" s="137" t="str">
        <f>IF(AND(COUNTIF(X20:X25,"")&gt;5,COUNTIF(Z20:Z25,"")&gt;5),"NO CUMPLE",IF(AND(COUNTIF(X20:X25,"SI")&gt;=$AF$17,COUNTIF(Z20:Z25,"SI")&gt;=$AF$17),"CUMPLE", "NO CUMPLE"))</f>
        <v>CUMPLE</v>
      </c>
      <c r="H39" s="257">
        <v>6</v>
      </c>
      <c r="I39" s="258" t="str">
        <f>IF(AND(H39&lt;=M31,M31&gt;1),VLOOKUP(VALUE(E16&amp;","&amp;H39),INTEGRANTES!$B$15:$D$72,2,0),"")</f>
        <v/>
      </c>
      <c r="J39" s="259" t="str">
        <f>IF(I39&lt;&gt;"",VLOOKUP(VALUE(E16&amp;","&amp;H39),INTEGRANTES!$B$15:$D$72,3,0),"")</f>
        <v/>
      </c>
      <c r="K39" s="260" t="str">
        <f>IF($I39="","",IF(G32="N/A","",ROUND($G32*POSMMLV*PORPOM,2)))</f>
        <v/>
      </c>
      <c r="L39" s="260" t="str">
        <f>IF(I39="","",SUMIF($J20:$J25,I39,$T20:$T25))</f>
        <v/>
      </c>
      <c r="M39" s="261" t="str">
        <f t="shared" si="4"/>
        <v/>
      </c>
      <c r="N39" s="93" t="str">
        <f t="shared" si="5"/>
        <v/>
      </c>
      <c r="O39" s="302"/>
      <c r="P39" s="303"/>
      <c r="Q39" s="303"/>
      <c r="R39" s="303"/>
      <c r="S39" s="303"/>
      <c r="T39" s="303"/>
      <c r="U39" s="304"/>
      <c r="V39" s="201"/>
      <c r="X39" s="239" t="s">
        <v>122</v>
      </c>
      <c r="Z39" s="263" t="str">
        <f>IF(AND(H39&lt;=M31,M31&gt;1),VLOOKUP(VALUE(E16&amp;","&amp;H39),INTEGRANTES!$B$15:$D$72,2,0),"")</f>
        <v/>
      </c>
      <c r="AA39" s="249" t="str">
        <f>IF(I39="","",SUMIF(J20:$J25,I39,$T20:$T25))</f>
        <v/>
      </c>
      <c r="AB39" s="246"/>
      <c r="AC39" s="137" t="str">
        <f>IF(OR(Z39="",AB39=""),"",IF(AND(AB39="X",AA39&gt;=X37),"CUMPLE","NO CUMPLE"))</f>
        <v/>
      </c>
    </row>
    <row r="40" spans="1:29" s="1" customFormat="1" ht="39" customHeight="1" thickBot="1">
      <c r="A40" s="122" t="str">
        <f>"Q"&amp;E16</f>
        <v>Q1</v>
      </c>
      <c r="B40" s="338"/>
      <c r="C40" s="339"/>
      <c r="D40" s="339"/>
      <c r="E40" s="339"/>
      <c r="F40" s="339"/>
      <c r="G40" s="340"/>
      <c r="H40" s="318" t="s">
        <v>138</v>
      </c>
      <c r="I40" s="341"/>
      <c r="J40" s="342"/>
      <c r="K40" s="318" t="s">
        <v>139</v>
      </c>
      <c r="L40" s="319"/>
      <c r="M40" s="188" t="str">
        <f>IF(OR($M31="",SUM(J34:J39)=0),"",IF(COUNTIF(M34:M39,"CUMPLE")&gt;=1,"CUMPLE","NO CUMPLE"))</f>
        <v/>
      </c>
      <c r="N40" s="188" t="str">
        <f>IF(OR($M31="",SUM(J34:J39)=0),"",IF(COUNTIF(N34:N39,"CUMPLE")&gt;=1,"CUMPLE","NO CUMPLE"))</f>
        <v/>
      </c>
      <c r="O40" s="305"/>
      <c r="P40" s="306"/>
      <c r="Q40" s="306"/>
      <c r="R40" s="306"/>
      <c r="S40" s="306"/>
      <c r="T40" s="306"/>
      <c r="U40" s="307"/>
      <c r="V40" s="201"/>
      <c r="X40" s="254" t="str">
        <f>IF(X34="NO APLICA","NO APLICA",IF(COUNTIF(AC34:AC39,"CUMPLE")&gt;0,"CUMPLE","NO CUMPLE"))</f>
        <v>NO APLICA</v>
      </c>
      <c r="Z40" s="42"/>
      <c r="AA40" s="42"/>
      <c r="AB40" s="42"/>
      <c r="AC40" s="42"/>
    </row>
    <row r="41" spans="1:29">
      <c r="A41"/>
    </row>
    <row r="42" spans="1:29">
      <c r="A42"/>
    </row>
    <row r="43" spans="1:29" ht="23.5" thickBot="1">
      <c r="A43" s="167">
        <v>2</v>
      </c>
      <c r="B43" s="349" t="s">
        <v>1</v>
      </c>
      <c r="C43" s="349"/>
      <c r="D43" s="349"/>
      <c r="E43" s="105">
        <f>VLOOKUP(A43,PROPONENTES!$B$14:$D$37,2,FALSE)</f>
        <v>2</v>
      </c>
      <c r="F43" s="106" t="str">
        <f>VLOOKUP(E43,PROPONENTES!$C$14:$D$37,2,FALSE)</f>
        <v>CONSORCIO EL CEDRO</v>
      </c>
      <c r="G43" s="107"/>
      <c r="H43" s="107"/>
      <c r="I43" s="107"/>
      <c r="J43" s="106"/>
      <c r="K43" s="106"/>
      <c r="L43" s="105"/>
      <c r="M43" s="107"/>
      <c r="N43" s="107"/>
      <c r="O43" s="107"/>
      <c r="P43" s="107"/>
      <c r="Q43" s="107"/>
      <c r="R43" s="107"/>
      <c r="S43" s="107"/>
      <c r="T43" s="108"/>
      <c r="U43" s="109"/>
      <c r="V43" s="109"/>
      <c r="W43" s="11"/>
      <c r="X43" s="240"/>
      <c r="Y43" s="11"/>
      <c r="Z43" s="240"/>
      <c r="AA43" s="240"/>
      <c r="AB43" s="240"/>
      <c r="AC43" s="240"/>
    </row>
    <row r="44" spans="1:29" ht="48" customHeight="1">
      <c r="A44" s="131"/>
      <c r="B44" s="350" t="s">
        <v>88</v>
      </c>
      <c r="C44" s="345" t="s">
        <v>48</v>
      </c>
      <c r="D44" s="352" t="s">
        <v>130</v>
      </c>
      <c r="E44" s="295"/>
      <c r="F44" s="352" t="s">
        <v>93</v>
      </c>
      <c r="G44" s="295"/>
      <c r="H44" s="315" t="s">
        <v>89</v>
      </c>
      <c r="I44" s="315" t="s">
        <v>103</v>
      </c>
      <c r="J44" s="315" t="s">
        <v>2</v>
      </c>
      <c r="K44" s="315" t="s">
        <v>27</v>
      </c>
      <c r="L44" s="315" t="s">
        <v>28</v>
      </c>
      <c r="M44" s="316" t="s">
        <v>29</v>
      </c>
      <c r="N44" s="315" t="s">
        <v>104</v>
      </c>
      <c r="O44" s="343" t="s">
        <v>78</v>
      </c>
      <c r="P44" s="344"/>
      <c r="Q44" s="345" t="s">
        <v>144</v>
      </c>
      <c r="R44" s="345" t="s">
        <v>101</v>
      </c>
      <c r="S44" s="294" t="s">
        <v>3</v>
      </c>
      <c r="T44" s="295"/>
      <c r="U44" s="347" t="s">
        <v>18</v>
      </c>
      <c r="V44" s="366" t="s">
        <v>102</v>
      </c>
      <c r="W44" s="133"/>
      <c r="X44" s="361" t="s">
        <v>146</v>
      </c>
      <c r="Y44" s="133"/>
      <c r="Z44" s="133"/>
      <c r="AA44" s="133"/>
      <c r="AB44" s="245"/>
      <c r="AC44" s="361" t="s">
        <v>123</v>
      </c>
    </row>
    <row r="45" spans="1:29" ht="98.25" customHeight="1">
      <c r="A45" s="131"/>
      <c r="B45" s="351"/>
      <c r="C45" s="346"/>
      <c r="D45" s="134" t="s">
        <v>10</v>
      </c>
      <c r="E45" s="134" t="s">
        <v>4</v>
      </c>
      <c r="F45" s="134" t="s">
        <v>15</v>
      </c>
      <c r="G45" s="135" t="s">
        <v>90</v>
      </c>
      <c r="H45" s="314"/>
      <c r="I45" s="314"/>
      <c r="J45" s="314"/>
      <c r="K45" s="314"/>
      <c r="L45" s="314"/>
      <c r="M45" s="317"/>
      <c r="N45" s="314"/>
      <c r="O45" s="264" t="s">
        <v>76</v>
      </c>
      <c r="P45" s="264" t="str">
        <f>+P18</f>
        <v>¿EL CONTRATO SE ENCUENTRA CLASIFICADO EN ALGUNA DE LAS CLASIFICACIONES ESTABLECIDAS EN EL PLIEGO? (SI/NO) (721033 - 721410 - 721411 - 721416)</v>
      </c>
      <c r="Q45" s="346"/>
      <c r="R45" s="346"/>
      <c r="S45" s="264" t="s">
        <v>81</v>
      </c>
      <c r="T45" s="264" t="s">
        <v>77</v>
      </c>
      <c r="U45" s="348"/>
      <c r="V45" s="336"/>
      <c r="W45" s="133"/>
      <c r="X45" s="362"/>
      <c r="Y45" s="133"/>
      <c r="Z45" s="245"/>
      <c r="AA45" s="245"/>
      <c r="AB45" s="245"/>
      <c r="AC45" s="362"/>
    </row>
    <row r="46" spans="1:29" ht="16" thickBot="1">
      <c r="A46" s="122"/>
      <c r="B46" s="96"/>
      <c r="C46" s="97"/>
      <c r="D46" s="97"/>
      <c r="E46" s="97"/>
      <c r="F46" s="97"/>
      <c r="G46" s="97"/>
      <c r="H46" s="97"/>
      <c r="I46" s="97"/>
      <c r="J46" s="97"/>
      <c r="K46" s="97"/>
      <c r="L46" s="97"/>
      <c r="M46" s="97"/>
      <c r="N46" s="97"/>
      <c r="O46" s="97"/>
      <c r="P46" s="97"/>
      <c r="Q46" s="97"/>
      <c r="R46" s="173"/>
      <c r="S46" s="173"/>
      <c r="T46" s="97"/>
      <c r="U46" s="191"/>
      <c r="V46" s="202"/>
      <c r="W46" s="1"/>
      <c r="X46" s="241"/>
      <c r="Y46" s="1"/>
      <c r="Z46" s="42"/>
      <c r="AA46" s="42"/>
      <c r="AB46" s="42"/>
      <c r="AC46" s="241"/>
    </row>
    <row r="47" spans="1:29" ht="49" customHeight="1">
      <c r="A47" s="125" t="str">
        <f>"A"&amp;E43</f>
        <v>A2</v>
      </c>
      <c r="B47" s="386">
        <v>1</v>
      </c>
      <c r="C47" s="380" t="s">
        <v>223</v>
      </c>
      <c r="D47" s="380" t="s">
        <v>335</v>
      </c>
      <c r="E47" s="380" t="s">
        <v>336</v>
      </c>
      <c r="F47" s="380" t="s">
        <v>222</v>
      </c>
      <c r="G47" s="142">
        <v>0.35</v>
      </c>
      <c r="H47" s="142" t="s">
        <v>115</v>
      </c>
      <c r="I47" s="398" t="s">
        <v>50</v>
      </c>
      <c r="J47" s="378" t="str">
        <f>+I63</f>
        <v xml:space="preserve">RSM CIA SAS </v>
      </c>
      <c r="K47" s="382">
        <v>40430</v>
      </c>
      <c r="L47" s="382">
        <v>40748</v>
      </c>
      <c r="M47" s="384">
        <f>IF(OR(K47="",L47=""),"",IF(OR(K47&gt;$T$14,K47&lt;$S$14,L47&gt;$T$14,AND(K47&lt;$S$14,L47&lt;$S$14)),"FUERA DE RANGO",IF(K47&gt;=$S$14,ROUND(((L47-K47+1)/360*12),1),ROUND(((L47-$S$14+1)/360*12),1))))</f>
        <v>10.6</v>
      </c>
      <c r="N47" s="206">
        <v>1</v>
      </c>
      <c r="O47" s="138" t="s">
        <v>50</v>
      </c>
      <c r="P47" s="128" t="s">
        <v>50</v>
      </c>
      <c r="Q47" s="128" t="s">
        <v>109</v>
      </c>
      <c r="R47" s="95">
        <v>6013.89</v>
      </c>
      <c r="S47" s="95">
        <f t="shared" ref="S47:S54" si="6">IF(OR(G47="",R47=""),"",R47*G47)</f>
        <v>2104.8615</v>
      </c>
      <c r="T47" s="129">
        <f>IF(OR(I47="NO",I47="",I47&lt;&gt;"SI",S47=""),"",IF(OR(L47&lt;$S$14,L47&gt;$T$14,L47=""),0,ROUND(S47,2)))</f>
        <v>2104.86</v>
      </c>
      <c r="U47" s="403" t="s">
        <v>343</v>
      </c>
      <c r="V47" s="204"/>
      <c r="W47" s="141"/>
      <c r="X47" s="222" t="s">
        <v>50</v>
      </c>
      <c r="Y47" s="141"/>
      <c r="Z47" s="223" t="str">
        <f t="shared" ref="Z47:Z54" si="7">IF(T47="","",IF(T47&gt;=PORCREQCTO*POSMMLV,"SI","NO"))</f>
        <v>SI</v>
      </c>
      <c r="AA47" s="296" t="str">
        <f>"VERIFICACIÓN CUMPLIMIENTO "&amp;PORCREQCTO*100&amp;"% DEL PO"</f>
        <v>VERIFICACIÓN CUMPLIMIENTO 50% DEL PO</v>
      </c>
      <c r="AB47" s="171"/>
      <c r="AC47" s="256"/>
    </row>
    <row r="48" spans="1:29" ht="37.5" customHeight="1">
      <c r="A48" s="125" t="str">
        <f>"B"&amp;E43</f>
        <v>B2</v>
      </c>
      <c r="B48" s="387"/>
      <c r="C48" s="381"/>
      <c r="D48" s="381"/>
      <c r="E48" s="381"/>
      <c r="F48" s="381"/>
      <c r="G48" s="142">
        <v>0.3</v>
      </c>
      <c r="H48" s="142" t="s">
        <v>115</v>
      </c>
      <c r="I48" s="399"/>
      <c r="J48" s="378" t="str">
        <f>+I64</f>
        <v xml:space="preserve">JAIRO LUIS SOCARRAS BONILLA </v>
      </c>
      <c r="K48" s="383"/>
      <c r="L48" s="383"/>
      <c r="M48" s="385"/>
      <c r="N48" s="206">
        <v>35</v>
      </c>
      <c r="O48" s="138" t="s">
        <v>50</v>
      </c>
      <c r="P48" s="128" t="s">
        <v>50</v>
      </c>
      <c r="Q48" s="128" t="s">
        <v>109</v>
      </c>
      <c r="R48" s="95">
        <v>6013.89</v>
      </c>
      <c r="S48" s="95">
        <f>IF(OR(G48="",R48=""),"",R48*G48)</f>
        <v>1804.1670000000001</v>
      </c>
      <c r="T48" s="129" t="str">
        <f>IF(OR(I48="NO",I48="",I48&lt;&gt;"SI",S48=""),"",IF(OR(L47&lt;$S$14,L47&gt;$T$14,L47=""),0,ROUND(S48,2)))</f>
        <v/>
      </c>
      <c r="U48" s="403" t="s">
        <v>343</v>
      </c>
      <c r="V48" s="204"/>
      <c r="W48" s="141"/>
      <c r="X48" s="222"/>
      <c r="Y48" s="141"/>
      <c r="Z48" s="224" t="str">
        <f t="shared" si="7"/>
        <v/>
      </c>
      <c r="AA48" s="297"/>
      <c r="AB48" s="171"/>
      <c r="AC48" s="256"/>
    </row>
    <row r="49" spans="1:29" ht="73.5" customHeight="1">
      <c r="A49" s="125" t="str">
        <f>"C"&amp;E43</f>
        <v>C2</v>
      </c>
      <c r="B49" s="386">
        <v>2</v>
      </c>
      <c r="C49" s="380" t="s">
        <v>223</v>
      </c>
      <c r="D49" s="380" t="s">
        <v>337</v>
      </c>
      <c r="E49" s="380" t="s">
        <v>338</v>
      </c>
      <c r="F49" s="380" t="s">
        <v>222</v>
      </c>
      <c r="G49" s="142">
        <v>0.3</v>
      </c>
      <c r="H49" s="142" t="s">
        <v>115</v>
      </c>
      <c r="I49" s="398" t="s">
        <v>50</v>
      </c>
      <c r="J49" s="378" t="str">
        <f>+J47</f>
        <v xml:space="preserve">RSM CIA SAS </v>
      </c>
      <c r="K49" s="382">
        <v>40161</v>
      </c>
      <c r="L49" s="382">
        <v>40907</v>
      </c>
      <c r="M49" s="384">
        <f t="shared" ref="M49" si="8">IF(OR(K49="",L49=""),"",IF(OR(K49&gt;$T$14,K49&lt;$S$14,L49&gt;$T$14,AND(K49&lt;$S$14,L49&lt;$S$14)),"FUERA DE RANGO",IF(K49&gt;=$S$14,ROUND(((L49-K49+1)/360*12),1),ROUND(((L49-$S$14+1)/360*12),1))))</f>
        <v>24.9</v>
      </c>
      <c r="N49" s="206">
        <v>3</v>
      </c>
      <c r="O49" s="138" t="s">
        <v>50</v>
      </c>
      <c r="P49" s="128" t="s">
        <v>50</v>
      </c>
      <c r="Q49" s="128" t="s">
        <v>110</v>
      </c>
      <c r="R49" s="95">
        <v>17842.53</v>
      </c>
      <c r="S49" s="95">
        <f t="shared" si="6"/>
        <v>5352.7589999999991</v>
      </c>
      <c r="T49" s="129">
        <f t="shared" ref="T48:T54" si="9">IF(OR(I49="NO",I49="",I49&lt;&gt;"SI",S49=""),"",IF(OR(L49&lt;$S$14,L49&gt;$T$14,L49=""),0,ROUND(S49,2)))</f>
        <v>5352.76</v>
      </c>
      <c r="U49" s="403" t="s">
        <v>344</v>
      </c>
      <c r="V49" s="204"/>
      <c r="W49" s="141"/>
      <c r="X49" s="222"/>
      <c r="Y49" s="141"/>
      <c r="Z49" s="224" t="str">
        <f t="shared" si="7"/>
        <v>SI</v>
      </c>
      <c r="AA49" s="297"/>
      <c r="AB49" s="171"/>
      <c r="AC49" s="256"/>
    </row>
    <row r="50" spans="1:29" ht="37" customHeight="1">
      <c r="A50" s="125"/>
      <c r="B50" s="387"/>
      <c r="C50" s="381"/>
      <c r="D50" s="381"/>
      <c r="E50" s="381"/>
      <c r="F50" s="381"/>
      <c r="G50" s="142">
        <v>0.08</v>
      </c>
      <c r="H50" s="142" t="s">
        <v>115</v>
      </c>
      <c r="I50" s="399"/>
      <c r="J50" s="378" t="str">
        <f>+J48</f>
        <v xml:space="preserve">JAIRO LUIS SOCARRAS BONILLA </v>
      </c>
      <c r="K50" s="383"/>
      <c r="L50" s="383"/>
      <c r="M50" s="385"/>
      <c r="N50" s="206">
        <v>33</v>
      </c>
      <c r="O50" s="138" t="s">
        <v>50</v>
      </c>
      <c r="P50" s="128" t="s">
        <v>50</v>
      </c>
      <c r="Q50" s="128" t="s">
        <v>110</v>
      </c>
      <c r="R50" s="95">
        <v>17842.53</v>
      </c>
      <c r="S50" s="95">
        <f t="shared" si="6"/>
        <v>1427.4023999999999</v>
      </c>
      <c r="T50" s="129" t="str">
        <f>IF(OR(I50="NO",I50="",I50&lt;&gt;"SI",S50=""),"",IF(OR(L49&lt;$S$14,L49&gt;$T$14,L49=""),0,ROUND(S50,2)))</f>
        <v/>
      </c>
      <c r="U50" s="403" t="s">
        <v>344</v>
      </c>
      <c r="V50" s="204"/>
      <c r="W50" s="141"/>
      <c r="X50" s="222"/>
      <c r="Y50" s="141"/>
      <c r="Z50" s="224" t="str">
        <f t="shared" si="7"/>
        <v/>
      </c>
      <c r="AA50" s="297"/>
      <c r="AB50" s="171"/>
      <c r="AC50" s="256"/>
    </row>
    <row r="51" spans="1:29" ht="63" customHeight="1">
      <c r="A51" s="125"/>
      <c r="B51" s="386">
        <v>3</v>
      </c>
      <c r="C51" s="380" t="s">
        <v>223</v>
      </c>
      <c r="D51" s="380" t="s">
        <v>339</v>
      </c>
      <c r="E51" s="380" t="s">
        <v>340</v>
      </c>
      <c r="F51" s="380" t="s">
        <v>222</v>
      </c>
      <c r="G51" s="142">
        <v>0.35</v>
      </c>
      <c r="H51" s="142" t="s">
        <v>115</v>
      </c>
      <c r="I51" s="398" t="s">
        <v>50</v>
      </c>
      <c r="J51" s="378" t="str">
        <f>+J49</f>
        <v xml:space="preserve">RSM CIA SAS </v>
      </c>
      <c r="K51" s="382">
        <v>40765</v>
      </c>
      <c r="L51" s="382">
        <v>40977</v>
      </c>
      <c r="M51" s="384">
        <f t="shared" ref="M51" si="10">IF(OR(K51="",L51=""),"",IF(OR(K51&gt;$T$14,K51&lt;$S$14,L51&gt;$T$14,AND(K51&lt;$S$14,L51&lt;$S$14)),"FUERA DE RANGO",IF(K51&gt;=$S$14,ROUND(((L51-K51+1)/360*12),1),ROUND(((L51-$S$14+1)/360*12),1))))</f>
        <v>7.1</v>
      </c>
      <c r="N51" s="206">
        <v>5</v>
      </c>
      <c r="O51" s="138" t="s">
        <v>50</v>
      </c>
      <c r="P51" s="128" t="s">
        <v>50</v>
      </c>
      <c r="Q51" s="128" t="s">
        <v>109</v>
      </c>
      <c r="R51" s="95">
        <v>5145.37</v>
      </c>
      <c r="S51" s="95">
        <f t="shared" si="6"/>
        <v>1800.8794999999998</v>
      </c>
      <c r="T51" s="129">
        <f t="shared" si="9"/>
        <v>1800.88</v>
      </c>
      <c r="U51" s="403" t="s">
        <v>343</v>
      </c>
      <c r="V51" s="204"/>
      <c r="W51" s="141"/>
      <c r="X51" s="222"/>
      <c r="Y51" s="141"/>
      <c r="Z51" s="224" t="str">
        <f t="shared" si="7"/>
        <v>SI</v>
      </c>
      <c r="AA51" s="297"/>
      <c r="AB51" s="171"/>
      <c r="AC51" s="256"/>
    </row>
    <row r="52" spans="1:29" ht="35.5" customHeight="1">
      <c r="A52" s="125" t="str">
        <f>"D"&amp;E43</f>
        <v>D2</v>
      </c>
      <c r="B52" s="387"/>
      <c r="C52" s="381"/>
      <c r="D52" s="381"/>
      <c r="E52" s="381"/>
      <c r="F52" s="381"/>
      <c r="G52" s="142">
        <v>0.3</v>
      </c>
      <c r="H52" s="142" t="s">
        <v>115</v>
      </c>
      <c r="I52" s="399"/>
      <c r="J52" s="378" t="str">
        <f>+J50</f>
        <v xml:space="preserve">JAIRO LUIS SOCARRAS BONILLA </v>
      </c>
      <c r="K52" s="383"/>
      <c r="L52" s="383"/>
      <c r="M52" s="385"/>
      <c r="N52" s="206">
        <v>38</v>
      </c>
      <c r="O52" s="138" t="s">
        <v>50</v>
      </c>
      <c r="P52" s="128" t="s">
        <v>50</v>
      </c>
      <c r="Q52" s="128" t="s">
        <v>109</v>
      </c>
      <c r="R52" s="95">
        <v>5145.38</v>
      </c>
      <c r="S52" s="95">
        <f t="shared" si="6"/>
        <v>1543.614</v>
      </c>
      <c r="T52" s="129" t="str">
        <f>IF(OR(I52="NO",I52="",I52&lt;&gt;"SI",S52=""),"",IF(OR(L51&lt;$S$14,L51&gt;$T$14,L51=""),0,ROUND(S52,2)))</f>
        <v/>
      </c>
      <c r="U52" s="403" t="s">
        <v>346</v>
      </c>
      <c r="V52" s="204"/>
      <c r="W52" s="141"/>
      <c r="X52" s="222"/>
      <c r="Y52" s="141"/>
      <c r="Z52" s="224" t="str">
        <f t="shared" si="7"/>
        <v/>
      </c>
      <c r="AA52" s="297"/>
      <c r="AB52" s="171"/>
      <c r="AC52" s="256"/>
    </row>
    <row r="53" spans="1:29" ht="63" customHeight="1">
      <c r="A53" s="125" t="str">
        <f>"E"&amp;E43</f>
        <v>E2</v>
      </c>
      <c r="B53" s="386">
        <v>4</v>
      </c>
      <c r="C53" s="380" t="s">
        <v>223</v>
      </c>
      <c r="D53" s="380" t="s">
        <v>341</v>
      </c>
      <c r="E53" s="380" t="s">
        <v>342</v>
      </c>
      <c r="F53" s="380" t="s">
        <v>222</v>
      </c>
      <c r="G53" s="142">
        <v>0.5</v>
      </c>
      <c r="H53" s="142" t="s">
        <v>115</v>
      </c>
      <c r="I53" s="398" t="s">
        <v>50</v>
      </c>
      <c r="J53" s="378" t="str">
        <f>+J51</f>
        <v xml:space="preserve">RSM CIA SAS </v>
      </c>
      <c r="K53" s="382">
        <v>41942</v>
      </c>
      <c r="L53" s="382">
        <v>42111</v>
      </c>
      <c r="M53" s="384">
        <f t="shared" ref="M53" si="11">IF(OR(K53="",L53=""),"",IF(OR(K53&gt;$T$14,K53&lt;$S$14,L53&gt;$T$14,AND(K53&lt;$S$14,L53&lt;$S$14)),"FUERA DE RANGO",IF(K53&gt;=$S$14,ROUND(((L53-K53+1)/360*12),1),ROUND(((L53-$S$14+1)/360*12),1))))</f>
        <v>5.7</v>
      </c>
      <c r="N53" s="206">
        <v>27</v>
      </c>
      <c r="O53" s="138" t="s">
        <v>50</v>
      </c>
      <c r="P53" s="128" t="s">
        <v>50</v>
      </c>
      <c r="Q53" s="128" t="s">
        <v>109</v>
      </c>
      <c r="R53" s="95">
        <v>5079.34</v>
      </c>
      <c r="S53" s="95">
        <f t="shared" si="6"/>
        <v>2539.67</v>
      </c>
      <c r="T53" s="129">
        <f t="shared" si="9"/>
        <v>2539.67</v>
      </c>
      <c r="U53" s="403" t="s">
        <v>345</v>
      </c>
      <c r="V53" s="204"/>
      <c r="W53" s="141"/>
      <c r="X53" s="222"/>
      <c r="Y53" s="141"/>
      <c r="Z53" s="224" t="str">
        <f t="shared" si="7"/>
        <v>SI</v>
      </c>
      <c r="AA53" s="297"/>
      <c r="AB53" s="171"/>
      <c r="AC53" s="256"/>
    </row>
    <row r="54" spans="1:29" ht="35.5" customHeight="1" thickBot="1">
      <c r="A54" s="125" t="str">
        <f>"F"&amp;E43</f>
        <v>F2</v>
      </c>
      <c r="B54" s="387"/>
      <c r="C54" s="381"/>
      <c r="D54" s="381"/>
      <c r="E54" s="381"/>
      <c r="F54" s="381"/>
      <c r="G54" s="142">
        <v>0.5</v>
      </c>
      <c r="H54" s="142" t="s">
        <v>115</v>
      </c>
      <c r="I54" s="399"/>
      <c r="J54" s="378" t="str">
        <f>+J52</f>
        <v xml:space="preserve">JAIRO LUIS SOCARRAS BONILLA </v>
      </c>
      <c r="K54" s="383"/>
      <c r="L54" s="383"/>
      <c r="M54" s="385"/>
      <c r="N54" s="206">
        <v>55</v>
      </c>
      <c r="O54" s="138" t="s">
        <v>50</v>
      </c>
      <c r="P54" s="128" t="s">
        <v>50</v>
      </c>
      <c r="Q54" s="128" t="s">
        <v>109</v>
      </c>
      <c r="R54" s="95">
        <v>5079</v>
      </c>
      <c r="S54" s="95">
        <f t="shared" si="6"/>
        <v>2539.5</v>
      </c>
      <c r="T54" s="129" t="str">
        <f>IF(OR(I54="NO",I54="",I54&lt;&gt;"SI",S54=""),"",IF(OR(L53&lt;$S$14,L53&gt;$T$14,L53=""),0,ROUND(S54,2)))</f>
        <v/>
      </c>
      <c r="U54" s="403" t="s">
        <v>347</v>
      </c>
      <c r="V54" s="204"/>
      <c r="W54" s="141"/>
      <c r="X54" s="222"/>
      <c r="Y54" s="141"/>
      <c r="Z54" s="224" t="str">
        <f t="shared" si="7"/>
        <v/>
      </c>
      <c r="AA54" s="363"/>
      <c r="AB54" s="171"/>
      <c r="AC54" s="256"/>
    </row>
    <row r="55" spans="1:29" ht="16" thickBot="1">
      <c r="A55" s="122"/>
      <c r="B55" s="96"/>
      <c r="C55" s="97"/>
      <c r="D55" s="97"/>
      <c r="E55" s="97"/>
      <c r="F55" s="97"/>
      <c r="G55" s="97"/>
      <c r="H55" s="97"/>
      <c r="I55" s="97"/>
      <c r="J55" s="97"/>
      <c r="K55" s="97"/>
      <c r="L55" s="97"/>
      <c r="M55" s="97"/>
      <c r="N55" s="97"/>
      <c r="O55" s="97"/>
      <c r="P55" s="97"/>
      <c r="Q55" s="97"/>
      <c r="R55" s="173"/>
      <c r="S55" s="173"/>
      <c r="T55" s="126"/>
      <c r="U55" s="98"/>
      <c r="V55" s="205"/>
      <c r="W55" s="1"/>
      <c r="X55" s="242"/>
      <c r="Y55" s="1"/>
      <c r="Z55" s="42"/>
      <c r="AA55" s="42"/>
      <c r="AB55" s="42"/>
      <c r="AC55" s="242"/>
    </row>
    <row r="56" spans="1:29" ht="16" thickBot="1">
      <c r="A56" s="123"/>
      <c r="B56" s="99"/>
      <c r="C56" s="94"/>
      <c r="D56" s="94"/>
      <c r="E56" s="94"/>
      <c r="F56" s="94"/>
      <c r="G56" s="94"/>
      <c r="H56" s="94"/>
      <c r="I56" s="94"/>
      <c r="J56" s="94"/>
      <c r="K56" s="94"/>
      <c r="L56" s="94"/>
      <c r="M56" s="94"/>
      <c r="N56" s="94"/>
      <c r="O56" s="94"/>
      <c r="P56" s="94"/>
      <c r="Q56" s="94"/>
      <c r="R56" s="265"/>
      <c r="S56" s="265"/>
      <c r="T56" s="130">
        <f>SUM(T47:T54)</f>
        <v>11798.17</v>
      </c>
      <c r="U56" s="100"/>
      <c r="V56" s="203"/>
      <c r="W56" s="12"/>
      <c r="X56" s="243"/>
      <c r="Y56" s="12"/>
      <c r="Z56" s="243"/>
      <c r="AA56" s="243"/>
      <c r="AB56" s="243"/>
      <c r="AC56" s="243"/>
    </row>
    <row r="57" spans="1:29">
      <c r="B57" s="197"/>
      <c r="C57" s="193"/>
      <c r="D57" s="193"/>
      <c r="E57" s="193"/>
      <c r="F57" s="193"/>
      <c r="G57" s="193"/>
      <c r="H57" s="193"/>
      <c r="I57" s="193"/>
      <c r="J57" s="193"/>
      <c r="K57" s="193"/>
      <c r="L57" s="193"/>
      <c r="M57" s="193"/>
      <c r="N57" s="193"/>
      <c r="O57" s="193"/>
      <c r="P57" s="193"/>
      <c r="Q57" s="193"/>
      <c r="R57" s="194"/>
      <c r="S57" s="194"/>
      <c r="T57" s="195"/>
      <c r="U57" s="196"/>
      <c r="V57" s="195"/>
    </row>
    <row r="58" spans="1:29" ht="16" thickBot="1">
      <c r="A58" s="122"/>
      <c r="B58" s="322" t="s">
        <v>45</v>
      </c>
      <c r="C58" s="323"/>
      <c r="D58" s="323"/>
      <c r="E58" s="323"/>
      <c r="F58" s="323"/>
      <c r="G58" s="324"/>
      <c r="H58" s="324"/>
      <c r="I58" s="324"/>
      <c r="J58" s="324"/>
      <c r="K58" s="324"/>
      <c r="L58" s="324"/>
      <c r="M58" s="324"/>
      <c r="N58" s="324"/>
      <c r="O58" s="324"/>
      <c r="P58" s="324"/>
      <c r="Q58" s="324"/>
      <c r="R58" s="324"/>
      <c r="S58" s="324"/>
      <c r="T58" s="324"/>
      <c r="U58" s="325"/>
      <c r="V58" s="201"/>
      <c r="W58" s="1"/>
      <c r="X58" s="42"/>
      <c r="Y58" s="1"/>
      <c r="Z58" s="42"/>
      <c r="AA58" s="42"/>
      <c r="AB58" s="42"/>
      <c r="AC58" s="42"/>
    </row>
    <row r="59" spans="1:29" ht="16.5" customHeight="1" thickBot="1">
      <c r="A59" s="122" t="str">
        <f>"G"&amp;E43</f>
        <v>G2</v>
      </c>
      <c r="B59" s="291" t="s">
        <v>97</v>
      </c>
      <c r="C59" s="292"/>
      <c r="D59" s="292"/>
      <c r="E59" s="292"/>
      <c r="F59" s="292"/>
      <c r="G59" s="326"/>
      <c r="H59" s="291" t="s">
        <v>100</v>
      </c>
      <c r="I59" s="292"/>
      <c r="J59" s="292"/>
      <c r="K59" s="292"/>
      <c r="L59" s="292"/>
      <c r="M59" s="292"/>
      <c r="N59" s="292"/>
      <c r="O59" s="189" t="s">
        <v>23</v>
      </c>
      <c r="P59" s="190"/>
      <c r="Q59" s="190"/>
      <c r="R59" s="190"/>
      <c r="S59" s="190"/>
      <c r="T59" s="190"/>
      <c r="U59" s="253"/>
      <c r="V59" s="201"/>
      <c r="W59" s="1"/>
      <c r="X59" s="239" t="s">
        <v>117</v>
      </c>
      <c r="Y59" s="1"/>
      <c r="Z59" s="355" t="s">
        <v>119</v>
      </c>
      <c r="AA59" s="345" t="s">
        <v>120</v>
      </c>
      <c r="AB59" s="345" t="s">
        <v>148</v>
      </c>
      <c r="AC59" s="359" t="s">
        <v>149</v>
      </c>
    </row>
    <row r="60" spans="1:29" ht="15.75" customHeight="1" thickBot="1">
      <c r="A60" s="122" t="str">
        <f>"H"&amp;E43</f>
        <v>H2</v>
      </c>
      <c r="B60" s="293" t="s">
        <v>132</v>
      </c>
      <c r="C60" s="294"/>
      <c r="D60" s="294"/>
      <c r="E60" s="294"/>
      <c r="F60" s="294"/>
      <c r="G60" s="327"/>
      <c r="H60" s="293" t="s">
        <v>17</v>
      </c>
      <c r="I60" s="294"/>
      <c r="J60" s="294"/>
      <c r="K60" s="294"/>
      <c r="L60" s="295"/>
      <c r="M60" s="183">
        <f>VLOOKUP(E43,PROPONENTES!$C$14:$E$37,3,0)</f>
        <v>2</v>
      </c>
      <c r="N60" s="296" t="s">
        <v>143</v>
      </c>
      <c r="O60" s="299"/>
      <c r="P60" s="300"/>
      <c r="Q60" s="300"/>
      <c r="R60" s="300"/>
      <c r="S60" s="300"/>
      <c r="T60" s="300"/>
      <c r="U60" s="301"/>
      <c r="V60" s="201"/>
      <c r="W60" s="1"/>
      <c r="X60" s="244" t="str">
        <f>IF(M60="","",IF(M60=1,"INDIVIDUAL","ESTRUCTURA PLURAL"))</f>
        <v>ESTRUCTURA PLURAL</v>
      </c>
      <c r="Y60" s="1"/>
      <c r="Z60" s="356"/>
      <c r="AA60" s="358"/>
      <c r="AB60" s="358"/>
      <c r="AC60" s="360"/>
    </row>
    <row r="61" spans="1:29" ht="15.75" customHeight="1" thickBot="1">
      <c r="A61" s="122" t="str">
        <f>"I"&amp;E43</f>
        <v>I2</v>
      </c>
      <c r="B61" s="328" t="s">
        <v>131</v>
      </c>
      <c r="C61" s="329"/>
      <c r="D61" s="330"/>
      <c r="E61" s="308">
        <f>IF(AND(I47="SI",T47&gt;0),1,0)+IF(AND(I48="SI",T48&gt;0),1,0)+IF(AND(I49="SI",T49&gt;0),1,0)+IF(AND(I51="SI",T52&gt;0),1,0)+IF(AND(I53="SI",T53&gt;0),1,0)+IF(AND(I54="SI",T54&gt;0),1,0)</f>
        <v>4</v>
      </c>
      <c r="F61" s="310" t="s">
        <v>133</v>
      </c>
      <c r="G61" s="312">
        <f>IF(E61=0,"N/A",IF(AND(E61&gt;=1,E61&lt;=2),0.75,IF(AND(E61&gt;=3,E61&lt;=4),1.2,IF(AND(E61&gt;=5,E61&lt;=6),1.5,"REVISAR"))))</f>
        <v>1.2</v>
      </c>
      <c r="H61" s="334" t="s">
        <v>16</v>
      </c>
      <c r="I61" s="335"/>
      <c r="J61" s="314" t="s">
        <v>0</v>
      </c>
      <c r="K61" s="314" t="s">
        <v>140</v>
      </c>
      <c r="L61" s="314" t="s">
        <v>141</v>
      </c>
      <c r="M61" s="320" t="s">
        <v>142</v>
      </c>
      <c r="N61" s="297"/>
      <c r="O61" s="302"/>
      <c r="P61" s="303"/>
      <c r="Q61" s="303"/>
      <c r="R61" s="303"/>
      <c r="S61" s="303"/>
      <c r="T61" s="303"/>
      <c r="U61" s="304"/>
      <c r="V61" s="201"/>
      <c r="W61" s="38"/>
      <c r="X61" s="171"/>
      <c r="Y61" s="38"/>
      <c r="Z61" s="356"/>
      <c r="AA61" s="358"/>
      <c r="AB61" s="358"/>
      <c r="AC61" s="360"/>
    </row>
    <row r="62" spans="1:29" ht="16.5" customHeight="1" thickBot="1">
      <c r="A62" s="122" t="str">
        <f>"J"&amp;E43</f>
        <v>J2</v>
      </c>
      <c r="B62" s="331"/>
      <c r="C62" s="332"/>
      <c r="D62" s="333"/>
      <c r="E62" s="309"/>
      <c r="F62" s="311"/>
      <c r="G62" s="313"/>
      <c r="H62" s="336"/>
      <c r="I62" s="337"/>
      <c r="J62" s="314"/>
      <c r="K62" s="314"/>
      <c r="L62" s="314"/>
      <c r="M62" s="321"/>
      <c r="N62" s="298"/>
      <c r="O62" s="302"/>
      <c r="P62" s="303"/>
      <c r="Q62" s="303"/>
      <c r="R62" s="303"/>
      <c r="S62" s="303"/>
      <c r="T62" s="303"/>
      <c r="U62" s="304"/>
      <c r="V62" s="201"/>
      <c r="W62" s="38"/>
      <c r="X62" s="239" t="s">
        <v>118</v>
      </c>
      <c r="Y62" s="38"/>
      <c r="Z62" s="357"/>
      <c r="AA62" s="346"/>
      <c r="AB62" s="346"/>
      <c r="AC62" s="321"/>
    </row>
    <row r="63" spans="1:29" ht="16" thickBot="1">
      <c r="A63" s="125" t="str">
        <f>"K"&amp;E43</f>
        <v>K2</v>
      </c>
      <c r="B63" s="293" t="s">
        <v>98</v>
      </c>
      <c r="C63" s="294"/>
      <c r="D63" s="294"/>
      <c r="E63" s="294"/>
      <c r="F63" s="294"/>
      <c r="G63" s="294"/>
      <c r="H63" s="186">
        <v>1</v>
      </c>
      <c r="I63" s="92" t="str">
        <f>IF(AND(H63&lt;=M60,M60&gt;1),VLOOKUP(VALUE(E43&amp;","&amp;H63),INTEGRANTES!$B$15:$D$72,2,0),"")</f>
        <v xml:space="preserve">RSM CIA SAS </v>
      </c>
      <c r="J63" s="187">
        <f>IF(I63&lt;&gt;"",VLOOKUP(VALUE(E43&amp;","&amp;H63),INTEGRANTES!$B$15:$D$72,3,0),"")</f>
        <v>0.5</v>
      </c>
      <c r="K63" s="247">
        <f>IF($I63="","",IF(G61="N/A","",ROUND($G61*POSMMLV*PORPOM,2)))</f>
        <v>1115.23</v>
      </c>
      <c r="L63" s="247">
        <f>IF(I63="","",SUMIF($J47:$J54,I63,$T47:$T54))</f>
        <v>11798.17</v>
      </c>
      <c r="M63" s="93" t="str">
        <f t="shared" ref="M63:M68" si="12">IF($I63="","",IF($K63&gt;L63,"NO CUMPLE","CUMPLE"))</f>
        <v>CUMPLE</v>
      </c>
      <c r="N63" s="93" t="str">
        <f t="shared" ref="N63:N68" si="13">IF($I63="","",IF(M63="CUMPLE","CUMPLE","NO CUMPLE"))</f>
        <v>CUMPLE</v>
      </c>
      <c r="O63" s="302"/>
      <c r="P63" s="303"/>
      <c r="Q63" s="303"/>
      <c r="R63" s="303"/>
      <c r="S63" s="303"/>
      <c r="T63" s="303"/>
      <c r="U63" s="304"/>
      <c r="V63" s="201"/>
      <c r="W63" s="1"/>
      <c r="X63" s="244" t="str">
        <f>IF(X60="","",IF(X60="INDIVIDUAL","NO APLICA","VERIFICAR CUADRO"))</f>
        <v>VERIFICAR CUADRO</v>
      </c>
      <c r="Y63" s="1"/>
      <c r="Z63" s="262" t="str">
        <f>IF(AND(H63&lt;=M60,M60&gt;1),VLOOKUP(VALUE(E43&amp;","&amp;H63),INTEGRANTES!$B$15:$D$72,2,0),"")</f>
        <v xml:space="preserve">RSM CIA SAS </v>
      </c>
      <c r="AA63" s="248">
        <f>IF(I63="","",SUMIF(J47:$J54,I63,$T47:$T54))</f>
        <v>11798.17</v>
      </c>
      <c r="AB63" s="232"/>
      <c r="AC63" s="250" t="str">
        <f>IF(OR(Z63="",AB63=""),"",IF(AND(AB63="X",AA63&gt;=X66),"CUMPLE","NO CUMPLE"))</f>
        <v/>
      </c>
    </row>
    <row r="64" spans="1:29" ht="15.75" customHeight="1" thickBot="1">
      <c r="A64" s="125" t="str">
        <f>"L"&amp;E43</f>
        <v>L2</v>
      </c>
      <c r="B64" s="328" t="s">
        <v>134</v>
      </c>
      <c r="C64" s="329"/>
      <c r="D64" s="330"/>
      <c r="E64" s="132" t="s">
        <v>135</v>
      </c>
      <c r="F64" s="132" t="s">
        <v>136</v>
      </c>
      <c r="G64" s="136" t="s">
        <v>99</v>
      </c>
      <c r="H64" s="186">
        <v>2</v>
      </c>
      <c r="I64" s="92" t="str">
        <f>IF(AND(H64&lt;=M60,M60&gt;1),VLOOKUP(VALUE(E43&amp;","&amp;H64),INTEGRANTES!$B$15:$D$72,2,0),"")</f>
        <v xml:space="preserve">JAIRO LUIS SOCARRAS BONILLA </v>
      </c>
      <c r="J64" s="187">
        <f>IF(I64&lt;&gt;"",VLOOKUP(VALUE(E43&amp;","&amp;H64),INTEGRANTES!$B$15:$D$72,3,0),"")</f>
        <v>0.5</v>
      </c>
      <c r="K64" s="247">
        <f>IF($I64="","",IF(G61="N/A","",ROUND($G61*POSMMLV*PORPOM,2)))</f>
        <v>1115.23</v>
      </c>
      <c r="L64" s="247">
        <f>IF(I64="","",SUMIF($J47:$J54,I64,$T47:$T54))</f>
        <v>0</v>
      </c>
      <c r="M64" s="93" t="str">
        <f t="shared" si="12"/>
        <v>NO CUMPLE</v>
      </c>
      <c r="N64" s="93" t="str">
        <f t="shared" si="13"/>
        <v>NO CUMPLE</v>
      </c>
      <c r="O64" s="302"/>
      <c r="P64" s="303"/>
      <c r="Q64" s="303"/>
      <c r="R64" s="303"/>
      <c r="S64" s="303"/>
      <c r="T64" s="303"/>
      <c r="U64" s="304"/>
      <c r="V64" s="201"/>
      <c r="W64" s="1"/>
      <c r="X64" s="42"/>
      <c r="Y64" s="1"/>
      <c r="Z64" s="262" t="str">
        <f>IF(AND(H64&lt;=M60,M60&gt;1),VLOOKUP(VALUE(E43&amp;","&amp;H64),INTEGRANTES!$B$15:$D$72,2,0),"")</f>
        <v xml:space="preserve">JAIRO LUIS SOCARRAS BONILLA </v>
      </c>
      <c r="AA64" s="248">
        <f>IF(I64="","",SUMIF(J47:$J54,I64,$T47:$T54))</f>
        <v>0</v>
      </c>
      <c r="AB64" s="232"/>
      <c r="AC64" s="250" t="str">
        <f>IF(OR(Z64="",AB64=""),"",IF(AND(AB64="X",AA64&gt;=X66),"CUMPLE","NO CUMPLE"))</f>
        <v/>
      </c>
    </row>
    <row r="65" spans="1:29" ht="16" thickBot="1">
      <c r="A65" s="122" t="str">
        <f>"M"&amp;E43</f>
        <v>M2</v>
      </c>
      <c r="B65" s="331"/>
      <c r="C65" s="332"/>
      <c r="D65" s="333"/>
      <c r="E65" s="237">
        <f>IF(ISTEXT(G61),"NO APLICA",G61*POSMMLV)</f>
        <v>2230.457645064218</v>
      </c>
      <c r="F65" s="238">
        <f>IF(E65="","",T56)</f>
        <v>11798.17</v>
      </c>
      <c r="G65" s="221" t="str">
        <f>IF(E65="","",IF(E65="NO APLICA","NO CUMPLE",IF(F65&gt;=E65,"CUMPLE", "NO CUMPLE")))</f>
        <v>CUMPLE</v>
      </c>
      <c r="H65" s="186">
        <v>3</v>
      </c>
      <c r="I65" s="92" t="str">
        <f>IF(AND(H65&lt;=M60,M60&gt;1),VLOOKUP(VALUE(E43&amp;","&amp;H65),INTEGRANTES!$B$15:$D$72,2,0),"")</f>
        <v/>
      </c>
      <c r="J65" s="187" t="str">
        <f>IF(I65&lt;&gt;"",VLOOKUP(VALUE(E43&amp;","&amp;H65),INTEGRANTES!$B$15:$D$72,3,0),"")</f>
        <v/>
      </c>
      <c r="K65" s="247" t="str">
        <f>IF($I65="","",IF(G61="N/A","",ROUND($G61*POSMMLV*PORPOM,2)))</f>
        <v/>
      </c>
      <c r="L65" s="247" t="str">
        <f>IF(I65="","",SUMIF($J47:$J54,I65,$T47:$T54))</f>
        <v/>
      </c>
      <c r="M65" s="93" t="str">
        <f t="shared" si="12"/>
        <v/>
      </c>
      <c r="N65" s="93" t="str">
        <f t="shared" si="13"/>
        <v/>
      </c>
      <c r="O65" s="302"/>
      <c r="P65" s="303"/>
      <c r="Q65" s="303"/>
      <c r="R65" s="303"/>
      <c r="S65" s="303"/>
      <c r="T65" s="303"/>
      <c r="U65" s="304"/>
      <c r="V65" s="201"/>
      <c r="W65" s="1"/>
      <c r="X65" s="239" t="s">
        <v>145</v>
      </c>
      <c r="Y65" s="1"/>
      <c r="Z65" s="262" t="str">
        <f>IF(AND(H65&lt;=M60,M60&gt;1),VLOOKUP(VALUE(E43&amp;","&amp;H65),INTEGRANTES!$B$15:$D$72,2,0),"")</f>
        <v/>
      </c>
      <c r="AA65" s="248" t="str">
        <f>IF(I65="","",SUMIF(J47:$J54,I65,$T47:$T54))</f>
        <v/>
      </c>
      <c r="AB65" s="232"/>
      <c r="AC65" s="250" t="str">
        <f>IF(OR(Z65="",AB65=""),"",IF(AND(AB65="X",AA65&gt;=X66),"CUMPLE","NO CUMPLE"))</f>
        <v/>
      </c>
    </row>
    <row r="66" spans="1:29" ht="15.75" customHeight="1" thickBot="1">
      <c r="A66" s="122" t="str">
        <f>"N"&amp;E43</f>
        <v>N2</v>
      </c>
      <c r="B66" s="293" t="s">
        <v>107</v>
      </c>
      <c r="C66" s="294"/>
      <c r="D66" s="294"/>
      <c r="E66" s="294"/>
      <c r="F66" s="294"/>
      <c r="G66" s="294"/>
      <c r="H66" s="186">
        <v>4</v>
      </c>
      <c r="I66" s="92" t="str">
        <f>IF(AND(H66&lt;=M60,M60&gt;1),VLOOKUP(VALUE(E43&amp;","&amp;H66),INTEGRANTES!$B$15:$D$72,2,0),"")</f>
        <v/>
      </c>
      <c r="J66" s="187" t="str">
        <f>IF(I66&lt;&gt;"",VLOOKUP(VALUE(E43&amp;","&amp;H66),INTEGRANTES!$B$15:$D$72,3,0),"")</f>
        <v/>
      </c>
      <c r="K66" s="247" t="str">
        <f>IF($I66="","",IF(G61="N/A","",ROUND($G61*POSMMLV*PORPOM,2)))</f>
        <v/>
      </c>
      <c r="L66" s="247" t="str">
        <f>IF(I66="","",SUMIF($J47:$J54,I66,$T47:$T54))</f>
        <v/>
      </c>
      <c r="M66" s="93" t="str">
        <f t="shared" si="12"/>
        <v/>
      </c>
      <c r="N66" s="93" t="str">
        <f t="shared" si="13"/>
        <v/>
      </c>
      <c r="O66" s="302"/>
      <c r="P66" s="303"/>
      <c r="Q66" s="303"/>
      <c r="R66" s="303"/>
      <c r="S66" s="303"/>
      <c r="T66" s="303"/>
      <c r="U66" s="304"/>
      <c r="V66" s="201"/>
      <c r="W66" s="1"/>
      <c r="X66" s="251">
        <f>IF(G61="N/A","N/A",0.4*G61*POSMMLV)</f>
        <v>892.18305802568716</v>
      </c>
      <c r="Y66" s="1"/>
      <c r="Z66" s="262" t="str">
        <f>IF(AND(H66&lt;=M60,M60&gt;1),VLOOKUP(VALUE(E43&amp;","&amp;H66),INTEGRANTES!$B$15:$D$72,2,0),"")</f>
        <v/>
      </c>
      <c r="AA66" s="248" t="str">
        <f>IF(I66="","",SUMIF(J47:$J54,I66,$T47:$T54))</f>
        <v/>
      </c>
      <c r="AB66" s="232"/>
      <c r="AC66" s="250" t="str">
        <f>IF(OR(Z66="",AB66=""),"",IF(AND(AB66="X",AA66&gt;=X66),"CUMPLE","NO CUMPLE"))</f>
        <v/>
      </c>
    </row>
    <row r="67" spans="1:29" ht="33.75" customHeight="1" thickBot="1">
      <c r="A67" s="122" t="str">
        <f>"O"&amp;E43</f>
        <v>O2</v>
      </c>
      <c r="B67" s="328" t="s">
        <v>108</v>
      </c>
      <c r="C67" s="329"/>
      <c r="D67" s="329"/>
      <c r="E67" s="329"/>
      <c r="F67" s="329"/>
      <c r="G67" s="185" t="s">
        <v>99</v>
      </c>
      <c r="H67" s="186">
        <v>5</v>
      </c>
      <c r="I67" s="92" t="str">
        <f>IF(AND(H67&lt;=M60,M60&gt;1),VLOOKUP(VALUE(E43&amp;","&amp;H67),INTEGRANTES!$B$15:$D$72,2,0),"")</f>
        <v/>
      </c>
      <c r="J67" s="187" t="str">
        <f>IF(I67&lt;&gt;"",VLOOKUP(VALUE(E43&amp;","&amp;H67),INTEGRANTES!$B$15:$D$72,3,0),"")</f>
        <v/>
      </c>
      <c r="K67" s="247" t="str">
        <f>IF($I67="","",IF(G61="N/A","",ROUND($G61*POSMMLV*PORPOM,2)))</f>
        <v/>
      </c>
      <c r="L67" s="247" t="str">
        <f>IF(I67="","",SUMIF($J47:$J54,I67,$T47:$T54))</f>
        <v/>
      </c>
      <c r="M67" s="93" t="str">
        <f t="shared" si="12"/>
        <v/>
      </c>
      <c r="N67" s="93" t="str">
        <f t="shared" si="13"/>
        <v/>
      </c>
      <c r="O67" s="302"/>
      <c r="P67" s="303"/>
      <c r="Q67" s="303"/>
      <c r="R67" s="303"/>
      <c r="S67" s="303"/>
      <c r="T67" s="303"/>
      <c r="U67" s="304"/>
      <c r="V67" s="201"/>
      <c r="W67" s="1"/>
      <c r="X67" s="42"/>
      <c r="Y67" s="1"/>
      <c r="Z67" s="262" t="str">
        <f>IF(AND(H67&lt;=M60,M60&gt;1),VLOOKUP(VALUE(E43&amp;","&amp;H67),INTEGRANTES!$B$15:$D$72,2,0),"")</f>
        <v/>
      </c>
      <c r="AA67" s="248" t="str">
        <f>IF(I67="","",SUMIF(J47:$J54,I67,$T47:$T54))</f>
        <v/>
      </c>
      <c r="AB67" s="232"/>
      <c r="AC67" s="250" t="str">
        <f>IF(OR(Z67="",AB67=""),"",IF(AND(AB67="X",AA67&gt;=X66),"CUMPLE","NO CUMPLE"))</f>
        <v/>
      </c>
    </row>
    <row r="68" spans="1:29" ht="16" thickBot="1">
      <c r="A68" s="122" t="str">
        <f>"P"&amp;E43</f>
        <v>P2</v>
      </c>
      <c r="B68" s="353"/>
      <c r="C68" s="354"/>
      <c r="D68" s="354"/>
      <c r="E68" s="354"/>
      <c r="F68" s="354"/>
      <c r="G68" s="137" t="str">
        <f>IF(AND(COUNTIF(X47:X54,"")&gt;5,COUNTIF(Z47:Z54,"")&gt;5),"NO CUMPLE",IF(AND(COUNTIF(X47:X54,"SI")&gt;=$AF$17,COUNTIF(Z47:Z54,"SI")&gt;=$AF$17),"CUMPLE", "NO CUMPLE"))</f>
        <v>CUMPLE</v>
      </c>
      <c r="H68" s="257">
        <v>6</v>
      </c>
      <c r="I68" s="258" t="str">
        <f>IF(AND(H68&lt;=M60,M60&gt;1),VLOOKUP(VALUE(E43&amp;","&amp;H68),INTEGRANTES!$B$15:$D$72,2,0),"")</f>
        <v/>
      </c>
      <c r="J68" s="259" t="str">
        <f>IF(I68&lt;&gt;"",VLOOKUP(VALUE(E43&amp;","&amp;H68),INTEGRANTES!$B$15:$D$72,3,0),"")</f>
        <v/>
      </c>
      <c r="K68" s="260" t="str">
        <f>IF($I68="","",IF(G61="N/A","",ROUND($G61*POSMMLV*PORPOM,2)))</f>
        <v/>
      </c>
      <c r="L68" s="260" t="str">
        <f>IF(I68="","",SUMIF($J47:$J54,I68,$T47:$T54))</f>
        <v/>
      </c>
      <c r="M68" s="261" t="str">
        <f t="shared" si="12"/>
        <v/>
      </c>
      <c r="N68" s="93" t="str">
        <f t="shared" si="13"/>
        <v/>
      </c>
      <c r="O68" s="302"/>
      <c r="P68" s="303"/>
      <c r="Q68" s="303"/>
      <c r="R68" s="303"/>
      <c r="S68" s="303"/>
      <c r="T68" s="303"/>
      <c r="U68" s="304"/>
      <c r="V68" s="201"/>
      <c r="W68" s="1"/>
      <c r="X68" s="239" t="s">
        <v>122</v>
      </c>
      <c r="Y68" s="1"/>
      <c r="Z68" s="263" t="str">
        <f>IF(AND(H68&lt;=M60,M60&gt;1),VLOOKUP(VALUE(E43&amp;","&amp;H68),INTEGRANTES!$B$15:$D$72,2,0),"")</f>
        <v/>
      </c>
      <c r="AA68" s="249" t="str">
        <f>IF(I68="","",SUMIF(J47:$J54,I68,$T47:$T54))</f>
        <v/>
      </c>
      <c r="AB68" s="246"/>
      <c r="AC68" s="137" t="str">
        <f>IF(OR(Z68="",AB68=""),"",IF(AND(AB68="X",AA68&gt;=X66),"CUMPLE","NO CUMPLE"))</f>
        <v/>
      </c>
    </row>
    <row r="69" spans="1:29" ht="38.25" customHeight="1" thickBot="1">
      <c r="A69" s="122" t="str">
        <f>"Q"&amp;E43</f>
        <v>Q2</v>
      </c>
      <c r="B69" s="338"/>
      <c r="C69" s="339"/>
      <c r="D69" s="339"/>
      <c r="E69" s="339"/>
      <c r="F69" s="339"/>
      <c r="G69" s="340"/>
      <c r="H69" s="318" t="s">
        <v>138</v>
      </c>
      <c r="I69" s="341"/>
      <c r="J69" s="342"/>
      <c r="K69" s="318" t="s">
        <v>139</v>
      </c>
      <c r="L69" s="319"/>
      <c r="M69" s="188" t="str">
        <f>IF(OR($M60="",SUM(J63:J68)=0),"",IF(COUNTIF(M63:M68,"CUMPLE")&gt;=1,"CUMPLE","NO CUMPLE"))</f>
        <v>CUMPLE</v>
      </c>
      <c r="N69" s="188" t="str">
        <f>IF(OR($M60="",SUM(J63:J68)=0),"",IF(COUNTIF(N63:N68,"CUMPLE")&gt;=1,"CUMPLE","NO CUMPLE"))</f>
        <v>CUMPLE</v>
      </c>
      <c r="O69" s="305"/>
      <c r="P69" s="306"/>
      <c r="Q69" s="306"/>
      <c r="R69" s="306"/>
      <c r="S69" s="306"/>
      <c r="T69" s="306"/>
      <c r="U69" s="307"/>
      <c r="V69" s="201"/>
      <c r="W69" s="1"/>
      <c r="X69" s="254" t="str">
        <f>IF(X63="NO APLICA","NO APLICA",IF(COUNTIF(AC63:AC68,"CUMPLE")&gt;0,"CUMPLE","NO CUMPLE"))</f>
        <v>NO CUMPLE</v>
      </c>
      <c r="Y69" s="1"/>
      <c r="Z69" s="42"/>
      <c r="AA69" s="42"/>
      <c r="AB69" s="42"/>
      <c r="AC69" s="42"/>
    </row>
    <row r="70" spans="1:29">
      <c r="A70"/>
    </row>
    <row r="71" spans="1:29">
      <c r="A71"/>
    </row>
    <row r="72" spans="1:29" ht="23.5" thickBot="1">
      <c r="A72" s="167">
        <v>3</v>
      </c>
      <c r="B72" s="349" t="s">
        <v>1</v>
      </c>
      <c r="C72" s="349"/>
      <c r="D72" s="349"/>
      <c r="E72" s="105">
        <f>VLOOKUP(A72,PROPONENTES!$B$14:$D$37,2,FALSE)</f>
        <v>3</v>
      </c>
      <c r="F72" s="106" t="str">
        <f>VLOOKUP(E72,PROPONENTES!$C$14:$D$37,2,FALSE)</f>
        <v>CONSORCIO 65 RUTA VIAL</v>
      </c>
      <c r="G72" s="107"/>
      <c r="H72" s="107"/>
      <c r="I72" s="107"/>
      <c r="J72" s="106"/>
      <c r="K72" s="106"/>
      <c r="L72" s="105"/>
      <c r="M72" s="107"/>
      <c r="N72" s="107"/>
      <c r="O72" s="107"/>
      <c r="P72" s="107"/>
      <c r="Q72" s="107"/>
      <c r="R72" s="107"/>
      <c r="S72" s="107"/>
      <c r="T72" s="108"/>
      <c r="U72" s="109"/>
      <c r="V72" s="109"/>
      <c r="W72" s="11"/>
      <c r="X72" s="240"/>
      <c r="Y72" s="11"/>
      <c r="Z72" s="240"/>
      <c r="AA72" s="240"/>
      <c r="AB72" s="240"/>
      <c r="AC72" s="240"/>
    </row>
    <row r="73" spans="1:29" ht="48" customHeight="1">
      <c r="A73" s="131"/>
      <c r="B73" s="350" t="s">
        <v>88</v>
      </c>
      <c r="C73" s="345" t="s">
        <v>48</v>
      </c>
      <c r="D73" s="352" t="s">
        <v>130</v>
      </c>
      <c r="E73" s="295"/>
      <c r="F73" s="352" t="s">
        <v>93</v>
      </c>
      <c r="G73" s="295"/>
      <c r="H73" s="315" t="s">
        <v>89</v>
      </c>
      <c r="I73" s="315" t="s">
        <v>103</v>
      </c>
      <c r="J73" s="315" t="s">
        <v>2</v>
      </c>
      <c r="K73" s="315" t="s">
        <v>27</v>
      </c>
      <c r="L73" s="315" t="s">
        <v>28</v>
      </c>
      <c r="M73" s="316" t="s">
        <v>29</v>
      </c>
      <c r="N73" s="315" t="s">
        <v>104</v>
      </c>
      <c r="O73" s="343" t="s">
        <v>78</v>
      </c>
      <c r="P73" s="344"/>
      <c r="Q73" s="345" t="s">
        <v>144</v>
      </c>
      <c r="R73" s="345" t="s">
        <v>101</v>
      </c>
      <c r="S73" s="294" t="s">
        <v>3</v>
      </c>
      <c r="T73" s="295"/>
      <c r="U73" s="347" t="s">
        <v>18</v>
      </c>
      <c r="V73" s="366" t="s">
        <v>102</v>
      </c>
      <c r="W73" s="133"/>
      <c r="X73" s="361" t="s">
        <v>146</v>
      </c>
      <c r="Y73" s="133"/>
      <c r="Z73" s="133"/>
      <c r="AA73" s="133"/>
      <c r="AB73" s="245"/>
      <c r="AC73" s="361" t="s">
        <v>123</v>
      </c>
    </row>
    <row r="74" spans="1:29" ht="98.25" customHeight="1">
      <c r="A74" s="131"/>
      <c r="B74" s="351"/>
      <c r="C74" s="346"/>
      <c r="D74" s="134" t="s">
        <v>10</v>
      </c>
      <c r="E74" s="134" t="s">
        <v>4</v>
      </c>
      <c r="F74" s="134" t="s">
        <v>15</v>
      </c>
      <c r="G74" s="135" t="s">
        <v>90</v>
      </c>
      <c r="H74" s="314"/>
      <c r="I74" s="314"/>
      <c r="J74" s="314"/>
      <c r="K74" s="314"/>
      <c r="L74" s="314"/>
      <c r="M74" s="317"/>
      <c r="N74" s="314"/>
      <c r="O74" s="264" t="s">
        <v>76</v>
      </c>
      <c r="P74" s="264" t="str">
        <f>+P18</f>
        <v>¿EL CONTRATO SE ENCUENTRA CLASIFICADO EN ALGUNA DE LAS CLASIFICACIONES ESTABLECIDAS EN EL PLIEGO? (SI/NO) (721033 - 721410 - 721411 - 721416)</v>
      </c>
      <c r="Q74" s="346"/>
      <c r="R74" s="346"/>
      <c r="S74" s="264" t="s">
        <v>81</v>
      </c>
      <c r="T74" s="264" t="s">
        <v>77</v>
      </c>
      <c r="U74" s="348"/>
      <c r="V74" s="336"/>
      <c r="W74" s="133"/>
      <c r="X74" s="362"/>
      <c r="Y74" s="133"/>
      <c r="Z74" s="245"/>
      <c r="AA74" s="245"/>
      <c r="AB74" s="245"/>
      <c r="AC74" s="362"/>
    </row>
    <row r="75" spans="1:29" ht="16" thickBot="1">
      <c r="A75" s="122"/>
      <c r="B75" s="96"/>
      <c r="C75" s="97"/>
      <c r="D75" s="97"/>
      <c r="E75" s="97"/>
      <c r="F75" s="97"/>
      <c r="G75" s="97"/>
      <c r="H75" s="97"/>
      <c r="I75" s="97"/>
      <c r="J75" s="97"/>
      <c r="K75" s="97"/>
      <c r="L75" s="97"/>
      <c r="M75" s="97"/>
      <c r="N75" s="97"/>
      <c r="O75" s="97"/>
      <c r="P75" s="97"/>
      <c r="Q75" s="97"/>
      <c r="R75" s="173"/>
      <c r="S75" s="173"/>
      <c r="T75" s="97"/>
      <c r="U75" s="191"/>
      <c r="V75" s="202"/>
      <c r="W75" s="1"/>
      <c r="X75" s="241"/>
      <c r="Y75" s="1"/>
      <c r="Z75" s="42"/>
      <c r="AA75" s="42"/>
      <c r="AB75" s="42"/>
      <c r="AC75" s="241"/>
    </row>
    <row r="76" spans="1:29" ht="52" customHeight="1">
      <c r="A76" s="125" t="str">
        <f>"A"&amp;E72</f>
        <v>A3</v>
      </c>
      <c r="B76" s="140">
        <v>1</v>
      </c>
      <c r="C76" s="139" t="s">
        <v>211</v>
      </c>
      <c r="D76" s="139" t="s">
        <v>212</v>
      </c>
      <c r="E76" s="139" t="s">
        <v>213</v>
      </c>
      <c r="F76" s="139" t="s">
        <v>222</v>
      </c>
      <c r="G76" s="142">
        <v>0.5</v>
      </c>
      <c r="H76" s="142" t="s">
        <v>115</v>
      </c>
      <c r="I76" s="138" t="s">
        <v>50</v>
      </c>
      <c r="J76" s="378" t="str">
        <f>+I90</f>
        <v>PROYECTOS DE INGENIERÍA Y CONSTRUCCIONES AR SAS</v>
      </c>
      <c r="K76" s="127">
        <v>39122</v>
      </c>
      <c r="L76" s="127">
        <v>39555</v>
      </c>
      <c r="M76" s="128">
        <f>IF(OR(K76="",L76=""),"",IF(OR(K76&gt;$T$14,K76&lt;$S$14,L76&gt;$T$14,AND(K76&lt;$S$14,L76&lt;$S$14)),"FUERA DE RANGO",IF(K76&gt;=$S$14,ROUND(((L76-K76+1)/360*12),1),ROUND(((L76-$S$14+1)/360*12),1))))</f>
        <v>14.5</v>
      </c>
      <c r="N76" s="206">
        <v>21</v>
      </c>
      <c r="O76" s="138" t="s">
        <v>50</v>
      </c>
      <c r="P76" s="128" t="s">
        <v>50</v>
      </c>
      <c r="Q76" s="128" t="s">
        <v>111</v>
      </c>
      <c r="R76" s="95">
        <v>3859.96</v>
      </c>
      <c r="S76" s="95">
        <f t="shared" ref="S76:S81" si="14">IF(OR(G76="",R76=""),"",R76*G76)</f>
        <v>1929.98</v>
      </c>
      <c r="T76" s="129">
        <f>IF(OR(I76="NO",I76="",I76&lt;&gt;"SI",S76=""),"",IF(OR(L76&lt;$S$14,L76&gt;$T$14,L76=""),0,ROUND(S76,2)))</f>
        <v>1929.98</v>
      </c>
      <c r="U76" s="192" t="s">
        <v>348</v>
      </c>
      <c r="V76" s="204"/>
      <c r="W76" s="141"/>
      <c r="X76" s="222" t="s">
        <v>50</v>
      </c>
      <c r="Y76" s="141"/>
      <c r="Z76" s="223" t="str">
        <f t="shared" ref="Z76:Z81" si="15">IF(T76="","",IF(T76&gt;=PORCREQCTO*POSMMLV,"SI","NO"))</f>
        <v>SI</v>
      </c>
      <c r="AA76" s="296" t="str">
        <f>"VERIFICACIÓN CUMPLIMIENTO "&amp;PORCREQCTO*100&amp;"% DEL PO"</f>
        <v>VERIFICACIÓN CUMPLIMIENTO 50% DEL PO</v>
      </c>
      <c r="AB76" s="171"/>
      <c r="AC76" s="256"/>
    </row>
    <row r="77" spans="1:29" ht="52.5">
      <c r="A77" s="125" t="str">
        <f>"B"&amp;E72</f>
        <v>B3</v>
      </c>
      <c r="B77" s="140">
        <v>2</v>
      </c>
      <c r="C77" s="139" t="s">
        <v>211</v>
      </c>
      <c r="D77" s="139" t="s">
        <v>214</v>
      </c>
      <c r="E77" s="139" t="s">
        <v>215</v>
      </c>
      <c r="F77" s="139" t="s">
        <v>222</v>
      </c>
      <c r="G77" s="142">
        <v>0.5</v>
      </c>
      <c r="H77" s="142" t="s">
        <v>115</v>
      </c>
      <c r="I77" s="138" t="s">
        <v>50</v>
      </c>
      <c r="J77" s="378" t="str">
        <f>+J76</f>
        <v>PROYECTOS DE INGENIERÍA Y CONSTRUCCIONES AR SAS</v>
      </c>
      <c r="K77" s="127">
        <v>39122</v>
      </c>
      <c r="L77" s="127">
        <v>39555</v>
      </c>
      <c r="M77" s="128">
        <f t="shared" ref="M77:M81" si="16">IF(OR(K77="",L77=""),"",IF(OR(K77&gt;$T$14,K77&lt;$S$14,L77&gt;$T$14,AND(K77&lt;$S$14,L77&lt;$S$14)),"FUERA DE RANGO",IF(K77&gt;=$S$14,ROUND(((L77-K77+1)/360*12),1),ROUND(((L77-$S$14+1)/360*12),1))))</f>
        <v>14.5</v>
      </c>
      <c r="N77" s="206">
        <v>22</v>
      </c>
      <c r="O77" s="138" t="s">
        <v>50</v>
      </c>
      <c r="P77" s="128" t="s">
        <v>50</v>
      </c>
      <c r="Q77" s="128" t="s">
        <v>111</v>
      </c>
      <c r="R77" s="95">
        <v>3534.48</v>
      </c>
      <c r="S77" s="95">
        <f t="shared" si="14"/>
        <v>1767.24</v>
      </c>
      <c r="T77" s="129">
        <f t="shared" ref="T77:T81" si="17">IF(OR(I77="NO",I77="",I77&lt;&gt;"SI",S77=""),"",IF(OR(L77&lt;$S$14,L77&gt;$T$14,L77=""),0,ROUND(S77,2)))</f>
        <v>1767.24</v>
      </c>
      <c r="U77" s="192" t="s">
        <v>348</v>
      </c>
      <c r="V77" s="204"/>
      <c r="W77" s="141"/>
      <c r="X77" s="222"/>
      <c r="Y77" s="141"/>
      <c r="Z77" s="224" t="str">
        <f t="shared" si="15"/>
        <v>SI</v>
      </c>
      <c r="AA77" s="297"/>
      <c r="AB77" s="171"/>
      <c r="AC77" s="256"/>
    </row>
    <row r="78" spans="1:29" ht="42">
      <c r="A78" s="125" t="str">
        <f>"C"&amp;E72</f>
        <v>C3</v>
      </c>
      <c r="B78" s="140">
        <v>3</v>
      </c>
      <c r="C78" s="139" t="s">
        <v>211</v>
      </c>
      <c r="D78" s="139" t="s">
        <v>216</v>
      </c>
      <c r="E78" s="139" t="s">
        <v>217</v>
      </c>
      <c r="F78" s="139" t="s">
        <v>222</v>
      </c>
      <c r="G78" s="142">
        <v>0.5</v>
      </c>
      <c r="H78" s="142" t="s">
        <v>115</v>
      </c>
      <c r="I78" s="138" t="s">
        <v>50</v>
      </c>
      <c r="J78" s="378" t="str">
        <f>+J77</f>
        <v>PROYECTOS DE INGENIERÍA Y CONSTRUCCIONES AR SAS</v>
      </c>
      <c r="K78" s="127">
        <v>39122</v>
      </c>
      <c r="L78" s="127">
        <v>39555</v>
      </c>
      <c r="M78" s="128">
        <f t="shared" si="16"/>
        <v>14.5</v>
      </c>
      <c r="N78" s="206">
        <v>23</v>
      </c>
      <c r="O78" s="138" t="s">
        <v>50</v>
      </c>
      <c r="P78" s="128" t="s">
        <v>50</v>
      </c>
      <c r="Q78" s="128" t="s">
        <v>111</v>
      </c>
      <c r="R78" s="95">
        <v>3875.97</v>
      </c>
      <c r="S78" s="95">
        <f t="shared" si="14"/>
        <v>1937.9849999999999</v>
      </c>
      <c r="T78" s="129">
        <f t="shared" si="17"/>
        <v>1937.99</v>
      </c>
      <c r="U78" s="192" t="s">
        <v>348</v>
      </c>
      <c r="V78" s="204"/>
      <c r="W78" s="141"/>
      <c r="X78" s="222"/>
      <c r="Y78" s="141"/>
      <c r="Z78" s="224" t="str">
        <f t="shared" si="15"/>
        <v>SI</v>
      </c>
      <c r="AA78" s="297"/>
      <c r="AB78" s="171"/>
      <c r="AC78" s="256"/>
    </row>
    <row r="79" spans="1:29" ht="42">
      <c r="A79" s="125" t="str">
        <f>"D"&amp;E72</f>
        <v>D3</v>
      </c>
      <c r="B79" s="140">
        <v>4</v>
      </c>
      <c r="C79" s="139" t="s">
        <v>218</v>
      </c>
      <c r="D79" s="139" t="s">
        <v>219</v>
      </c>
      <c r="E79" s="139" t="s">
        <v>220</v>
      </c>
      <c r="F79" s="139" t="s">
        <v>222</v>
      </c>
      <c r="G79" s="142">
        <v>0.5</v>
      </c>
      <c r="H79" s="142" t="s">
        <v>115</v>
      </c>
      <c r="I79" s="138" t="s">
        <v>50</v>
      </c>
      <c r="J79" s="378" t="str">
        <f>+J78</f>
        <v>PROYECTOS DE INGENIERÍA Y CONSTRUCCIONES AR SAS</v>
      </c>
      <c r="K79" s="127">
        <v>42697</v>
      </c>
      <c r="L79" s="127">
        <v>43021</v>
      </c>
      <c r="M79" s="128">
        <f t="shared" si="16"/>
        <v>10.8</v>
      </c>
      <c r="N79" s="206">
        <v>47</v>
      </c>
      <c r="O79" s="138" t="s">
        <v>50</v>
      </c>
      <c r="P79" s="128" t="s">
        <v>50</v>
      </c>
      <c r="Q79" s="128" t="s">
        <v>111</v>
      </c>
      <c r="R79" s="95">
        <v>2455.9699999999998</v>
      </c>
      <c r="S79" s="95">
        <f t="shared" si="14"/>
        <v>1227.9849999999999</v>
      </c>
      <c r="T79" s="129">
        <f t="shared" si="17"/>
        <v>1227.99</v>
      </c>
      <c r="U79" s="192" t="s">
        <v>349</v>
      </c>
      <c r="V79" s="204"/>
      <c r="W79" s="141"/>
      <c r="X79" s="222"/>
      <c r="Y79" s="141"/>
      <c r="Z79" s="224" t="str">
        <f t="shared" si="15"/>
        <v>SI</v>
      </c>
      <c r="AA79" s="297"/>
      <c r="AB79" s="171"/>
      <c r="AC79" s="256"/>
    </row>
    <row r="80" spans="1:29">
      <c r="A80" s="125" t="str">
        <f>"E"&amp;E72</f>
        <v>E3</v>
      </c>
      <c r="B80" s="140"/>
      <c r="C80" s="139"/>
      <c r="D80" s="139"/>
      <c r="E80" s="139"/>
      <c r="F80" s="139"/>
      <c r="G80" s="142"/>
      <c r="H80" s="142"/>
      <c r="I80" s="138"/>
      <c r="J80" s="138"/>
      <c r="K80" s="127"/>
      <c r="L80" s="127"/>
      <c r="M80" s="128" t="str">
        <f t="shared" si="16"/>
        <v/>
      </c>
      <c r="N80" s="206"/>
      <c r="O80" s="138"/>
      <c r="P80" s="128"/>
      <c r="Q80" s="128"/>
      <c r="R80" s="95"/>
      <c r="S80" s="95" t="str">
        <f t="shared" si="14"/>
        <v/>
      </c>
      <c r="T80" s="129" t="str">
        <f t="shared" si="17"/>
        <v/>
      </c>
      <c r="U80" s="192"/>
      <c r="V80" s="204"/>
      <c r="W80" s="141"/>
      <c r="X80" s="222"/>
      <c r="Y80" s="141"/>
      <c r="Z80" s="224" t="str">
        <f t="shared" si="15"/>
        <v/>
      </c>
      <c r="AA80" s="297"/>
      <c r="AB80" s="171"/>
      <c r="AC80" s="256"/>
    </row>
    <row r="81" spans="1:29" ht="16" thickBot="1">
      <c r="A81" s="125" t="str">
        <f>"F"&amp;E72</f>
        <v>F3</v>
      </c>
      <c r="B81" s="140"/>
      <c r="C81" s="139"/>
      <c r="D81" s="139"/>
      <c r="E81" s="139"/>
      <c r="F81" s="139"/>
      <c r="G81" s="142"/>
      <c r="H81" s="142"/>
      <c r="I81" s="138"/>
      <c r="J81" s="138"/>
      <c r="K81" s="127"/>
      <c r="L81" s="127"/>
      <c r="M81" s="128" t="str">
        <f t="shared" si="16"/>
        <v/>
      </c>
      <c r="N81" s="206"/>
      <c r="O81" s="138"/>
      <c r="P81" s="128"/>
      <c r="Q81" s="128"/>
      <c r="R81" s="95"/>
      <c r="S81" s="95" t="str">
        <f t="shared" si="14"/>
        <v/>
      </c>
      <c r="T81" s="129" t="str">
        <f t="shared" si="17"/>
        <v/>
      </c>
      <c r="U81" s="192"/>
      <c r="V81" s="204"/>
      <c r="W81" s="141"/>
      <c r="X81" s="222"/>
      <c r="Y81" s="141"/>
      <c r="Z81" s="225" t="str">
        <f t="shared" si="15"/>
        <v/>
      </c>
      <c r="AA81" s="363"/>
      <c r="AB81" s="171"/>
      <c r="AC81" s="256"/>
    </row>
    <row r="82" spans="1:29" ht="16" thickBot="1">
      <c r="A82" s="122"/>
      <c r="B82" s="96"/>
      <c r="C82" s="97"/>
      <c r="D82" s="97"/>
      <c r="E82" s="97"/>
      <c r="F82" s="97"/>
      <c r="G82" s="97"/>
      <c r="H82" s="97"/>
      <c r="I82" s="97"/>
      <c r="J82" s="97"/>
      <c r="K82" s="97"/>
      <c r="L82" s="97"/>
      <c r="M82" s="97"/>
      <c r="N82" s="97"/>
      <c r="O82" s="97"/>
      <c r="P82" s="97"/>
      <c r="Q82" s="97"/>
      <c r="R82" s="173"/>
      <c r="S82" s="173"/>
      <c r="T82" s="126"/>
      <c r="U82" s="98"/>
      <c r="V82" s="205"/>
      <c r="W82" s="1"/>
      <c r="X82" s="242"/>
      <c r="Y82" s="1"/>
      <c r="Z82" s="42"/>
      <c r="AA82" s="42"/>
      <c r="AB82" s="42"/>
      <c r="AC82" s="242"/>
    </row>
    <row r="83" spans="1:29" ht="16" thickBot="1">
      <c r="A83" s="123"/>
      <c r="B83" s="99"/>
      <c r="C83" s="94"/>
      <c r="D83" s="94"/>
      <c r="E83" s="94"/>
      <c r="F83" s="94"/>
      <c r="G83" s="94"/>
      <c r="H83" s="94"/>
      <c r="I83" s="94"/>
      <c r="J83" s="94"/>
      <c r="K83" s="94"/>
      <c r="L83" s="94"/>
      <c r="M83" s="94"/>
      <c r="N83" s="94"/>
      <c r="O83" s="94"/>
      <c r="P83" s="94"/>
      <c r="Q83" s="94"/>
      <c r="R83" s="265"/>
      <c r="S83" s="265"/>
      <c r="T83" s="130">
        <f>SUM(T76:T81)</f>
        <v>6863.2</v>
      </c>
      <c r="U83" s="100"/>
      <c r="V83" s="203"/>
      <c r="W83" s="12"/>
      <c r="X83" s="243"/>
      <c r="Y83" s="12"/>
      <c r="Z83" s="243"/>
      <c r="AA83" s="243"/>
      <c r="AB83" s="243"/>
      <c r="AC83" s="243"/>
    </row>
    <row r="84" spans="1:29">
      <c r="B84" s="197"/>
      <c r="C84" s="193"/>
      <c r="D84" s="193"/>
      <c r="E84" s="193"/>
      <c r="F84" s="193"/>
      <c r="G84" s="193"/>
      <c r="H84" s="193"/>
      <c r="I84" s="193"/>
      <c r="J84" s="193"/>
      <c r="K84" s="193"/>
      <c r="L84" s="193"/>
      <c r="M84" s="193"/>
      <c r="N84" s="193"/>
      <c r="O84" s="193"/>
      <c r="P84" s="193"/>
      <c r="Q84" s="193"/>
      <c r="R84" s="194"/>
      <c r="S84" s="194"/>
      <c r="T84" s="195"/>
      <c r="U84" s="196"/>
      <c r="V84" s="195"/>
    </row>
    <row r="85" spans="1:29" ht="16" thickBot="1">
      <c r="A85" s="122"/>
      <c r="B85" s="322" t="s">
        <v>45</v>
      </c>
      <c r="C85" s="323"/>
      <c r="D85" s="323"/>
      <c r="E85" s="323"/>
      <c r="F85" s="323"/>
      <c r="G85" s="324"/>
      <c r="H85" s="324"/>
      <c r="I85" s="324"/>
      <c r="J85" s="324"/>
      <c r="K85" s="324"/>
      <c r="L85" s="324"/>
      <c r="M85" s="324"/>
      <c r="N85" s="324"/>
      <c r="O85" s="324"/>
      <c r="P85" s="324"/>
      <c r="Q85" s="324"/>
      <c r="R85" s="324"/>
      <c r="S85" s="324"/>
      <c r="T85" s="324"/>
      <c r="U85" s="325"/>
      <c r="V85" s="201"/>
      <c r="W85" s="1"/>
      <c r="X85" s="42"/>
      <c r="Y85" s="1"/>
      <c r="Z85" s="42"/>
      <c r="AA85" s="42"/>
      <c r="AB85" s="42"/>
      <c r="AC85" s="42"/>
    </row>
    <row r="86" spans="1:29" ht="16.5" customHeight="1" thickBot="1">
      <c r="A86" s="122" t="str">
        <f>"G"&amp;E72</f>
        <v>G3</v>
      </c>
      <c r="B86" s="291" t="s">
        <v>97</v>
      </c>
      <c r="C86" s="292"/>
      <c r="D86" s="292"/>
      <c r="E86" s="292"/>
      <c r="F86" s="292"/>
      <c r="G86" s="326"/>
      <c r="H86" s="291" t="s">
        <v>100</v>
      </c>
      <c r="I86" s="292"/>
      <c r="J86" s="292"/>
      <c r="K86" s="292"/>
      <c r="L86" s="292"/>
      <c r="M86" s="292"/>
      <c r="N86" s="292"/>
      <c r="O86" s="189" t="s">
        <v>23</v>
      </c>
      <c r="P86" s="190"/>
      <c r="Q86" s="190"/>
      <c r="R86" s="190"/>
      <c r="S86" s="190"/>
      <c r="T86" s="190"/>
      <c r="U86" s="253"/>
      <c r="V86" s="201"/>
      <c r="W86" s="1"/>
      <c r="X86" s="239" t="s">
        <v>117</v>
      </c>
      <c r="Y86" s="1"/>
      <c r="Z86" s="355" t="s">
        <v>119</v>
      </c>
      <c r="AA86" s="345" t="s">
        <v>120</v>
      </c>
      <c r="AB86" s="345" t="s">
        <v>148</v>
      </c>
      <c r="AC86" s="359" t="s">
        <v>149</v>
      </c>
    </row>
    <row r="87" spans="1:29" ht="15.75" customHeight="1" thickBot="1">
      <c r="A87" s="122" t="str">
        <f>"H"&amp;E72</f>
        <v>H3</v>
      </c>
      <c r="B87" s="293" t="s">
        <v>132</v>
      </c>
      <c r="C87" s="294"/>
      <c r="D87" s="294"/>
      <c r="E87" s="294"/>
      <c r="F87" s="294"/>
      <c r="G87" s="327"/>
      <c r="H87" s="293" t="s">
        <v>17</v>
      </c>
      <c r="I87" s="294"/>
      <c r="J87" s="294"/>
      <c r="K87" s="294"/>
      <c r="L87" s="295"/>
      <c r="M87" s="183">
        <f>VLOOKUP(E72,PROPONENTES!$C$14:$E$37,3,0)</f>
        <v>2</v>
      </c>
      <c r="N87" s="296" t="s">
        <v>143</v>
      </c>
      <c r="O87" s="299"/>
      <c r="P87" s="300"/>
      <c r="Q87" s="300"/>
      <c r="R87" s="300"/>
      <c r="S87" s="300"/>
      <c r="T87" s="300"/>
      <c r="U87" s="301"/>
      <c r="V87" s="201"/>
      <c r="W87" s="1"/>
      <c r="X87" s="244" t="str">
        <f>IF(M87="","",IF(M87=1,"INDIVIDUAL","ESTRUCTURA PLURAL"))</f>
        <v>ESTRUCTURA PLURAL</v>
      </c>
      <c r="Y87" s="1"/>
      <c r="Z87" s="356"/>
      <c r="AA87" s="358"/>
      <c r="AB87" s="358"/>
      <c r="AC87" s="360"/>
    </row>
    <row r="88" spans="1:29" ht="15.75" customHeight="1" thickBot="1">
      <c r="A88" s="122" t="str">
        <f>"I"&amp;E72</f>
        <v>I3</v>
      </c>
      <c r="B88" s="328" t="s">
        <v>131</v>
      </c>
      <c r="C88" s="329"/>
      <c r="D88" s="330"/>
      <c r="E88" s="308">
        <f>IF(AND(I76="SI",T76&gt;0),1,0)+IF(AND(I77="SI",T77&gt;0),1,0)+IF(AND(I78="SI",T78&gt;0),1,0)+IF(AND(I79="SI",T79&gt;0),1,0)+IF(AND(I80="SI",T80&gt;0),1,0)+IF(AND(I81="SI",T81&gt;0),1,0)</f>
        <v>4</v>
      </c>
      <c r="F88" s="310" t="s">
        <v>133</v>
      </c>
      <c r="G88" s="312">
        <f>IF(E88=0,"N/A",IF(AND(E88&gt;=1,E88&lt;=2),0.75,IF(AND(E88&gt;=3,E88&lt;=4),1.2,IF(AND(E88&gt;=5,E88&lt;=6),1.5,"REVISAR"))))</f>
        <v>1.2</v>
      </c>
      <c r="H88" s="334" t="s">
        <v>16</v>
      </c>
      <c r="I88" s="335"/>
      <c r="J88" s="314" t="s">
        <v>350</v>
      </c>
      <c r="K88" s="314" t="s">
        <v>140</v>
      </c>
      <c r="L88" s="314" t="s">
        <v>141</v>
      </c>
      <c r="M88" s="320" t="s">
        <v>142</v>
      </c>
      <c r="N88" s="297"/>
      <c r="O88" s="302"/>
      <c r="P88" s="303"/>
      <c r="Q88" s="303"/>
      <c r="R88" s="303"/>
      <c r="S88" s="303"/>
      <c r="T88" s="303"/>
      <c r="U88" s="304"/>
      <c r="V88" s="201"/>
      <c r="W88" s="38"/>
      <c r="X88" s="171"/>
      <c r="Y88" s="38"/>
      <c r="Z88" s="356"/>
      <c r="AA88" s="358"/>
      <c r="AB88" s="358"/>
      <c r="AC88" s="360"/>
    </row>
    <row r="89" spans="1:29" ht="16.5" customHeight="1" thickBot="1">
      <c r="A89" s="122" t="str">
        <f>"J"&amp;E72</f>
        <v>J3</v>
      </c>
      <c r="B89" s="331"/>
      <c r="C89" s="332"/>
      <c r="D89" s="333"/>
      <c r="E89" s="309"/>
      <c r="F89" s="311"/>
      <c r="G89" s="313"/>
      <c r="H89" s="336"/>
      <c r="I89" s="337"/>
      <c r="J89" s="314"/>
      <c r="K89" s="314"/>
      <c r="L89" s="314"/>
      <c r="M89" s="321"/>
      <c r="N89" s="298"/>
      <c r="O89" s="302"/>
      <c r="P89" s="303"/>
      <c r="Q89" s="303"/>
      <c r="R89" s="303"/>
      <c r="S89" s="303"/>
      <c r="T89" s="303"/>
      <c r="U89" s="304"/>
      <c r="V89" s="201"/>
      <c r="W89" s="38"/>
      <c r="X89" s="239" t="s">
        <v>118</v>
      </c>
      <c r="Y89" s="38"/>
      <c r="Z89" s="357"/>
      <c r="AA89" s="346"/>
      <c r="AB89" s="346"/>
      <c r="AC89" s="321"/>
    </row>
    <row r="90" spans="1:29" ht="16" thickBot="1">
      <c r="A90" s="125" t="str">
        <f>"K"&amp;E72</f>
        <v>K3</v>
      </c>
      <c r="B90" s="293" t="s">
        <v>98</v>
      </c>
      <c r="C90" s="294"/>
      <c r="D90" s="294"/>
      <c r="E90" s="294"/>
      <c r="F90" s="294"/>
      <c r="G90" s="294"/>
      <c r="H90" s="186">
        <v>1</v>
      </c>
      <c r="I90" s="92" t="str">
        <f>IF(AND(H90&lt;=M87,M87&gt;1),VLOOKUP(VALUE(E72&amp;","&amp;H90),INTEGRANTES!$B$15:$D$72,2,0),"")</f>
        <v>PROYECTOS DE INGENIERÍA Y CONSTRUCCIONES AR SAS</v>
      </c>
      <c r="J90" s="187">
        <f>IF(I90&lt;&gt;"",VLOOKUP(VALUE(E72&amp;","&amp;H90),INTEGRANTES!$B$15:$D$72,3,0),"")</f>
        <v>0.5</v>
      </c>
      <c r="K90" s="247">
        <f>IF($I90="","",IF(G88="N/A","",ROUND($G88*POSMMLV*PORPOM,2)))</f>
        <v>1115.23</v>
      </c>
      <c r="L90" s="247">
        <f>IF(I90="","",SUMIF($J76:$J81,I90,$T76:$T81))</f>
        <v>6863.2</v>
      </c>
      <c r="M90" s="93" t="str">
        <f t="shared" ref="M90:M95" si="18">IF($I90="","",IF($K90&gt;L90,"NO CUMPLE","CUMPLE"))</f>
        <v>CUMPLE</v>
      </c>
      <c r="N90" s="93" t="str">
        <f t="shared" ref="N90:N95" si="19">IF($I90="","",IF(M90="CUMPLE","CUMPLE","NO CUMPLE"))</f>
        <v>CUMPLE</v>
      </c>
      <c r="O90" s="302"/>
      <c r="P90" s="303"/>
      <c r="Q90" s="303"/>
      <c r="R90" s="303"/>
      <c r="S90" s="303"/>
      <c r="T90" s="303"/>
      <c r="U90" s="304"/>
      <c r="V90" s="201"/>
      <c r="W90" s="1"/>
      <c r="X90" s="244" t="str">
        <f>IF(X87="","",IF(X87="INDIVIDUAL","NO APLICA","VERIFICAR CUADRO"))</f>
        <v>VERIFICAR CUADRO</v>
      </c>
      <c r="Y90" s="1"/>
      <c r="Z90" s="262" t="str">
        <f>IF(AND(H90&lt;=M87,M87&gt;1),VLOOKUP(VALUE(E72&amp;","&amp;H90),INTEGRANTES!$B$15:$D$72,2,0),"")</f>
        <v>PROYECTOS DE INGENIERÍA Y CONSTRUCCIONES AR SAS</v>
      </c>
      <c r="AA90" s="248">
        <f>IF(I90="","",SUMIF(J76:$J81,I90,$T76:$T81))</f>
        <v>6863.2</v>
      </c>
      <c r="AB90" s="232"/>
      <c r="AC90" s="250" t="str">
        <f>IF(OR(Z90="",AB90=""),"",IF(AND(AB90="X",AA90&gt;=X93),"CUMPLE","NO CUMPLE"))</f>
        <v/>
      </c>
    </row>
    <row r="91" spans="1:29" ht="15.75" customHeight="1" thickBot="1">
      <c r="A91" s="125" t="str">
        <f>"L"&amp;E72</f>
        <v>L3</v>
      </c>
      <c r="B91" s="328" t="s">
        <v>134</v>
      </c>
      <c r="C91" s="329"/>
      <c r="D91" s="330"/>
      <c r="E91" s="132" t="s">
        <v>135</v>
      </c>
      <c r="F91" s="132" t="s">
        <v>136</v>
      </c>
      <c r="G91" s="136" t="s">
        <v>99</v>
      </c>
      <c r="H91" s="186">
        <v>2</v>
      </c>
      <c r="I91" s="92" t="str">
        <f>IF(AND(H91&lt;=M87,M87&gt;1),VLOOKUP(VALUE(E72&amp;","&amp;H91),INTEGRANTES!$B$15:$D$72,2,0),"")</f>
        <v>SS CONSTRUCTORES SAS</v>
      </c>
      <c r="J91" s="187">
        <f>IF(I91&lt;&gt;"",VLOOKUP(VALUE(E72&amp;","&amp;H91),INTEGRANTES!$B$15:$D$72,3,0),"")</f>
        <v>0.5</v>
      </c>
      <c r="K91" s="247">
        <f>IF($I91="","",IF(G88="N/A","",ROUND($G88*POSMMLV*PORPOM,2)))</f>
        <v>1115.23</v>
      </c>
      <c r="L91" s="247">
        <f>IF(I91="","",SUMIF($J76:$J81,I91,$T76:$T81))</f>
        <v>0</v>
      </c>
      <c r="M91" s="93" t="str">
        <f t="shared" si="18"/>
        <v>NO CUMPLE</v>
      </c>
      <c r="N91" s="93" t="str">
        <f t="shared" si="19"/>
        <v>NO CUMPLE</v>
      </c>
      <c r="O91" s="302"/>
      <c r="P91" s="303"/>
      <c r="Q91" s="303"/>
      <c r="R91" s="303"/>
      <c r="S91" s="303"/>
      <c r="T91" s="303"/>
      <c r="U91" s="304"/>
      <c r="V91" s="201"/>
      <c r="W91" s="1"/>
      <c r="X91" s="42"/>
      <c r="Y91" s="1"/>
      <c r="Z91" s="262" t="str">
        <f>IF(AND(H91&lt;=M87,M87&gt;1),VLOOKUP(VALUE(E72&amp;","&amp;H91),INTEGRANTES!$B$15:$D$72,2,0),"")</f>
        <v>SS CONSTRUCTORES SAS</v>
      </c>
      <c r="AA91" s="248">
        <f>IF(I91="","",SUMIF(J76:$J81,I91,$T76:$T81))</f>
        <v>0</v>
      </c>
      <c r="AB91" s="232"/>
      <c r="AC91" s="250" t="str">
        <f>IF(OR(Z91="",AB91=""),"",IF(AND(AB91="X",AA91&gt;=X93),"CUMPLE","NO CUMPLE"))</f>
        <v/>
      </c>
    </row>
    <row r="92" spans="1:29" ht="16" thickBot="1">
      <c r="A92" s="122" t="str">
        <f>"M"&amp;E72</f>
        <v>M3</v>
      </c>
      <c r="B92" s="331"/>
      <c r="C92" s="332"/>
      <c r="D92" s="333"/>
      <c r="E92" s="237">
        <f>IF(ISTEXT(G88),"NO APLICA",G88*POSMMLV)</f>
        <v>2230.457645064218</v>
      </c>
      <c r="F92" s="238">
        <f>IF(E92="","",T83)</f>
        <v>6863.2</v>
      </c>
      <c r="G92" s="221" t="str">
        <f>IF(E92="","",IF(E92="NO APLICA","NO CUMPLE",IF(F92&gt;=E92,"CUMPLE", "NO CUMPLE")))</f>
        <v>CUMPLE</v>
      </c>
      <c r="H92" s="186">
        <v>3</v>
      </c>
      <c r="I92" s="92" t="str">
        <f>IF(AND(H92&lt;=M87,M87&gt;1),VLOOKUP(VALUE(E72&amp;","&amp;H92),INTEGRANTES!$B$15:$D$72,2,0),"")</f>
        <v/>
      </c>
      <c r="J92" s="187" t="str">
        <f>IF(I92&lt;&gt;"",VLOOKUP(VALUE(E72&amp;","&amp;H92),INTEGRANTES!$B$15:$D$72,3,0),"")</f>
        <v/>
      </c>
      <c r="K92" s="247" t="str">
        <f>IF($I92="","",IF(G88="N/A","",ROUND($G88*POSMMLV*PORPOM,2)))</f>
        <v/>
      </c>
      <c r="L92" s="247" t="str">
        <f>IF(I92="","",SUMIF($J76:$J81,I92,$T76:$T81))</f>
        <v/>
      </c>
      <c r="M92" s="93" t="str">
        <f t="shared" si="18"/>
        <v/>
      </c>
      <c r="N92" s="93" t="str">
        <f t="shared" si="19"/>
        <v/>
      </c>
      <c r="O92" s="302"/>
      <c r="P92" s="303"/>
      <c r="Q92" s="303"/>
      <c r="R92" s="303"/>
      <c r="S92" s="303"/>
      <c r="T92" s="303"/>
      <c r="U92" s="304"/>
      <c r="V92" s="201"/>
      <c r="W92" s="1"/>
      <c r="X92" s="239" t="s">
        <v>145</v>
      </c>
      <c r="Y92" s="1"/>
      <c r="Z92" s="262" t="str">
        <f>IF(AND(H92&lt;=M87,M87&gt;1),VLOOKUP(VALUE(E72&amp;","&amp;H92),INTEGRANTES!$B$15:$D$72,2,0),"")</f>
        <v/>
      </c>
      <c r="AA92" s="248" t="str">
        <f>IF(I92="","",SUMIF(J76:$J81,I92,$T76:$T81))</f>
        <v/>
      </c>
      <c r="AB92" s="232"/>
      <c r="AC92" s="250" t="str">
        <f>IF(OR(Z92="",AB92=""),"",IF(AND(AB92="X",AA92&gt;=X93),"CUMPLE","NO CUMPLE"))</f>
        <v/>
      </c>
    </row>
    <row r="93" spans="1:29" ht="15.75" customHeight="1" thickBot="1">
      <c r="A93" s="122" t="str">
        <f>"N"&amp;E72</f>
        <v>N3</v>
      </c>
      <c r="B93" s="293" t="s">
        <v>107</v>
      </c>
      <c r="C93" s="294"/>
      <c r="D93" s="294"/>
      <c r="E93" s="294"/>
      <c r="F93" s="294"/>
      <c r="G93" s="294"/>
      <c r="H93" s="186">
        <v>4</v>
      </c>
      <c r="I93" s="92" t="str">
        <f>IF(AND(H93&lt;=M87,M87&gt;1),VLOOKUP(VALUE(E72&amp;","&amp;H93),INTEGRANTES!$B$15:$D$72,2,0),"")</f>
        <v/>
      </c>
      <c r="J93" s="187" t="str">
        <f>IF(I93&lt;&gt;"",VLOOKUP(VALUE(E72&amp;","&amp;H93),INTEGRANTES!$B$15:$D$72,3,0),"")</f>
        <v/>
      </c>
      <c r="K93" s="247" t="str">
        <f>IF($I93="","",IF(G88="N/A","",ROUND($G88*POSMMLV*PORPOM,2)))</f>
        <v/>
      </c>
      <c r="L93" s="247" t="str">
        <f>IF(I93="","",SUMIF($J76:$J81,I93,$T76:$T81))</f>
        <v/>
      </c>
      <c r="M93" s="93" t="str">
        <f t="shared" si="18"/>
        <v/>
      </c>
      <c r="N93" s="93" t="str">
        <f t="shared" si="19"/>
        <v/>
      </c>
      <c r="O93" s="302"/>
      <c r="P93" s="303"/>
      <c r="Q93" s="303"/>
      <c r="R93" s="303"/>
      <c r="S93" s="303"/>
      <c r="T93" s="303"/>
      <c r="U93" s="304"/>
      <c r="V93" s="201"/>
      <c r="W93" s="1"/>
      <c r="X93" s="251">
        <f>IF(G88="N/A","N/A",0.4*G88*POSMMLV)</f>
        <v>892.18305802568716</v>
      </c>
      <c r="Y93" s="1"/>
      <c r="Z93" s="262" t="str">
        <f>IF(AND(H93&lt;=M87,M87&gt;1),VLOOKUP(VALUE(E72&amp;","&amp;H93),INTEGRANTES!$B$15:$D$72,2,0),"")</f>
        <v/>
      </c>
      <c r="AA93" s="248" t="str">
        <f>IF(I93="","",SUMIF(J76:$J81,I93,$T76:$T81))</f>
        <v/>
      </c>
      <c r="AB93" s="232"/>
      <c r="AC93" s="250" t="str">
        <f>IF(OR(Z93="",AB93=""),"",IF(AND(AB93="X",AA93&gt;=X93),"CUMPLE","NO CUMPLE"))</f>
        <v/>
      </c>
    </row>
    <row r="94" spans="1:29" ht="33.75" customHeight="1" thickBot="1">
      <c r="A94" s="122" t="str">
        <f>"O"&amp;E72</f>
        <v>O3</v>
      </c>
      <c r="B94" s="328" t="s">
        <v>108</v>
      </c>
      <c r="C94" s="329"/>
      <c r="D94" s="329"/>
      <c r="E94" s="329"/>
      <c r="F94" s="329"/>
      <c r="G94" s="185" t="s">
        <v>99</v>
      </c>
      <c r="H94" s="186">
        <v>5</v>
      </c>
      <c r="I94" s="92" t="str">
        <f>IF(AND(H94&lt;=M87,M87&gt;1),VLOOKUP(VALUE(E72&amp;","&amp;H94),INTEGRANTES!$B$15:$D$72,2,0),"")</f>
        <v/>
      </c>
      <c r="J94" s="187" t="str">
        <f>IF(I94&lt;&gt;"",VLOOKUP(VALUE(E72&amp;","&amp;H94),INTEGRANTES!$B$15:$D$72,3,0),"")</f>
        <v/>
      </c>
      <c r="K94" s="247" t="str">
        <f>IF($I94="","",IF(G88="N/A","",ROUND($G88*POSMMLV*PORPOM,2)))</f>
        <v/>
      </c>
      <c r="L94" s="247" t="str">
        <f>IF(I94="","",SUMIF($J76:$J81,I94,$T76:$T81))</f>
        <v/>
      </c>
      <c r="M94" s="93" t="str">
        <f t="shared" si="18"/>
        <v/>
      </c>
      <c r="N94" s="93" t="str">
        <f t="shared" si="19"/>
        <v/>
      </c>
      <c r="O94" s="302"/>
      <c r="P94" s="303"/>
      <c r="Q94" s="303"/>
      <c r="R94" s="303"/>
      <c r="S94" s="303"/>
      <c r="T94" s="303"/>
      <c r="U94" s="304"/>
      <c r="V94" s="201"/>
      <c r="W94" s="1"/>
      <c r="X94" s="42"/>
      <c r="Y94" s="1"/>
      <c r="Z94" s="262" t="str">
        <f>IF(AND(H94&lt;=M87,M87&gt;1),VLOOKUP(VALUE(E72&amp;","&amp;H94),INTEGRANTES!$B$15:$D$72,2,0),"")</f>
        <v/>
      </c>
      <c r="AA94" s="248" t="str">
        <f>IF(I94="","",SUMIF(J76:$J81,I94,$T76:$T81))</f>
        <v/>
      </c>
      <c r="AB94" s="232"/>
      <c r="AC94" s="250" t="str">
        <f>IF(OR(Z94="",AB94=""),"",IF(AND(AB94="X",AA94&gt;=X93),"CUMPLE","NO CUMPLE"))</f>
        <v/>
      </c>
    </row>
    <row r="95" spans="1:29" ht="16" thickBot="1">
      <c r="A95" s="122" t="str">
        <f>"P"&amp;E72</f>
        <v>P3</v>
      </c>
      <c r="B95" s="353"/>
      <c r="C95" s="354"/>
      <c r="D95" s="354"/>
      <c r="E95" s="354"/>
      <c r="F95" s="354"/>
      <c r="G95" s="137" t="str">
        <f>IF(AND(COUNTIF(X76:X81,"")&gt;5,COUNTIF(Z76:Z81,"")&gt;5),"NO CUMPLE",IF(AND(COUNTIF(X76:X81,"SI")&gt;=$AF$17,COUNTIF(Z76:Z81,"SI")&gt;=$AF$17),"CUMPLE", "NO CUMPLE"))</f>
        <v>CUMPLE</v>
      </c>
      <c r="H95" s="257">
        <v>6</v>
      </c>
      <c r="I95" s="258" t="str">
        <f>IF(AND(H95&lt;=M87,M87&gt;1),VLOOKUP(VALUE(E72&amp;","&amp;H95),INTEGRANTES!$B$15:$D$72,2,0),"")</f>
        <v/>
      </c>
      <c r="J95" s="259" t="str">
        <f>IF(I95&lt;&gt;"",VLOOKUP(VALUE(E72&amp;","&amp;H95),INTEGRANTES!$B$15:$D$72,3,0),"")</f>
        <v/>
      </c>
      <c r="K95" s="260" t="str">
        <f>IF($I95="","",IF(G88="N/A","",ROUND($G88*POSMMLV*PORPOM,2)))</f>
        <v/>
      </c>
      <c r="L95" s="260" t="str">
        <f>IF(I95="","",SUMIF($J76:$J81,I95,$T76:$T81))</f>
        <v/>
      </c>
      <c r="M95" s="261" t="str">
        <f t="shared" si="18"/>
        <v/>
      </c>
      <c r="N95" s="93" t="str">
        <f t="shared" si="19"/>
        <v/>
      </c>
      <c r="O95" s="302"/>
      <c r="P95" s="303"/>
      <c r="Q95" s="303"/>
      <c r="R95" s="303"/>
      <c r="S95" s="303"/>
      <c r="T95" s="303"/>
      <c r="U95" s="304"/>
      <c r="V95" s="201"/>
      <c r="W95" s="1"/>
      <c r="X95" s="239" t="s">
        <v>122</v>
      </c>
      <c r="Y95" s="1"/>
      <c r="Z95" s="263" t="str">
        <f>IF(AND(H95&lt;=M87,M87&gt;1),VLOOKUP(VALUE(E72&amp;","&amp;H95),INTEGRANTES!$B$15:$D$72,2,0),"")</f>
        <v/>
      </c>
      <c r="AA95" s="249" t="str">
        <f>IF(I95="","",SUMIF(J76:$J81,I95,$T76:$T81))</f>
        <v/>
      </c>
      <c r="AB95" s="246"/>
      <c r="AC95" s="137" t="str">
        <f>IF(OR(Z95="",AB95=""),"",IF(AND(AB95="X",AA95&gt;=X93),"CUMPLE","NO CUMPLE"))</f>
        <v/>
      </c>
    </row>
    <row r="96" spans="1:29" ht="38.25" customHeight="1" thickBot="1">
      <c r="A96" s="122" t="str">
        <f>"Q"&amp;E72</f>
        <v>Q3</v>
      </c>
      <c r="B96" s="338"/>
      <c r="C96" s="339"/>
      <c r="D96" s="339"/>
      <c r="E96" s="339"/>
      <c r="F96" s="339"/>
      <c r="G96" s="340"/>
      <c r="H96" s="318" t="s">
        <v>138</v>
      </c>
      <c r="I96" s="341"/>
      <c r="J96" s="342"/>
      <c r="K96" s="318" t="s">
        <v>139</v>
      </c>
      <c r="L96" s="319"/>
      <c r="M96" s="188" t="str">
        <f>IF(OR($M87="",SUM(J90:J95)=0),"",IF(COUNTIF(M90:M95,"CUMPLE")&gt;=1,"CUMPLE","NO CUMPLE"))</f>
        <v>CUMPLE</v>
      </c>
      <c r="N96" s="188" t="str">
        <f>IF(OR($M87="",SUM(J90:J95)=0),"",IF(COUNTIF(N90:N95,"CUMPLE")&gt;=1,"CUMPLE","NO CUMPLE"))</f>
        <v>CUMPLE</v>
      </c>
      <c r="O96" s="305"/>
      <c r="P96" s="306"/>
      <c r="Q96" s="306"/>
      <c r="R96" s="306"/>
      <c r="S96" s="306"/>
      <c r="T96" s="306"/>
      <c r="U96" s="307"/>
      <c r="V96" s="201"/>
      <c r="W96" s="1"/>
      <c r="X96" s="254" t="str">
        <f>IF(X90="NO APLICA","NO APLICA",IF(COUNTIF(AC90:AC95,"CUMPLE")&gt;0,"CUMPLE","NO CUMPLE"))</f>
        <v>NO CUMPLE</v>
      </c>
      <c r="Y96" s="1"/>
      <c r="Z96" s="42"/>
      <c r="AA96" s="42"/>
      <c r="AB96" s="42"/>
      <c r="AC96" s="42"/>
    </row>
    <row r="97" spans="1:29">
      <c r="A97"/>
    </row>
    <row r="98" spans="1:29">
      <c r="A98"/>
    </row>
    <row r="99" spans="1:29" ht="23.5" thickBot="1">
      <c r="A99" s="167">
        <v>4</v>
      </c>
      <c r="B99" s="349" t="s">
        <v>1</v>
      </c>
      <c r="C99" s="349"/>
      <c r="D99" s="349"/>
      <c r="E99" s="105">
        <f>VLOOKUP(A99,PROPONENTES!$B$14:$D$37,2,FALSE)</f>
        <v>4</v>
      </c>
      <c r="F99" s="106" t="str">
        <f>VLOOKUP(E99,PROPONENTES!$C$14:$D$37,2,FALSE)</f>
        <v>JUAN CARLOS BRICEÑO CHAVES</v>
      </c>
      <c r="G99" s="107"/>
      <c r="H99" s="107"/>
      <c r="I99" s="107"/>
      <c r="J99" s="106"/>
      <c r="K99" s="106"/>
      <c r="L99" s="105"/>
      <c r="M99" s="107"/>
      <c r="N99" s="107"/>
      <c r="O99" s="107"/>
      <c r="P99" s="107"/>
      <c r="Q99" s="107"/>
      <c r="R99" s="107"/>
      <c r="S99" s="107"/>
      <c r="T99" s="108"/>
      <c r="U99" s="109"/>
      <c r="V99" s="109"/>
      <c r="W99" s="11"/>
      <c r="X99" s="240"/>
      <c r="Y99" s="11"/>
      <c r="Z99" s="240"/>
      <c r="AA99" s="240"/>
      <c r="AB99" s="240"/>
      <c r="AC99" s="240"/>
    </row>
    <row r="100" spans="1:29" ht="48" customHeight="1">
      <c r="A100" s="131"/>
      <c r="B100" s="350" t="s">
        <v>88</v>
      </c>
      <c r="C100" s="345" t="s">
        <v>48</v>
      </c>
      <c r="D100" s="352" t="s">
        <v>130</v>
      </c>
      <c r="E100" s="295"/>
      <c r="F100" s="352" t="s">
        <v>93</v>
      </c>
      <c r="G100" s="295"/>
      <c r="H100" s="315" t="s">
        <v>351</v>
      </c>
      <c r="I100" s="315" t="s">
        <v>103</v>
      </c>
      <c r="J100" s="315" t="s">
        <v>2</v>
      </c>
      <c r="K100" s="315" t="s">
        <v>352</v>
      </c>
      <c r="L100" s="315" t="s">
        <v>353</v>
      </c>
      <c r="M100" s="316" t="s">
        <v>29</v>
      </c>
      <c r="N100" s="315" t="s">
        <v>104</v>
      </c>
      <c r="O100" s="343" t="s">
        <v>78</v>
      </c>
      <c r="P100" s="344"/>
      <c r="Q100" s="345" t="s">
        <v>144</v>
      </c>
      <c r="R100" s="345" t="s">
        <v>101</v>
      </c>
      <c r="S100" s="294" t="s">
        <v>3</v>
      </c>
      <c r="T100" s="295"/>
      <c r="U100" s="347" t="s">
        <v>18</v>
      </c>
      <c r="V100" s="366" t="s">
        <v>102</v>
      </c>
      <c r="W100" s="133"/>
      <c r="X100" s="361" t="s">
        <v>146</v>
      </c>
      <c r="Y100" s="133"/>
      <c r="Z100" s="133"/>
      <c r="AA100" s="133"/>
      <c r="AB100" s="245"/>
      <c r="AC100" s="361" t="s">
        <v>123</v>
      </c>
    </row>
    <row r="101" spans="1:29" ht="98.25" customHeight="1">
      <c r="A101" s="131"/>
      <c r="B101" s="351"/>
      <c r="C101" s="346"/>
      <c r="D101" s="134" t="s">
        <v>10</v>
      </c>
      <c r="E101" s="134" t="s">
        <v>4</v>
      </c>
      <c r="F101" s="134" t="s">
        <v>15</v>
      </c>
      <c r="G101" s="135" t="s">
        <v>90</v>
      </c>
      <c r="H101" s="314"/>
      <c r="I101" s="314"/>
      <c r="J101" s="314"/>
      <c r="K101" s="314"/>
      <c r="L101" s="314"/>
      <c r="M101" s="317"/>
      <c r="N101" s="314"/>
      <c r="O101" s="264" t="s">
        <v>76</v>
      </c>
      <c r="P101" s="264" t="str">
        <f>+P74</f>
        <v>¿EL CONTRATO SE ENCUENTRA CLASIFICADO EN ALGUNA DE LAS CLASIFICACIONES ESTABLECIDAS EN EL PLIEGO? (SI/NO) (721033 - 721410 - 721411 - 721416)</v>
      </c>
      <c r="Q101" s="346"/>
      <c r="R101" s="346"/>
      <c r="S101" s="264" t="s">
        <v>81</v>
      </c>
      <c r="T101" s="264" t="s">
        <v>77</v>
      </c>
      <c r="U101" s="348"/>
      <c r="V101" s="336"/>
      <c r="W101" s="133"/>
      <c r="X101" s="362"/>
      <c r="Y101" s="133"/>
      <c r="Z101" s="245"/>
      <c r="AA101" s="245"/>
      <c r="AB101" s="245"/>
      <c r="AC101" s="362"/>
    </row>
    <row r="102" spans="1:29" ht="16" thickBot="1">
      <c r="A102" s="122"/>
      <c r="B102" s="96"/>
      <c r="C102" s="97"/>
      <c r="D102" s="97"/>
      <c r="E102" s="97"/>
      <c r="F102" s="97"/>
      <c r="G102" s="97"/>
      <c r="H102" s="97"/>
      <c r="I102" s="97"/>
      <c r="J102" s="97"/>
      <c r="K102" s="97"/>
      <c r="L102" s="97"/>
      <c r="M102" s="97"/>
      <c r="N102" s="97"/>
      <c r="O102" s="97"/>
      <c r="P102" s="97"/>
      <c r="Q102" s="97"/>
      <c r="R102" s="173"/>
      <c r="S102" s="173"/>
      <c r="T102" s="97"/>
      <c r="U102" s="191"/>
      <c r="V102" s="202"/>
      <c r="W102" s="1"/>
      <c r="X102" s="241"/>
      <c r="Y102" s="1"/>
      <c r="Z102" s="42"/>
      <c r="AA102" s="42"/>
      <c r="AB102" s="42"/>
      <c r="AC102" s="241"/>
    </row>
    <row r="103" spans="1:29" ht="40" customHeight="1">
      <c r="A103" s="125" t="str">
        <f>"A"&amp;E99</f>
        <v>A4</v>
      </c>
      <c r="B103" s="140">
        <v>1</v>
      </c>
      <c r="C103" s="139" t="s">
        <v>223</v>
      </c>
      <c r="D103" s="139" t="s">
        <v>224</v>
      </c>
      <c r="E103" s="139" t="s">
        <v>388</v>
      </c>
      <c r="F103" s="139" t="s">
        <v>227</v>
      </c>
      <c r="G103" s="142">
        <v>1</v>
      </c>
      <c r="H103" s="142" t="s">
        <v>115</v>
      </c>
      <c r="I103" s="138" t="s">
        <v>50</v>
      </c>
      <c r="J103" s="378" t="str">
        <f>+F99</f>
        <v>JUAN CARLOS BRICEÑO CHAVES</v>
      </c>
      <c r="K103" s="127">
        <v>43353</v>
      </c>
      <c r="L103" s="127">
        <v>43455</v>
      </c>
      <c r="M103" s="128">
        <f>IF(OR(K103="",L103=""),"",IF(OR(K103&gt;$T$14,K103&lt;$S$14,L103&gt;$T$14,AND(K103&lt;$S$14,L103&lt;$S$14)),"FUERA DE RANGO",IF(K103&gt;=$S$14,ROUND(((L103-K103+1)/360*12),1),ROUND(((L103-$S$14+1)/360*12),1))))</f>
        <v>3.4</v>
      </c>
      <c r="N103" s="206">
        <v>47</v>
      </c>
      <c r="O103" s="138" t="s">
        <v>50</v>
      </c>
      <c r="P103" s="128" t="s">
        <v>50</v>
      </c>
      <c r="Q103" s="128" t="s">
        <v>109</v>
      </c>
      <c r="R103" s="95">
        <v>810.71</v>
      </c>
      <c r="S103" s="95">
        <f t="shared" ref="S103:S108" si="20">IF(OR(G103="",R103=""),"",R103*G103)</f>
        <v>810.71</v>
      </c>
      <c r="T103" s="129">
        <f>IF(OR(I103="NO",I103="",I103&lt;&gt;"SI",S103=""),"",IF(OR(L103&lt;$S$14,L103&gt;$T$14,L103=""),0,ROUND(S103,2)))</f>
        <v>810.71</v>
      </c>
      <c r="U103" s="192"/>
      <c r="V103" s="204"/>
      <c r="W103" s="141"/>
      <c r="X103" s="222"/>
      <c r="Y103" s="141"/>
      <c r="Z103" s="223" t="str">
        <f t="shared" ref="Z103:Z108" si="21">IF(T103="","",IF(T103&gt;=PORCREQCTO*POSMMLV,"SI","NO"))</f>
        <v>NO</v>
      </c>
      <c r="AA103" s="296" t="str">
        <f>"VERIFICACIÓN CUMPLIMIENTO "&amp;PORCREQCTO*100&amp;"% DEL PO"</f>
        <v>VERIFICACIÓN CUMPLIMIENTO 50% DEL PO</v>
      </c>
      <c r="AB103" s="171"/>
      <c r="AC103" s="256"/>
    </row>
    <row r="104" spans="1:29" ht="42">
      <c r="A104" s="125" t="str">
        <f>"B"&amp;E99</f>
        <v>B4</v>
      </c>
      <c r="B104" s="140">
        <v>2</v>
      </c>
      <c r="C104" s="139" t="str">
        <f>+C103</f>
        <v>INVIAS</v>
      </c>
      <c r="D104" s="139" t="s">
        <v>225</v>
      </c>
      <c r="E104" s="139" t="s">
        <v>226</v>
      </c>
      <c r="F104" s="139" t="s">
        <v>227</v>
      </c>
      <c r="G104" s="142">
        <v>1</v>
      </c>
      <c r="H104" s="142" t="s">
        <v>115</v>
      </c>
      <c r="I104" s="138" t="s">
        <v>50</v>
      </c>
      <c r="J104" s="378" t="str">
        <f>+J103</f>
        <v>JUAN CARLOS BRICEÑO CHAVES</v>
      </c>
      <c r="K104" s="127">
        <v>39419</v>
      </c>
      <c r="L104" s="127">
        <v>39544</v>
      </c>
      <c r="M104" s="128">
        <f t="shared" ref="M104:M108" si="22">IF(OR(K104="",L104=""),"",IF(OR(K104&gt;$T$14,K104&lt;$S$14,L104&gt;$T$14,AND(K104&lt;$S$14,L104&lt;$S$14)),"FUERA DE RANGO",IF(K104&gt;=$S$14,ROUND(((L104-K104+1)/360*12),1),ROUND(((L104-$S$14+1)/360*12),1))))</f>
        <v>4.2</v>
      </c>
      <c r="N104" s="206">
        <v>16</v>
      </c>
      <c r="O104" s="138" t="s">
        <v>50</v>
      </c>
      <c r="P104" s="128" t="s">
        <v>50</v>
      </c>
      <c r="Q104" s="128" t="s">
        <v>109</v>
      </c>
      <c r="R104" s="95">
        <v>1126.74</v>
      </c>
      <c r="S104" s="95">
        <f t="shared" si="20"/>
        <v>1126.74</v>
      </c>
      <c r="T104" s="129">
        <f t="shared" ref="T104:T108" si="23">IF(OR(I104="NO",I104="",I104&lt;&gt;"SI",S104=""),"",IF(OR(L104&lt;$S$14,L104&gt;$T$14,L104=""),0,ROUND(S104,2)))</f>
        <v>1126.74</v>
      </c>
      <c r="U104" s="192"/>
      <c r="V104" s="204"/>
      <c r="W104" s="141"/>
      <c r="X104" s="222" t="s">
        <v>50</v>
      </c>
      <c r="Y104" s="141"/>
      <c r="Z104" s="224" t="str">
        <f t="shared" si="21"/>
        <v>SI</v>
      </c>
      <c r="AA104" s="297"/>
      <c r="AB104" s="171"/>
      <c r="AC104" s="256"/>
    </row>
    <row r="105" spans="1:29">
      <c r="A105" s="125" t="str">
        <f>"C"&amp;E99</f>
        <v>C4</v>
      </c>
      <c r="B105" s="140"/>
      <c r="C105" s="139"/>
      <c r="D105" s="139"/>
      <c r="E105" s="139"/>
      <c r="F105" s="139"/>
      <c r="G105" s="142"/>
      <c r="H105" s="142"/>
      <c r="I105" s="138"/>
      <c r="J105" s="138"/>
      <c r="K105" s="127"/>
      <c r="L105" s="127"/>
      <c r="M105" s="128" t="str">
        <f t="shared" si="22"/>
        <v/>
      </c>
      <c r="N105" s="206"/>
      <c r="O105" s="138"/>
      <c r="P105" s="128"/>
      <c r="Q105" s="128"/>
      <c r="R105" s="95"/>
      <c r="S105" s="95" t="str">
        <f t="shared" si="20"/>
        <v/>
      </c>
      <c r="T105" s="129" t="str">
        <f t="shared" si="23"/>
        <v/>
      </c>
      <c r="U105" s="192"/>
      <c r="V105" s="204"/>
      <c r="W105" s="141"/>
      <c r="X105" s="222"/>
      <c r="Y105" s="141"/>
      <c r="Z105" s="224" t="str">
        <f t="shared" si="21"/>
        <v/>
      </c>
      <c r="AA105" s="297"/>
      <c r="AB105" s="171"/>
      <c r="AC105" s="256"/>
    </row>
    <row r="106" spans="1:29">
      <c r="A106" s="125" t="str">
        <f>"D"&amp;E99</f>
        <v>D4</v>
      </c>
      <c r="B106" s="140"/>
      <c r="C106" s="139"/>
      <c r="D106" s="139"/>
      <c r="E106" s="139"/>
      <c r="F106" s="139"/>
      <c r="G106" s="142"/>
      <c r="H106" s="142"/>
      <c r="I106" s="138"/>
      <c r="J106" s="138"/>
      <c r="K106" s="127"/>
      <c r="L106" s="127"/>
      <c r="M106" s="128" t="str">
        <f t="shared" si="22"/>
        <v/>
      </c>
      <c r="N106" s="206"/>
      <c r="O106" s="138"/>
      <c r="P106" s="128"/>
      <c r="Q106" s="128"/>
      <c r="R106" s="95"/>
      <c r="S106" s="95" t="str">
        <f t="shared" si="20"/>
        <v/>
      </c>
      <c r="T106" s="129" t="str">
        <f t="shared" si="23"/>
        <v/>
      </c>
      <c r="U106" s="192"/>
      <c r="V106" s="204"/>
      <c r="W106" s="141"/>
      <c r="X106" s="222"/>
      <c r="Y106" s="141"/>
      <c r="Z106" s="224" t="str">
        <f t="shared" si="21"/>
        <v/>
      </c>
      <c r="AA106" s="297"/>
      <c r="AB106" s="171"/>
      <c r="AC106" s="256"/>
    </row>
    <row r="107" spans="1:29">
      <c r="A107" s="125" t="str">
        <f>"E"&amp;E99</f>
        <v>E4</v>
      </c>
      <c r="B107" s="140"/>
      <c r="C107" s="139"/>
      <c r="D107" s="139"/>
      <c r="E107" s="139"/>
      <c r="F107" s="139"/>
      <c r="G107" s="142"/>
      <c r="H107" s="142"/>
      <c r="I107" s="138"/>
      <c r="J107" s="138"/>
      <c r="K107" s="127"/>
      <c r="L107" s="127"/>
      <c r="M107" s="128" t="str">
        <f t="shared" si="22"/>
        <v/>
      </c>
      <c r="N107" s="206"/>
      <c r="O107" s="138"/>
      <c r="P107" s="128"/>
      <c r="Q107" s="128"/>
      <c r="R107" s="95"/>
      <c r="S107" s="95" t="str">
        <f t="shared" si="20"/>
        <v/>
      </c>
      <c r="T107" s="129" t="str">
        <f t="shared" si="23"/>
        <v/>
      </c>
      <c r="U107" s="192"/>
      <c r="V107" s="204"/>
      <c r="W107" s="141"/>
      <c r="X107" s="222"/>
      <c r="Y107" s="141"/>
      <c r="Z107" s="224" t="str">
        <f t="shared" si="21"/>
        <v/>
      </c>
      <c r="AA107" s="297"/>
      <c r="AB107" s="171"/>
      <c r="AC107" s="256"/>
    </row>
    <row r="108" spans="1:29" ht="16" thickBot="1">
      <c r="A108" s="125" t="str">
        <f>"F"&amp;E99</f>
        <v>F4</v>
      </c>
      <c r="B108" s="140"/>
      <c r="C108" s="139"/>
      <c r="D108" s="139"/>
      <c r="E108" s="139"/>
      <c r="F108" s="139"/>
      <c r="G108" s="142"/>
      <c r="H108" s="142"/>
      <c r="I108" s="138"/>
      <c r="J108" s="138"/>
      <c r="K108" s="127"/>
      <c r="L108" s="127"/>
      <c r="M108" s="128" t="str">
        <f t="shared" si="22"/>
        <v/>
      </c>
      <c r="N108" s="206"/>
      <c r="O108" s="138"/>
      <c r="P108" s="128"/>
      <c r="Q108" s="128"/>
      <c r="R108" s="95"/>
      <c r="S108" s="95" t="str">
        <f t="shared" si="20"/>
        <v/>
      </c>
      <c r="T108" s="129" t="str">
        <f t="shared" si="23"/>
        <v/>
      </c>
      <c r="U108" s="192"/>
      <c r="V108" s="204"/>
      <c r="W108" s="141"/>
      <c r="X108" s="222"/>
      <c r="Y108" s="141"/>
      <c r="Z108" s="225" t="str">
        <f t="shared" si="21"/>
        <v/>
      </c>
      <c r="AA108" s="363"/>
      <c r="AB108" s="171"/>
      <c r="AC108" s="256"/>
    </row>
    <row r="109" spans="1:29" ht="16" thickBot="1">
      <c r="A109" s="122"/>
      <c r="B109" s="96"/>
      <c r="C109" s="97"/>
      <c r="D109" s="97"/>
      <c r="E109" s="97"/>
      <c r="F109" s="97"/>
      <c r="G109" s="97"/>
      <c r="H109" s="97"/>
      <c r="I109" s="97"/>
      <c r="J109" s="97"/>
      <c r="K109" s="97"/>
      <c r="L109" s="97"/>
      <c r="M109" s="97"/>
      <c r="N109" s="97"/>
      <c r="O109" s="97"/>
      <c r="P109" s="97"/>
      <c r="Q109" s="97"/>
      <c r="R109" s="173"/>
      <c r="S109" s="173"/>
      <c r="T109" s="126"/>
      <c r="U109" s="98"/>
      <c r="V109" s="205"/>
      <c r="W109" s="1"/>
      <c r="X109" s="242"/>
      <c r="Y109" s="1"/>
      <c r="Z109" s="42"/>
      <c r="AA109" s="42"/>
      <c r="AB109" s="42"/>
      <c r="AC109" s="242"/>
    </row>
    <row r="110" spans="1:29" ht="16" thickBot="1">
      <c r="A110" s="123"/>
      <c r="B110" s="99"/>
      <c r="C110" s="94"/>
      <c r="D110" s="94"/>
      <c r="E110" s="94"/>
      <c r="F110" s="94"/>
      <c r="G110" s="94"/>
      <c r="H110" s="94"/>
      <c r="I110" s="94"/>
      <c r="J110" s="94"/>
      <c r="K110" s="94"/>
      <c r="L110" s="94"/>
      <c r="M110" s="94"/>
      <c r="N110" s="94"/>
      <c r="O110" s="94"/>
      <c r="P110" s="94"/>
      <c r="Q110" s="94"/>
      <c r="R110" s="265"/>
      <c r="S110" s="265"/>
      <c r="T110" s="130">
        <f>SUM(T103:T108)</f>
        <v>1937.45</v>
      </c>
      <c r="U110" s="100"/>
      <c r="V110" s="203"/>
      <c r="W110" s="12"/>
      <c r="X110" s="243"/>
      <c r="Y110" s="12"/>
      <c r="Z110" s="243"/>
      <c r="AA110" s="243"/>
      <c r="AB110" s="243"/>
      <c r="AC110" s="243"/>
    </row>
    <row r="111" spans="1:29">
      <c r="B111" s="197"/>
      <c r="C111" s="193"/>
      <c r="D111" s="193"/>
      <c r="E111" s="193"/>
      <c r="F111" s="193"/>
      <c r="G111" s="193"/>
      <c r="H111" s="193"/>
      <c r="I111" s="193"/>
      <c r="J111" s="193"/>
      <c r="K111" s="193"/>
      <c r="L111" s="193"/>
      <c r="M111" s="193"/>
      <c r="N111" s="193"/>
      <c r="O111" s="193"/>
      <c r="P111" s="193"/>
      <c r="Q111" s="193"/>
      <c r="R111" s="194"/>
      <c r="S111" s="194"/>
      <c r="T111" s="195"/>
      <c r="U111" s="196"/>
      <c r="V111" s="195"/>
    </row>
    <row r="112" spans="1:29" ht="16" thickBot="1">
      <c r="A112" s="122"/>
      <c r="B112" s="322" t="s">
        <v>45</v>
      </c>
      <c r="C112" s="323"/>
      <c r="D112" s="323"/>
      <c r="E112" s="323"/>
      <c r="F112" s="323"/>
      <c r="G112" s="324"/>
      <c r="H112" s="324"/>
      <c r="I112" s="324"/>
      <c r="J112" s="324"/>
      <c r="K112" s="324"/>
      <c r="L112" s="324"/>
      <c r="M112" s="324"/>
      <c r="N112" s="324"/>
      <c r="O112" s="324"/>
      <c r="P112" s="324"/>
      <c r="Q112" s="324"/>
      <c r="R112" s="324"/>
      <c r="S112" s="324"/>
      <c r="T112" s="324"/>
      <c r="U112" s="325"/>
      <c r="V112" s="201"/>
      <c r="W112" s="1"/>
      <c r="X112" s="42"/>
      <c r="Y112" s="1"/>
      <c r="Z112" s="42"/>
      <c r="AA112" s="42"/>
      <c r="AB112" s="42"/>
      <c r="AC112" s="42"/>
    </row>
    <row r="113" spans="1:29" ht="16.5" customHeight="1" thickBot="1">
      <c r="A113" s="122" t="str">
        <f>"G"&amp;E99</f>
        <v>G4</v>
      </c>
      <c r="B113" s="291" t="s">
        <v>97</v>
      </c>
      <c r="C113" s="292"/>
      <c r="D113" s="292"/>
      <c r="E113" s="292"/>
      <c r="F113" s="292"/>
      <c r="G113" s="326"/>
      <c r="H113" s="291" t="s">
        <v>100</v>
      </c>
      <c r="I113" s="292"/>
      <c r="J113" s="292"/>
      <c r="K113" s="292"/>
      <c r="L113" s="292"/>
      <c r="M113" s="292"/>
      <c r="N113" s="292"/>
      <c r="O113" s="189" t="s">
        <v>23</v>
      </c>
      <c r="P113" s="190"/>
      <c r="Q113" s="190"/>
      <c r="R113" s="190"/>
      <c r="S113" s="190"/>
      <c r="T113" s="190"/>
      <c r="U113" s="253"/>
      <c r="V113" s="201"/>
      <c r="W113" s="1"/>
      <c r="X113" s="239" t="s">
        <v>117</v>
      </c>
      <c r="Y113" s="1"/>
      <c r="Z113" s="355" t="s">
        <v>119</v>
      </c>
      <c r="AA113" s="345" t="s">
        <v>120</v>
      </c>
      <c r="AB113" s="345" t="s">
        <v>148</v>
      </c>
      <c r="AC113" s="359" t="s">
        <v>149</v>
      </c>
    </row>
    <row r="114" spans="1:29" ht="15.75" customHeight="1" thickBot="1">
      <c r="A114" s="122" t="str">
        <f>"H"&amp;E99</f>
        <v>H4</v>
      </c>
      <c r="B114" s="293" t="s">
        <v>132</v>
      </c>
      <c r="C114" s="294"/>
      <c r="D114" s="294"/>
      <c r="E114" s="294"/>
      <c r="F114" s="294"/>
      <c r="G114" s="327"/>
      <c r="H114" s="293" t="s">
        <v>17</v>
      </c>
      <c r="I114" s="294"/>
      <c r="J114" s="294"/>
      <c r="K114" s="294"/>
      <c r="L114" s="295"/>
      <c r="M114" s="183">
        <f>VLOOKUP(E99,PROPONENTES!$C$14:$E$37,3,0)</f>
        <v>1</v>
      </c>
      <c r="N114" s="296" t="s">
        <v>143</v>
      </c>
      <c r="O114" s="299"/>
      <c r="P114" s="300"/>
      <c r="Q114" s="300"/>
      <c r="R114" s="300"/>
      <c r="S114" s="300"/>
      <c r="T114" s="300"/>
      <c r="U114" s="301"/>
      <c r="V114" s="201"/>
      <c r="W114" s="1"/>
      <c r="X114" s="244" t="str">
        <f>IF(M114="","",IF(M114=1,"INDIVIDUAL","ESTRUCTURA PLURAL"))</f>
        <v>INDIVIDUAL</v>
      </c>
      <c r="Y114" s="1"/>
      <c r="Z114" s="356"/>
      <c r="AA114" s="358"/>
      <c r="AB114" s="358"/>
      <c r="AC114" s="360"/>
    </row>
    <row r="115" spans="1:29" ht="15.75" customHeight="1" thickBot="1">
      <c r="A115" s="122" t="str">
        <f>"I"&amp;E99</f>
        <v>I4</v>
      </c>
      <c r="B115" s="328" t="s">
        <v>131</v>
      </c>
      <c r="C115" s="329"/>
      <c r="D115" s="330"/>
      <c r="E115" s="308">
        <f>IF(AND(I103="SI",T103&gt;0),1,0)+IF(AND(I104="SI",T104&gt;0),1,0)+IF(AND(I105="SI",T105&gt;0),1,0)+IF(AND(I106="SI",T106&gt;0),1,0)+IF(AND(I107="SI",T107&gt;0),1,0)+IF(AND(I108="SI",T108&gt;0),1,0)</f>
        <v>2</v>
      </c>
      <c r="F115" s="310" t="s">
        <v>133</v>
      </c>
      <c r="G115" s="312">
        <f>IF(E115=0,"N/A",IF(AND(E115&gt;=1,E115&lt;=2),0.75,IF(AND(E115&gt;=3,E115&lt;=4),1.2,IF(AND(E115&gt;=5,E115&lt;=6),1.5,"REVISAR"))))</f>
        <v>0.75</v>
      </c>
      <c r="H115" s="334" t="s">
        <v>16</v>
      </c>
      <c r="I115" s="335"/>
      <c r="J115" s="314" t="s">
        <v>350</v>
      </c>
      <c r="K115" s="314" t="s">
        <v>140</v>
      </c>
      <c r="L115" s="314" t="s">
        <v>141</v>
      </c>
      <c r="M115" s="320" t="s">
        <v>142</v>
      </c>
      <c r="N115" s="297"/>
      <c r="O115" s="302"/>
      <c r="P115" s="303"/>
      <c r="Q115" s="303"/>
      <c r="R115" s="303"/>
      <c r="S115" s="303"/>
      <c r="T115" s="303"/>
      <c r="U115" s="304"/>
      <c r="V115" s="201"/>
      <c r="W115" s="38"/>
      <c r="X115" s="171"/>
      <c r="Y115" s="38"/>
      <c r="Z115" s="356"/>
      <c r="AA115" s="358"/>
      <c r="AB115" s="358"/>
      <c r="AC115" s="360"/>
    </row>
    <row r="116" spans="1:29" ht="16.5" customHeight="1" thickBot="1">
      <c r="A116" s="122" t="str">
        <f>"J"&amp;E99</f>
        <v>J4</v>
      </c>
      <c r="B116" s="331"/>
      <c r="C116" s="332"/>
      <c r="D116" s="333"/>
      <c r="E116" s="309"/>
      <c r="F116" s="311"/>
      <c r="G116" s="313"/>
      <c r="H116" s="336"/>
      <c r="I116" s="337"/>
      <c r="J116" s="314"/>
      <c r="K116" s="314"/>
      <c r="L116" s="314"/>
      <c r="M116" s="321"/>
      <c r="N116" s="298"/>
      <c r="O116" s="302"/>
      <c r="P116" s="303"/>
      <c r="Q116" s="303"/>
      <c r="R116" s="303"/>
      <c r="S116" s="303"/>
      <c r="T116" s="303"/>
      <c r="U116" s="304"/>
      <c r="V116" s="201"/>
      <c r="W116" s="38"/>
      <c r="X116" s="239" t="s">
        <v>118</v>
      </c>
      <c r="Y116" s="38"/>
      <c r="Z116" s="357"/>
      <c r="AA116" s="346"/>
      <c r="AB116" s="346"/>
      <c r="AC116" s="321"/>
    </row>
    <row r="117" spans="1:29" ht="16" thickBot="1">
      <c r="A117" s="125" t="str">
        <f>"K"&amp;E99</f>
        <v>K4</v>
      </c>
      <c r="B117" s="293" t="s">
        <v>98</v>
      </c>
      <c r="C117" s="294"/>
      <c r="D117" s="294"/>
      <c r="E117" s="294"/>
      <c r="F117" s="294"/>
      <c r="G117" s="294"/>
      <c r="H117" s="186">
        <v>1</v>
      </c>
      <c r="I117" s="92" t="str">
        <f>IF(AND(H117&lt;=M114,M114&gt;1),VLOOKUP(VALUE(E99&amp;","&amp;H117),INTEGRANTES!$B$15:$D$72,2,0),"")</f>
        <v/>
      </c>
      <c r="J117" s="187" t="str">
        <f>IF(I117&lt;&gt;"",VLOOKUP(VALUE(E99&amp;","&amp;H117),INTEGRANTES!$B$15:$D$72,3,0),"")</f>
        <v/>
      </c>
      <c r="K117" s="247" t="str">
        <f>IF($I117="","",IF(G115="N/A","",ROUND($G115*POSMMLV*PORPOM,2)))</f>
        <v/>
      </c>
      <c r="L117" s="247" t="str">
        <f>IF(I117="","",SUMIF($J103:$J108,I117,$T103:$T108))</f>
        <v/>
      </c>
      <c r="M117" s="93" t="str">
        <f t="shared" ref="M117:M122" si="24">IF($I117="","",IF($K117&gt;L117,"NO CUMPLE","CUMPLE"))</f>
        <v/>
      </c>
      <c r="N117" s="93" t="str">
        <f t="shared" ref="N117:N122" si="25">IF($I117="","",IF(M117="CUMPLE","CUMPLE","NO CUMPLE"))</f>
        <v/>
      </c>
      <c r="O117" s="302"/>
      <c r="P117" s="303"/>
      <c r="Q117" s="303"/>
      <c r="R117" s="303"/>
      <c r="S117" s="303"/>
      <c r="T117" s="303"/>
      <c r="U117" s="304"/>
      <c r="V117" s="201"/>
      <c r="W117" s="1"/>
      <c r="X117" s="244" t="str">
        <f>IF(X114="","",IF(X114="INDIVIDUAL","NO APLICA","VERIFICAR CUADRO"))</f>
        <v>NO APLICA</v>
      </c>
      <c r="Y117" s="1"/>
      <c r="Z117" s="262" t="str">
        <f>IF(AND(H117&lt;=M114,M114&gt;1),VLOOKUP(VALUE(E99&amp;","&amp;H117),INTEGRANTES!$B$15:$D$72,2,0),"")</f>
        <v/>
      </c>
      <c r="AA117" s="248" t="str">
        <f>IF(I117="","",SUMIF(J103:$J108,I117,$T103:$T108))</f>
        <v/>
      </c>
      <c r="AB117" s="232"/>
      <c r="AC117" s="250" t="str">
        <f>IF(OR(Z117="",AB117=""),"",IF(AND(AB117="X",AA117&gt;=X120),"CUMPLE","NO CUMPLE"))</f>
        <v/>
      </c>
    </row>
    <row r="118" spans="1:29" ht="15.75" customHeight="1" thickBot="1">
      <c r="A118" s="125" t="str">
        <f>"L"&amp;E99</f>
        <v>L4</v>
      </c>
      <c r="B118" s="328" t="s">
        <v>134</v>
      </c>
      <c r="C118" s="329"/>
      <c r="D118" s="330"/>
      <c r="E118" s="132" t="s">
        <v>135</v>
      </c>
      <c r="F118" s="132" t="s">
        <v>136</v>
      </c>
      <c r="G118" s="136" t="s">
        <v>99</v>
      </c>
      <c r="H118" s="186">
        <v>2</v>
      </c>
      <c r="I118" s="92" t="str">
        <f>IF(AND(H118&lt;=M114,M114&gt;1),VLOOKUP(VALUE(E99&amp;","&amp;H118),INTEGRANTES!$B$15:$D$72,2,0),"")</f>
        <v/>
      </c>
      <c r="J118" s="187" t="str">
        <f>IF(I118&lt;&gt;"",VLOOKUP(VALUE(E99&amp;","&amp;H118),INTEGRANTES!$B$15:$D$72,3,0),"")</f>
        <v/>
      </c>
      <c r="K118" s="247" t="str">
        <f>IF($I118="","",IF(G115="N/A","",ROUND($G115*POSMMLV*PORPOM,2)))</f>
        <v/>
      </c>
      <c r="L118" s="247" t="str">
        <f>IF(I118="","",SUMIF($J103:$J108,I118,$T103:$T108))</f>
        <v/>
      </c>
      <c r="M118" s="93" t="str">
        <f t="shared" si="24"/>
        <v/>
      </c>
      <c r="N118" s="93" t="str">
        <f t="shared" si="25"/>
        <v/>
      </c>
      <c r="O118" s="302"/>
      <c r="P118" s="303"/>
      <c r="Q118" s="303"/>
      <c r="R118" s="303"/>
      <c r="S118" s="303"/>
      <c r="T118" s="303"/>
      <c r="U118" s="304"/>
      <c r="V118" s="201"/>
      <c r="W118" s="1"/>
      <c r="X118" s="42"/>
      <c r="Y118" s="1"/>
      <c r="Z118" s="262" t="str">
        <f>IF(AND(H118&lt;=M114,M114&gt;1),VLOOKUP(VALUE(E99&amp;","&amp;H118),INTEGRANTES!$B$15:$D$72,2,0),"")</f>
        <v/>
      </c>
      <c r="AA118" s="248" t="str">
        <f>IF(I118="","",SUMIF(J103:$J108,I118,$T103:$T108))</f>
        <v/>
      </c>
      <c r="AB118" s="232"/>
      <c r="AC118" s="250" t="str">
        <f>IF(OR(Z118="",AB118=""),"",IF(AND(AB118="X",AA118&gt;=X120),"CUMPLE","NO CUMPLE"))</f>
        <v/>
      </c>
    </row>
    <row r="119" spans="1:29" ht="16" thickBot="1">
      <c r="A119" s="122" t="str">
        <f>"M"&amp;E99</f>
        <v>M4</v>
      </c>
      <c r="B119" s="331"/>
      <c r="C119" s="332"/>
      <c r="D119" s="333"/>
      <c r="E119" s="237">
        <f>IF(ISTEXT(G115),"NO APLICA",G115*POSMMLV)</f>
        <v>1394.0360281651363</v>
      </c>
      <c r="F119" s="238">
        <f>IF(E119="","",T110)</f>
        <v>1937.45</v>
      </c>
      <c r="G119" s="221" t="str">
        <f>IF(E119="","",IF(E119="NO APLICA","NO CUMPLE",IF(F119&gt;=E119,"CUMPLE", "NO CUMPLE")))</f>
        <v>CUMPLE</v>
      </c>
      <c r="H119" s="186">
        <v>3</v>
      </c>
      <c r="I119" s="92" t="str">
        <f>IF(AND(H119&lt;=M114,M114&gt;1),VLOOKUP(VALUE(E99&amp;","&amp;H119),INTEGRANTES!$B$15:$D$72,2,0),"")</f>
        <v/>
      </c>
      <c r="J119" s="187" t="str">
        <f>IF(I119&lt;&gt;"",VLOOKUP(VALUE(E99&amp;","&amp;H119),INTEGRANTES!$B$15:$D$72,3,0),"")</f>
        <v/>
      </c>
      <c r="K119" s="247" t="str">
        <f>IF($I119="","",IF(G115="N/A","",ROUND($G115*POSMMLV*PORPOM,2)))</f>
        <v/>
      </c>
      <c r="L119" s="247" t="str">
        <f>IF(I119="","",SUMIF($J103:$J108,I119,$T103:$T108))</f>
        <v/>
      </c>
      <c r="M119" s="93" t="str">
        <f t="shared" si="24"/>
        <v/>
      </c>
      <c r="N119" s="93" t="str">
        <f t="shared" si="25"/>
        <v/>
      </c>
      <c r="O119" s="302"/>
      <c r="P119" s="303"/>
      <c r="Q119" s="303"/>
      <c r="R119" s="303"/>
      <c r="S119" s="303"/>
      <c r="T119" s="303"/>
      <c r="U119" s="304"/>
      <c r="V119" s="201"/>
      <c r="W119" s="1"/>
      <c r="X119" s="239" t="s">
        <v>145</v>
      </c>
      <c r="Y119" s="1"/>
      <c r="Z119" s="262" t="str">
        <f>IF(AND(H119&lt;=M114,M114&gt;1),VLOOKUP(VALUE(E99&amp;","&amp;H119),INTEGRANTES!$B$15:$D$72,2,0),"")</f>
        <v/>
      </c>
      <c r="AA119" s="248" t="str">
        <f>IF(I119="","",SUMIF(J103:$J108,I119,$T103:$T108))</f>
        <v/>
      </c>
      <c r="AB119" s="232"/>
      <c r="AC119" s="250" t="str">
        <f>IF(OR(Z119="",AB119=""),"",IF(AND(AB119="X",AA119&gt;=X120),"CUMPLE","NO CUMPLE"))</f>
        <v/>
      </c>
    </row>
    <row r="120" spans="1:29" ht="15.75" customHeight="1" thickBot="1">
      <c r="A120" s="122" t="str">
        <f>"N"&amp;E99</f>
        <v>N4</v>
      </c>
      <c r="B120" s="293" t="s">
        <v>107</v>
      </c>
      <c r="C120" s="294"/>
      <c r="D120" s="294"/>
      <c r="E120" s="294"/>
      <c r="F120" s="294"/>
      <c r="G120" s="294"/>
      <c r="H120" s="186">
        <v>4</v>
      </c>
      <c r="I120" s="92" t="str">
        <f>IF(AND(H120&lt;=M114,M114&gt;1),VLOOKUP(VALUE(E99&amp;","&amp;H120),INTEGRANTES!$B$15:$D$72,2,0),"")</f>
        <v/>
      </c>
      <c r="J120" s="187" t="str">
        <f>IF(I120&lt;&gt;"",VLOOKUP(VALUE(E99&amp;","&amp;H120),INTEGRANTES!$B$15:$D$72,3,0),"")</f>
        <v/>
      </c>
      <c r="K120" s="247" t="str">
        <f>IF($I120="","",IF(G115="N/A","",ROUND($G115*POSMMLV*PORPOM,2)))</f>
        <v/>
      </c>
      <c r="L120" s="247" t="str">
        <f>IF(I120="","",SUMIF($J103:$J108,I120,$T103:$T108))</f>
        <v/>
      </c>
      <c r="M120" s="93" t="str">
        <f t="shared" si="24"/>
        <v/>
      </c>
      <c r="N120" s="93" t="str">
        <f t="shared" si="25"/>
        <v/>
      </c>
      <c r="O120" s="302"/>
      <c r="P120" s="303"/>
      <c r="Q120" s="303"/>
      <c r="R120" s="303"/>
      <c r="S120" s="303"/>
      <c r="T120" s="303"/>
      <c r="U120" s="304"/>
      <c r="V120" s="201"/>
      <c r="W120" s="1"/>
      <c r="X120" s="251">
        <f>IF(G115="N/A","N/A",0.4*G115*POSMMLV)</f>
        <v>557.61441126605462</v>
      </c>
      <c r="Y120" s="1"/>
      <c r="Z120" s="262" t="str">
        <f>IF(AND(H120&lt;=M114,M114&gt;1),VLOOKUP(VALUE(E99&amp;","&amp;H120),INTEGRANTES!$B$15:$D$72,2,0),"")</f>
        <v/>
      </c>
      <c r="AA120" s="248" t="str">
        <f>IF(I120="","",SUMIF(J103:$J108,I120,$T103:$T108))</f>
        <v/>
      </c>
      <c r="AB120" s="232"/>
      <c r="AC120" s="250" t="str">
        <f>IF(OR(Z120="",AB120=""),"",IF(AND(AB120="X",AA120&gt;=X120),"CUMPLE","NO CUMPLE"))</f>
        <v/>
      </c>
    </row>
    <row r="121" spans="1:29" ht="33.75" customHeight="1" thickBot="1">
      <c r="A121" s="122" t="str">
        <f>"O"&amp;E99</f>
        <v>O4</v>
      </c>
      <c r="B121" s="328" t="s">
        <v>108</v>
      </c>
      <c r="C121" s="329"/>
      <c r="D121" s="329"/>
      <c r="E121" s="329"/>
      <c r="F121" s="329"/>
      <c r="G121" s="185" t="s">
        <v>99</v>
      </c>
      <c r="H121" s="186">
        <v>5</v>
      </c>
      <c r="I121" s="92" t="str">
        <f>IF(AND(H121&lt;=M114,M114&gt;1),VLOOKUP(VALUE(E99&amp;","&amp;H121),INTEGRANTES!$B$15:$D$72,2,0),"")</f>
        <v/>
      </c>
      <c r="J121" s="187" t="str">
        <f>IF(I121&lt;&gt;"",VLOOKUP(VALUE(E99&amp;","&amp;H121),INTEGRANTES!$B$15:$D$72,3,0),"")</f>
        <v/>
      </c>
      <c r="K121" s="247" t="str">
        <f>IF($I121="","",IF(G115="N/A","",ROUND($G115*POSMMLV*PORPOM,2)))</f>
        <v/>
      </c>
      <c r="L121" s="247" t="str">
        <f>IF(I121="","",SUMIF($J103:$J108,I121,$T103:$T108))</f>
        <v/>
      </c>
      <c r="M121" s="93" t="str">
        <f t="shared" si="24"/>
        <v/>
      </c>
      <c r="N121" s="93" t="str">
        <f t="shared" si="25"/>
        <v/>
      </c>
      <c r="O121" s="302"/>
      <c r="P121" s="303"/>
      <c r="Q121" s="303"/>
      <c r="R121" s="303"/>
      <c r="S121" s="303"/>
      <c r="T121" s="303"/>
      <c r="U121" s="304"/>
      <c r="V121" s="201"/>
      <c r="W121" s="1"/>
      <c r="X121" s="42"/>
      <c r="Y121" s="1"/>
      <c r="Z121" s="262" t="str">
        <f>IF(AND(H121&lt;=M114,M114&gt;1),VLOOKUP(VALUE(E99&amp;","&amp;H121),INTEGRANTES!$B$15:$D$72,2,0),"")</f>
        <v/>
      </c>
      <c r="AA121" s="248" t="str">
        <f>IF(I121="","",SUMIF(J103:$J108,I121,$T103:$T108))</f>
        <v/>
      </c>
      <c r="AB121" s="232"/>
      <c r="AC121" s="250" t="str">
        <f>IF(OR(Z121="",AB121=""),"",IF(AND(AB121="X",AA121&gt;=X120),"CUMPLE","NO CUMPLE"))</f>
        <v/>
      </c>
    </row>
    <row r="122" spans="1:29" ht="16" thickBot="1">
      <c r="A122" s="122" t="str">
        <f>"P"&amp;E99</f>
        <v>P4</v>
      </c>
      <c r="B122" s="353"/>
      <c r="C122" s="354"/>
      <c r="D122" s="354"/>
      <c r="E122" s="354"/>
      <c r="F122" s="354"/>
      <c r="G122" s="137" t="str">
        <f>IF(AND(COUNTIF(X103:X108,"")&gt;5,COUNTIF(Z103:Z108,"")&gt;5),"NO CUMPLE",IF(AND(COUNTIF(X103:X108,"SI")&gt;=$AF$17,COUNTIF(Z103:Z108,"SI")&gt;=$AF$17),"CUMPLE", "NO CUMPLE"))</f>
        <v>CUMPLE</v>
      </c>
      <c r="H122" s="257">
        <v>6</v>
      </c>
      <c r="I122" s="258" t="str">
        <f>IF(AND(H122&lt;=M114,M114&gt;1),VLOOKUP(VALUE(E99&amp;","&amp;H122),INTEGRANTES!$B$15:$D$72,2,0),"")</f>
        <v/>
      </c>
      <c r="J122" s="259" t="str">
        <f>IF(I122&lt;&gt;"",VLOOKUP(VALUE(E99&amp;","&amp;H122),INTEGRANTES!$B$15:$D$72,3,0),"")</f>
        <v/>
      </c>
      <c r="K122" s="260" t="str">
        <f>IF($I122="","",IF(G115="N/A","",ROUND($G115*POSMMLV*PORPOM,2)))</f>
        <v/>
      </c>
      <c r="L122" s="260" t="str">
        <f>IF(I122="","",SUMIF($J103:$J108,I122,$T103:$T108))</f>
        <v/>
      </c>
      <c r="M122" s="261" t="str">
        <f t="shared" si="24"/>
        <v/>
      </c>
      <c r="N122" s="93" t="str">
        <f t="shared" si="25"/>
        <v/>
      </c>
      <c r="O122" s="302"/>
      <c r="P122" s="303"/>
      <c r="Q122" s="303"/>
      <c r="R122" s="303"/>
      <c r="S122" s="303"/>
      <c r="T122" s="303"/>
      <c r="U122" s="304"/>
      <c r="V122" s="201"/>
      <c r="W122" s="1"/>
      <c r="X122" s="239" t="s">
        <v>122</v>
      </c>
      <c r="Y122" s="1"/>
      <c r="Z122" s="263" t="str">
        <f>IF(AND(H122&lt;=M114,M114&gt;1),VLOOKUP(VALUE(E99&amp;","&amp;H122),INTEGRANTES!$B$15:$D$72,2,0),"")</f>
        <v/>
      </c>
      <c r="AA122" s="249" t="str">
        <f>IF(I122="","",SUMIF(J103:$J108,I122,$T103:$T108))</f>
        <v/>
      </c>
      <c r="AB122" s="246"/>
      <c r="AC122" s="137" t="str">
        <f>IF(OR(Z122="",AB122=""),"",IF(AND(AB122="X",AA122&gt;=X120),"CUMPLE","NO CUMPLE"))</f>
        <v/>
      </c>
    </row>
    <row r="123" spans="1:29" ht="38.25" customHeight="1" thickBot="1">
      <c r="A123" s="122" t="str">
        <f>"Q"&amp;E99</f>
        <v>Q4</v>
      </c>
      <c r="B123" s="338"/>
      <c r="C123" s="339"/>
      <c r="D123" s="339"/>
      <c r="E123" s="339"/>
      <c r="F123" s="339"/>
      <c r="G123" s="340"/>
      <c r="H123" s="318" t="s">
        <v>138</v>
      </c>
      <c r="I123" s="341"/>
      <c r="J123" s="342"/>
      <c r="K123" s="318" t="s">
        <v>139</v>
      </c>
      <c r="L123" s="319"/>
      <c r="M123" s="188" t="str">
        <f>IF(OR($M114="",SUM(J117:J122)=0),"",IF(COUNTIF(M117:M122,"CUMPLE")&gt;=1,"CUMPLE","NO CUMPLE"))</f>
        <v/>
      </c>
      <c r="N123" s="188" t="str">
        <f>IF(OR($M114="",SUM(J117:J122)=0),"",IF(COUNTIF(N117:N122,"CUMPLE")&gt;=1,"CUMPLE","NO CUMPLE"))</f>
        <v/>
      </c>
      <c r="O123" s="305"/>
      <c r="P123" s="306"/>
      <c r="Q123" s="306"/>
      <c r="R123" s="306"/>
      <c r="S123" s="306"/>
      <c r="T123" s="306"/>
      <c r="U123" s="307"/>
      <c r="V123" s="201"/>
      <c r="W123" s="1"/>
      <c r="X123" s="254" t="str">
        <f>IF(X117="NO APLICA","NO APLICA",IF(COUNTIF(AC117:AC122,"CUMPLE")&gt;0,"CUMPLE","NO CUMPLE"))</f>
        <v>NO APLICA</v>
      </c>
      <c r="Y123" s="1"/>
      <c r="Z123" s="42"/>
      <c r="AA123" s="42"/>
      <c r="AB123" s="42"/>
      <c r="AC123" s="42"/>
    </row>
    <row r="124" spans="1:29">
      <c r="A124"/>
    </row>
    <row r="125" spans="1:29">
      <c r="A125"/>
    </row>
    <row r="126" spans="1:29" ht="23.5" thickBot="1">
      <c r="A126" s="167">
        <v>5</v>
      </c>
      <c r="B126" s="349" t="s">
        <v>1</v>
      </c>
      <c r="C126" s="349"/>
      <c r="D126" s="349"/>
      <c r="E126" s="105">
        <f>VLOOKUP(A126,PROPONENTES!$B$14:$D$37,2,FALSE)</f>
        <v>5</v>
      </c>
      <c r="F126" s="106" t="str">
        <f>VLOOKUP(E126,PROPONENTES!$C$14:$D$37,2,FALSE)</f>
        <v>CONSORCIO PUERTO RICO</v>
      </c>
      <c r="G126" s="107"/>
      <c r="H126" s="107"/>
      <c r="I126" s="107"/>
      <c r="J126" s="106"/>
      <c r="K126" s="106"/>
      <c r="L126" s="105"/>
      <c r="M126" s="107"/>
      <c r="N126" s="107"/>
      <c r="O126" s="107"/>
      <c r="P126" s="107"/>
      <c r="Q126" s="107"/>
      <c r="R126" s="107"/>
      <c r="S126" s="107"/>
      <c r="T126" s="108"/>
      <c r="U126" s="109"/>
      <c r="V126" s="109"/>
      <c r="W126" s="11"/>
      <c r="X126" s="240"/>
      <c r="Y126" s="11"/>
      <c r="Z126" s="240"/>
      <c r="AA126" s="240"/>
      <c r="AB126" s="240"/>
      <c r="AC126" s="240"/>
    </row>
    <row r="127" spans="1:29" ht="48" customHeight="1">
      <c r="A127" s="131"/>
      <c r="B127" s="350" t="s">
        <v>88</v>
      </c>
      <c r="C127" s="345" t="s">
        <v>48</v>
      </c>
      <c r="D127" s="352" t="s">
        <v>130</v>
      </c>
      <c r="E127" s="295"/>
      <c r="F127" s="352" t="s">
        <v>93</v>
      </c>
      <c r="G127" s="295"/>
      <c r="H127" s="315" t="s">
        <v>351</v>
      </c>
      <c r="I127" s="315" t="s">
        <v>103</v>
      </c>
      <c r="J127" s="315" t="s">
        <v>2</v>
      </c>
      <c r="K127" s="315" t="s">
        <v>352</v>
      </c>
      <c r="L127" s="315" t="s">
        <v>353</v>
      </c>
      <c r="M127" s="316" t="s">
        <v>29</v>
      </c>
      <c r="N127" s="315" t="s">
        <v>104</v>
      </c>
      <c r="O127" s="343" t="s">
        <v>78</v>
      </c>
      <c r="P127" s="344"/>
      <c r="Q127" s="345" t="s">
        <v>144</v>
      </c>
      <c r="R127" s="345" t="s">
        <v>101</v>
      </c>
      <c r="S127" s="294" t="s">
        <v>3</v>
      </c>
      <c r="T127" s="295"/>
      <c r="U127" s="347" t="s">
        <v>18</v>
      </c>
      <c r="V127" s="366" t="s">
        <v>102</v>
      </c>
      <c r="W127" s="133"/>
      <c r="X127" s="361" t="s">
        <v>146</v>
      </c>
      <c r="Y127" s="133"/>
      <c r="Z127" s="133"/>
      <c r="AA127" s="133"/>
      <c r="AB127" s="245"/>
      <c r="AC127" s="361" t="s">
        <v>123</v>
      </c>
    </row>
    <row r="128" spans="1:29" ht="98.25" customHeight="1">
      <c r="A128" s="131"/>
      <c r="B128" s="351"/>
      <c r="C128" s="346"/>
      <c r="D128" s="134" t="s">
        <v>10</v>
      </c>
      <c r="E128" s="134" t="s">
        <v>4</v>
      </c>
      <c r="F128" s="134" t="s">
        <v>15</v>
      </c>
      <c r="G128" s="135" t="s">
        <v>90</v>
      </c>
      <c r="H128" s="314"/>
      <c r="I128" s="314"/>
      <c r="J128" s="314"/>
      <c r="K128" s="314"/>
      <c r="L128" s="314"/>
      <c r="M128" s="317"/>
      <c r="N128" s="314"/>
      <c r="O128" s="264" t="s">
        <v>76</v>
      </c>
      <c r="P128" s="264" t="str">
        <f>+P45</f>
        <v>¿EL CONTRATO SE ENCUENTRA CLASIFICADO EN ALGUNA DE LAS CLASIFICACIONES ESTABLECIDAS EN EL PLIEGO? (SI/NO) (721033 - 721410 - 721411 - 721416)</v>
      </c>
      <c r="Q128" s="346"/>
      <c r="R128" s="346"/>
      <c r="S128" s="264" t="s">
        <v>81</v>
      </c>
      <c r="T128" s="264" t="s">
        <v>77</v>
      </c>
      <c r="U128" s="348"/>
      <c r="V128" s="336"/>
      <c r="W128" s="133"/>
      <c r="X128" s="362"/>
      <c r="Y128" s="133"/>
      <c r="Z128" s="245"/>
      <c r="AA128" s="245"/>
      <c r="AB128" s="245"/>
      <c r="AC128" s="362"/>
    </row>
    <row r="129" spans="1:29" ht="16" thickBot="1">
      <c r="A129" s="122"/>
      <c r="B129" s="96"/>
      <c r="C129" s="97"/>
      <c r="D129" s="97"/>
      <c r="E129" s="97"/>
      <c r="F129" s="97"/>
      <c r="G129" s="97"/>
      <c r="H129" s="97"/>
      <c r="I129" s="97"/>
      <c r="J129" s="97"/>
      <c r="K129" s="97"/>
      <c r="L129" s="97"/>
      <c r="M129" s="97"/>
      <c r="N129" s="97"/>
      <c r="O129" s="97"/>
      <c r="P129" s="97"/>
      <c r="Q129" s="97"/>
      <c r="R129" s="173"/>
      <c r="S129" s="173"/>
      <c r="T129" s="97"/>
      <c r="U129" s="191"/>
      <c r="V129" s="202"/>
      <c r="W129" s="1"/>
      <c r="X129" s="241"/>
      <c r="Y129" s="1"/>
      <c r="Z129" s="42"/>
      <c r="AA129" s="42"/>
      <c r="AB129" s="42"/>
      <c r="AC129" s="241"/>
    </row>
    <row r="130" spans="1:29" ht="42" customHeight="1">
      <c r="A130" s="125" t="str">
        <f>"A"&amp;E126</f>
        <v>A5</v>
      </c>
      <c r="B130" s="140">
        <v>1</v>
      </c>
      <c r="C130" s="139" t="s">
        <v>223</v>
      </c>
      <c r="D130" s="139" t="s">
        <v>228</v>
      </c>
      <c r="E130" s="139" t="s">
        <v>354</v>
      </c>
      <c r="F130" s="139" t="s">
        <v>222</v>
      </c>
      <c r="G130" s="142">
        <v>0.8</v>
      </c>
      <c r="H130" s="142" t="s">
        <v>115</v>
      </c>
      <c r="I130" s="138" t="s">
        <v>50</v>
      </c>
      <c r="J130" s="378" t="str">
        <f>+I144</f>
        <v>IC INFRAESTRUCTURA SAS</v>
      </c>
      <c r="K130" s="127">
        <v>41129</v>
      </c>
      <c r="L130" s="127">
        <v>41235</v>
      </c>
      <c r="M130" s="128">
        <f>IF(OR(K130="",L130=""),"",IF(OR(K130&gt;$T$14,K130&lt;$S$14,L130&gt;$T$14,AND(K130&lt;$S$14,L130&lt;$S$14)),"FUERA DE RANGO",IF(K130&gt;=$S$14,ROUND(((L130-K130+1)/360*12),1),ROUND(((L130-$S$14+1)/360*12),1))))</f>
        <v>3.6</v>
      </c>
      <c r="N130" s="206">
        <v>1</v>
      </c>
      <c r="O130" s="138" t="s">
        <v>50</v>
      </c>
      <c r="P130" s="128" t="s">
        <v>50</v>
      </c>
      <c r="Q130" s="128" t="s">
        <v>109</v>
      </c>
      <c r="R130" s="95">
        <v>2514.91</v>
      </c>
      <c r="S130" s="95">
        <f t="shared" ref="S130:S135" si="26">IF(OR(G130="",R130=""),"",R130*G130)</f>
        <v>2011.9279999999999</v>
      </c>
      <c r="T130" s="129">
        <f>IF(OR(I130="NO",I130="",I130&lt;&gt;"SI",S130=""),"",IF(OR(L130&lt;$S$14,L130&gt;$T$14,L130=""),0,ROUND(S130,2)))</f>
        <v>2011.93</v>
      </c>
      <c r="U130" s="192" t="s">
        <v>389</v>
      </c>
      <c r="V130" s="204"/>
      <c r="W130" s="141"/>
      <c r="X130" s="222" t="s">
        <v>50</v>
      </c>
      <c r="Y130" s="141"/>
      <c r="Z130" s="223" t="str">
        <f t="shared" ref="Z130:Z135" si="27">IF(T130="","",IF(T130&gt;=PORCREQCTO*POSMMLV,"SI","NO"))</f>
        <v>SI</v>
      </c>
      <c r="AA130" s="296" t="str">
        <f>"VERIFICACIÓN CUMPLIMIENTO "&amp;PORCREQCTO*100&amp;"% DEL PO"</f>
        <v>VERIFICACIÓN CUMPLIMIENTO 50% DEL PO</v>
      </c>
      <c r="AB130" s="171"/>
      <c r="AC130" s="256" t="s">
        <v>125</v>
      </c>
    </row>
    <row r="131" spans="1:29" ht="39.5" customHeight="1">
      <c r="A131" s="125" t="str">
        <f>"B"&amp;E126</f>
        <v>B5</v>
      </c>
      <c r="B131" s="140">
        <v>2</v>
      </c>
      <c r="C131" s="139" t="str">
        <f>+C130</f>
        <v>INVIAS</v>
      </c>
      <c r="D131" s="139" t="s">
        <v>229</v>
      </c>
      <c r="E131" s="139" t="s">
        <v>355</v>
      </c>
      <c r="F131" s="139" t="s">
        <v>222</v>
      </c>
      <c r="G131" s="142">
        <v>0.49</v>
      </c>
      <c r="H131" s="142" t="s">
        <v>115</v>
      </c>
      <c r="I131" s="138" t="s">
        <v>50</v>
      </c>
      <c r="J131" s="378" t="str">
        <f>+J130</f>
        <v>IC INFRAESTRUCTURA SAS</v>
      </c>
      <c r="K131" s="127">
        <v>40137</v>
      </c>
      <c r="L131" s="127">
        <v>40364</v>
      </c>
      <c r="M131" s="128">
        <f t="shared" ref="M131:M135" si="28">IF(OR(K131="",L131=""),"",IF(OR(K131&gt;$T$14,K131&lt;$S$14,L131&gt;$T$14,AND(K131&lt;$S$14,L131&lt;$S$14)),"FUERA DE RANGO",IF(K131&gt;=$S$14,ROUND(((L131-K131+1)/360*12),1),ROUND(((L131-$S$14+1)/360*12),1))))</f>
        <v>7.6</v>
      </c>
      <c r="N131" s="206">
        <v>2</v>
      </c>
      <c r="O131" s="138" t="s">
        <v>50</v>
      </c>
      <c r="P131" s="128" t="s">
        <v>50</v>
      </c>
      <c r="Q131" s="128" t="s">
        <v>109</v>
      </c>
      <c r="R131" s="95">
        <v>5255.7</v>
      </c>
      <c r="S131" s="95">
        <f t="shared" si="26"/>
        <v>2575.2929999999997</v>
      </c>
      <c r="T131" s="129">
        <f t="shared" ref="T131:T135" si="29">IF(OR(I131="NO",I131="",I131&lt;&gt;"SI",S131=""),"",IF(OR(L131&lt;$S$14,L131&gt;$T$14,L131=""),0,ROUND(S131,2)))</f>
        <v>2575.29</v>
      </c>
      <c r="U131" s="192" t="s">
        <v>390</v>
      </c>
      <c r="V131" s="204"/>
      <c r="W131" s="141"/>
      <c r="X131" s="222"/>
      <c r="Y131" s="141"/>
      <c r="Z131" s="224" t="str">
        <f t="shared" si="27"/>
        <v>SI</v>
      </c>
      <c r="AA131" s="297"/>
      <c r="AB131" s="171"/>
      <c r="AC131" s="256"/>
    </row>
    <row r="132" spans="1:29">
      <c r="A132" s="125" t="str">
        <f>"C"&amp;E126</f>
        <v>C5</v>
      </c>
      <c r="B132" s="140"/>
      <c r="C132" s="139"/>
      <c r="D132" s="139"/>
      <c r="E132" s="139"/>
      <c r="F132" s="139"/>
      <c r="G132" s="142"/>
      <c r="H132" s="142"/>
      <c r="I132" s="138"/>
      <c r="J132" s="138"/>
      <c r="K132" s="127"/>
      <c r="L132" s="127"/>
      <c r="M132" s="128" t="str">
        <f t="shared" si="28"/>
        <v/>
      </c>
      <c r="N132" s="206"/>
      <c r="O132" s="138"/>
      <c r="P132" s="128"/>
      <c r="Q132" s="128"/>
      <c r="R132" s="95"/>
      <c r="S132" s="95" t="str">
        <f t="shared" si="26"/>
        <v/>
      </c>
      <c r="T132" s="129" t="str">
        <f t="shared" si="29"/>
        <v/>
      </c>
      <c r="U132" s="192"/>
      <c r="V132" s="204"/>
      <c r="W132" s="141"/>
      <c r="X132" s="222"/>
      <c r="Y132" s="141"/>
      <c r="Z132" s="224" t="str">
        <f t="shared" si="27"/>
        <v/>
      </c>
      <c r="AA132" s="297"/>
      <c r="AB132" s="171"/>
      <c r="AC132" s="256"/>
    </row>
    <row r="133" spans="1:29">
      <c r="A133" s="125" t="str">
        <f>"D"&amp;E126</f>
        <v>D5</v>
      </c>
      <c r="B133" s="140"/>
      <c r="C133" s="139"/>
      <c r="D133" s="139"/>
      <c r="E133" s="139"/>
      <c r="F133" s="139"/>
      <c r="G133" s="142"/>
      <c r="H133" s="142"/>
      <c r="I133" s="138"/>
      <c r="J133" s="138"/>
      <c r="K133" s="127"/>
      <c r="L133" s="127"/>
      <c r="M133" s="128" t="str">
        <f t="shared" si="28"/>
        <v/>
      </c>
      <c r="N133" s="206"/>
      <c r="O133" s="138"/>
      <c r="P133" s="128"/>
      <c r="Q133" s="128"/>
      <c r="R133" s="95"/>
      <c r="S133" s="95" t="str">
        <f t="shared" si="26"/>
        <v/>
      </c>
      <c r="T133" s="129" t="str">
        <f t="shared" si="29"/>
        <v/>
      </c>
      <c r="U133" s="192"/>
      <c r="V133" s="204"/>
      <c r="W133" s="141"/>
      <c r="X133" s="222"/>
      <c r="Y133" s="141"/>
      <c r="Z133" s="224" t="str">
        <f t="shared" si="27"/>
        <v/>
      </c>
      <c r="AA133" s="297"/>
      <c r="AB133" s="171"/>
      <c r="AC133" s="256"/>
    </row>
    <row r="134" spans="1:29">
      <c r="A134" s="125" t="str">
        <f>"E"&amp;E126</f>
        <v>E5</v>
      </c>
      <c r="B134" s="140"/>
      <c r="C134" s="139"/>
      <c r="D134" s="139"/>
      <c r="E134" s="139"/>
      <c r="F134" s="139"/>
      <c r="G134" s="142"/>
      <c r="H134" s="142"/>
      <c r="I134" s="138"/>
      <c r="J134" s="138"/>
      <c r="K134" s="127"/>
      <c r="L134" s="127"/>
      <c r="M134" s="128" t="str">
        <f t="shared" si="28"/>
        <v/>
      </c>
      <c r="N134" s="206"/>
      <c r="O134" s="138"/>
      <c r="P134" s="128"/>
      <c r="Q134" s="128"/>
      <c r="R134" s="95"/>
      <c r="S134" s="95" t="str">
        <f t="shared" si="26"/>
        <v/>
      </c>
      <c r="T134" s="129" t="str">
        <f t="shared" si="29"/>
        <v/>
      </c>
      <c r="U134" s="192"/>
      <c r="V134" s="204"/>
      <c r="W134" s="141"/>
      <c r="X134" s="222"/>
      <c r="Y134" s="141"/>
      <c r="Z134" s="224" t="str">
        <f t="shared" si="27"/>
        <v/>
      </c>
      <c r="AA134" s="297"/>
      <c r="AB134" s="171"/>
      <c r="AC134" s="256"/>
    </row>
    <row r="135" spans="1:29" ht="16" thickBot="1">
      <c r="A135" s="125" t="str">
        <f>"F"&amp;E126</f>
        <v>F5</v>
      </c>
      <c r="B135" s="140"/>
      <c r="C135" s="139"/>
      <c r="D135" s="139"/>
      <c r="E135" s="139"/>
      <c r="F135" s="139"/>
      <c r="G135" s="142"/>
      <c r="H135" s="142"/>
      <c r="I135" s="138"/>
      <c r="J135" s="138"/>
      <c r="K135" s="127"/>
      <c r="L135" s="127"/>
      <c r="M135" s="128" t="str">
        <f t="shared" si="28"/>
        <v/>
      </c>
      <c r="N135" s="206"/>
      <c r="O135" s="138"/>
      <c r="P135" s="128"/>
      <c r="Q135" s="128"/>
      <c r="R135" s="95"/>
      <c r="S135" s="95" t="str">
        <f t="shared" si="26"/>
        <v/>
      </c>
      <c r="T135" s="129" t="str">
        <f t="shared" si="29"/>
        <v/>
      </c>
      <c r="U135" s="192"/>
      <c r="V135" s="204"/>
      <c r="W135" s="141"/>
      <c r="X135" s="222"/>
      <c r="Y135" s="141"/>
      <c r="Z135" s="225" t="str">
        <f t="shared" si="27"/>
        <v/>
      </c>
      <c r="AA135" s="363"/>
      <c r="AB135" s="171"/>
      <c r="AC135" s="256"/>
    </row>
    <row r="136" spans="1:29" ht="16" thickBot="1">
      <c r="A136" s="122"/>
      <c r="B136" s="96"/>
      <c r="C136" s="97"/>
      <c r="D136" s="97"/>
      <c r="E136" s="97"/>
      <c r="F136" s="97"/>
      <c r="G136" s="97"/>
      <c r="H136" s="97"/>
      <c r="I136" s="97"/>
      <c r="J136" s="97"/>
      <c r="K136" s="97"/>
      <c r="L136" s="97"/>
      <c r="M136" s="97"/>
      <c r="N136" s="97"/>
      <c r="O136" s="97"/>
      <c r="P136" s="97"/>
      <c r="Q136" s="97"/>
      <c r="R136" s="173"/>
      <c r="S136" s="173"/>
      <c r="T136" s="126"/>
      <c r="U136" s="98"/>
      <c r="V136" s="205"/>
      <c r="W136" s="1"/>
      <c r="X136" s="242"/>
      <c r="Y136" s="1"/>
      <c r="Z136" s="42"/>
      <c r="AA136" s="42"/>
      <c r="AB136" s="42"/>
      <c r="AC136" s="242"/>
    </row>
    <row r="137" spans="1:29" ht="16" thickBot="1">
      <c r="A137" s="123"/>
      <c r="B137" s="99"/>
      <c r="C137" s="94"/>
      <c r="D137" s="94"/>
      <c r="E137" s="94"/>
      <c r="F137" s="94"/>
      <c r="G137" s="94"/>
      <c r="H137" s="94"/>
      <c r="I137" s="94"/>
      <c r="J137" s="94"/>
      <c r="K137" s="94"/>
      <c r="L137" s="94"/>
      <c r="M137" s="94"/>
      <c r="N137" s="94"/>
      <c r="O137" s="94"/>
      <c r="P137" s="94"/>
      <c r="Q137" s="94"/>
      <c r="R137" s="265"/>
      <c r="S137" s="265"/>
      <c r="T137" s="130">
        <f>SUM(T130:T135)</f>
        <v>4587.22</v>
      </c>
      <c r="U137" s="100"/>
      <c r="V137" s="203"/>
      <c r="W137" s="12"/>
      <c r="X137" s="243"/>
      <c r="Y137" s="12"/>
      <c r="Z137" s="243"/>
      <c r="AA137" s="243"/>
      <c r="AB137" s="243"/>
      <c r="AC137" s="243"/>
    </row>
    <row r="138" spans="1:29">
      <c r="B138" s="197"/>
      <c r="C138" s="193"/>
      <c r="D138" s="193"/>
      <c r="E138" s="193"/>
      <c r="F138" s="193"/>
      <c r="G138" s="193"/>
      <c r="H138" s="193"/>
      <c r="I138" s="193"/>
      <c r="J138" s="193"/>
      <c r="K138" s="193"/>
      <c r="L138" s="193"/>
      <c r="M138" s="193"/>
      <c r="N138" s="193"/>
      <c r="O138" s="193"/>
      <c r="P138" s="193"/>
      <c r="Q138" s="193"/>
      <c r="R138" s="194"/>
      <c r="S138" s="194"/>
      <c r="T138" s="195"/>
      <c r="U138" s="196"/>
      <c r="V138" s="195"/>
    </row>
    <row r="139" spans="1:29" ht="16" thickBot="1">
      <c r="A139" s="122"/>
      <c r="B139" s="322" t="s">
        <v>45</v>
      </c>
      <c r="C139" s="323"/>
      <c r="D139" s="323"/>
      <c r="E139" s="323"/>
      <c r="F139" s="323"/>
      <c r="G139" s="324"/>
      <c r="H139" s="324"/>
      <c r="I139" s="324"/>
      <c r="J139" s="324"/>
      <c r="K139" s="324"/>
      <c r="L139" s="324"/>
      <c r="M139" s="324"/>
      <c r="N139" s="324"/>
      <c r="O139" s="324"/>
      <c r="P139" s="324"/>
      <c r="Q139" s="324"/>
      <c r="R139" s="324"/>
      <c r="S139" s="324"/>
      <c r="T139" s="324"/>
      <c r="U139" s="325"/>
      <c r="V139" s="201"/>
      <c r="W139" s="1"/>
      <c r="X139" s="42"/>
      <c r="Y139" s="1"/>
      <c r="Z139" s="42"/>
      <c r="AA139" s="42"/>
      <c r="AB139" s="42"/>
      <c r="AC139" s="42"/>
    </row>
    <row r="140" spans="1:29" ht="16.5" customHeight="1" thickBot="1">
      <c r="A140" s="122" t="str">
        <f>"G"&amp;E126</f>
        <v>G5</v>
      </c>
      <c r="B140" s="291" t="s">
        <v>97</v>
      </c>
      <c r="C140" s="292"/>
      <c r="D140" s="292"/>
      <c r="E140" s="292"/>
      <c r="F140" s="292"/>
      <c r="G140" s="326"/>
      <c r="H140" s="291" t="s">
        <v>100</v>
      </c>
      <c r="I140" s="292"/>
      <c r="J140" s="292"/>
      <c r="K140" s="292"/>
      <c r="L140" s="292"/>
      <c r="M140" s="292"/>
      <c r="N140" s="292"/>
      <c r="O140" s="189" t="s">
        <v>23</v>
      </c>
      <c r="P140" s="190"/>
      <c r="Q140" s="190"/>
      <c r="R140" s="190"/>
      <c r="S140" s="190"/>
      <c r="T140" s="190"/>
      <c r="U140" s="253"/>
      <c r="V140" s="201"/>
      <c r="W140" s="1"/>
      <c r="X140" s="239" t="s">
        <v>117</v>
      </c>
      <c r="Y140" s="1"/>
      <c r="Z140" s="355" t="s">
        <v>119</v>
      </c>
      <c r="AA140" s="345" t="s">
        <v>120</v>
      </c>
      <c r="AB140" s="345" t="s">
        <v>148</v>
      </c>
      <c r="AC140" s="359" t="s">
        <v>149</v>
      </c>
    </row>
    <row r="141" spans="1:29" ht="15.75" customHeight="1" thickBot="1">
      <c r="A141" s="122" t="str">
        <f>"H"&amp;E126</f>
        <v>H5</v>
      </c>
      <c r="B141" s="293" t="s">
        <v>132</v>
      </c>
      <c r="C141" s="294"/>
      <c r="D141" s="294"/>
      <c r="E141" s="294"/>
      <c r="F141" s="294"/>
      <c r="G141" s="327"/>
      <c r="H141" s="293" t="s">
        <v>17</v>
      </c>
      <c r="I141" s="294"/>
      <c r="J141" s="294"/>
      <c r="K141" s="294"/>
      <c r="L141" s="295"/>
      <c r="M141" s="183">
        <f>VLOOKUP(E126,PROPONENTES!$C$14:$E$37,3,0)</f>
        <v>2</v>
      </c>
      <c r="N141" s="296" t="s">
        <v>143</v>
      </c>
      <c r="O141" s="299"/>
      <c r="P141" s="300"/>
      <c r="Q141" s="300"/>
      <c r="R141" s="300"/>
      <c r="S141" s="300"/>
      <c r="T141" s="300"/>
      <c r="U141" s="301"/>
      <c r="V141" s="201"/>
      <c r="W141" s="1"/>
      <c r="X141" s="244" t="str">
        <f>IF(M141="","",IF(M141=1,"INDIVIDUAL","ESTRUCTURA PLURAL"))</f>
        <v>ESTRUCTURA PLURAL</v>
      </c>
      <c r="Y141" s="1"/>
      <c r="Z141" s="356"/>
      <c r="AA141" s="358"/>
      <c r="AB141" s="358"/>
      <c r="AC141" s="360"/>
    </row>
    <row r="142" spans="1:29" ht="15.75" customHeight="1" thickBot="1">
      <c r="A142" s="122" t="str">
        <f>"I"&amp;E126</f>
        <v>I5</v>
      </c>
      <c r="B142" s="328" t="s">
        <v>131</v>
      </c>
      <c r="C142" s="329"/>
      <c r="D142" s="330"/>
      <c r="E142" s="308">
        <f>IF(AND(I130="SI",T130&gt;0),1,0)+IF(AND(I131="SI",T131&gt;0),1,0)+IF(AND(I132="SI",T132&gt;0),1,0)+IF(AND(I133="SI",T133&gt;0),1,0)+IF(AND(I134="SI",T134&gt;0),1,0)+IF(AND(I135="SI",T135&gt;0),1,0)</f>
        <v>2</v>
      </c>
      <c r="F142" s="310" t="s">
        <v>133</v>
      </c>
      <c r="G142" s="312">
        <f>IF(E142=0,"N/A",IF(AND(E142&gt;=1,E142&lt;=2),0.75,IF(AND(E142&gt;=3,E142&lt;=4),1.2,IF(AND(E142&gt;=5,E142&lt;=6),1.5,"REVISAR"))))</f>
        <v>0.75</v>
      </c>
      <c r="H142" s="334" t="s">
        <v>16</v>
      </c>
      <c r="I142" s="335"/>
      <c r="J142" s="314" t="s">
        <v>350</v>
      </c>
      <c r="K142" s="314" t="s">
        <v>140</v>
      </c>
      <c r="L142" s="314" t="s">
        <v>141</v>
      </c>
      <c r="M142" s="320" t="s">
        <v>142</v>
      </c>
      <c r="N142" s="297"/>
      <c r="O142" s="302"/>
      <c r="P142" s="303"/>
      <c r="Q142" s="303"/>
      <c r="R142" s="303"/>
      <c r="S142" s="303"/>
      <c r="T142" s="303"/>
      <c r="U142" s="304"/>
      <c r="V142" s="201"/>
      <c r="W142" s="38"/>
      <c r="X142" s="171"/>
      <c r="Y142" s="38"/>
      <c r="Z142" s="356"/>
      <c r="AA142" s="358"/>
      <c r="AB142" s="358"/>
      <c r="AC142" s="360"/>
    </row>
    <row r="143" spans="1:29" ht="16.5" customHeight="1" thickBot="1">
      <c r="A143" s="122" t="str">
        <f>"J"&amp;E126</f>
        <v>J5</v>
      </c>
      <c r="B143" s="331"/>
      <c r="C143" s="332"/>
      <c r="D143" s="333"/>
      <c r="E143" s="309"/>
      <c r="F143" s="311"/>
      <c r="G143" s="313"/>
      <c r="H143" s="336"/>
      <c r="I143" s="337"/>
      <c r="J143" s="314"/>
      <c r="K143" s="314"/>
      <c r="L143" s="314"/>
      <c r="M143" s="321"/>
      <c r="N143" s="298"/>
      <c r="O143" s="302"/>
      <c r="P143" s="303"/>
      <c r="Q143" s="303"/>
      <c r="R143" s="303"/>
      <c r="S143" s="303"/>
      <c r="T143" s="303"/>
      <c r="U143" s="304"/>
      <c r="V143" s="201"/>
      <c r="W143" s="38"/>
      <c r="X143" s="239" t="s">
        <v>118</v>
      </c>
      <c r="Y143" s="38"/>
      <c r="Z143" s="357"/>
      <c r="AA143" s="346"/>
      <c r="AB143" s="346"/>
      <c r="AC143" s="321"/>
    </row>
    <row r="144" spans="1:29" ht="16" thickBot="1">
      <c r="A144" s="125" t="str">
        <f>"K"&amp;E126</f>
        <v>K5</v>
      </c>
      <c r="B144" s="293" t="s">
        <v>98</v>
      </c>
      <c r="C144" s="294"/>
      <c r="D144" s="294"/>
      <c r="E144" s="294"/>
      <c r="F144" s="294"/>
      <c r="G144" s="294"/>
      <c r="H144" s="186">
        <v>1</v>
      </c>
      <c r="I144" s="92" t="str">
        <f>IF(AND(H144&lt;=M141,M141&gt;1),VLOOKUP(VALUE(E126&amp;","&amp;H144),INTEGRANTES!$B$15:$D$72,2,0),"")</f>
        <v>IC INFRAESTRUCTURA SAS</v>
      </c>
      <c r="J144" s="187">
        <f>IF(I144&lt;&gt;"",VLOOKUP(VALUE(E126&amp;","&amp;H144),INTEGRANTES!$B$15:$D$72,3,0),"")</f>
        <v>0.5</v>
      </c>
      <c r="K144" s="247">
        <f>IF($I144="","",IF(G142="N/A","",ROUND($G142*POSMMLV*PORPOM,2)))</f>
        <v>697.02</v>
      </c>
      <c r="L144" s="247">
        <f>IF(I144="","",SUMIF($J130:$J135,I144,$T130:$T135))</f>
        <v>4587.22</v>
      </c>
      <c r="M144" s="93" t="str">
        <f t="shared" ref="M144:M149" si="30">IF($I144="","",IF($K144&gt;L144,"NO CUMPLE","CUMPLE"))</f>
        <v>CUMPLE</v>
      </c>
      <c r="N144" s="93" t="str">
        <f t="shared" ref="N144:N149" si="31">IF($I144="","",IF(M144="CUMPLE","CUMPLE","NO CUMPLE"))</f>
        <v>CUMPLE</v>
      </c>
      <c r="O144" s="302"/>
      <c r="P144" s="303"/>
      <c r="Q144" s="303"/>
      <c r="R144" s="303"/>
      <c r="S144" s="303"/>
      <c r="T144" s="303"/>
      <c r="U144" s="304"/>
      <c r="V144" s="201"/>
      <c r="W144" s="1"/>
      <c r="X144" s="244" t="str">
        <f>IF(X141="","",IF(X141="INDIVIDUAL","NO APLICA","VERIFICAR CUADRO"))</f>
        <v>VERIFICAR CUADRO</v>
      </c>
      <c r="Y144" s="1"/>
      <c r="Z144" s="262" t="str">
        <f>IF(AND(H144&lt;=M141,M141&gt;1),VLOOKUP(VALUE(E126&amp;","&amp;H144),INTEGRANTES!$B$15:$D$72,2,0),"")</f>
        <v>IC INFRAESTRUCTURA SAS</v>
      </c>
      <c r="AA144" s="248">
        <f>IF(I144="","",SUMIF(J130:$J135,I144,$T130:$T135))</f>
        <v>4587.22</v>
      </c>
      <c r="AB144" s="232"/>
      <c r="AC144" s="250" t="str">
        <f>IF(OR(Z144="",AB144=""),"",IF(AND(AB144="X",AA144&gt;=X147),"CUMPLE","NO CUMPLE"))</f>
        <v/>
      </c>
    </row>
    <row r="145" spans="1:29" ht="15.75" customHeight="1" thickBot="1">
      <c r="A145" s="125" t="str">
        <f>"L"&amp;E126</f>
        <v>L5</v>
      </c>
      <c r="B145" s="328" t="s">
        <v>134</v>
      </c>
      <c r="C145" s="329"/>
      <c r="D145" s="330"/>
      <c r="E145" s="132" t="s">
        <v>135</v>
      </c>
      <c r="F145" s="132" t="s">
        <v>136</v>
      </c>
      <c r="G145" s="136" t="s">
        <v>99</v>
      </c>
      <c r="H145" s="186">
        <v>2</v>
      </c>
      <c r="I145" s="92" t="str">
        <f>IF(AND(H145&lt;=M141,M141&gt;1),VLOOKUP(VALUE(E126&amp;","&amp;H145),INTEGRANTES!$B$15:$D$72,2,0),"")</f>
        <v>DOCTOR CONSTRUCTOR S.A.S.</v>
      </c>
      <c r="J145" s="187">
        <f>IF(I145&lt;&gt;"",VLOOKUP(VALUE(E126&amp;","&amp;H145),INTEGRANTES!$B$15:$D$72,3,0),"")</f>
        <v>0.5</v>
      </c>
      <c r="K145" s="247">
        <f>IF($I145="","",IF(G142="N/A","",ROUND($G142*POSMMLV*PORPOM,2)))</f>
        <v>697.02</v>
      </c>
      <c r="L145" s="247">
        <f>IF(I145="","",SUMIF($J130:$J135,I145,$T130:$T135))</f>
        <v>0</v>
      </c>
      <c r="M145" s="93" t="str">
        <f t="shared" si="30"/>
        <v>NO CUMPLE</v>
      </c>
      <c r="N145" s="93" t="str">
        <f t="shared" si="31"/>
        <v>NO CUMPLE</v>
      </c>
      <c r="O145" s="302"/>
      <c r="P145" s="303"/>
      <c r="Q145" s="303"/>
      <c r="R145" s="303"/>
      <c r="S145" s="303"/>
      <c r="T145" s="303"/>
      <c r="U145" s="304"/>
      <c r="V145" s="201"/>
      <c r="W145" s="1"/>
      <c r="X145" s="42"/>
      <c r="Y145" s="1"/>
      <c r="Z145" s="262" t="str">
        <f>IF(AND(H145&lt;=M141,M141&gt;1),VLOOKUP(VALUE(E126&amp;","&amp;H145),INTEGRANTES!$B$15:$D$72,2,0),"")</f>
        <v>DOCTOR CONSTRUCTOR S.A.S.</v>
      </c>
      <c r="AA145" s="248">
        <f>IF(I145="","",SUMIF(J130:$J135,I145,$T130:$T135))</f>
        <v>0</v>
      </c>
      <c r="AB145" s="232"/>
      <c r="AC145" s="250" t="str">
        <f>IF(OR(Z145="",AB145=""),"",IF(AND(AB145="X",AA145&gt;=X147),"CUMPLE","NO CUMPLE"))</f>
        <v/>
      </c>
    </row>
    <row r="146" spans="1:29" ht="16" thickBot="1">
      <c r="A146" s="122" t="str">
        <f>"M"&amp;E126</f>
        <v>M5</v>
      </c>
      <c r="B146" s="331"/>
      <c r="C146" s="332"/>
      <c r="D146" s="333"/>
      <c r="E146" s="237">
        <f>IF(ISTEXT(G142),"NO APLICA",G142*POSMMLV)</f>
        <v>1394.0360281651363</v>
      </c>
      <c r="F146" s="238">
        <f>IF(E146="","",T137)</f>
        <v>4587.22</v>
      </c>
      <c r="G146" s="221" t="str">
        <f>IF(E146="","",IF(E146="NO APLICA","NO CUMPLE",IF(F146&gt;=E146,"CUMPLE", "NO CUMPLE")))</f>
        <v>CUMPLE</v>
      </c>
      <c r="H146" s="186">
        <v>3</v>
      </c>
      <c r="I146" s="92" t="str">
        <f>IF(AND(H146&lt;=M141,M141&gt;1),VLOOKUP(VALUE(E126&amp;","&amp;H146),INTEGRANTES!$B$15:$D$72,2,0),"")</f>
        <v/>
      </c>
      <c r="J146" s="187" t="str">
        <f>IF(I146&lt;&gt;"",VLOOKUP(VALUE(E126&amp;","&amp;H146),INTEGRANTES!$B$15:$D$72,3,0),"")</f>
        <v/>
      </c>
      <c r="K146" s="247" t="str">
        <f>IF($I146="","",IF(G142="N/A","",ROUND($G142*POSMMLV*PORPOM,2)))</f>
        <v/>
      </c>
      <c r="L146" s="247" t="str">
        <f>IF(I146="","",SUMIF($J130:$J135,I146,$T130:$T135))</f>
        <v/>
      </c>
      <c r="M146" s="93" t="str">
        <f t="shared" si="30"/>
        <v/>
      </c>
      <c r="N146" s="93" t="str">
        <f t="shared" si="31"/>
        <v/>
      </c>
      <c r="O146" s="302"/>
      <c r="P146" s="303"/>
      <c r="Q146" s="303"/>
      <c r="R146" s="303"/>
      <c r="S146" s="303"/>
      <c r="T146" s="303"/>
      <c r="U146" s="304"/>
      <c r="V146" s="201"/>
      <c r="W146" s="1"/>
      <c r="X146" s="239" t="s">
        <v>145</v>
      </c>
      <c r="Y146" s="1"/>
      <c r="Z146" s="262" t="str">
        <f>IF(AND(H146&lt;=M141,M141&gt;1),VLOOKUP(VALUE(E126&amp;","&amp;H146),INTEGRANTES!$B$15:$D$72,2,0),"")</f>
        <v/>
      </c>
      <c r="AA146" s="248" t="str">
        <f>IF(I146="","",SUMIF(J130:$J135,I146,$T130:$T135))</f>
        <v/>
      </c>
      <c r="AB146" s="232"/>
      <c r="AC146" s="250" t="str">
        <f>IF(OR(Z146="",AB146=""),"",IF(AND(AB146="X",AA146&gt;=X147),"CUMPLE","NO CUMPLE"))</f>
        <v/>
      </c>
    </row>
    <row r="147" spans="1:29" ht="15.75" customHeight="1" thickBot="1">
      <c r="A147" s="122" t="str">
        <f>"N"&amp;E126</f>
        <v>N5</v>
      </c>
      <c r="B147" s="293" t="s">
        <v>107</v>
      </c>
      <c r="C147" s="294"/>
      <c r="D147" s="294"/>
      <c r="E147" s="294"/>
      <c r="F147" s="294"/>
      <c r="G147" s="294"/>
      <c r="H147" s="186">
        <v>4</v>
      </c>
      <c r="I147" s="92" t="str">
        <f>IF(AND(H147&lt;=M141,M141&gt;1),VLOOKUP(VALUE(E126&amp;","&amp;H147),INTEGRANTES!$B$15:$D$72,2,0),"")</f>
        <v/>
      </c>
      <c r="J147" s="187" t="str">
        <f>IF(I147&lt;&gt;"",VLOOKUP(VALUE(E126&amp;","&amp;H147),INTEGRANTES!$B$15:$D$72,3,0),"")</f>
        <v/>
      </c>
      <c r="K147" s="247" t="str">
        <f>IF($I147="","",IF(G142="N/A","",ROUND($G142*POSMMLV*PORPOM,2)))</f>
        <v/>
      </c>
      <c r="L147" s="247" t="str">
        <f>IF(I147="","",SUMIF($J130:$J135,I147,$T130:$T135))</f>
        <v/>
      </c>
      <c r="M147" s="93" t="str">
        <f t="shared" si="30"/>
        <v/>
      </c>
      <c r="N147" s="93" t="str">
        <f t="shared" si="31"/>
        <v/>
      </c>
      <c r="O147" s="302"/>
      <c r="P147" s="303"/>
      <c r="Q147" s="303"/>
      <c r="R147" s="303"/>
      <c r="S147" s="303"/>
      <c r="T147" s="303"/>
      <c r="U147" s="304"/>
      <c r="V147" s="201"/>
      <c r="W147" s="1"/>
      <c r="X147" s="251">
        <f>IF(G142="N/A","N/A",0.4*G142*POSMMLV)</f>
        <v>557.61441126605462</v>
      </c>
      <c r="Y147" s="1"/>
      <c r="Z147" s="262" t="str">
        <f>IF(AND(H147&lt;=M141,M141&gt;1),VLOOKUP(VALUE(E126&amp;","&amp;H147),INTEGRANTES!$B$15:$D$72,2,0),"")</f>
        <v/>
      </c>
      <c r="AA147" s="248" t="str">
        <f>IF(I147="","",SUMIF(J130:$J135,I147,$T130:$T135))</f>
        <v/>
      </c>
      <c r="AB147" s="232"/>
      <c r="AC147" s="250" t="str">
        <f>IF(OR(Z147="",AB147=""),"",IF(AND(AB147="X",AA147&gt;=X147),"CUMPLE","NO CUMPLE"))</f>
        <v/>
      </c>
    </row>
    <row r="148" spans="1:29" ht="33.75" customHeight="1" thickBot="1">
      <c r="A148" s="122" t="str">
        <f>"O"&amp;E126</f>
        <v>O5</v>
      </c>
      <c r="B148" s="328" t="s">
        <v>108</v>
      </c>
      <c r="C148" s="329"/>
      <c r="D148" s="329"/>
      <c r="E148" s="329"/>
      <c r="F148" s="329"/>
      <c r="G148" s="185" t="s">
        <v>99</v>
      </c>
      <c r="H148" s="186">
        <v>5</v>
      </c>
      <c r="I148" s="92" t="str">
        <f>IF(AND(H148&lt;=M141,M141&gt;1),VLOOKUP(VALUE(E126&amp;","&amp;H148),INTEGRANTES!$B$15:$D$72,2,0),"")</f>
        <v/>
      </c>
      <c r="J148" s="187" t="str">
        <f>IF(I148&lt;&gt;"",VLOOKUP(VALUE(E126&amp;","&amp;H148),INTEGRANTES!$B$15:$D$72,3,0),"")</f>
        <v/>
      </c>
      <c r="K148" s="247" t="str">
        <f>IF($I148="","",IF(G142="N/A","",ROUND($G142*POSMMLV*PORPOM,2)))</f>
        <v/>
      </c>
      <c r="L148" s="247" t="str">
        <f>IF(I148="","",SUMIF($J130:$J135,I148,$T130:$T135))</f>
        <v/>
      </c>
      <c r="M148" s="93" t="str">
        <f t="shared" si="30"/>
        <v/>
      </c>
      <c r="N148" s="93" t="str">
        <f t="shared" si="31"/>
        <v/>
      </c>
      <c r="O148" s="302"/>
      <c r="P148" s="303"/>
      <c r="Q148" s="303"/>
      <c r="R148" s="303"/>
      <c r="S148" s="303"/>
      <c r="T148" s="303"/>
      <c r="U148" s="304"/>
      <c r="V148" s="201"/>
      <c r="W148" s="1"/>
      <c r="X148" s="42"/>
      <c r="Y148" s="1"/>
      <c r="Z148" s="262" t="str">
        <f>IF(AND(H148&lt;=M141,M141&gt;1),VLOOKUP(VALUE(E126&amp;","&amp;H148),INTEGRANTES!$B$15:$D$72,2,0),"")</f>
        <v/>
      </c>
      <c r="AA148" s="248" t="str">
        <f>IF(I148="","",SUMIF(J130:$J135,I148,$T130:$T135))</f>
        <v/>
      </c>
      <c r="AB148" s="232"/>
      <c r="AC148" s="250" t="str">
        <f>IF(OR(Z148="",AB148=""),"",IF(AND(AB148="X",AA148&gt;=X147),"CUMPLE","NO CUMPLE"))</f>
        <v/>
      </c>
    </row>
    <row r="149" spans="1:29" ht="16" thickBot="1">
      <c r="A149" s="122" t="str">
        <f>"P"&amp;E126</f>
        <v>P5</v>
      </c>
      <c r="B149" s="353"/>
      <c r="C149" s="354"/>
      <c r="D149" s="354"/>
      <c r="E149" s="354"/>
      <c r="F149" s="354"/>
      <c r="G149" s="137" t="str">
        <f>IF(AND(COUNTIF(X130:X135,"")&gt;5,COUNTIF(Z130:Z135,"")&gt;5),"NO CUMPLE",IF(AND(COUNTIF(X130:X135,"SI")&gt;=$AF$17,COUNTIF(Z130:Z135,"SI")&gt;=$AF$17),"CUMPLE", "NO CUMPLE"))</f>
        <v>CUMPLE</v>
      </c>
      <c r="H149" s="257">
        <v>6</v>
      </c>
      <c r="I149" s="258" t="str">
        <f>IF(AND(H149&lt;=M141,M141&gt;1),VLOOKUP(VALUE(E126&amp;","&amp;H149),INTEGRANTES!$B$15:$D$72,2,0),"")</f>
        <v/>
      </c>
      <c r="J149" s="259" t="str">
        <f>IF(I149&lt;&gt;"",VLOOKUP(VALUE(E126&amp;","&amp;H149),INTEGRANTES!$B$15:$D$72,3,0),"")</f>
        <v/>
      </c>
      <c r="K149" s="260" t="str">
        <f>IF($I149="","",IF(G142="N/A","",ROUND($G142*POSMMLV*PORPOM,2)))</f>
        <v/>
      </c>
      <c r="L149" s="260" t="str">
        <f>IF(I149="","",SUMIF($J130:$J135,I149,$T130:$T135))</f>
        <v/>
      </c>
      <c r="M149" s="261" t="str">
        <f t="shared" si="30"/>
        <v/>
      </c>
      <c r="N149" s="93" t="str">
        <f t="shared" si="31"/>
        <v/>
      </c>
      <c r="O149" s="302"/>
      <c r="P149" s="303"/>
      <c r="Q149" s="303"/>
      <c r="R149" s="303"/>
      <c r="S149" s="303"/>
      <c r="T149" s="303"/>
      <c r="U149" s="304"/>
      <c r="V149" s="201"/>
      <c r="W149" s="1"/>
      <c r="X149" s="239" t="s">
        <v>122</v>
      </c>
      <c r="Y149" s="1"/>
      <c r="Z149" s="263" t="str">
        <f>IF(AND(H149&lt;=M141,M141&gt;1),VLOOKUP(VALUE(E126&amp;","&amp;H149),INTEGRANTES!$B$15:$D$72,2,0),"")</f>
        <v/>
      </c>
      <c r="AA149" s="249" t="str">
        <f>IF(I149="","",SUMIF(J130:$J135,I149,$T130:$T135))</f>
        <v/>
      </c>
      <c r="AB149" s="246"/>
      <c r="AC149" s="137" t="str">
        <f>IF(OR(Z149="",AB149=""),"",IF(AND(AB149="X",AA149&gt;=X147),"CUMPLE","NO CUMPLE"))</f>
        <v/>
      </c>
    </row>
    <row r="150" spans="1:29" ht="38.25" customHeight="1" thickBot="1">
      <c r="A150" s="122" t="str">
        <f>"Q"&amp;E126</f>
        <v>Q5</v>
      </c>
      <c r="B150" s="338"/>
      <c r="C150" s="339"/>
      <c r="D150" s="339"/>
      <c r="E150" s="339"/>
      <c r="F150" s="339"/>
      <c r="G150" s="340"/>
      <c r="H150" s="318" t="s">
        <v>138</v>
      </c>
      <c r="I150" s="341"/>
      <c r="J150" s="342"/>
      <c r="K150" s="318" t="s">
        <v>139</v>
      </c>
      <c r="L150" s="319"/>
      <c r="M150" s="188" t="str">
        <f>IF(OR($M141="",SUM(J144:J149)=0),"",IF(COUNTIF(M144:M149,"CUMPLE")&gt;=1,"CUMPLE","NO CUMPLE"))</f>
        <v>CUMPLE</v>
      </c>
      <c r="N150" s="188" t="str">
        <f>IF(OR($M141="",SUM(J144:J149)=0),"",IF(COUNTIF(N144:N149,"CUMPLE")&gt;=1,"CUMPLE","NO CUMPLE"))</f>
        <v>CUMPLE</v>
      </c>
      <c r="O150" s="305"/>
      <c r="P150" s="306"/>
      <c r="Q150" s="306"/>
      <c r="R150" s="306"/>
      <c r="S150" s="306"/>
      <c r="T150" s="306"/>
      <c r="U150" s="307"/>
      <c r="V150" s="201"/>
      <c r="W150" s="1"/>
      <c r="X150" s="254" t="str">
        <f>IF(X144="NO APLICA","NO APLICA",IF(COUNTIF(AC144:AC149,"CUMPLE")&gt;0,"CUMPLE","NO CUMPLE"))</f>
        <v>NO CUMPLE</v>
      </c>
      <c r="Y150" s="1"/>
      <c r="Z150" s="42"/>
      <c r="AA150" s="42"/>
      <c r="AB150" s="42"/>
      <c r="AC150" s="42"/>
    </row>
    <row r="151" spans="1:29">
      <c r="A151"/>
    </row>
    <row r="152" spans="1:29">
      <c r="A152"/>
    </row>
    <row r="153" spans="1:29" ht="23.5" thickBot="1">
      <c r="A153" s="167">
        <v>6</v>
      </c>
      <c r="B153" s="349" t="s">
        <v>1</v>
      </c>
      <c r="C153" s="349"/>
      <c r="D153" s="349"/>
      <c r="E153" s="105">
        <f>VLOOKUP(A153,PROPONENTES!$B$14:$D$37,2,FALSE)</f>
        <v>6</v>
      </c>
      <c r="F153" s="106" t="str">
        <f>VLOOKUP(E153,PROPONENTES!$C$14:$D$37,2,FALSE)</f>
        <v>CUMBRE INGENIERÍA S.A.S.</v>
      </c>
      <c r="G153" s="107"/>
      <c r="H153" s="107"/>
      <c r="I153" s="107"/>
      <c r="J153" s="106"/>
      <c r="K153" s="106"/>
      <c r="L153" s="105"/>
      <c r="M153" s="107"/>
      <c r="N153" s="107"/>
      <c r="O153" s="107"/>
      <c r="P153" s="107"/>
      <c r="Q153" s="107"/>
      <c r="R153" s="107"/>
      <c r="S153" s="107"/>
      <c r="T153" s="108"/>
      <c r="U153" s="109"/>
      <c r="V153" s="109"/>
      <c r="W153" s="11"/>
      <c r="X153" s="240"/>
      <c r="Y153" s="11"/>
      <c r="Z153" s="240"/>
      <c r="AA153" s="240"/>
      <c r="AB153" s="240"/>
      <c r="AC153" s="240"/>
    </row>
    <row r="154" spans="1:29" ht="48" customHeight="1">
      <c r="A154" s="131"/>
      <c r="B154" s="350" t="s">
        <v>88</v>
      </c>
      <c r="C154" s="345" t="s">
        <v>48</v>
      </c>
      <c r="D154" s="352" t="s">
        <v>130</v>
      </c>
      <c r="E154" s="295"/>
      <c r="F154" s="352" t="s">
        <v>93</v>
      </c>
      <c r="G154" s="295"/>
      <c r="H154" s="315" t="s">
        <v>351</v>
      </c>
      <c r="I154" s="315" t="s">
        <v>103</v>
      </c>
      <c r="J154" s="315" t="s">
        <v>2</v>
      </c>
      <c r="K154" s="315" t="s">
        <v>352</v>
      </c>
      <c r="L154" s="315" t="s">
        <v>353</v>
      </c>
      <c r="M154" s="316" t="s">
        <v>29</v>
      </c>
      <c r="N154" s="315" t="s">
        <v>104</v>
      </c>
      <c r="O154" s="343" t="s">
        <v>78</v>
      </c>
      <c r="P154" s="344"/>
      <c r="Q154" s="345" t="s">
        <v>144</v>
      </c>
      <c r="R154" s="345" t="s">
        <v>101</v>
      </c>
      <c r="S154" s="294" t="s">
        <v>3</v>
      </c>
      <c r="T154" s="295"/>
      <c r="U154" s="347" t="s">
        <v>18</v>
      </c>
      <c r="V154" s="366" t="s">
        <v>102</v>
      </c>
      <c r="W154" s="133"/>
      <c r="X154" s="361" t="s">
        <v>146</v>
      </c>
      <c r="Y154" s="133"/>
      <c r="Z154" s="133"/>
      <c r="AA154" s="133"/>
      <c r="AB154" s="245"/>
      <c r="AC154" s="361" t="s">
        <v>123</v>
      </c>
    </row>
    <row r="155" spans="1:29" ht="98.25" customHeight="1">
      <c r="A155" s="131"/>
      <c r="B155" s="351"/>
      <c r="C155" s="346"/>
      <c r="D155" s="134" t="s">
        <v>10</v>
      </c>
      <c r="E155" s="134" t="s">
        <v>4</v>
      </c>
      <c r="F155" s="134" t="s">
        <v>15</v>
      </c>
      <c r="G155" s="135" t="s">
        <v>90</v>
      </c>
      <c r="H155" s="314"/>
      <c r="I155" s="314"/>
      <c r="J155" s="314"/>
      <c r="K155" s="314"/>
      <c r="L155" s="314"/>
      <c r="M155" s="317"/>
      <c r="N155" s="314"/>
      <c r="O155" s="264" t="s">
        <v>76</v>
      </c>
      <c r="P155" s="264" t="str">
        <f>+P128</f>
        <v>¿EL CONTRATO SE ENCUENTRA CLASIFICADO EN ALGUNA DE LAS CLASIFICACIONES ESTABLECIDAS EN EL PLIEGO? (SI/NO) (721033 - 721410 - 721411 - 721416)</v>
      </c>
      <c r="Q155" s="346"/>
      <c r="R155" s="346"/>
      <c r="S155" s="264" t="s">
        <v>81</v>
      </c>
      <c r="T155" s="264" t="s">
        <v>77</v>
      </c>
      <c r="U155" s="348"/>
      <c r="V155" s="336"/>
      <c r="W155" s="133"/>
      <c r="X155" s="362"/>
      <c r="Y155" s="133"/>
      <c r="Z155" s="245"/>
      <c r="AA155" s="245"/>
      <c r="AB155" s="245"/>
      <c r="AC155" s="362"/>
    </row>
    <row r="156" spans="1:29" ht="16" thickBot="1">
      <c r="A156" s="122"/>
      <c r="B156" s="96"/>
      <c r="C156" s="97"/>
      <c r="D156" s="97"/>
      <c r="E156" s="97"/>
      <c r="F156" s="97"/>
      <c r="G156" s="97"/>
      <c r="H156" s="97"/>
      <c r="I156" s="97"/>
      <c r="J156" s="97"/>
      <c r="K156" s="97"/>
      <c r="L156" s="97"/>
      <c r="M156" s="97"/>
      <c r="N156" s="97"/>
      <c r="O156" s="97"/>
      <c r="P156" s="97"/>
      <c r="Q156" s="97"/>
      <c r="R156" s="173"/>
      <c r="S156" s="173"/>
      <c r="T156" s="97"/>
      <c r="U156" s="191"/>
      <c r="V156" s="202"/>
      <c r="W156" s="1"/>
      <c r="X156" s="241"/>
      <c r="Y156" s="1"/>
      <c r="Z156" s="42"/>
      <c r="AA156" s="42"/>
      <c r="AB156" s="42"/>
      <c r="AC156" s="241"/>
    </row>
    <row r="157" spans="1:29" ht="52.5" customHeight="1">
      <c r="A157" s="125" t="str">
        <f>"A"&amp;E153</f>
        <v>A6</v>
      </c>
      <c r="B157" s="140">
        <v>1</v>
      </c>
      <c r="C157" s="139" t="s">
        <v>230</v>
      </c>
      <c r="D157" s="139" t="s">
        <v>231</v>
      </c>
      <c r="E157" s="139" t="s">
        <v>356</v>
      </c>
      <c r="F157" s="139" t="s">
        <v>222</v>
      </c>
      <c r="G157" s="142">
        <v>0.35</v>
      </c>
      <c r="H157" s="142" t="s">
        <v>115</v>
      </c>
      <c r="I157" s="378" t="s">
        <v>50</v>
      </c>
      <c r="J157" s="378" t="str">
        <f>+F153</f>
        <v>CUMBRE INGENIERÍA S.A.S.</v>
      </c>
      <c r="K157" s="404">
        <v>42426</v>
      </c>
      <c r="L157" s="127">
        <v>42663</v>
      </c>
      <c r="M157" s="128">
        <f>IF(OR(K157="",L157=""),"",IF(OR(K157&gt;$T$14,K157&lt;$S$14,L157&gt;$T$14,AND(K157&lt;$S$14,L157&lt;$S$14)),"FUERA DE RANGO",IF(K157&gt;=$S$14,ROUND(((L157-K157+1)/360*12),1),ROUND(((L157-$S$14+1)/360*12),1))))</f>
        <v>7.9</v>
      </c>
      <c r="N157" s="206">
        <v>61</v>
      </c>
      <c r="O157" s="138" t="s">
        <v>50</v>
      </c>
      <c r="P157" s="128" t="s">
        <v>50</v>
      </c>
      <c r="Q157" s="128" t="s">
        <v>110</v>
      </c>
      <c r="R157" s="95">
        <v>5039.6000000000004</v>
      </c>
      <c r="S157" s="95">
        <f t="shared" ref="S157:S162" si="32">IF(OR(G157="",R157=""),"",R157*G157)</f>
        <v>1763.8600000000001</v>
      </c>
      <c r="T157" s="129">
        <f>IF(OR(I157="NO",I157="",I157&lt;&gt;"SI",S157=""),"",IF(OR(L157&lt;$S$14,L157&gt;$T$14,L157=""),0,ROUND(S157,2)))</f>
        <v>1763.86</v>
      </c>
      <c r="U157" s="192" t="s">
        <v>395</v>
      </c>
      <c r="V157" s="204"/>
      <c r="W157" s="141"/>
      <c r="X157" s="222" t="s">
        <v>50</v>
      </c>
      <c r="Y157" s="141"/>
      <c r="Z157" s="223" t="str">
        <f t="shared" ref="Z157:Z162" si="33">IF(T157="","",IF(T157&gt;=PORCREQCTO*POSMMLV,"SI","NO"))</f>
        <v>SI</v>
      </c>
      <c r="AA157" s="296" t="str">
        <f>"VERIFICACIÓN CUMPLIMIENTO "&amp;PORCREQCTO*100&amp;"% DEL PO"</f>
        <v>VERIFICACIÓN CUMPLIMIENTO 50% DEL PO</v>
      </c>
      <c r="AB157" s="171"/>
      <c r="AC157" s="256"/>
    </row>
    <row r="158" spans="1:29" ht="63">
      <c r="A158" s="125" t="str">
        <f>"B"&amp;E153</f>
        <v>B6</v>
      </c>
      <c r="B158" s="140">
        <v>2</v>
      </c>
      <c r="C158" s="139" t="s">
        <v>230</v>
      </c>
      <c r="D158" s="139" t="s">
        <v>232</v>
      </c>
      <c r="E158" s="139" t="s">
        <v>233</v>
      </c>
      <c r="F158" s="139" t="s">
        <v>222</v>
      </c>
      <c r="G158" s="142">
        <v>0.25</v>
      </c>
      <c r="H158" s="142" t="s">
        <v>115</v>
      </c>
      <c r="I158" s="378" t="s">
        <v>50</v>
      </c>
      <c r="J158" s="378" t="str">
        <f>+J157</f>
        <v>CUMBRE INGENIERÍA S.A.S.</v>
      </c>
      <c r="K158" s="404">
        <v>41897</v>
      </c>
      <c r="L158" s="127">
        <v>41987</v>
      </c>
      <c r="M158" s="128">
        <f t="shared" ref="M158:M162" si="34">IF(OR(K158="",L158=""),"",IF(OR(K158&gt;$T$14,K158&lt;$S$14,L158&gt;$T$14,AND(K158&lt;$S$14,L158&lt;$S$14)),"FUERA DE RANGO",IF(K158&gt;=$S$14,ROUND(((L158-K158+1)/360*12),1),ROUND(((L158-$S$14+1)/360*12),1))))</f>
        <v>3</v>
      </c>
      <c r="N158" s="206">
        <v>45</v>
      </c>
      <c r="O158" s="138" t="s">
        <v>50</v>
      </c>
      <c r="P158" s="128" t="s">
        <v>50</v>
      </c>
      <c r="Q158" s="128" t="s">
        <v>110</v>
      </c>
      <c r="R158" s="95">
        <v>3401.7</v>
      </c>
      <c r="S158" s="95">
        <f t="shared" si="32"/>
        <v>850.42499999999995</v>
      </c>
      <c r="T158" s="129">
        <f t="shared" ref="T158:T162" si="35">IF(OR(I158="NO",I158="",I158&lt;&gt;"SI",S158=""),"",IF(OR(L158&lt;$S$14,L158&gt;$T$14,L158=""),0,ROUND(S158,2)))</f>
        <v>850.43</v>
      </c>
      <c r="U158" s="192" t="s">
        <v>391</v>
      </c>
      <c r="V158" s="204"/>
      <c r="W158" s="141"/>
      <c r="X158" s="222"/>
      <c r="Y158" s="141"/>
      <c r="Z158" s="224" t="str">
        <f t="shared" si="33"/>
        <v>NO</v>
      </c>
      <c r="AA158" s="297"/>
      <c r="AB158" s="171"/>
      <c r="AC158" s="256"/>
    </row>
    <row r="159" spans="1:29" ht="63">
      <c r="A159" s="125" t="str">
        <f>"C"&amp;E153</f>
        <v>C6</v>
      </c>
      <c r="B159" s="140">
        <v>3</v>
      </c>
      <c r="C159" s="139" t="s">
        <v>357</v>
      </c>
      <c r="D159" s="139" t="s">
        <v>234</v>
      </c>
      <c r="E159" s="139" t="s">
        <v>235</v>
      </c>
      <c r="F159" s="139" t="s">
        <v>227</v>
      </c>
      <c r="G159" s="142">
        <v>1</v>
      </c>
      <c r="H159" s="142" t="s">
        <v>115</v>
      </c>
      <c r="I159" s="378" t="s">
        <v>50</v>
      </c>
      <c r="J159" s="378" t="str">
        <f>+J158</f>
        <v>CUMBRE INGENIERÍA S.A.S.</v>
      </c>
      <c r="K159" s="404">
        <v>41106</v>
      </c>
      <c r="L159" s="127">
        <v>41197</v>
      </c>
      <c r="M159" s="128">
        <f t="shared" si="34"/>
        <v>3.1</v>
      </c>
      <c r="N159" s="206">
        <v>24</v>
      </c>
      <c r="O159" s="138" t="s">
        <v>50</v>
      </c>
      <c r="P159" s="128" t="s">
        <v>50</v>
      </c>
      <c r="Q159" s="128" t="s">
        <v>109</v>
      </c>
      <c r="R159" s="95">
        <v>617.37</v>
      </c>
      <c r="S159" s="95">
        <f t="shared" si="32"/>
        <v>617.37</v>
      </c>
      <c r="T159" s="129">
        <f t="shared" si="35"/>
        <v>617.37</v>
      </c>
      <c r="U159" s="192"/>
      <c r="V159" s="204"/>
      <c r="W159" s="141"/>
      <c r="X159" s="222"/>
      <c r="Y159" s="141"/>
      <c r="Z159" s="224" t="str">
        <f t="shared" si="33"/>
        <v>NO</v>
      </c>
      <c r="AA159" s="297"/>
      <c r="AB159" s="171"/>
      <c r="AC159" s="256"/>
    </row>
    <row r="160" spans="1:29" ht="42">
      <c r="A160" s="125" t="str">
        <f>"D"&amp;E153</f>
        <v>D6</v>
      </c>
      <c r="B160" s="140">
        <v>4</v>
      </c>
      <c r="C160" s="139" t="s">
        <v>357</v>
      </c>
      <c r="D160" s="139" t="s">
        <v>236</v>
      </c>
      <c r="E160" s="139" t="s">
        <v>358</v>
      </c>
      <c r="F160" s="139" t="s">
        <v>222</v>
      </c>
      <c r="G160" s="142">
        <v>0.8</v>
      </c>
      <c r="H160" s="142" t="s">
        <v>115</v>
      </c>
      <c r="I160" s="378" t="s">
        <v>50</v>
      </c>
      <c r="J160" s="378" t="str">
        <f>+J159</f>
        <v>CUMBRE INGENIERÍA S.A.S.</v>
      </c>
      <c r="K160" s="404">
        <v>40438</v>
      </c>
      <c r="L160" s="127">
        <v>40513</v>
      </c>
      <c r="M160" s="128">
        <f t="shared" si="34"/>
        <v>2.5</v>
      </c>
      <c r="N160" s="206">
        <v>11</v>
      </c>
      <c r="O160" s="138" t="s">
        <v>50</v>
      </c>
      <c r="P160" s="128" t="s">
        <v>50</v>
      </c>
      <c r="Q160" s="128" t="s">
        <v>109</v>
      </c>
      <c r="R160" s="95">
        <v>566.9</v>
      </c>
      <c r="S160" s="95">
        <f t="shared" si="32"/>
        <v>453.52</v>
      </c>
      <c r="T160" s="129">
        <f t="shared" si="35"/>
        <v>453.52</v>
      </c>
      <c r="U160" s="192" t="s">
        <v>392</v>
      </c>
      <c r="V160" s="204"/>
      <c r="W160" s="141"/>
      <c r="X160" s="222"/>
      <c r="Y160" s="141"/>
      <c r="Z160" s="224" t="str">
        <f t="shared" si="33"/>
        <v>NO</v>
      </c>
      <c r="AA160" s="297"/>
      <c r="AB160" s="171"/>
      <c r="AC160" s="256"/>
    </row>
    <row r="161" spans="1:29" ht="42">
      <c r="A161" s="125" t="str">
        <f>"E"&amp;E153</f>
        <v>E6</v>
      </c>
      <c r="B161" s="140">
        <v>5</v>
      </c>
      <c r="C161" s="139" t="s">
        <v>357</v>
      </c>
      <c r="D161" s="139" t="s">
        <v>237</v>
      </c>
      <c r="E161" s="139" t="s">
        <v>238</v>
      </c>
      <c r="F161" s="139" t="s">
        <v>222</v>
      </c>
      <c r="G161" s="142">
        <v>0.5</v>
      </c>
      <c r="H161" s="142" t="s">
        <v>115</v>
      </c>
      <c r="I161" s="378" t="s">
        <v>50</v>
      </c>
      <c r="J161" s="378" t="str">
        <f>+J160</f>
        <v>CUMBRE INGENIERÍA S.A.S.</v>
      </c>
      <c r="K161" s="404">
        <v>41106</v>
      </c>
      <c r="L161" s="127">
        <v>41197</v>
      </c>
      <c r="M161" s="128">
        <f t="shared" si="34"/>
        <v>3.1</v>
      </c>
      <c r="N161" s="206">
        <v>25</v>
      </c>
      <c r="O161" s="138" t="s">
        <v>50</v>
      </c>
      <c r="P161" s="128" t="s">
        <v>50</v>
      </c>
      <c r="Q161" s="128" t="s">
        <v>109</v>
      </c>
      <c r="R161" s="95">
        <v>617.08000000000004</v>
      </c>
      <c r="S161" s="95">
        <f t="shared" si="32"/>
        <v>308.54000000000002</v>
      </c>
      <c r="T161" s="129">
        <f t="shared" si="35"/>
        <v>308.54000000000002</v>
      </c>
      <c r="U161" s="192" t="s">
        <v>393</v>
      </c>
      <c r="V161" s="204"/>
      <c r="W161" s="141"/>
      <c r="X161" s="222"/>
      <c r="Y161" s="141"/>
      <c r="Z161" s="224" t="str">
        <f t="shared" si="33"/>
        <v>NO</v>
      </c>
      <c r="AA161" s="297"/>
      <c r="AB161" s="171"/>
      <c r="AC161" s="256"/>
    </row>
    <row r="162" spans="1:29" ht="42.5" thickBot="1">
      <c r="A162" s="125" t="str">
        <f>"F"&amp;E153</f>
        <v>F6</v>
      </c>
      <c r="B162" s="140">
        <v>6</v>
      </c>
      <c r="C162" s="139" t="s">
        <v>357</v>
      </c>
      <c r="D162" s="139" t="s">
        <v>239</v>
      </c>
      <c r="E162" s="139" t="s">
        <v>240</v>
      </c>
      <c r="F162" s="139" t="s">
        <v>227</v>
      </c>
      <c r="G162" s="142">
        <v>1</v>
      </c>
      <c r="H162" s="142" t="s">
        <v>115</v>
      </c>
      <c r="I162" s="378" t="s">
        <v>50</v>
      </c>
      <c r="J162" s="378" t="str">
        <f>+J161</f>
        <v>CUMBRE INGENIERÍA S.A.S.</v>
      </c>
      <c r="K162" s="404">
        <v>42598</v>
      </c>
      <c r="L162" s="127">
        <v>42628</v>
      </c>
      <c r="M162" s="128">
        <f t="shared" si="34"/>
        <v>1</v>
      </c>
      <c r="N162" s="206">
        <v>65</v>
      </c>
      <c r="O162" s="138" t="s">
        <v>50</v>
      </c>
      <c r="P162" s="128" t="s">
        <v>50</v>
      </c>
      <c r="Q162" s="128" t="s">
        <v>109</v>
      </c>
      <c r="R162" s="95">
        <v>190.26</v>
      </c>
      <c r="S162" s="95">
        <f t="shared" si="32"/>
        <v>190.26</v>
      </c>
      <c r="T162" s="129">
        <f t="shared" si="35"/>
        <v>190.26</v>
      </c>
      <c r="U162" s="192" t="s">
        <v>394</v>
      </c>
      <c r="V162" s="204"/>
      <c r="W162" s="141"/>
      <c r="X162" s="222"/>
      <c r="Y162" s="141"/>
      <c r="Z162" s="225" t="str">
        <f t="shared" si="33"/>
        <v>NO</v>
      </c>
      <c r="AA162" s="363"/>
      <c r="AB162" s="171"/>
      <c r="AC162" s="256"/>
    </row>
    <row r="163" spans="1:29" ht="16" thickBot="1">
      <c r="A163" s="122"/>
      <c r="B163" s="96"/>
      <c r="C163" s="97"/>
      <c r="D163" s="97"/>
      <c r="E163" s="97"/>
      <c r="F163" s="97"/>
      <c r="G163" s="97"/>
      <c r="H163" s="97"/>
      <c r="I163" s="97"/>
      <c r="J163" s="97"/>
      <c r="K163" s="97"/>
      <c r="L163" s="97"/>
      <c r="M163" s="97"/>
      <c r="N163" s="97"/>
      <c r="O163" s="97"/>
      <c r="P163" s="97"/>
      <c r="Q163" s="97"/>
      <c r="R163" s="173"/>
      <c r="S163" s="173"/>
      <c r="T163" s="126"/>
      <c r="U163" s="98"/>
      <c r="V163" s="205"/>
      <c r="W163" s="1"/>
      <c r="X163" s="242"/>
      <c r="Y163" s="1"/>
      <c r="Z163" s="42"/>
      <c r="AA163" s="42"/>
      <c r="AB163" s="42"/>
      <c r="AC163" s="242"/>
    </row>
    <row r="164" spans="1:29" ht="16" thickBot="1">
      <c r="A164" s="123"/>
      <c r="B164" s="99"/>
      <c r="C164" s="94"/>
      <c r="D164" s="94"/>
      <c r="E164" s="94"/>
      <c r="F164" s="94"/>
      <c r="G164" s="94"/>
      <c r="H164" s="94"/>
      <c r="I164" s="94"/>
      <c r="J164" s="94"/>
      <c r="K164" s="94"/>
      <c r="L164" s="94"/>
      <c r="M164" s="94"/>
      <c r="N164" s="94"/>
      <c r="O164" s="94"/>
      <c r="P164" s="94"/>
      <c r="Q164" s="94"/>
      <c r="R164" s="265"/>
      <c r="S164" s="265"/>
      <c r="T164" s="130">
        <f>SUM(T157:T162)</f>
        <v>4183.9799999999996</v>
      </c>
      <c r="U164" s="100"/>
      <c r="V164" s="203"/>
      <c r="W164" s="12"/>
      <c r="X164" s="243"/>
      <c r="Y164" s="12"/>
      <c r="Z164" s="243"/>
      <c r="AA164" s="243"/>
      <c r="AB164" s="243"/>
      <c r="AC164" s="243"/>
    </row>
    <row r="165" spans="1:29">
      <c r="B165" s="197"/>
      <c r="C165" s="193"/>
      <c r="D165" s="193"/>
      <c r="E165" s="193"/>
      <c r="F165" s="193"/>
      <c r="G165" s="193"/>
      <c r="H165" s="193"/>
      <c r="I165" s="193"/>
      <c r="J165" s="193"/>
      <c r="K165" s="193"/>
      <c r="L165" s="193"/>
      <c r="M165" s="193"/>
      <c r="N165" s="193"/>
      <c r="O165" s="193"/>
      <c r="P165" s="193"/>
      <c r="Q165" s="193"/>
      <c r="R165" s="194"/>
      <c r="S165" s="194"/>
      <c r="T165" s="195"/>
      <c r="U165" s="196"/>
      <c r="V165" s="195"/>
    </row>
    <row r="166" spans="1:29" ht="16" thickBot="1">
      <c r="A166" s="122"/>
      <c r="B166" s="322" t="s">
        <v>45</v>
      </c>
      <c r="C166" s="323"/>
      <c r="D166" s="323"/>
      <c r="E166" s="323"/>
      <c r="F166" s="323"/>
      <c r="G166" s="324"/>
      <c r="H166" s="324"/>
      <c r="I166" s="324"/>
      <c r="J166" s="324"/>
      <c r="K166" s="324"/>
      <c r="L166" s="324"/>
      <c r="M166" s="324"/>
      <c r="N166" s="324"/>
      <c r="O166" s="324"/>
      <c r="P166" s="324"/>
      <c r="Q166" s="324"/>
      <c r="R166" s="324"/>
      <c r="S166" s="324"/>
      <c r="T166" s="324"/>
      <c r="U166" s="325"/>
      <c r="V166" s="201"/>
      <c r="W166" s="1"/>
      <c r="X166" s="42"/>
      <c r="Y166" s="1"/>
      <c r="Z166" s="42"/>
      <c r="AA166" s="42"/>
      <c r="AB166" s="42"/>
      <c r="AC166" s="42"/>
    </row>
    <row r="167" spans="1:29" ht="16.5" customHeight="1" thickBot="1">
      <c r="A167" s="122" t="str">
        <f>"G"&amp;E153</f>
        <v>G6</v>
      </c>
      <c r="B167" s="291" t="s">
        <v>97</v>
      </c>
      <c r="C167" s="292"/>
      <c r="D167" s="292"/>
      <c r="E167" s="292"/>
      <c r="F167" s="292"/>
      <c r="G167" s="326"/>
      <c r="H167" s="291" t="s">
        <v>100</v>
      </c>
      <c r="I167" s="292"/>
      <c r="J167" s="292"/>
      <c r="K167" s="292"/>
      <c r="L167" s="292"/>
      <c r="M167" s="292"/>
      <c r="N167" s="292"/>
      <c r="O167" s="189" t="s">
        <v>23</v>
      </c>
      <c r="P167" s="190"/>
      <c r="Q167" s="190"/>
      <c r="R167" s="190"/>
      <c r="S167" s="190"/>
      <c r="T167" s="190"/>
      <c r="U167" s="253"/>
      <c r="V167" s="201"/>
      <c r="W167" s="1"/>
      <c r="X167" s="239" t="s">
        <v>117</v>
      </c>
      <c r="Y167" s="1"/>
      <c r="Z167" s="355" t="s">
        <v>119</v>
      </c>
      <c r="AA167" s="345" t="s">
        <v>120</v>
      </c>
      <c r="AB167" s="345" t="s">
        <v>148</v>
      </c>
      <c r="AC167" s="359" t="s">
        <v>149</v>
      </c>
    </row>
    <row r="168" spans="1:29" ht="15.75" customHeight="1" thickBot="1">
      <c r="A168" s="122" t="str">
        <f>"H"&amp;E153</f>
        <v>H6</v>
      </c>
      <c r="B168" s="293" t="s">
        <v>132</v>
      </c>
      <c r="C168" s="294"/>
      <c r="D168" s="294"/>
      <c r="E168" s="294"/>
      <c r="F168" s="294"/>
      <c r="G168" s="327"/>
      <c r="H168" s="293" t="s">
        <v>17</v>
      </c>
      <c r="I168" s="294"/>
      <c r="J168" s="294"/>
      <c r="K168" s="294"/>
      <c r="L168" s="295"/>
      <c r="M168" s="183">
        <f>VLOOKUP(E153,PROPONENTES!$C$14:$E$37,3,0)</f>
        <v>1</v>
      </c>
      <c r="N168" s="296" t="s">
        <v>143</v>
      </c>
      <c r="O168" s="299"/>
      <c r="P168" s="300"/>
      <c r="Q168" s="300"/>
      <c r="R168" s="300"/>
      <c r="S168" s="300"/>
      <c r="T168" s="300"/>
      <c r="U168" s="301"/>
      <c r="V168" s="201"/>
      <c r="W168" s="1"/>
      <c r="X168" s="244" t="str">
        <f>IF(M168="","",IF(M168=1,"INDIVIDUAL","ESTRUCTURA PLURAL"))</f>
        <v>INDIVIDUAL</v>
      </c>
      <c r="Y168" s="1"/>
      <c r="Z168" s="356"/>
      <c r="AA168" s="358"/>
      <c r="AB168" s="358"/>
      <c r="AC168" s="360"/>
    </row>
    <row r="169" spans="1:29" ht="15.75" customHeight="1" thickBot="1">
      <c r="A169" s="122" t="str">
        <f>"I"&amp;E153</f>
        <v>I6</v>
      </c>
      <c r="B169" s="328" t="s">
        <v>131</v>
      </c>
      <c r="C169" s="329"/>
      <c r="D169" s="330"/>
      <c r="E169" s="308">
        <f>IF(AND(I157="SI",T157&gt;0),1,0)+IF(AND(I158="SI",T158&gt;0),1,0)+IF(AND(I159="SI",T159&gt;0),1,0)+IF(AND(I160="SI",T160&gt;0),1,0)+IF(AND(I161="SI",T161&gt;0),1,0)+IF(AND(I162="SI",T162&gt;0),1,0)</f>
        <v>6</v>
      </c>
      <c r="F169" s="310" t="s">
        <v>133</v>
      </c>
      <c r="G169" s="312">
        <f>IF(E169=0,"N/A",IF(AND(E169&gt;=1,E169&lt;=2),0.75,IF(AND(E169&gt;=3,E169&lt;=4),1.2,IF(AND(E169&gt;=5,E169&lt;=6),1.5,"REVISAR"))))</f>
        <v>1.5</v>
      </c>
      <c r="H169" s="334" t="s">
        <v>16</v>
      </c>
      <c r="I169" s="335"/>
      <c r="J169" s="314" t="s">
        <v>350</v>
      </c>
      <c r="K169" s="314" t="s">
        <v>140</v>
      </c>
      <c r="L169" s="314" t="s">
        <v>141</v>
      </c>
      <c r="M169" s="320" t="s">
        <v>142</v>
      </c>
      <c r="N169" s="297"/>
      <c r="O169" s="302"/>
      <c r="P169" s="303"/>
      <c r="Q169" s="303"/>
      <c r="R169" s="303"/>
      <c r="S169" s="303"/>
      <c r="T169" s="303"/>
      <c r="U169" s="304"/>
      <c r="V169" s="201"/>
      <c r="W169" s="38"/>
      <c r="X169" s="171"/>
      <c r="Y169" s="38"/>
      <c r="Z169" s="356"/>
      <c r="AA169" s="358"/>
      <c r="AB169" s="358"/>
      <c r="AC169" s="360"/>
    </row>
    <row r="170" spans="1:29" ht="16.5" customHeight="1" thickBot="1">
      <c r="A170" s="122" t="str">
        <f>"J"&amp;E153</f>
        <v>J6</v>
      </c>
      <c r="B170" s="331"/>
      <c r="C170" s="332"/>
      <c r="D170" s="333"/>
      <c r="E170" s="309"/>
      <c r="F170" s="311"/>
      <c r="G170" s="313"/>
      <c r="H170" s="336"/>
      <c r="I170" s="337"/>
      <c r="J170" s="314"/>
      <c r="K170" s="314"/>
      <c r="L170" s="314"/>
      <c r="M170" s="321"/>
      <c r="N170" s="298"/>
      <c r="O170" s="302"/>
      <c r="P170" s="303"/>
      <c r="Q170" s="303"/>
      <c r="R170" s="303"/>
      <c r="S170" s="303"/>
      <c r="T170" s="303"/>
      <c r="U170" s="304"/>
      <c r="V170" s="201"/>
      <c r="W170" s="38"/>
      <c r="X170" s="239" t="s">
        <v>118</v>
      </c>
      <c r="Y170" s="38"/>
      <c r="Z170" s="357"/>
      <c r="AA170" s="346"/>
      <c r="AB170" s="346"/>
      <c r="AC170" s="321"/>
    </row>
    <row r="171" spans="1:29" ht="16" thickBot="1">
      <c r="A171" s="125" t="str">
        <f>"K"&amp;E153</f>
        <v>K6</v>
      </c>
      <c r="B171" s="293" t="s">
        <v>98</v>
      </c>
      <c r="C171" s="294"/>
      <c r="D171" s="294"/>
      <c r="E171" s="294"/>
      <c r="F171" s="294"/>
      <c r="G171" s="294"/>
      <c r="H171" s="186">
        <v>1</v>
      </c>
      <c r="I171" s="92" t="str">
        <f>IF(AND(H171&lt;=M168,M168&gt;1),VLOOKUP(VALUE(E153&amp;","&amp;H171),INTEGRANTES!$B$15:$D$72,2,0),"")</f>
        <v/>
      </c>
      <c r="J171" s="187" t="str">
        <f>IF(I171&lt;&gt;"",VLOOKUP(VALUE(E153&amp;","&amp;H171),INTEGRANTES!$B$15:$D$72,3,0),"")</f>
        <v/>
      </c>
      <c r="K171" s="247" t="str">
        <f>IF($I171="","",IF(G169="N/A","",ROUND($G169*POSMMLV*PORPOM,2)))</f>
        <v/>
      </c>
      <c r="L171" s="247" t="str">
        <f>IF(I171="","",SUMIF($J157:$J162,I171,$T157:$T162))</f>
        <v/>
      </c>
      <c r="M171" s="93" t="str">
        <f t="shared" ref="M171:M176" si="36">IF($I171="","",IF($K171&gt;L171,"NO CUMPLE","CUMPLE"))</f>
        <v/>
      </c>
      <c r="N171" s="93" t="str">
        <f t="shared" ref="N171:N176" si="37">IF($I171="","",IF(M171="CUMPLE","CUMPLE","NO CUMPLE"))</f>
        <v/>
      </c>
      <c r="O171" s="302"/>
      <c r="P171" s="303"/>
      <c r="Q171" s="303"/>
      <c r="R171" s="303"/>
      <c r="S171" s="303"/>
      <c r="T171" s="303"/>
      <c r="U171" s="304"/>
      <c r="V171" s="201"/>
      <c r="W171" s="1"/>
      <c r="X171" s="244" t="str">
        <f>IF(X168="","",IF(X168="INDIVIDUAL","NO APLICA","VERIFICAR CUADRO"))</f>
        <v>NO APLICA</v>
      </c>
      <c r="Y171" s="1"/>
      <c r="Z171" s="262" t="str">
        <f>IF(AND(H171&lt;=M168,M168&gt;1),VLOOKUP(VALUE(E153&amp;","&amp;H171),INTEGRANTES!$B$15:$D$72,2,0),"")</f>
        <v/>
      </c>
      <c r="AA171" s="248" t="str">
        <f>IF(I171="","",SUMIF(J157:$J162,I171,$T157:$T162))</f>
        <v/>
      </c>
      <c r="AB171" s="232"/>
      <c r="AC171" s="250" t="str">
        <f>IF(OR(Z171="",AB171=""),"",IF(AND(AB171="X",AA171&gt;=X174),"CUMPLE","NO CUMPLE"))</f>
        <v/>
      </c>
    </row>
    <row r="172" spans="1:29" ht="15.75" customHeight="1" thickBot="1">
      <c r="A172" s="125" t="str">
        <f>"L"&amp;E153</f>
        <v>L6</v>
      </c>
      <c r="B172" s="328" t="s">
        <v>134</v>
      </c>
      <c r="C172" s="329"/>
      <c r="D172" s="330"/>
      <c r="E172" s="132" t="s">
        <v>135</v>
      </c>
      <c r="F172" s="132" t="s">
        <v>136</v>
      </c>
      <c r="G172" s="136" t="s">
        <v>99</v>
      </c>
      <c r="H172" s="186">
        <v>2</v>
      </c>
      <c r="I172" s="92" t="str">
        <f>IF(AND(H172&lt;=M168,M168&gt;1),VLOOKUP(VALUE(E153&amp;","&amp;H172),INTEGRANTES!$B$15:$D$72,2,0),"")</f>
        <v/>
      </c>
      <c r="J172" s="187" t="str">
        <f>IF(I172&lt;&gt;"",VLOOKUP(VALUE(E153&amp;","&amp;H172),INTEGRANTES!$B$15:$D$72,3,0),"")</f>
        <v/>
      </c>
      <c r="K172" s="247" t="str">
        <f>IF($I172="","",IF(G169="N/A","",ROUND($G169*POSMMLV*PORPOM,2)))</f>
        <v/>
      </c>
      <c r="L172" s="247" t="str">
        <f>IF(I172="","",SUMIF($J157:$J162,I172,$T157:$T162))</f>
        <v/>
      </c>
      <c r="M172" s="93" t="str">
        <f t="shared" si="36"/>
        <v/>
      </c>
      <c r="N172" s="93" t="str">
        <f t="shared" si="37"/>
        <v/>
      </c>
      <c r="O172" s="302"/>
      <c r="P172" s="303"/>
      <c r="Q172" s="303"/>
      <c r="R172" s="303"/>
      <c r="S172" s="303"/>
      <c r="T172" s="303"/>
      <c r="U172" s="304"/>
      <c r="V172" s="201"/>
      <c r="W172" s="1"/>
      <c r="X172" s="42"/>
      <c r="Y172" s="1"/>
      <c r="Z172" s="262" t="str">
        <f>IF(AND(H172&lt;=M168,M168&gt;1),VLOOKUP(VALUE(E153&amp;","&amp;H172),INTEGRANTES!$B$15:$D$72,2,0),"")</f>
        <v/>
      </c>
      <c r="AA172" s="248" t="str">
        <f>IF(I172="","",SUMIF(J157:$J162,I172,$T157:$T162))</f>
        <v/>
      </c>
      <c r="AB172" s="232"/>
      <c r="AC172" s="250" t="str">
        <f>IF(OR(Z172="",AB172=""),"",IF(AND(AB172="X",AA172&gt;=X174),"CUMPLE","NO CUMPLE"))</f>
        <v/>
      </c>
    </row>
    <row r="173" spans="1:29" ht="16" thickBot="1">
      <c r="A173" s="122" t="str">
        <f>"M"&amp;E153</f>
        <v>M6</v>
      </c>
      <c r="B173" s="331"/>
      <c r="C173" s="332"/>
      <c r="D173" s="333"/>
      <c r="E173" s="237">
        <f>IF(ISTEXT(G169),"NO APLICA",G169*POSMMLV)</f>
        <v>2788.0720563302725</v>
      </c>
      <c r="F173" s="238">
        <f>IF(E173="","",T164)</f>
        <v>4183.9799999999996</v>
      </c>
      <c r="G173" s="221" t="str">
        <f>IF(E173="","",IF(E173="NO APLICA","NO CUMPLE",IF(F173&gt;=E173,"CUMPLE", "NO CUMPLE")))</f>
        <v>CUMPLE</v>
      </c>
      <c r="H173" s="186">
        <v>3</v>
      </c>
      <c r="I173" s="92" t="str">
        <f>IF(AND(H173&lt;=M168,M168&gt;1),VLOOKUP(VALUE(E153&amp;","&amp;H173),INTEGRANTES!$B$15:$D$72,2,0),"")</f>
        <v/>
      </c>
      <c r="J173" s="187" t="str">
        <f>IF(I173&lt;&gt;"",VLOOKUP(VALUE(E153&amp;","&amp;H173),INTEGRANTES!$B$15:$D$72,3,0),"")</f>
        <v/>
      </c>
      <c r="K173" s="247" t="str">
        <f>IF($I173="","",IF(G169="N/A","",ROUND($G169*POSMMLV*PORPOM,2)))</f>
        <v/>
      </c>
      <c r="L173" s="247" t="str">
        <f>IF(I173="","",SUMIF($J157:$J162,I173,$T157:$T162))</f>
        <v/>
      </c>
      <c r="M173" s="93" t="str">
        <f t="shared" si="36"/>
        <v/>
      </c>
      <c r="N173" s="93" t="str">
        <f t="shared" si="37"/>
        <v/>
      </c>
      <c r="O173" s="302"/>
      <c r="P173" s="303"/>
      <c r="Q173" s="303"/>
      <c r="R173" s="303"/>
      <c r="S173" s="303"/>
      <c r="T173" s="303"/>
      <c r="U173" s="304"/>
      <c r="V173" s="201"/>
      <c r="W173" s="1"/>
      <c r="X173" s="239" t="s">
        <v>145</v>
      </c>
      <c r="Y173" s="1"/>
      <c r="Z173" s="262" t="str">
        <f>IF(AND(H173&lt;=M168,M168&gt;1),VLOOKUP(VALUE(E153&amp;","&amp;H173),INTEGRANTES!$B$15:$D$72,2,0),"")</f>
        <v/>
      </c>
      <c r="AA173" s="248" t="str">
        <f>IF(I173="","",SUMIF(J157:$J162,I173,$T157:$T162))</f>
        <v/>
      </c>
      <c r="AB173" s="232"/>
      <c r="AC173" s="250" t="str">
        <f>IF(OR(Z173="",AB173=""),"",IF(AND(AB173="X",AA173&gt;=X174),"CUMPLE","NO CUMPLE"))</f>
        <v/>
      </c>
    </row>
    <row r="174" spans="1:29" ht="15.75" customHeight="1" thickBot="1">
      <c r="A174" s="122" t="str">
        <f>"N"&amp;E153</f>
        <v>N6</v>
      </c>
      <c r="B174" s="293" t="s">
        <v>107</v>
      </c>
      <c r="C174" s="294"/>
      <c r="D174" s="294"/>
      <c r="E174" s="294"/>
      <c r="F174" s="294"/>
      <c r="G174" s="294"/>
      <c r="H174" s="186">
        <v>4</v>
      </c>
      <c r="I174" s="92" t="str">
        <f>IF(AND(H174&lt;=M168,M168&gt;1),VLOOKUP(VALUE(E153&amp;","&amp;H174),INTEGRANTES!$B$15:$D$72,2,0),"")</f>
        <v/>
      </c>
      <c r="J174" s="187" t="str">
        <f>IF(I174&lt;&gt;"",VLOOKUP(VALUE(E153&amp;","&amp;H174),INTEGRANTES!$B$15:$D$72,3,0),"")</f>
        <v/>
      </c>
      <c r="K174" s="247" t="str">
        <f>IF($I174="","",IF(G169="N/A","",ROUND($G169*POSMMLV*PORPOM,2)))</f>
        <v/>
      </c>
      <c r="L174" s="247" t="str">
        <f>IF(I174="","",SUMIF($J157:$J162,I174,$T157:$T162))</f>
        <v/>
      </c>
      <c r="M174" s="93" t="str">
        <f t="shared" si="36"/>
        <v/>
      </c>
      <c r="N174" s="93" t="str">
        <f t="shared" si="37"/>
        <v/>
      </c>
      <c r="O174" s="302"/>
      <c r="P174" s="303"/>
      <c r="Q174" s="303"/>
      <c r="R174" s="303"/>
      <c r="S174" s="303"/>
      <c r="T174" s="303"/>
      <c r="U174" s="304"/>
      <c r="V174" s="201"/>
      <c r="W174" s="1"/>
      <c r="X174" s="251">
        <f>IF(G169="N/A","N/A",0.4*G169*POSMMLV)</f>
        <v>1115.2288225321092</v>
      </c>
      <c r="Y174" s="1"/>
      <c r="Z174" s="262" t="str">
        <f>IF(AND(H174&lt;=M168,M168&gt;1),VLOOKUP(VALUE(E153&amp;","&amp;H174),INTEGRANTES!$B$15:$D$72,2,0),"")</f>
        <v/>
      </c>
      <c r="AA174" s="248" t="str">
        <f>IF(I174="","",SUMIF(J157:$J162,I174,$T157:$T162))</f>
        <v/>
      </c>
      <c r="AB174" s="232"/>
      <c r="AC174" s="250" t="str">
        <f>IF(OR(Z174="",AB174=""),"",IF(AND(AB174="X",AA174&gt;=X174),"CUMPLE","NO CUMPLE"))</f>
        <v/>
      </c>
    </row>
    <row r="175" spans="1:29" ht="33.75" customHeight="1" thickBot="1">
      <c r="A175" s="122" t="str">
        <f>"O"&amp;E153</f>
        <v>O6</v>
      </c>
      <c r="B175" s="328" t="s">
        <v>108</v>
      </c>
      <c r="C175" s="329"/>
      <c r="D175" s="329"/>
      <c r="E175" s="329"/>
      <c r="F175" s="329"/>
      <c r="G175" s="185" t="s">
        <v>99</v>
      </c>
      <c r="H175" s="186">
        <v>5</v>
      </c>
      <c r="I175" s="92" t="str">
        <f>IF(AND(H175&lt;=M168,M168&gt;1),VLOOKUP(VALUE(E153&amp;","&amp;H175),INTEGRANTES!$B$15:$D$72,2,0),"")</f>
        <v/>
      </c>
      <c r="J175" s="187" t="str">
        <f>IF(I175&lt;&gt;"",VLOOKUP(VALUE(E153&amp;","&amp;H175),INTEGRANTES!$B$15:$D$72,3,0),"")</f>
        <v/>
      </c>
      <c r="K175" s="247" t="str">
        <f>IF($I175="","",IF(G169="N/A","",ROUND($G169*POSMMLV*PORPOM,2)))</f>
        <v/>
      </c>
      <c r="L175" s="247" t="str">
        <f>IF(I175="","",SUMIF($J157:$J162,I175,$T157:$T162))</f>
        <v/>
      </c>
      <c r="M175" s="93" t="str">
        <f t="shared" si="36"/>
        <v/>
      </c>
      <c r="N175" s="93" t="str">
        <f t="shared" si="37"/>
        <v/>
      </c>
      <c r="O175" s="302"/>
      <c r="P175" s="303"/>
      <c r="Q175" s="303"/>
      <c r="R175" s="303"/>
      <c r="S175" s="303"/>
      <c r="T175" s="303"/>
      <c r="U175" s="304"/>
      <c r="V175" s="201"/>
      <c r="W175" s="1"/>
      <c r="X175" s="42"/>
      <c r="Y175" s="1"/>
      <c r="Z175" s="262" t="str">
        <f>IF(AND(H175&lt;=M168,M168&gt;1),VLOOKUP(VALUE(E153&amp;","&amp;H175),INTEGRANTES!$B$15:$D$72,2,0),"")</f>
        <v/>
      </c>
      <c r="AA175" s="248" t="str">
        <f>IF(I175="","",SUMIF(J157:$J162,I175,$T157:$T162))</f>
        <v/>
      </c>
      <c r="AB175" s="232"/>
      <c r="AC175" s="250" t="str">
        <f>IF(OR(Z175="",AB175=""),"",IF(AND(AB175="X",AA175&gt;=X174),"CUMPLE","NO CUMPLE"))</f>
        <v/>
      </c>
    </row>
    <row r="176" spans="1:29" ht="16" thickBot="1">
      <c r="A176" s="122" t="str">
        <f>"P"&amp;E153</f>
        <v>P6</v>
      </c>
      <c r="B176" s="353"/>
      <c r="C176" s="354"/>
      <c r="D176" s="354"/>
      <c r="E176" s="354"/>
      <c r="F176" s="354"/>
      <c r="G176" s="137" t="str">
        <f>IF(AND(COUNTIF(X157:X162,"")&gt;5,COUNTIF(Z157:Z162,"")&gt;5),"NO CUMPLE",IF(AND(COUNTIF(X157:X162,"SI")&gt;=$AF$17,COUNTIF(Z157:Z162,"SI")&gt;=$AF$17),"CUMPLE", "NO CUMPLE"))</f>
        <v>CUMPLE</v>
      </c>
      <c r="H176" s="257">
        <v>6</v>
      </c>
      <c r="I176" s="258" t="str">
        <f>IF(AND(H176&lt;=M168,M168&gt;1),VLOOKUP(VALUE(E153&amp;","&amp;H176),INTEGRANTES!$B$15:$D$72,2,0),"")</f>
        <v/>
      </c>
      <c r="J176" s="259" t="str">
        <f>IF(I176&lt;&gt;"",VLOOKUP(VALUE(E153&amp;","&amp;H176),INTEGRANTES!$B$15:$D$72,3,0),"")</f>
        <v/>
      </c>
      <c r="K176" s="260" t="str">
        <f>IF($I176="","",IF(G169="N/A","",ROUND($G169*POSMMLV*PORPOM,2)))</f>
        <v/>
      </c>
      <c r="L176" s="260" t="str">
        <f>IF(I176="","",SUMIF($J157:$J162,I176,$T157:$T162))</f>
        <v/>
      </c>
      <c r="M176" s="261" t="str">
        <f t="shared" si="36"/>
        <v/>
      </c>
      <c r="N176" s="93" t="str">
        <f t="shared" si="37"/>
        <v/>
      </c>
      <c r="O176" s="302"/>
      <c r="P176" s="303"/>
      <c r="Q176" s="303"/>
      <c r="R176" s="303"/>
      <c r="S176" s="303"/>
      <c r="T176" s="303"/>
      <c r="U176" s="304"/>
      <c r="V176" s="201"/>
      <c r="W176" s="1"/>
      <c r="X176" s="239" t="s">
        <v>122</v>
      </c>
      <c r="Y176" s="1"/>
      <c r="Z176" s="263" t="str">
        <f>IF(AND(H176&lt;=M168,M168&gt;1),VLOOKUP(VALUE(E153&amp;","&amp;H176),INTEGRANTES!$B$15:$D$72,2,0),"")</f>
        <v/>
      </c>
      <c r="AA176" s="249" t="str">
        <f>IF(I176="","",SUMIF(J157:$J162,I176,$T157:$T162))</f>
        <v/>
      </c>
      <c r="AB176" s="246"/>
      <c r="AC176" s="137" t="str">
        <f>IF(OR(Z176="",AB176=""),"",IF(AND(AB176="X",AA176&gt;=X174),"CUMPLE","NO CUMPLE"))</f>
        <v/>
      </c>
    </row>
    <row r="177" spans="1:29" ht="38.25" customHeight="1" thickBot="1">
      <c r="A177" s="122" t="str">
        <f>"Q"&amp;E153</f>
        <v>Q6</v>
      </c>
      <c r="B177" s="338"/>
      <c r="C177" s="339"/>
      <c r="D177" s="339"/>
      <c r="E177" s="339"/>
      <c r="F177" s="339"/>
      <c r="G177" s="340"/>
      <c r="H177" s="318" t="s">
        <v>138</v>
      </c>
      <c r="I177" s="341"/>
      <c r="J177" s="342"/>
      <c r="K177" s="318" t="s">
        <v>139</v>
      </c>
      <c r="L177" s="319"/>
      <c r="M177" s="188" t="str">
        <f>IF(OR($M168="",SUM(J171:J176)=0),"",IF(COUNTIF(M171:M176,"CUMPLE")&gt;=1,"CUMPLE","NO CUMPLE"))</f>
        <v/>
      </c>
      <c r="N177" s="188" t="str">
        <f>IF(OR($M168="",SUM(J171:J176)=0),"",IF(COUNTIF(N171:N176,"CUMPLE")&gt;=1,"CUMPLE","NO CUMPLE"))</f>
        <v/>
      </c>
      <c r="O177" s="305"/>
      <c r="P177" s="306"/>
      <c r="Q177" s="306"/>
      <c r="R177" s="306"/>
      <c r="S177" s="306"/>
      <c r="T177" s="306"/>
      <c r="U177" s="307"/>
      <c r="V177" s="201"/>
      <c r="W177" s="1"/>
      <c r="X177" s="254" t="str">
        <f>IF(X171="NO APLICA","NO APLICA",IF(COUNTIF(AC171:AC176,"CUMPLE")&gt;0,"CUMPLE","NO CUMPLE"))</f>
        <v>NO APLICA</v>
      </c>
      <c r="Y177" s="1"/>
      <c r="Z177" s="42"/>
      <c r="AA177" s="42"/>
      <c r="AB177" s="42"/>
      <c r="AC177" s="42"/>
    </row>
    <row r="178" spans="1:29">
      <c r="A178"/>
    </row>
    <row r="179" spans="1:29">
      <c r="A179"/>
    </row>
    <row r="180" spans="1:29" ht="23.5" thickBot="1">
      <c r="A180" s="167">
        <v>7</v>
      </c>
      <c r="B180" s="349" t="s">
        <v>1</v>
      </c>
      <c r="C180" s="349"/>
      <c r="D180" s="349"/>
      <c r="E180" s="105">
        <f>VLOOKUP(A180,PROPONENTES!$B$14:$D$37,2,FALSE)</f>
        <v>7</v>
      </c>
      <c r="F180" s="106" t="str">
        <f>VLOOKUP(E180,PROPONENTES!$C$14:$D$37,2,FALSE)</f>
        <v>ISAÍAS VARGAS GONZÁLEZ</v>
      </c>
      <c r="G180" s="107"/>
      <c r="H180" s="107"/>
      <c r="I180" s="107"/>
      <c r="J180" s="106"/>
      <c r="K180" s="106"/>
      <c r="L180" s="105"/>
      <c r="M180" s="107"/>
      <c r="N180" s="107"/>
      <c r="O180" s="107"/>
      <c r="P180" s="107"/>
      <c r="Q180" s="107"/>
      <c r="R180" s="107"/>
      <c r="S180" s="107"/>
      <c r="T180" s="108"/>
      <c r="U180" s="109"/>
      <c r="V180" s="109"/>
      <c r="W180" s="11"/>
      <c r="X180" s="240"/>
      <c r="Y180" s="11"/>
      <c r="Z180" s="240"/>
      <c r="AA180" s="240"/>
      <c r="AB180" s="240"/>
      <c r="AC180" s="240"/>
    </row>
    <row r="181" spans="1:29" ht="48" customHeight="1">
      <c r="A181" s="131"/>
      <c r="B181" s="350" t="s">
        <v>88</v>
      </c>
      <c r="C181" s="345" t="s">
        <v>48</v>
      </c>
      <c r="D181" s="352" t="s">
        <v>130</v>
      </c>
      <c r="E181" s="295"/>
      <c r="F181" s="352" t="s">
        <v>93</v>
      </c>
      <c r="G181" s="295"/>
      <c r="H181" s="315" t="s">
        <v>351</v>
      </c>
      <c r="I181" s="315" t="s">
        <v>103</v>
      </c>
      <c r="J181" s="315" t="s">
        <v>2</v>
      </c>
      <c r="K181" s="315" t="s">
        <v>352</v>
      </c>
      <c r="L181" s="315" t="s">
        <v>353</v>
      </c>
      <c r="M181" s="316" t="s">
        <v>29</v>
      </c>
      <c r="N181" s="315" t="s">
        <v>104</v>
      </c>
      <c r="O181" s="343" t="s">
        <v>78</v>
      </c>
      <c r="P181" s="344"/>
      <c r="Q181" s="345" t="s">
        <v>144</v>
      </c>
      <c r="R181" s="345" t="s">
        <v>101</v>
      </c>
      <c r="S181" s="294" t="s">
        <v>3</v>
      </c>
      <c r="T181" s="295"/>
      <c r="U181" s="347" t="s">
        <v>18</v>
      </c>
      <c r="V181" s="366" t="s">
        <v>102</v>
      </c>
      <c r="W181" s="133"/>
      <c r="X181" s="361" t="s">
        <v>146</v>
      </c>
      <c r="Y181" s="133"/>
      <c r="Z181" s="133"/>
      <c r="AA181" s="133"/>
      <c r="AB181" s="245"/>
      <c r="AC181" s="361" t="s">
        <v>123</v>
      </c>
    </row>
    <row r="182" spans="1:29" ht="98.25" customHeight="1">
      <c r="A182" s="131"/>
      <c r="B182" s="351"/>
      <c r="C182" s="346"/>
      <c r="D182" s="134" t="s">
        <v>10</v>
      </c>
      <c r="E182" s="134" t="s">
        <v>4</v>
      </c>
      <c r="F182" s="134" t="s">
        <v>15</v>
      </c>
      <c r="G182" s="135" t="s">
        <v>90</v>
      </c>
      <c r="H182" s="314"/>
      <c r="I182" s="314"/>
      <c r="J182" s="314"/>
      <c r="K182" s="314"/>
      <c r="L182" s="314"/>
      <c r="M182" s="317"/>
      <c r="N182" s="314"/>
      <c r="O182" s="264" t="s">
        <v>76</v>
      </c>
      <c r="P182" s="264" t="str">
        <f>+P155</f>
        <v>¿EL CONTRATO SE ENCUENTRA CLASIFICADO EN ALGUNA DE LAS CLASIFICACIONES ESTABLECIDAS EN EL PLIEGO? (SI/NO) (721033 - 721410 - 721411 - 721416)</v>
      </c>
      <c r="Q182" s="346"/>
      <c r="R182" s="346"/>
      <c r="S182" s="264" t="s">
        <v>81</v>
      </c>
      <c r="T182" s="264" t="s">
        <v>77</v>
      </c>
      <c r="U182" s="348"/>
      <c r="V182" s="336"/>
      <c r="W182" s="133"/>
      <c r="X182" s="362"/>
      <c r="Y182" s="133"/>
      <c r="Z182" s="245"/>
      <c r="AA182" s="245"/>
      <c r="AB182" s="245"/>
      <c r="AC182" s="362"/>
    </row>
    <row r="183" spans="1:29" ht="16" thickBot="1">
      <c r="A183" s="122"/>
      <c r="B183" s="96"/>
      <c r="C183" s="97"/>
      <c r="D183" s="97"/>
      <c r="E183" s="97"/>
      <c r="F183" s="97"/>
      <c r="G183" s="97"/>
      <c r="H183" s="97"/>
      <c r="I183" s="97"/>
      <c r="J183" s="97"/>
      <c r="K183" s="97"/>
      <c r="L183" s="97"/>
      <c r="M183" s="97"/>
      <c r="N183" s="97"/>
      <c r="O183" s="97"/>
      <c r="P183" s="97"/>
      <c r="Q183" s="97"/>
      <c r="R183" s="173"/>
      <c r="S183" s="173"/>
      <c r="T183" s="97"/>
      <c r="U183" s="191"/>
      <c r="V183" s="202"/>
      <c r="W183" s="1"/>
      <c r="X183" s="241"/>
      <c r="Y183" s="1"/>
      <c r="Z183" s="42"/>
      <c r="AA183" s="42"/>
      <c r="AB183" s="42"/>
      <c r="AC183" s="241"/>
    </row>
    <row r="184" spans="1:29" ht="42.5" customHeight="1">
      <c r="A184" s="125" t="str">
        <f>"A"&amp;E180</f>
        <v>A7</v>
      </c>
      <c r="B184" s="140">
        <v>1</v>
      </c>
      <c r="C184" s="139" t="s">
        <v>359</v>
      </c>
      <c r="D184" s="139" t="s">
        <v>241</v>
      </c>
      <c r="E184" s="139" t="s">
        <v>360</v>
      </c>
      <c r="F184" s="139" t="s">
        <v>222</v>
      </c>
      <c r="G184" s="142">
        <v>0.5</v>
      </c>
      <c r="H184" s="142" t="s">
        <v>115</v>
      </c>
      <c r="I184" s="138" t="s">
        <v>50</v>
      </c>
      <c r="J184" s="378" t="str">
        <f>+F180</f>
        <v>ISAÍAS VARGAS GONZÁLEZ</v>
      </c>
      <c r="K184" s="127">
        <v>42360</v>
      </c>
      <c r="L184" s="127">
        <v>42538</v>
      </c>
      <c r="M184" s="128">
        <f>IF(OR(K184="",L184=""),"",IF(OR(K184&gt;$T$14,K184&lt;$S$14,L184&gt;$T$14,AND(K184&lt;$S$14,L184&lt;$S$14)),"FUERA DE RANGO",IF(K184&gt;=$S$14,ROUND(((L184-K184+1)/360*12),1),ROUND(((L184-$S$14+1)/360*12),1))))</f>
        <v>6</v>
      </c>
      <c r="N184" s="206">
        <v>150</v>
      </c>
      <c r="O184" s="138" t="s">
        <v>50</v>
      </c>
      <c r="P184" s="128" t="s">
        <v>50</v>
      </c>
      <c r="Q184" s="128" t="s">
        <v>111</v>
      </c>
      <c r="R184" s="95">
        <v>2966.47</v>
      </c>
      <c r="S184" s="95">
        <f t="shared" ref="S184:S189" si="38">IF(OR(G184="",R184=""),"",R184*G184)</f>
        <v>1483.2349999999999</v>
      </c>
      <c r="T184" s="129">
        <f>IF(OR(I184="NO",I184="",I184&lt;&gt;"SI",S184=""),"",IF(OR(L184&lt;$S$14,L184&gt;$T$14,L184=""),0,ROUND(S184,2)))</f>
        <v>1483.24</v>
      </c>
      <c r="U184" s="192" t="s">
        <v>396</v>
      </c>
      <c r="V184" s="204"/>
      <c r="W184" s="141"/>
      <c r="X184" s="222" t="s">
        <v>50</v>
      </c>
      <c r="Y184" s="141"/>
      <c r="Z184" s="223" t="str">
        <f t="shared" ref="Z184:Z189" si="39">IF(T184="","",IF(T184&gt;=PORCREQCTO*POSMMLV,"SI","NO"))</f>
        <v>SI</v>
      </c>
      <c r="AA184" s="296" t="str">
        <f>"VERIFICACIÓN CUMPLIMIENTO "&amp;PORCREQCTO*100&amp;"% DEL PO"</f>
        <v>VERIFICACIÓN CUMPLIMIENTO 50% DEL PO</v>
      </c>
      <c r="AB184" s="171"/>
      <c r="AC184" s="256"/>
    </row>
    <row r="185" spans="1:29" ht="31.5">
      <c r="A185" s="125" t="str">
        <f>"B"&amp;E180</f>
        <v>B7</v>
      </c>
      <c r="B185" s="140">
        <v>2</v>
      </c>
      <c r="C185" s="139" t="s">
        <v>242</v>
      </c>
      <c r="D185" s="139" t="s">
        <v>243</v>
      </c>
      <c r="E185" s="139" t="s">
        <v>244</v>
      </c>
      <c r="F185" s="139" t="s">
        <v>222</v>
      </c>
      <c r="G185" s="142">
        <v>0.5</v>
      </c>
      <c r="H185" s="142" t="s">
        <v>115</v>
      </c>
      <c r="I185" s="138" t="s">
        <v>51</v>
      </c>
      <c r="J185" s="378" t="str">
        <f>+J184</f>
        <v>ISAÍAS VARGAS GONZÁLEZ</v>
      </c>
      <c r="K185" s="127">
        <v>42608</v>
      </c>
      <c r="L185" s="127">
        <v>42973</v>
      </c>
      <c r="M185" s="128">
        <f t="shared" ref="M185:M189" si="40">IF(OR(K185="",L185=""),"",IF(OR(K185&gt;$T$14,K185&lt;$S$14,L185&gt;$T$14,AND(K185&lt;$S$14,L185&lt;$S$14)),"FUERA DE RANGO",IF(K185&gt;=$S$14,ROUND(((L185-K185+1)/360*12),1),ROUND(((L185-$S$14+1)/360*12),1))))</f>
        <v>12.2</v>
      </c>
      <c r="N185" s="206">
        <v>135</v>
      </c>
      <c r="O185" s="138" t="s">
        <v>50</v>
      </c>
      <c r="P185" s="128" t="s">
        <v>50</v>
      </c>
      <c r="Q185" s="128"/>
      <c r="R185" s="95">
        <v>2105.84</v>
      </c>
      <c r="S185" s="95">
        <f t="shared" si="38"/>
        <v>1052.92</v>
      </c>
      <c r="T185" s="129" t="str">
        <f t="shared" ref="T185:T189" si="41">IF(OR(I185="NO",I185="",I185&lt;&gt;"SI",S185=""),"",IF(OR(L185&lt;$S$14,L185&gt;$T$14,L185=""),0,ROUND(S185,2)))</f>
        <v/>
      </c>
      <c r="U185" s="192" t="s">
        <v>435</v>
      </c>
      <c r="V185" s="204"/>
      <c r="W185" s="141"/>
      <c r="X185" s="222"/>
      <c r="Y185" s="141"/>
      <c r="Z185" s="224" t="str">
        <f t="shared" si="39"/>
        <v/>
      </c>
      <c r="AA185" s="297"/>
      <c r="AB185" s="171"/>
      <c r="AC185" s="256"/>
    </row>
    <row r="186" spans="1:29" ht="31.5">
      <c r="A186" s="125" t="str">
        <f>"C"&amp;E180</f>
        <v>C7</v>
      </c>
      <c r="B186" s="140">
        <v>3</v>
      </c>
      <c r="C186" s="139" t="s">
        <v>245</v>
      </c>
      <c r="D186" s="139" t="s">
        <v>246</v>
      </c>
      <c r="E186" s="139" t="s">
        <v>361</v>
      </c>
      <c r="F186" s="139" t="s">
        <v>222</v>
      </c>
      <c r="G186" s="142">
        <v>0.5</v>
      </c>
      <c r="H186" s="142" t="s">
        <v>115</v>
      </c>
      <c r="I186" s="138" t="s">
        <v>51</v>
      </c>
      <c r="J186" s="378" t="str">
        <f>+J185</f>
        <v>ISAÍAS VARGAS GONZÁLEZ</v>
      </c>
      <c r="K186" s="127">
        <v>43363</v>
      </c>
      <c r="L186" s="127">
        <v>43536</v>
      </c>
      <c r="M186" s="128">
        <f t="shared" si="40"/>
        <v>5.8</v>
      </c>
      <c r="N186" s="206">
        <v>182</v>
      </c>
      <c r="O186" s="138" t="s">
        <v>50</v>
      </c>
      <c r="P186" s="128" t="s">
        <v>50</v>
      </c>
      <c r="Q186" s="128"/>
      <c r="R186" s="95">
        <v>1745.66</v>
      </c>
      <c r="S186" s="95">
        <f t="shared" si="38"/>
        <v>872.83</v>
      </c>
      <c r="T186" s="129" t="str">
        <f t="shared" si="41"/>
        <v/>
      </c>
      <c r="U186" s="192" t="s">
        <v>436</v>
      </c>
      <c r="V186" s="204"/>
      <c r="W186" s="141"/>
      <c r="X186" s="222"/>
      <c r="Y186" s="141"/>
      <c r="Z186" s="224" t="str">
        <f t="shared" si="39"/>
        <v/>
      </c>
      <c r="AA186" s="297"/>
      <c r="AB186" s="171"/>
      <c r="AC186" s="256"/>
    </row>
    <row r="187" spans="1:29">
      <c r="A187" s="125" t="str">
        <f>"D"&amp;E180</f>
        <v>D7</v>
      </c>
      <c r="B187" s="140"/>
      <c r="C187" s="139"/>
      <c r="D187" s="139"/>
      <c r="E187" s="139"/>
      <c r="F187" s="139"/>
      <c r="G187" s="142"/>
      <c r="H187" s="142"/>
      <c r="I187" s="138"/>
      <c r="J187" s="378"/>
      <c r="K187" s="127"/>
      <c r="L187" s="127"/>
      <c r="M187" s="128" t="str">
        <f t="shared" si="40"/>
        <v/>
      </c>
      <c r="N187" s="206"/>
      <c r="O187" s="138"/>
      <c r="P187" s="128"/>
      <c r="Q187" s="128"/>
      <c r="R187" s="95"/>
      <c r="S187" s="95" t="str">
        <f t="shared" si="38"/>
        <v/>
      </c>
      <c r="T187" s="129" t="str">
        <f t="shared" si="41"/>
        <v/>
      </c>
      <c r="U187" s="192"/>
      <c r="V187" s="204"/>
      <c r="W187" s="141"/>
      <c r="X187" s="222"/>
      <c r="Y187" s="141"/>
      <c r="Z187" s="224" t="str">
        <f t="shared" si="39"/>
        <v/>
      </c>
      <c r="AA187" s="297"/>
      <c r="AB187" s="171"/>
      <c r="AC187" s="256"/>
    </row>
    <row r="188" spans="1:29">
      <c r="A188" s="125" t="str">
        <f>"E"&amp;E180</f>
        <v>E7</v>
      </c>
      <c r="B188" s="140"/>
      <c r="C188" s="139"/>
      <c r="D188" s="139"/>
      <c r="E188" s="139"/>
      <c r="F188" s="139"/>
      <c r="G188" s="142"/>
      <c r="H188" s="142"/>
      <c r="I188" s="138"/>
      <c r="J188" s="138"/>
      <c r="K188" s="127"/>
      <c r="L188" s="127"/>
      <c r="M188" s="128" t="str">
        <f t="shared" si="40"/>
        <v/>
      </c>
      <c r="N188" s="206"/>
      <c r="O188" s="138"/>
      <c r="P188" s="128"/>
      <c r="Q188" s="128"/>
      <c r="R188" s="95"/>
      <c r="S188" s="95" t="str">
        <f t="shared" si="38"/>
        <v/>
      </c>
      <c r="T188" s="129" t="str">
        <f t="shared" si="41"/>
        <v/>
      </c>
      <c r="U188" s="192"/>
      <c r="V188" s="204"/>
      <c r="W188" s="141"/>
      <c r="X188" s="222"/>
      <c r="Y188" s="141"/>
      <c r="Z188" s="224" t="str">
        <f t="shared" si="39"/>
        <v/>
      </c>
      <c r="AA188" s="297"/>
      <c r="AB188" s="171"/>
      <c r="AC188" s="256"/>
    </row>
    <row r="189" spans="1:29" ht="16" thickBot="1">
      <c r="A189" s="125" t="str">
        <f>"F"&amp;E180</f>
        <v>F7</v>
      </c>
      <c r="B189" s="140"/>
      <c r="C189" s="139"/>
      <c r="D189" s="139"/>
      <c r="E189" s="139"/>
      <c r="F189" s="139"/>
      <c r="G189" s="142"/>
      <c r="H189" s="142"/>
      <c r="I189" s="138"/>
      <c r="J189" s="138"/>
      <c r="K189" s="127"/>
      <c r="L189" s="127"/>
      <c r="M189" s="128" t="str">
        <f t="shared" si="40"/>
        <v/>
      </c>
      <c r="N189" s="206"/>
      <c r="O189" s="138"/>
      <c r="P189" s="128"/>
      <c r="Q189" s="128"/>
      <c r="R189" s="95"/>
      <c r="S189" s="95" t="str">
        <f t="shared" si="38"/>
        <v/>
      </c>
      <c r="T189" s="129" t="str">
        <f t="shared" si="41"/>
        <v/>
      </c>
      <c r="U189" s="192"/>
      <c r="V189" s="204"/>
      <c r="W189" s="141"/>
      <c r="X189" s="222"/>
      <c r="Y189" s="141"/>
      <c r="Z189" s="225" t="str">
        <f t="shared" si="39"/>
        <v/>
      </c>
      <c r="AA189" s="363"/>
      <c r="AB189" s="171"/>
      <c r="AC189" s="256"/>
    </row>
    <row r="190" spans="1:29" ht="16" thickBot="1">
      <c r="A190" s="122"/>
      <c r="B190" s="96"/>
      <c r="C190" s="97"/>
      <c r="D190" s="97"/>
      <c r="E190" s="97"/>
      <c r="F190" s="97"/>
      <c r="G190" s="97"/>
      <c r="H190" s="97"/>
      <c r="I190" s="97"/>
      <c r="J190" s="97"/>
      <c r="K190" s="97"/>
      <c r="L190" s="97"/>
      <c r="M190" s="97"/>
      <c r="N190" s="97"/>
      <c r="O190" s="97"/>
      <c r="P190" s="97"/>
      <c r="Q190" s="97"/>
      <c r="R190" s="173"/>
      <c r="S190" s="173"/>
      <c r="T190" s="126"/>
      <c r="U190" s="98"/>
      <c r="V190" s="205"/>
      <c r="W190" s="1"/>
      <c r="X190" s="242"/>
      <c r="Y190" s="1"/>
      <c r="Z190" s="42"/>
      <c r="AA190" s="42"/>
      <c r="AB190" s="42"/>
      <c r="AC190" s="242"/>
    </row>
    <row r="191" spans="1:29" ht="16" thickBot="1">
      <c r="A191" s="123"/>
      <c r="B191" s="99"/>
      <c r="C191" s="94"/>
      <c r="D191" s="94"/>
      <c r="E191" s="94"/>
      <c r="F191" s="94"/>
      <c r="G191" s="94"/>
      <c r="H191" s="94"/>
      <c r="I191" s="94"/>
      <c r="J191" s="94"/>
      <c r="K191" s="94"/>
      <c r="L191" s="94"/>
      <c r="M191" s="94"/>
      <c r="N191" s="94"/>
      <c r="O191" s="94"/>
      <c r="P191" s="94"/>
      <c r="Q191" s="94"/>
      <c r="R191" s="265"/>
      <c r="S191" s="265"/>
      <c r="T191" s="130">
        <f>SUM(T184:T189)</f>
        <v>1483.24</v>
      </c>
      <c r="U191" s="100"/>
      <c r="V191" s="203"/>
      <c r="W191" s="12"/>
      <c r="X191" s="243"/>
      <c r="Y191" s="12"/>
      <c r="Z191" s="243"/>
      <c r="AA191" s="243"/>
      <c r="AB191" s="243"/>
      <c r="AC191" s="243"/>
    </row>
    <row r="192" spans="1:29">
      <c r="B192" s="197"/>
      <c r="C192" s="193"/>
      <c r="D192" s="193"/>
      <c r="E192" s="193"/>
      <c r="F192" s="193"/>
      <c r="G192" s="193"/>
      <c r="H192" s="193"/>
      <c r="I192" s="193"/>
      <c r="J192" s="193"/>
      <c r="K192" s="193"/>
      <c r="L192" s="193"/>
      <c r="M192" s="193"/>
      <c r="N192" s="193"/>
      <c r="O192" s="193"/>
      <c r="P192" s="193"/>
      <c r="Q192" s="193"/>
      <c r="R192" s="194"/>
      <c r="S192" s="194"/>
      <c r="T192" s="195"/>
      <c r="U192" s="196"/>
      <c r="V192" s="195"/>
    </row>
    <row r="193" spans="1:29" ht="16" thickBot="1">
      <c r="A193" s="122"/>
      <c r="B193" s="322" t="s">
        <v>45</v>
      </c>
      <c r="C193" s="323"/>
      <c r="D193" s="323"/>
      <c r="E193" s="323"/>
      <c r="F193" s="323"/>
      <c r="G193" s="324"/>
      <c r="H193" s="324"/>
      <c r="I193" s="324"/>
      <c r="J193" s="324"/>
      <c r="K193" s="324"/>
      <c r="L193" s="324"/>
      <c r="M193" s="324"/>
      <c r="N193" s="324"/>
      <c r="O193" s="324"/>
      <c r="P193" s="324"/>
      <c r="Q193" s="324"/>
      <c r="R193" s="324"/>
      <c r="S193" s="324"/>
      <c r="T193" s="324"/>
      <c r="U193" s="325"/>
      <c r="V193" s="201"/>
      <c r="W193" s="1"/>
      <c r="X193" s="42"/>
      <c r="Y193" s="1"/>
      <c r="Z193" s="42"/>
      <c r="AA193" s="42"/>
      <c r="AB193" s="42"/>
      <c r="AC193" s="42"/>
    </row>
    <row r="194" spans="1:29" ht="16.5" customHeight="1" thickBot="1">
      <c r="A194" s="122" t="str">
        <f>"G"&amp;E180</f>
        <v>G7</v>
      </c>
      <c r="B194" s="291" t="s">
        <v>97</v>
      </c>
      <c r="C194" s="292"/>
      <c r="D194" s="292"/>
      <c r="E194" s="292"/>
      <c r="F194" s="292"/>
      <c r="G194" s="326"/>
      <c r="H194" s="291" t="s">
        <v>100</v>
      </c>
      <c r="I194" s="292"/>
      <c r="J194" s="292"/>
      <c r="K194" s="292"/>
      <c r="L194" s="292"/>
      <c r="M194" s="292"/>
      <c r="N194" s="292"/>
      <c r="O194" s="189" t="s">
        <v>23</v>
      </c>
      <c r="P194" s="190"/>
      <c r="Q194" s="190"/>
      <c r="R194" s="190"/>
      <c r="S194" s="190"/>
      <c r="T194" s="190"/>
      <c r="U194" s="253"/>
      <c r="V194" s="201"/>
      <c r="W194" s="1"/>
      <c r="X194" s="239" t="s">
        <v>117</v>
      </c>
      <c r="Y194" s="1"/>
      <c r="Z194" s="355" t="s">
        <v>119</v>
      </c>
      <c r="AA194" s="345" t="s">
        <v>120</v>
      </c>
      <c r="AB194" s="345" t="s">
        <v>148</v>
      </c>
      <c r="AC194" s="359" t="s">
        <v>149</v>
      </c>
    </row>
    <row r="195" spans="1:29" ht="15.75" customHeight="1" thickBot="1">
      <c r="A195" s="122" t="str">
        <f>"H"&amp;E180</f>
        <v>H7</v>
      </c>
      <c r="B195" s="293" t="s">
        <v>132</v>
      </c>
      <c r="C195" s="294"/>
      <c r="D195" s="294"/>
      <c r="E195" s="294"/>
      <c r="F195" s="294"/>
      <c r="G195" s="327"/>
      <c r="H195" s="293" t="s">
        <v>17</v>
      </c>
      <c r="I195" s="294"/>
      <c r="J195" s="294"/>
      <c r="K195" s="294"/>
      <c r="L195" s="295"/>
      <c r="M195" s="183">
        <f>VLOOKUP(E180,PROPONENTES!$C$14:$E$37,3,0)</f>
        <v>1</v>
      </c>
      <c r="N195" s="296" t="s">
        <v>143</v>
      </c>
      <c r="O195" s="299"/>
      <c r="P195" s="300"/>
      <c r="Q195" s="300"/>
      <c r="R195" s="300"/>
      <c r="S195" s="300"/>
      <c r="T195" s="300"/>
      <c r="U195" s="301"/>
      <c r="V195" s="201"/>
      <c r="W195" s="1"/>
      <c r="X195" s="244" t="str">
        <f>IF(M195="","",IF(M195=1,"INDIVIDUAL","ESTRUCTURA PLURAL"))</f>
        <v>INDIVIDUAL</v>
      </c>
      <c r="Y195" s="1"/>
      <c r="Z195" s="356"/>
      <c r="AA195" s="358"/>
      <c r="AB195" s="358"/>
      <c r="AC195" s="360"/>
    </row>
    <row r="196" spans="1:29" ht="15.75" customHeight="1" thickBot="1">
      <c r="A196" s="122" t="str">
        <f>"I"&amp;E180</f>
        <v>I7</v>
      </c>
      <c r="B196" s="328" t="s">
        <v>131</v>
      </c>
      <c r="C196" s="329"/>
      <c r="D196" s="330"/>
      <c r="E196" s="308">
        <f>IF(AND(I184="SI",T184&gt;0),1,0)+IF(AND(I185="SI",T185&gt;0),1,0)+IF(AND(I186="SI",T186&gt;0),1,0)+IF(AND(I187="SI",T187&gt;0),1,0)+IF(AND(I188="SI",T188&gt;0),1,0)+IF(AND(I189="SI",T189&gt;0),1,0)</f>
        <v>1</v>
      </c>
      <c r="F196" s="310" t="s">
        <v>133</v>
      </c>
      <c r="G196" s="312">
        <f>IF(E196=0,"N/A",IF(AND(E196&gt;=1,E196&lt;=2),0.75,IF(AND(E196&gt;=3,E196&lt;=4),1.2,IF(AND(E196&gt;=5,E196&lt;=6),1.5,"REVISAR"))))</f>
        <v>0.75</v>
      </c>
      <c r="H196" s="334" t="s">
        <v>16</v>
      </c>
      <c r="I196" s="335"/>
      <c r="J196" s="314" t="s">
        <v>350</v>
      </c>
      <c r="K196" s="314" t="s">
        <v>140</v>
      </c>
      <c r="L196" s="314" t="s">
        <v>141</v>
      </c>
      <c r="M196" s="320" t="s">
        <v>142</v>
      </c>
      <c r="N196" s="297"/>
      <c r="O196" s="302"/>
      <c r="P196" s="303"/>
      <c r="Q196" s="303"/>
      <c r="R196" s="303"/>
      <c r="S196" s="303"/>
      <c r="T196" s="303"/>
      <c r="U196" s="304"/>
      <c r="V196" s="201"/>
      <c r="W196" s="38"/>
      <c r="X196" s="171"/>
      <c r="Y196" s="38"/>
      <c r="Z196" s="356"/>
      <c r="AA196" s="358"/>
      <c r="AB196" s="358"/>
      <c r="AC196" s="360"/>
    </row>
    <row r="197" spans="1:29" ht="16.5" customHeight="1" thickBot="1">
      <c r="A197" s="122" t="str">
        <f>"J"&amp;E180</f>
        <v>J7</v>
      </c>
      <c r="B197" s="331"/>
      <c r="C197" s="332"/>
      <c r="D197" s="333"/>
      <c r="E197" s="309"/>
      <c r="F197" s="311"/>
      <c r="G197" s="313"/>
      <c r="H197" s="336"/>
      <c r="I197" s="337"/>
      <c r="J197" s="314"/>
      <c r="K197" s="314"/>
      <c r="L197" s="314"/>
      <c r="M197" s="321"/>
      <c r="N197" s="298"/>
      <c r="O197" s="302"/>
      <c r="P197" s="303"/>
      <c r="Q197" s="303"/>
      <c r="R197" s="303"/>
      <c r="S197" s="303"/>
      <c r="T197" s="303"/>
      <c r="U197" s="304"/>
      <c r="V197" s="201"/>
      <c r="W197" s="38"/>
      <c r="X197" s="239" t="s">
        <v>118</v>
      </c>
      <c r="Y197" s="38"/>
      <c r="Z197" s="357"/>
      <c r="AA197" s="346"/>
      <c r="AB197" s="346"/>
      <c r="AC197" s="321"/>
    </row>
    <row r="198" spans="1:29" ht="16" thickBot="1">
      <c r="A198" s="125" t="str">
        <f>"K"&amp;E180</f>
        <v>K7</v>
      </c>
      <c r="B198" s="293" t="s">
        <v>98</v>
      </c>
      <c r="C198" s="294"/>
      <c r="D198" s="294"/>
      <c r="E198" s="294"/>
      <c r="F198" s="294"/>
      <c r="G198" s="294"/>
      <c r="H198" s="186">
        <v>1</v>
      </c>
      <c r="I198" s="92" t="str">
        <f>IF(AND(H198&lt;=M195,M195&gt;1),VLOOKUP(VALUE(E180&amp;","&amp;H198),INTEGRANTES!$B$15:$D$72,2,0),"")</f>
        <v/>
      </c>
      <c r="J198" s="187" t="str">
        <f>IF(I198&lt;&gt;"",VLOOKUP(VALUE(E180&amp;","&amp;H198),INTEGRANTES!$B$15:$D$72,3,0),"")</f>
        <v/>
      </c>
      <c r="K198" s="247" t="str">
        <f>IF($I198="","",IF(G196="N/A","",ROUND($G196*POSMMLV*PORPOM,2)))</f>
        <v/>
      </c>
      <c r="L198" s="247" t="str">
        <f>IF(I198="","",SUMIF($J184:$J189,I198,$T184:$T189))</f>
        <v/>
      </c>
      <c r="M198" s="93" t="str">
        <f t="shared" ref="M198:M203" si="42">IF($I198="","",IF($K198&gt;L198,"NO CUMPLE","CUMPLE"))</f>
        <v/>
      </c>
      <c r="N198" s="93" t="str">
        <f t="shared" ref="N198:N203" si="43">IF($I198="","",IF(M198="CUMPLE","CUMPLE","NO CUMPLE"))</f>
        <v/>
      </c>
      <c r="O198" s="302"/>
      <c r="P198" s="303"/>
      <c r="Q198" s="303"/>
      <c r="R198" s="303"/>
      <c r="S198" s="303"/>
      <c r="T198" s="303"/>
      <c r="U198" s="304"/>
      <c r="V198" s="201"/>
      <c r="W198" s="1"/>
      <c r="X198" s="244" t="str">
        <f>IF(X195="","",IF(X195="INDIVIDUAL","NO APLICA","VERIFICAR CUADRO"))</f>
        <v>NO APLICA</v>
      </c>
      <c r="Y198" s="1"/>
      <c r="Z198" s="262" t="str">
        <f>IF(AND(H198&lt;=M195,M195&gt;1),VLOOKUP(VALUE(E180&amp;","&amp;H198),INTEGRANTES!$B$15:$D$72,2,0),"")</f>
        <v/>
      </c>
      <c r="AA198" s="248" t="str">
        <f>IF(I198="","",SUMIF(J184:$J189,I198,$T184:$T189))</f>
        <v/>
      </c>
      <c r="AB198" s="232"/>
      <c r="AC198" s="250" t="str">
        <f>IF(OR(Z198="",AB198=""),"",IF(AND(AB198="X",AA198&gt;=X201),"CUMPLE","NO CUMPLE"))</f>
        <v/>
      </c>
    </row>
    <row r="199" spans="1:29" ht="15.75" customHeight="1" thickBot="1">
      <c r="A199" s="125" t="str">
        <f>"L"&amp;E180</f>
        <v>L7</v>
      </c>
      <c r="B199" s="328" t="s">
        <v>134</v>
      </c>
      <c r="C199" s="329"/>
      <c r="D199" s="330"/>
      <c r="E199" s="132" t="s">
        <v>135</v>
      </c>
      <c r="F199" s="132" t="s">
        <v>136</v>
      </c>
      <c r="G199" s="136" t="s">
        <v>99</v>
      </c>
      <c r="H199" s="186">
        <v>2</v>
      </c>
      <c r="I199" s="92" t="str">
        <f>IF(AND(H199&lt;=M195,M195&gt;1),VLOOKUP(VALUE(E180&amp;","&amp;H199),INTEGRANTES!$B$15:$D$72,2,0),"")</f>
        <v/>
      </c>
      <c r="J199" s="187" t="str">
        <f>IF(I199&lt;&gt;"",VLOOKUP(VALUE(E180&amp;","&amp;H199),INTEGRANTES!$B$15:$D$72,3,0),"")</f>
        <v/>
      </c>
      <c r="K199" s="247" t="str">
        <f>IF($I199="","",IF(G196="N/A","",ROUND($G196*POSMMLV*PORPOM,2)))</f>
        <v/>
      </c>
      <c r="L199" s="247" t="str">
        <f>IF(I199="","",SUMIF($J184:$J189,I199,$T184:$T189))</f>
        <v/>
      </c>
      <c r="M199" s="93" t="str">
        <f t="shared" si="42"/>
        <v/>
      </c>
      <c r="N199" s="93" t="str">
        <f t="shared" si="43"/>
        <v/>
      </c>
      <c r="O199" s="302"/>
      <c r="P199" s="303"/>
      <c r="Q199" s="303"/>
      <c r="R199" s="303"/>
      <c r="S199" s="303"/>
      <c r="T199" s="303"/>
      <c r="U199" s="304"/>
      <c r="V199" s="201"/>
      <c r="W199" s="1"/>
      <c r="X199" s="42"/>
      <c r="Y199" s="1"/>
      <c r="Z199" s="262" t="str">
        <f>IF(AND(H199&lt;=M195,M195&gt;1),VLOOKUP(VALUE(E180&amp;","&amp;H199),INTEGRANTES!$B$15:$D$72,2,0),"")</f>
        <v/>
      </c>
      <c r="AA199" s="248" t="str">
        <f>IF(I199="","",SUMIF(J184:$J189,I199,$T184:$T189))</f>
        <v/>
      </c>
      <c r="AB199" s="232"/>
      <c r="AC199" s="250" t="str">
        <f>IF(OR(Z199="",AB199=""),"",IF(AND(AB199="X",AA199&gt;=X201),"CUMPLE","NO CUMPLE"))</f>
        <v/>
      </c>
    </row>
    <row r="200" spans="1:29" ht="16" thickBot="1">
      <c r="A200" s="122" t="str">
        <f>"M"&amp;E180</f>
        <v>M7</v>
      </c>
      <c r="B200" s="331"/>
      <c r="C200" s="332"/>
      <c r="D200" s="333"/>
      <c r="E200" s="237">
        <f>IF(ISTEXT(G196),"NO APLICA",G196*POSMMLV)</f>
        <v>1394.0360281651363</v>
      </c>
      <c r="F200" s="238">
        <f>IF(E200="","",T191)</f>
        <v>1483.24</v>
      </c>
      <c r="G200" s="221" t="str">
        <f>IF(E200="","",IF(E200="NO APLICA","NO CUMPLE",IF(F200&gt;=E200,"CUMPLE", "NO CUMPLE")))</f>
        <v>CUMPLE</v>
      </c>
      <c r="H200" s="186">
        <v>3</v>
      </c>
      <c r="I200" s="92" t="str">
        <f>IF(AND(H200&lt;=M195,M195&gt;1),VLOOKUP(VALUE(E180&amp;","&amp;H200),INTEGRANTES!$B$15:$D$72,2,0),"")</f>
        <v/>
      </c>
      <c r="J200" s="187" t="str">
        <f>IF(I200&lt;&gt;"",VLOOKUP(VALUE(E180&amp;","&amp;H200),INTEGRANTES!$B$15:$D$72,3,0),"")</f>
        <v/>
      </c>
      <c r="K200" s="247" t="str">
        <f>IF($I200="","",IF(G196="N/A","",ROUND($G196*POSMMLV*PORPOM,2)))</f>
        <v/>
      </c>
      <c r="L200" s="247" t="str">
        <f>IF(I200="","",SUMIF($J184:$J189,I200,$T184:$T189))</f>
        <v/>
      </c>
      <c r="M200" s="93" t="str">
        <f t="shared" si="42"/>
        <v/>
      </c>
      <c r="N200" s="93" t="str">
        <f t="shared" si="43"/>
        <v/>
      </c>
      <c r="O200" s="302"/>
      <c r="P200" s="303"/>
      <c r="Q200" s="303"/>
      <c r="R200" s="303"/>
      <c r="S200" s="303"/>
      <c r="T200" s="303"/>
      <c r="U200" s="304"/>
      <c r="V200" s="201"/>
      <c r="W200" s="1"/>
      <c r="X200" s="239" t="s">
        <v>145</v>
      </c>
      <c r="Y200" s="1"/>
      <c r="Z200" s="262" t="str">
        <f>IF(AND(H200&lt;=M195,M195&gt;1),VLOOKUP(VALUE(E180&amp;","&amp;H200),INTEGRANTES!$B$15:$D$72,2,0),"")</f>
        <v/>
      </c>
      <c r="AA200" s="248" t="str">
        <f>IF(I200="","",SUMIF(J184:$J189,I200,$T184:$T189))</f>
        <v/>
      </c>
      <c r="AB200" s="232"/>
      <c r="AC200" s="250" t="str">
        <f>IF(OR(Z200="",AB200=""),"",IF(AND(AB200="X",AA200&gt;=X201),"CUMPLE","NO CUMPLE"))</f>
        <v/>
      </c>
    </row>
    <row r="201" spans="1:29" ht="15.75" customHeight="1" thickBot="1">
      <c r="A201" s="122" t="str">
        <f>"N"&amp;E180</f>
        <v>N7</v>
      </c>
      <c r="B201" s="293" t="s">
        <v>107</v>
      </c>
      <c r="C201" s="294"/>
      <c r="D201" s="294"/>
      <c r="E201" s="294"/>
      <c r="F201" s="294"/>
      <c r="G201" s="294"/>
      <c r="H201" s="186">
        <v>4</v>
      </c>
      <c r="I201" s="92" t="str">
        <f>IF(AND(H201&lt;=M195,M195&gt;1),VLOOKUP(VALUE(E180&amp;","&amp;H201),INTEGRANTES!$B$15:$D$72,2,0),"")</f>
        <v/>
      </c>
      <c r="J201" s="187" t="str">
        <f>IF(I201&lt;&gt;"",VLOOKUP(VALUE(E180&amp;","&amp;H201),INTEGRANTES!$B$15:$D$72,3,0),"")</f>
        <v/>
      </c>
      <c r="K201" s="247" t="str">
        <f>IF($I201="","",IF(G196="N/A","",ROUND($G196*POSMMLV*PORPOM,2)))</f>
        <v/>
      </c>
      <c r="L201" s="247" t="str">
        <f>IF(I201="","",SUMIF($J184:$J189,I201,$T184:$T189))</f>
        <v/>
      </c>
      <c r="M201" s="93" t="str">
        <f t="shared" si="42"/>
        <v/>
      </c>
      <c r="N201" s="93" t="str">
        <f t="shared" si="43"/>
        <v/>
      </c>
      <c r="O201" s="302"/>
      <c r="P201" s="303"/>
      <c r="Q201" s="303"/>
      <c r="R201" s="303"/>
      <c r="S201" s="303"/>
      <c r="T201" s="303"/>
      <c r="U201" s="304"/>
      <c r="V201" s="201"/>
      <c r="W201" s="1"/>
      <c r="X201" s="251">
        <f>IF(G196="N/A","N/A",0.4*G196*POSMMLV)</f>
        <v>557.61441126605462</v>
      </c>
      <c r="Y201" s="1"/>
      <c r="Z201" s="262" t="str">
        <f>IF(AND(H201&lt;=M195,M195&gt;1),VLOOKUP(VALUE(E180&amp;","&amp;H201),INTEGRANTES!$B$15:$D$72,2,0),"")</f>
        <v/>
      </c>
      <c r="AA201" s="248" t="str">
        <f>IF(I201="","",SUMIF(J184:$J189,I201,$T184:$T189))</f>
        <v/>
      </c>
      <c r="AB201" s="232"/>
      <c r="AC201" s="250" t="str">
        <f>IF(OR(Z201="",AB201=""),"",IF(AND(AB201="X",AA201&gt;=X201),"CUMPLE","NO CUMPLE"))</f>
        <v/>
      </c>
    </row>
    <row r="202" spans="1:29" ht="33.75" customHeight="1" thickBot="1">
      <c r="A202" s="122" t="str">
        <f>"O"&amp;E180</f>
        <v>O7</v>
      </c>
      <c r="B202" s="328" t="s">
        <v>108</v>
      </c>
      <c r="C202" s="329"/>
      <c r="D202" s="329"/>
      <c r="E202" s="329"/>
      <c r="F202" s="329"/>
      <c r="G202" s="185" t="s">
        <v>99</v>
      </c>
      <c r="H202" s="186">
        <v>5</v>
      </c>
      <c r="I202" s="92" t="str">
        <f>IF(AND(H202&lt;=M195,M195&gt;1),VLOOKUP(VALUE(E180&amp;","&amp;H202),INTEGRANTES!$B$15:$D$72,2,0),"")</f>
        <v/>
      </c>
      <c r="J202" s="187" t="str">
        <f>IF(I202&lt;&gt;"",VLOOKUP(VALUE(E180&amp;","&amp;H202),INTEGRANTES!$B$15:$D$72,3,0),"")</f>
        <v/>
      </c>
      <c r="K202" s="247" t="str">
        <f>IF($I202="","",IF(G196="N/A","",ROUND($G196*POSMMLV*PORPOM,2)))</f>
        <v/>
      </c>
      <c r="L202" s="247" t="str">
        <f>IF(I202="","",SUMIF($J184:$J189,I202,$T184:$T189))</f>
        <v/>
      </c>
      <c r="M202" s="93" t="str">
        <f t="shared" si="42"/>
        <v/>
      </c>
      <c r="N202" s="93" t="str">
        <f t="shared" si="43"/>
        <v/>
      </c>
      <c r="O202" s="302"/>
      <c r="P202" s="303"/>
      <c r="Q202" s="303"/>
      <c r="R202" s="303"/>
      <c r="S202" s="303"/>
      <c r="T202" s="303"/>
      <c r="U202" s="304"/>
      <c r="V202" s="201"/>
      <c r="W202" s="1"/>
      <c r="X202" s="42"/>
      <c r="Y202" s="1"/>
      <c r="Z202" s="262" t="str">
        <f>IF(AND(H202&lt;=M195,M195&gt;1),VLOOKUP(VALUE(E180&amp;","&amp;H202),INTEGRANTES!$B$15:$D$72,2,0),"")</f>
        <v/>
      </c>
      <c r="AA202" s="248" t="str">
        <f>IF(I202="","",SUMIF(J184:$J189,I202,$T184:$T189))</f>
        <v/>
      </c>
      <c r="AB202" s="232"/>
      <c r="AC202" s="250" t="str">
        <f>IF(OR(Z202="",AB202=""),"",IF(AND(AB202="X",AA202&gt;=X201),"CUMPLE","NO CUMPLE"))</f>
        <v/>
      </c>
    </row>
    <row r="203" spans="1:29" ht="16" thickBot="1">
      <c r="A203" s="122" t="str">
        <f>"P"&amp;E180</f>
        <v>P7</v>
      </c>
      <c r="B203" s="353"/>
      <c r="C203" s="354"/>
      <c r="D203" s="354"/>
      <c r="E203" s="354"/>
      <c r="F203" s="354"/>
      <c r="G203" s="137" t="str">
        <f>IF(AND(COUNTIF(X184:X189,"")&gt;5,COUNTIF(Z184:Z189,"")&gt;5),"NO CUMPLE",IF(AND(COUNTIF(X184:X189,"SI")&gt;=$AF$17,COUNTIF(Z184:Z189,"SI")&gt;=$AF$17),"CUMPLE", "NO CUMPLE"))</f>
        <v>CUMPLE</v>
      </c>
      <c r="H203" s="257">
        <v>6</v>
      </c>
      <c r="I203" s="258" t="str">
        <f>IF(AND(H203&lt;=M195,M195&gt;1),VLOOKUP(VALUE(E180&amp;","&amp;H203),INTEGRANTES!$B$15:$D$72,2,0),"")</f>
        <v/>
      </c>
      <c r="J203" s="259" t="str">
        <f>IF(I203&lt;&gt;"",VLOOKUP(VALUE(E180&amp;","&amp;H203),INTEGRANTES!$B$15:$D$72,3,0),"")</f>
        <v/>
      </c>
      <c r="K203" s="260" t="str">
        <f>IF($I203="","",IF(G196="N/A","",ROUND($G196*POSMMLV*PORPOM,2)))</f>
        <v/>
      </c>
      <c r="L203" s="260" t="str">
        <f>IF(I203="","",SUMIF($J184:$J189,I203,$T184:$T189))</f>
        <v/>
      </c>
      <c r="M203" s="261" t="str">
        <f t="shared" si="42"/>
        <v/>
      </c>
      <c r="N203" s="93" t="str">
        <f t="shared" si="43"/>
        <v/>
      </c>
      <c r="O203" s="302"/>
      <c r="P203" s="303"/>
      <c r="Q203" s="303"/>
      <c r="R203" s="303"/>
      <c r="S203" s="303"/>
      <c r="T203" s="303"/>
      <c r="U203" s="304"/>
      <c r="V203" s="201"/>
      <c r="W203" s="1"/>
      <c r="X203" s="239" t="s">
        <v>122</v>
      </c>
      <c r="Y203" s="1"/>
      <c r="Z203" s="263" t="str">
        <f>IF(AND(H203&lt;=M195,M195&gt;1),VLOOKUP(VALUE(E180&amp;","&amp;H203),INTEGRANTES!$B$15:$D$72,2,0),"")</f>
        <v/>
      </c>
      <c r="AA203" s="249" t="str">
        <f>IF(I203="","",SUMIF(J184:$J189,I203,$T184:$T189))</f>
        <v/>
      </c>
      <c r="AB203" s="246"/>
      <c r="AC203" s="137" t="str">
        <f>IF(OR(Z203="",AB203=""),"",IF(AND(AB203="X",AA203&gt;=X201),"CUMPLE","NO CUMPLE"))</f>
        <v/>
      </c>
    </row>
    <row r="204" spans="1:29" ht="38.25" customHeight="1" thickBot="1">
      <c r="A204" s="122" t="str">
        <f>"Q"&amp;E180</f>
        <v>Q7</v>
      </c>
      <c r="B204" s="338"/>
      <c r="C204" s="339"/>
      <c r="D204" s="339"/>
      <c r="E204" s="339"/>
      <c r="F204" s="339"/>
      <c r="G204" s="340"/>
      <c r="H204" s="318" t="s">
        <v>138</v>
      </c>
      <c r="I204" s="341"/>
      <c r="J204" s="342"/>
      <c r="K204" s="318" t="s">
        <v>139</v>
      </c>
      <c r="L204" s="319"/>
      <c r="M204" s="188" t="str">
        <f>IF(OR($M195="",SUM(J198:J203)=0),"",IF(COUNTIF(M198:M203,"CUMPLE")&gt;=1,"CUMPLE","NO CUMPLE"))</f>
        <v/>
      </c>
      <c r="N204" s="188" t="str">
        <f>IF(OR($M195="",SUM(J198:J203)=0),"",IF(COUNTIF(N198:N203,"CUMPLE")&gt;=1,"CUMPLE","NO CUMPLE"))</f>
        <v/>
      </c>
      <c r="O204" s="305"/>
      <c r="P204" s="306"/>
      <c r="Q204" s="306"/>
      <c r="R204" s="306"/>
      <c r="S204" s="306"/>
      <c r="T204" s="306"/>
      <c r="U204" s="307"/>
      <c r="V204" s="201"/>
      <c r="W204" s="1"/>
      <c r="X204" s="254" t="str">
        <f>IF(X198="NO APLICA","NO APLICA",IF(COUNTIF(AC198:AC203,"CUMPLE")&gt;0,"CUMPLE","NO CUMPLE"))</f>
        <v>NO APLICA</v>
      </c>
      <c r="Y204" s="1"/>
      <c r="Z204" s="42"/>
      <c r="AA204" s="42"/>
      <c r="AB204" s="42"/>
      <c r="AC204" s="42"/>
    </row>
    <row r="205" spans="1:29">
      <c r="A205"/>
    </row>
    <row r="206" spans="1:29">
      <c r="A206"/>
    </row>
    <row r="207" spans="1:29" ht="23.5" thickBot="1">
      <c r="A207" s="167">
        <v>8</v>
      </c>
      <c r="B207" s="349" t="s">
        <v>1</v>
      </c>
      <c r="C207" s="349"/>
      <c r="D207" s="349"/>
      <c r="E207" s="105">
        <f>VLOOKUP(A207,PROPONENTES!$B$14:$D$37,2,FALSE)</f>
        <v>8</v>
      </c>
      <c r="F207" s="106" t="str">
        <f>VLOOKUP(E207,PROPONENTES!$C$14:$D$37,2,FALSE)</f>
        <v>PROTECO INGENIERÍA S.A.S</v>
      </c>
      <c r="G207" s="107"/>
      <c r="H207" s="107"/>
      <c r="I207" s="107"/>
      <c r="J207" s="106"/>
      <c r="K207" s="106"/>
      <c r="L207" s="105"/>
      <c r="M207" s="107"/>
      <c r="N207" s="107"/>
      <c r="O207" s="107"/>
      <c r="P207" s="107"/>
      <c r="Q207" s="107"/>
      <c r="R207" s="107"/>
      <c r="S207" s="107"/>
      <c r="T207" s="108"/>
      <c r="U207" s="109"/>
      <c r="V207" s="109"/>
      <c r="W207" s="11"/>
      <c r="X207" s="240"/>
      <c r="Y207" s="11"/>
      <c r="Z207" s="240"/>
      <c r="AA207" s="240"/>
      <c r="AB207" s="240"/>
      <c r="AC207" s="240"/>
    </row>
    <row r="208" spans="1:29" ht="48" customHeight="1">
      <c r="A208" s="131"/>
      <c r="B208" s="350" t="s">
        <v>88</v>
      </c>
      <c r="C208" s="345" t="s">
        <v>48</v>
      </c>
      <c r="D208" s="352" t="s">
        <v>130</v>
      </c>
      <c r="E208" s="295"/>
      <c r="F208" s="352" t="s">
        <v>93</v>
      </c>
      <c r="G208" s="295"/>
      <c r="H208" s="315" t="s">
        <v>351</v>
      </c>
      <c r="I208" s="315" t="s">
        <v>103</v>
      </c>
      <c r="J208" s="315" t="s">
        <v>2</v>
      </c>
      <c r="K208" s="315" t="s">
        <v>352</v>
      </c>
      <c r="L208" s="315" t="s">
        <v>353</v>
      </c>
      <c r="M208" s="316" t="s">
        <v>29</v>
      </c>
      <c r="N208" s="315" t="s">
        <v>104</v>
      </c>
      <c r="O208" s="343" t="s">
        <v>78</v>
      </c>
      <c r="P208" s="344"/>
      <c r="Q208" s="345" t="s">
        <v>144</v>
      </c>
      <c r="R208" s="345" t="s">
        <v>101</v>
      </c>
      <c r="S208" s="294" t="s">
        <v>3</v>
      </c>
      <c r="T208" s="295"/>
      <c r="U208" s="347" t="s">
        <v>18</v>
      </c>
      <c r="V208" s="366" t="s">
        <v>102</v>
      </c>
      <c r="W208" s="133"/>
      <c r="X208" s="361" t="s">
        <v>146</v>
      </c>
      <c r="Y208" s="133"/>
      <c r="Z208" s="133"/>
      <c r="AA208" s="133"/>
      <c r="AB208" s="245"/>
      <c r="AC208" s="361" t="s">
        <v>123</v>
      </c>
    </row>
    <row r="209" spans="1:29" ht="98.25" customHeight="1">
      <c r="A209" s="131"/>
      <c r="B209" s="351"/>
      <c r="C209" s="346"/>
      <c r="D209" s="134" t="s">
        <v>10</v>
      </c>
      <c r="E209" s="134" t="s">
        <v>4</v>
      </c>
      <c r="F209" s="134" t="s">
        <v>15</v>
      </c>
      <c r="G209" s="135" t="s">
        <v>90</v>
      </c>
      <c r="H209" s="314"/>
      <c r="I209" s="314"/>
      <c r="J209" s="314"/>
      <c r="K209" s="314"/>
      <c r="L209" s="314"/>
      <c r="M209" s="317"/>
      <c r="N209" s="314"/>
      <c r="O209" s="264" t="s">
        <v>76</v>
      </c>
      <c r="P209" s="264" t="str">
        <f>+P155</f>
        <v>¿EL CONTRATO SE ENCUENTRA CLASIFICADO EN ALGUNA DE LAS CLASIFICACIONES ESTABLECIDAS EN EL PLIEGO? (SI/NO) (721033 - 721410 - 721411 - 721416)</v>
      </c>
      <c r="Q209" s="346"/>
      <c r="R209" s="346"/>
      <c r="S209" s="264" t="s">
        <v>81</v>
      </c>
      <c r="T209" s="264" t="s">
        <v>77</v>
      </c>
      <c r="U209" s="348"/>
      <c r="V209" s="336"/>
      <c r="W209" s="133"/>
      <c r="X209" s="362"/>
      <c r="Y209" s="133"/>
      <c r="Z209" s="245"/>
      <c r="AA209" s="245"/>
      <c r="AB209" s="245"/>
      <c r="AC209" s="362"/>
    </row>
    <row r="210" spans="1:29" ht="16" thickBot="1">
      <c r="A210" s="122"/>
      <c r="B210" s="96"/>
      <c r="C210" s="97"/>
      <c r="D210" s="97"/>
      <c r="E210" s="97"/>
      <c r="F210" s="97"/>
      <c r="G210" s="97"/>
      <c r="H210" s="97"/>
      <c r="I210" s="97"/>
      <c r="J210" s="97"/>
      <c r="K210" s="97"/>
      <c r="L210" s="97"/>
      <c r="M210" s="97"/>
      <c r="N210" s="97"/>
      <c r="O210" s="97"/>
      <c r="P210" s="97"/>
      <c r="Q210" s="97"/>
      <c r="R210" s="173"/>
      <c r="S210" s="173"/>
      <c r="T210" s="97"/>
      <c r="U210" s="191"/>
      <c r="V210" s="202"/>
      <c r="W210" s="1"/>
      <c r="X210" s="241"/>
      <c r="Y210" s="1"/>
      <c r="Z210" s="42"/>
      <c r="AA210" s="42"/>
      <c r="AB210" s="42"/>
      <c r="AC210" s="241"/>
    </row>
    <row r="211" spans="1:29" ht="62.5" customHeight="1">
      <c r="A211" s="125" t="str">
        <f>"A"&amp;E207</f>
        <v>A8</v>
      </c>
      <c r="B211" s="140">
        <v>1</v>
      </c>
      <c r="C211" s="139" t="s">
        <v>247</v>
      </c>
      <c r="D211" s="139" t="s">
        <v>248</v>
      </c>
      <c r="E211" s="139" t="s">
        <v>249</v>
      </c>
      <c r="F211" s="139" t="s">
        <v>222</v>
      </c>
      <c r="G211" s="142">
        <v>0.3</v>
      </c>
      <c r="H211" s="142" t="s">
        <v>115</v>
      </c>
      <c r="I211" s="138" t="s">
        <v>50</v>
      </c>
      <c r="J211" s="378" t="str">
        <f>+F207</f>
        <v>PROTECO INGENIERÍA S.A.S</v>
      </c>
      <c r="K211" s="127">
        <v>43025</v>
      </c>
      <c r="L211" s="127">
        <v>43247</v>
      </c>
      <c r="M211" s="128">
        <f>IF(OR(K211="",L211=""),"",IF(OR(K211&gt;$T$14,K211&lt;$S$14,L211&gt;$T$14,AND(K211&lt;$S$14,L211&lt;$S$14)),"FUERA DE RANGO",IF(K211&gt;=$S$14,ROUND(((L211-K211+1)/360*12),1),ROUND(((L211-$S$14+1)/360*12),1))))</f>
        <v>7.4</v>
      </c>
      <c r="N211" s="206">
        <v>55</v>
      </c>
      <c r="O211" s="138" t="s">
        <v>50</v>
      </c>
      <c r="P211" s="128" t="s">
        <v>50</v>
      </c>
      <c r="Q211" s="128" t="s">
        <v>112</v>
      </c>
      <c r="R211" s="95">
        <v>7196.66</v>
      </c>
      <c r="S211" s="95">
        <f t="shared" ref="S211:S216" si="44">IF(OR(G211="",R211=""),"",R211*G211)</f>
        <v>2158.998</v>
      </c>
      <c r="T211" s="129">
        <f>IF(OR(I211="NO",I211="",I211&lt;&gt;"SI",S211=""),"",IF(OR(L211&lt;$S$14,L211&gt;$T$14,L211=""),0,ROUND(S211,2)))</f>
        <v>2159</v>
      </c>
      <c r="U211" s="192" t="s">
        <v>397</v>
      </c>
      <c r="V211" s="204"/>
      <c r="W211" s="141"/>
      <c r="X211" s="222" t="s">
        <v>50</v>
      </c>
      <c r="Y211" s="141"/>
      <c r="Z211" s="223" t="str">
        <f t="shared" ref="Z211:Z216" si="45">IF(T211="","",IF(T211&gt;=PORCREQCTO*POSMMLV,"SI","NO"))</f>
        <v>SI</v>
      </c>
      <c r="AA211" s="296" t="str">
        <f>"VERIFICACIÓN CUMPLIMIENTO "&amp;PORCREQCTO*100&amp;"% DEL PO"</f>
        <v>VERIFICACIÓN CUMPLIMIENTO 50% DEL PO</v>
      </c>
      <c r="AB211" s="171"/>
      <c r="AC211" s="256"/>
    </row>
    <row r="212" spans="1:29" ht="231">
      <c r="A212" s="125" t="str">
        <f>"B"&amp;E207</f>
        <v>B8</v>
      </c>
      <c r="B212" s="140">
        <v>2</v>
      </c>
      <c r="C212" s="139" t="s">
        <v>250</v>
      </c>
      <c r="D212" s="139" t="s">
        <v>251</v>
      </c>
      <c r="E212" s="139" t="s">
        <v>362</v>
      </c>
      <c r="F212" s="139" t="s">
        <v>222</v>
      </c>
      <c r="G212" s="142">
        <v>0.4</v>
      </c>
      <c r="H212" s="142" t="s">
        <v>115</v>
      </c>
      <c r="I212" s="138" t="s">
        <v>50</v>
      </c>
      <c r="J212" s="378" t="str">
        <f>+J211</f>
        <v>PROTECO INGENIERÍA S.A.S</v>
      </c>
      <c r="K212" s="127">
        <v>43242</v>
      </c>
      <c r="L212" s="127">
        <v>43363</v>
      </c>
      <c r="M212" s="128">
        <f t="shared" ref="M212:M216" si="46">IF(OR(K212="",L212=""),"",IF(OR(K212&gt;$T$14,K212&lt;$S$14,L212&gt;$T$14,AND(K212&lt;$S$14,L212&lt;$S$14)),"FUERA DE RANGO",IF(K212&gt;=$S$14,ROUND(((L212-K212+1)/360*12),1),ROUND(((L212-$S$14+1)/360*12),1))))</f>
        <v>4.0999999999999996</v>
      </c>
      <c r="N212" s="206">
        <v>57</v>
      </c>
      <c r="O212" s="138" t="s">
        <v>50</v>
      </c>
      <c r="P212" s="128" t="s">
        <v>50</v>
      </c>
      <c r="Q212" s="128" t="s">
        <v>110</v>
      </c>
      <c r="R212" s="95">
        <v>558.58000000000004</v>
      </c>
      <c r="S212" s="95">
        <f t="shared" si="44"/>
        <v>223.43200000000002</v>
      </c>
      <c r="T212" s="129">
        <f t="shared" ref="T212:T216" si="47">IF(OR(I212="NO",I212="",I212&lt;&gt;"SI",S212=""),"",IF(OR(L212&lt;$S$14,L212&gt;$T$14,L212=""),0,ROUND(S212,2)))</f>
        <v>223.43</v>
      </c>
      <c r="U212" s="192" t="s">
        <v>398</v>
      </c>
      <c r="V212" s="204"/>
      <c r="W212" s="141"/>
      <c r="X212" s="222"/>
      <c r="Y212" s="141"/>
      <c r="Z212" s="224" t="str">
        <f t="shared" si="45"/>
        <v>NO</v>
      </c>
      <c r="AA212" s="297"/>
      <c r="AB212" s="171"/>
      <c r="AC212" s="256"/>
    </row>
    <row r="213" spans="1:29">
      <c r="A213" s="125" t="str">
        <f>"C"&amp;E207</f>
        <v>C8</v>
      </c>
      <c r="B213" s="140"/>
      <c r="C213" s="139"/>
      <c r="D213" s="139"/>
      <c r="E213" s="139"/>
      <c r="F213" s="139"/>
      <c r="G213" s="142"/>
      <c r="H213" s="142"/>
      <c r="I213" s="138"/>
      <c r="J213" s="138"/>
      <c r="K213" s="127"/>
      <c r="L213" s="127"/>
      <c r="M213" s="128" t="str">
        <f t="shared" si="46"/>
        <v/>
      </c>
      <c r="N213" s="206"/>
      <c r="O213" s="138"/>
      <c r="P213" s="128"/>
      <c r="Q213" s="128"/>
      <c r="R213" s="95"/>
      <c r="S213" s="95" t="str">
        <f t="shared" si="44"/>
        <v/>
      </c>
      <c r="T213" s="129" t="str">
        <f t="shared" si="47"/>
        <v/>
      </c>
      <c r="U213" s="192"/>
      <c r="V213" s="204"/>
      <c r="W213" s="141"/>
      <c r="X213" s="222"/>
      <c r="Y213" s="141"/>
      <c r="Z213" s="224" t="str">
        <f t="shared" si="45"/>
        <v/>
      </c>
      <c r="AA213" s="297"/>
      <c r="AB213" s="171"/>
      <c r="AC213" s="256"/>
    </row>
    <row r="214" spans="1:29">
      <c r="A214" s="125" t="str">
        <f>"D"&amp;E207</f>
        <v>D8</v>
      </c>
      <c r="B214" s="140"/>
      <c r="C214" s="139"/>
      <c r="D214" s="139"/>
      <c r="E214" s="139"/>
      <c r="F214" s="139"/>
      <c r="G214" s="142"/>
      <c r="H214" s="142"/>
      <c r="I214" s="138"/>
      <c r="J214" s="138"/>
      <c r="K214" s="127"/>
      <c r="L214" s="127"/>
      <c r="M214" s="128" t="str">
        <f t="shared" si="46"/>
        <v/>
      </c>
      <c r="N214" s="206"/>
      <c r="O214" s="138"/>
      <c r="P214" s="128"/>
      <c r="Q214" s="128"/>
      <c r="R214" s="95"/>
      <c r="S214" s="95" t="str">
        <f t="shared" si="44"/>
        <v/>
      </c>
      <c r="T214" s="129" t="str">
        <f t="shared" si="47"/>
        <v/>
      </c>
      <c r="U214" s="192"/>
      <c r="V214" s="204"/>
      <c r="W214" s="141"/>
      <c r="X214" s="222"/>
      <c r="Y214" s="141"/>
      <c r="Z214" s="224" t="str">
        <f t="shared" si="45"/>
        <v/>
      </c>
      <c r="AA214" s="297"/>
      <c r="AB214" s="171"/>
      <c r="AC214" s="256"/>
    </row>
    <row r="215" spans="1:29">
      <c r="A215" s="125" t="str">
        <f>"E"&amp;E207</f>
        <v>E8</v>
      </c>
      <c r="B215" s="140"/>
      <c r="C215" s="139"/>
      <c r="D215" s="139"/>
      <c r="E215" s="139"/>
      <c r="F215" s="139"/>
      <c r="G215" s="142"/>
      <c r="H215" s="142"/>
      <c r="I215" s="138"/>
      <c r="J215" s="138"/>
      <c r="K215" s="127"/>
      <c r="L215" s="127"/>
      <c r="M215" s="128" t="str">
        <f t="shared" si="46"/>
        <v/>
      </c>
      <c r="N215" s="206"/>
      <c r="O215" s="138"/>
      <c r="P215" s="128"/>
      <c r="Q215" s="128"/>
      <c r="R215" s="95"/>
      <c r="S215" s="95" t="str">
        <f t="shared" si="44"/>
        <v/>
      </c>
      <c r="T215" s="129" t="str">
        <f t="shared" si="47"/>
        <v/>
      </c>
      <c r="U215" s="192"/>
      <c r="V215" s="204"/>
      <c r="W215" s="141"/>
      <c r="X215" s="222"/>
      <c r="Y215" s="141"/>
      <c r="Z215" s="224" t="str">
        <f t="shared" si="45"/>
        <v/>
      </c>
      <c r="AA215" s="297"/>
      <c r="AB215" s="171"/>
      <c r="AC215" s="256"/>
    </row>
    <row r="216" spans="1:29" ht="16" thickBot="1">
      <c r="A216" s="125" t="str">
        <f>"F"&amp;E207</f>
        <v>F8</v>
      </c>
      <c r="B216" s="140"/>
      <c r="C216" s="139"/>
      <c r="D216" s="139"/>
      <c r="E216" s="139"/>
      <c r="F216" s="139"/>
      <c r="G216" s="142"/>
      <c r="H216" s="142"/>
      <c r="I216" s="138"/>
      <c r="J216" s="138"/>
      <c r="K216" s="127"/>
      <c r="L216" s="127"/>
      <c r="M216" s="128" t="str">
        <f t="shared" si="46"/>
        <v/>
      </c>
      <c r="N216" s="206"/>
      <c r="O216" s="138"/>
      <c r="P216" s="128"/>
      <c r="Q216" s="128"/>
      <c r="R216" s="95"/>
      <c r="S216" s="95" t="str">
        <f t="shared" si="44"/>
        <v/>
      </c>
      <c r="T216" s="129" t="str">
        <f t="shared" si="47"/>
        <v/>
      </c>
      <c r="U216" s="192"/>
      <c r="V216" s="204"/>
      <c r="W216" s="141"/>
      <c r="X216" s="222"/>
      <c r="Y216" s="141"/>
      <c r="Z216" s="225" t="str">
        <f t="shared" si="45"/>
        <v/>
      </c>
      <c r="AA216" s="363"/>
      <c r="AB216" s="171"/>
      <c r="AC216" s="256"/>
    </row>
    <row r="217" spans="1:29" ht="16" thickBot="1">
      <c r="A217" s="122"/>
      <c r="B217" s="96"/>
      <c r="C217" s="97"/>
      <c r="D217" s="97"/>
      <c r="E217" s="97"/>
      <c r="F217" s="97"/>
      <c r="G217" s="97"/>
      <c r="H217" s="97"/>
      <c r="I217" s="97"/>
      <c r="J217" s="97"/>
      <c r="K217" s="97"/>
      <c r="L217" s="97"/>
      <c r="M217" s="97"/>
      <c r="N217" s="97"/>
      <c r="O217" s="97"/>
      <c r="P217" s="97"/>
      <c r="Q217" s="97"/>
      <c r="R217" s="173"/>
      <c r="S217" s="173"/>
      <c r="T217" s="126"/>
      <c r="U217" s="98"/>
      <c r="V217" s="205"/>
      <c r="W217" s="1"/>
      <c r="X217" s="242"/>
      <c r="Y217" s="1"/>
      <c r="Z217" s="42"/>
      <c r="AA217" s="42"/>
      <c r="AB217" s="42"/>
      <c r="AC217" s="242"/>
    </row>
    <row r="218" spans="1:29" ht="16" thickBot="1">
      <c r="A218" s="123"/>
      <c r="B218" s="99"/>
      <c r="C218" s="94"/>
      <c r="D218" s="94"/>
      <c r="E218" s="94"/>
      <c r="F218" s="94"/>
      <c r="G218" s="94"/>
      <c r="H218" s="94"/>
      <c r="I218" s="94"/>
      <c r="J218" s="94"/>
      <c r="K218" s="94"/>
      <c r="L218" s="94"/>
      <c r="M218" s="94"/>
      <c r="N218" s="94"/>
      <c r="O218" s="94"/>
      <c r="P218" s="94"/>
      <c r="Q218" s="94"/>
      <c r="R218" s="265"/>
      <c r="S218" s="265"/>
      <c r="T218" s="130">
        <f>SUM(T211:T216)</f>
        <v>2382.4299999999998</v>
      </c>
      <c r="U218" s="100"/>
      <c r="V218" s="203"/>
      <c r="W218" s="12"/>
      <c r="X218" s="243"/>
      <c r="Y218" s="12"/>
      <c r="Z218" s="243"/>
      <c r="AA218" s="243"/>
      <c r="AB218" s="243"/>
      <c r="AC218" s="243"/>
    </row>
    <row r="219" spans="1:29">
      <c r="B219" s="197"/>
      <c r="C219" s="193"/>
      <c r="D219" s="193"/>
      <c r="E219" s="193"/>
      <c r="F219" s="193"/>
      <c r="G219" s="193"/>
      <c r="H219" s="193"/>
      <c r="I219" s="193"/>
      <c r="J219" s="193"/>
      <c r="K219" s="193"/>
      <c r="L219" s="193"/>
      <c r="M219" s="193"/>
      <c r="N219" s="193"/>
      <c r="O219" s="193"/>
      <c r="P219" s="193"/>
      <c r="Q219" s="193"/>
      <c r="R219" s="194"/>
      <c r="S219" s="194"/>
      <c r="T219" s="195"/>
      <c r="U219" s="196"/>
      <c r="V219" s="195"/>
    </row>
    <row r="220" spans="1:29" ht="16" thickBot="1">
      <c r="A220" s="122"/>
      <c r="B220" s="322" t="s">
        <v>45</v>
      </c>
      <c r="C220" s="323"/>
      <c r="D220" s="323"/>
      <c r="E220" s="323"/>
      <c r="F220" s="323"/>
      <c r="G220" s="324"/>
      <c r="H220" s="324"/>
      <c r="I220" s="324"/>
      <c r="J220" s="324"/>
      <c r="K220" s="324"/>
      <c r="L220" s="324"/>
      <c r="M220" s="324"/>
      <c r="N220" s="324"/>
      <c r="O220" s="324"/>
      <c r="P220" s="324"/>
      <c r="Q220" s="324"/>
      <c r="R220" s="324"/>
      <c r="S220" s="324"/>
      <c r="T220" s="324"/>
      <c r="U220" s="325"/>
      <c r="V220" s="201"/>
      <c r="W220" s="1"/>
      <c r="X220" s="42"/>
      <c r="Y220" s="1"/>
      <c r="Z220" s="42"/>
      <c r="AA220" s="42"/>
      <c r="AB220" s="42"/>
      <c r="AC220" s="42"/>
    </row>
    <row r="221" spans="1:29" ht="16.5" customHeight="1" thickBot="1">
      <c r="A221" s="122" t="str">
        <f>"G"&amp;E207</f>
        <v>G8</v>
      </c>
      <c r="B221" s="291" t="s">
        <v>97</v>
      </c>
      <c r="C221" s="292"/>
      <c r="D221" s="292"/>
      <c r="E221" s="292"/>
      <c r="F221" s="292"/>
      <c r="G221" s="326"/>
      <c r="H221" s="291" t="s">
        <v>100</v>
      </c>
      <c r="I221" s="292"/>
      <c r="J221" s="292"/>
      <c r="K221" s="292"/>
      <c r="L221" s="292"/>
      <c r="M221" s="292"/>
      <c r="N221" s="292"/>
      <c r="O221" s="189" t="s">
        <v>23</v>
      </c>
      <c r="P221" s="190"/>
      <c r="Q221" s="190"/>
      <c r="R221" s="190"/>
      <c r="S221" s="190"/>
      <c r="T221" s="190"/>
      <c r="U221" s="253"/>
      <c r="V221" s="201"/>
      <c r="W221" s="1"/>
      <c r="X221" s="239" t="s">
        <v>117</v>
      </c>
      <c r="Y221" s="1"/>
      <c r="Z221" s="355" t="s">
        <v>119</v>
      </c>
      <c r="AA221" s="345" t="s">
        <v>120</v>
      </c>
      <c r="AB221" s="345" t="s">
        <v>148</v>
      </c>
      <c r="AC221" s="359" t="s">
        <v>149</v>
      </c>
    </row>
    <row r="222" spans="1:29" ht="15.75" customHeight="1" thickBot="1">
      <c r="A222" s="122" t="str">
        <f>"H"&amp;E207</f>
        <v>H8</v>
      </c>
      <c r="B222" s="293" t="s">
        <v>132</v>
      </c>
      <c r="C222" s="294"/>
      <c r="D222" s="294"/>
      <c r="E222" s="294"/>
      <c r="F222" s="294"/>
      <c r="G222" s="327"/>
      <c r="H222" s="293" t="s">
        <v>17</v>
      </c>
      <c r="I222" s="294"/>
      <c r="J222" s="294"/>
      <c r="K222" s="294"/>
      <c r="L222" s="295"/>
      <c r="M222" s="183">
        <f>VLOOKUP(E207,PROPONENTES!$C$14:$E$37,3,0)</f>
        <v>1</v>
      </c>
      <c r="N222" s="296" t="s">
        <v>143</v>
      </c>
      <c r="O222" s="299"/>
      <c r="P222" s="300"/>
      <c r="Q222" s="300"/>
      <c r="R222" s="300"/>
      <c r="S222" s="300"/>
      <c r="T222" s="300"/>
      <c r="U222" s="301"/>
      <c r="V222" s="201"/>
      <c r="W222" s="1"/>
      <c r="X222" s="244" t="str">
        <f>IF(M222="","",IF(M222=1,"INDIVIDUAL","ESTRUCTURA PLURAL"))</f>
        <v>INDIVIDUAL</v>
      </c>
      <c r="Y222" s="1"/>
      <c r="Z222" s="356"/>
      <c r="AA222" s="358"/>
      <c r="AB222" s="358"/>
      <c r="AC222" s="360"/>
    </row>
    <row r="223" spans="1:29" ht="15.75" customHeight="1" thickBot="1">
      <c r="A223" s="122" t="str">
        <f>"I"&amp;E207</f>
        <v>I8</v>
      </c>
      <c r="B223" s="328" t="s">
        <v>131</v>
      </c>
      <c r="C223" s="329"/>
      <c r="D223" s="330"/>
      <c r="E223" s="308">
        <f>IF(AND(I211="SI",T211&gt;0),1,0)+IF(AND(I212="SI",T212&gt;0),1,0)+IF(AND(I213="SI",T213&gt;0),1,0)+IF(AND(I214="SI",T214&gt;0),1,0)+IF(AND(I215="SI",T215&gt;0),1,0)+IF(AND(I216="SI",T216&gt;0),1,0)</f>
        <v>2</v>
      </c>
      <c r="F223" s="310" t="s">
        <v>133</v>
      </c>
      <c r="G223" s="312">
        <f>IF(E223=0,"N/A",IF(AND(E223&gt;=1,E223&lt;=2),0.75,IF(AND(E223&gt;=3,E223&lt;=4),1.2,IF(AND(E223&gt;=5,E223&lt;=6),1.5,"REVISAR"))))</f>
        <v>0.75</v>
      </c>
      <c r="H223" s="334" t="s">
        <v>16</v>
      </c>
      <c r="I223" s="335"/>
      <c r="J223" s="314" t="s">
        <v>350</v>
      </c>
      <c r="K223" s="314" t="s">
        <v>140</v>
      </c>
      <c r="L223" s="314" t="s">
        <v>141</v>
      </c>
      <c r="M223" s="320" t="s">
        <v>142</v>
      </c>
      <c r="N223" s="297"/>
      <c r="O223" s="302"/>
      <c r="P223" s="303"/>
      <c r="Q223" s="303"/>
      <c r="R223" s="303"/>
      <c r="S223" s="303"/>
      <c r="T223" s="303"/>
      <c r="U223" s="304"/>
      <c r="V223" s="201"/>
      <c r="W223" s="38"/>
      <c r="X223" s="171"/>
      <c r="Y223" s="38"/>
      <c r="Z223" s="356"/>
      <c r="AA223" s="358"/>
      <c r="AB223" s="358"/>
      <c r="AC223" s="360"/>
    </row>
    <row r="224" spans="1:29" ht="16.5" customHeight="1" thickBot="1">
      <c r="A224" s="122" t="str">
        <f>"J"&amp;E207</f>
        <v>J8</v>
      </c>
      <c r="B224" s="331"/>
      <c r="C224" s="332"/>
      <c r="D224" s="333"/>
      <c r="E224" s="309"/>
      <c r="F224" s="311"/>
      <c r="G224" s="313"/>
      <c r="H224" s="336"/>
      <c r="I224" s="337"/>
      <c r="J224" s="314"/>
      <c r="K224" s="314"/>
      <c r="L224" s="314"/>
      <c r="M224" s="321"/>
      <c r="N224" s="298"/>
      <c r="O224" s="302"/>
      <c r="P224" s="303"/>
      <c r="Q224" s="303"/>
      <c r="R224" s="303"/>
      <c r="S224" s="303"/>
      <c r="T224" s="303"/>
      <c r="U224" s="304"/>
      <c r="V224" s="201"/>
      <c r="W224" s="38"/>
      <c r="X224" s="239" t="s">
        <v>118</v>
      </c>
      <c r="Y224" s="38"/>
      <c r="Z224" s="357"/>
      <c r="AA224" s="346"/>
      <c r="AB224" s="346"/>
      <c r="AC224" s="321"/>
    </row>
    <row r="225" spans="1:29" ht="16" thickBot="1">
      <c r="A225" s="125" t="str">
        <f>"K"&amp;E207</f>
        <v>K8</v>
      </c>
      <c r="B225" s="293" t="s">
        <v>98</v>
      </c>
      <c r="C225" s="294"/>
      <c r="D225" s="294"/>
      <c r="E225" s="294"/>
      <c r="F225" s="294"/>
      <c r="G225" s="294"/>
      <c r="H225" s="186">
        <v>1</v>
      </c>
      <c r="I225" s="92" t="str">
        <f>IF(AND(H225&lt;=M222,M222&gt;1),VLOOKUP(VALUE(E207&amp;","&amp;H225),INTEGRANTES!$B$15:$D$72,2,0),"")</f>
        <v/>
      </c>
      <c r="J225" s="187" t="str">
        <f>IF(I225&lt;&gt;"",VLOOKUP(VALUE(E207&amp;","&amp;H225),INTEGRANTES!$B$15:$D$72,3,0),"")</f>
        <v/>
      </c>
      <c r="K225" s="247" t="str">
        <f>IF($I225="","",IF(G223="N/A","",ROUND($G223*POSMMLV*PORPOM,2)))</f>
        <v/>
      </c>
      <c r="L225" s="247" t="str">
        <f>IF(I225="","",SUMIF($J211:$J216,I225,$T211:$T216))</f>
        <v/>
      </c>
      <c r="M225" s="93" t="str">
        <f t="shared" ref="M225:M230" si="48">IF($I225="","",IF($K225&gt;L225,"NO CUMPLE","CUMPLE"))</f>
        <v/>
      </c>
      <c r="N225" s="93" t="str">
        <f t="shared" ref="N225:N230" si="49">IF($I225="","",IF(M225="CUMPLE","CUMPLE","NO CUMPLE"))</f>
        <v/>
      </c>
      <c r="O225" s="302"/>
      <c r="P225" s="303"/>
      <c r="Q225" s="303"/>
      <c r="R225" s="303"/>
      <c r="S225" s="303"/>
      <c r="T225" s="303"/>
      <c r="U225" s="304"/>
      <c r="V225" s="201"/>
      <c r="W225" s="1"/>
      <c r="X225" s="244" t="str">
        <f>IF(X222="","",IF(X222="INDIVIDUAL","NO APLICA","VERIFICAR CUADRO"))</f>
        <v>NO APLICA</v>
      </c>
      <c r="Y225" s="1"/>
      <c r="Z225" s="262" t="str">
        <f>IF(AND(H225&lt;=M222,M222&gt;1),VLOOKUP(VALUE(E207&amp;","&amp;H225),INTEGRANTES!$B$15:$D$72,2,0),"")</f>
        <v/>
      </c>
      <c r="AA225" s="248" t="str">
        <f>IF(I225="","",SUMIF(J211:$J216,I225,$T211:$T216))</f>
        <v/>
      </c>
      <c r="AB225" s="232"/>
      <c r="AC225" s="250" t="str">
        <f>IF(OR(Z225="",AB225=""),"",IF(AND(AB225="X",AA225&gt;=X228),"CUMPLE","NO CUMPLE"))</f>
        <v/>
      </c>
    </row>
    <row r="226" spans="1:29" ht="15.75" customHeight="1" thickBot="1">
      <c r="A226" s="125" t="str">
        <f>"L"&amp;E207</f>
        <v>L8</v>
      </c>
      <c r="B226" s="328" t="s">
        <v>134</v>
      </c>
      <c r="C226" s="329"/>
      <c r="D226" s="330"/>
      <c r="E226" s="132" t="s">
        <v>135</v>
      </c>
      <c r="F226" s="132" t="s">
        <v>136</v>
      </c>
      <c r="G226" s="136" t="s">
        <v>99</v>
      </c>
      <c r="H226" s="186">
        <v>2</v>
      </c>
      <c r="I226" s="92" t="str">
        <f>IF(AND(H226&lt;=M222,M222&gt;1),VLOOKUP(VALUE(E207&amp;","&amp;H226),INTEGRANTES!$B$15:$D$72,2,0),"")</f>
        <v/>
      </c>
      <c r="J226" s="187" t="str">
        <f>IF(I226&lt;&gt;"",VLOOKUP(VALUE(E207&amp;","&amp;H226),INTEGRANTES!$B$15:$D$72,3,0),"")</f>
        <v/>
      </c>
      <c r="K226" s="247" t="str">
        <f>IF($I226="","",IF(G223="N/A","",ROUND($G223*POSMMLV*PORPOM,2)))</f>
        <v/>
      </c>
      <c r="L226" s="247" t="str">
        <f>IF(I226="","",SUMIF($J211:$J216,I226,$T211:$T216))</f>
        <v/>
      </c>
      <c r="M226" s="93" t="str">
        <f t="shared" si="48"/>
        <v/>
      </c>
      <c r="N226" s="93" t="str">
        <f t="shared" si="49"/>
        <v/>
      </c>
      <c r="O226" s="302"/>
      <c r="P226" s="303"/>
      <c r="Q226" s="303"/>
      <c r="R226" s="303"/>
      <c r="S226" s="303"/>
      <c r="T226" s="303"/>
      <c r="U226" s="304"/>
      <c r="V226" s="201"/>
      <c r="W226" s="1"/>
      <c r="X226" s="42"/>
      <c r="Y226" s="1"/>
      <c r="Z226" s="262" t="str">
        <f>IF(AND(H226&lt;=M222,M222&gt;1),VLOOKUP(VALUE(E207&amp;","&amp;H226),INTEGRANTES!$B$15:$D$72,2,0),"")</f>
        <v/>
      </c>
      <c r="AA226" s="248" t="str">
        <f>IF(I226="","",SUMIF(J211:$J216,I226,$T211:$T216))</f>
        <v/>
      </c>
      <c r="AB226" s="232"/>
      <c r="AC226" s="250" t="str">
        <f>IF(OR(Z226="",AB226=""),"",IF(AND(AB226="X",AA226&gt;=X228),"CUMPLE","NO CUMPLE"))</f>
        <v/>
      </c>
    </row>
    <row r="227" spans="1:29" ht="16" thickBot="1">
      <c r="A227" s="122" t="str">
        <f>"M"&amp;E207</f>
        <v>M8</v>
      </c>
      <c r="B227" s="331"/>
      <c r="C227" s="332"/>
      <c r="D227" s="333"/>
      <c r="E227" s="237">
        <f>IF(ISTEXT(G223),"NO APLICA",G223*POSMMLV)</f>
        <v>1394.0360281651363</v>
      </c>
      <c r="F227" s="238">
        <f>IF(E227="","",T218)</f>
        <v>2382.4299999999998</v>
      </c>
      <c r="G227" s="221" t="str">
        <f>IF(E227="","",IF(E227="NO APLICA","NO CUMPLE",IF(F227&gt;=E227,"CUMPLE", "NO CUMPLE")))</f>
        <v>CUMPLE</v>
      </c>
      <c r="H227" s="186">
        <v>3</v>
      </c>
      <c r="I227" s="92" t="str">
        <f>IF(AND(H227&lt;=M222,M222&gt;1),VLOOKUP(VALUE(E207&amp;","&amp;H227),INTEGRANTES!$B$15:$D$72,2,0),"")</f>
        <v/>
      </c>
      <c r="J227" s="187" t="str">
        <f>IF(I227&lt;&gt;"",VLOOKUP(VALUE(E207&amp;","&amp;H227),INTEGRANTES!$B$15:$D$72,3,0),"")</f>
        <v/>
      </c>
      <c r="K227" s="247" t="str">
        <f>IF($I227="","",IF(G223="N/A","",ROUND($G223*POSMMLV*PORPOM,2)))</f>
        <v/>
      </c>
      <c r="L227" s="247" t="str">
        <f>IF(I227="","",SUMIF($J211:$J216,I227,$T211:$T216))</f>
        <v/>
      </c>
      <c r="M227" s="93" t="str">
        <f t="shared" si="48"/>
        <v/>
      </c>
      <c r="N227" s="93" t="str">
        <f t="shared" si="49"/>
        <v/>
      </c>
      <c r="O227" s="302"/>
      <c r="P227" s="303"/>
      <c r="Q227" s="303"/>
      <c r="R227" s="303"/>
      <c r="S227" s="303"/>
      <c r="T227" s="303"/>
      <c r="U227" s="304"/>
      <c r="V227" s="201"/>
      <c r="W227" s="1"/>
      <c r="X227" s="239" t="s">
        <v>145</v>
      </c>
      <c r="Y227" s="1"/>
      <c r="Z227" s="262" t="str">
        <f>IF(AND(H227&lt;=M222,M222&gt;1),VLOOKUP(VALUE(E207&amp;","&amp;H227),INTEGRANTES!$B$15:$D$72,2,0),"")</f>
        <v/>
      </c>
      <c r="AA227" s="248" t="str">
        <f>IF(I227="","",SUMIF(J211:$J216,I227,$T211:$T216))</f>
        <v/>
      </c>
      <c r="AB227" s="232"/>
      <c r="AC227" s="250" t="str">
        <f>IF(OR(Z227="",AB227=""),"",IF(AND(AB227="X",AA227&gt;=X228),"CUMPLE","NO CUMPLE"))</f>
        <v/>
      </c>
    </row>
    <row r="228" spans="1:29" ht="15.75" customHeight="1" thickBot="1">
      <c r="A228" s="122" t="str">
        <f>"N"&amp;E207</f>
        <v>N8</v>
      </c>
      <c r="B228" s="293" t="s">
        <v>107</v>
      </c>
      <c r="C228" s="294"/>
      <c r="D228" s="294"/>
      <c r="E228" s="294"/>
      <c r="F228" s="294"/>
      <c r="G228" s="294"/>
      <c r="H228" s="186">
        <v>4</v>
      </c>
      <c r="I228" s="92" t="str">
        <f>IF(AND(H228&lt;=M222,M222&gt;1),VLOOKUP(VALUE(E207&amp;","&amp;H228),INTEGRANTES!$B$15:$D$72,2,0),"")</f>
        <v/>
      </c>
      <c r="J228" s="187" t="str">
        <f>IF(I228&lt;&gt;"",VLOOKUP(VALUE(E207&amp;","&amp;H228),INTEGRANTES!$B$15:$D$72,3,0),"")</f>
        <v/>
      </c>
      <c r="K228" s="247" t="str">
        <f>IF($I228="","",IF(G223="N/A","",ROUND($G223*POSMMLV*PORPOM,2)))</f>
        <v/>
      </c>
      <c r="L228" s="247" t="str">
        <f>IF(I228="","",SUMIF($J211:$J216,I228,$T211:$T216))</f>
        <v/>
      </c>
      <c r="M228" s="93" t="str">
        <f t="shared" si="48"/>
        <v/>
      </c>
      <c r="N228" s="93" t="str">
        <f t="shared" si="49"/>
        <v/>
      </c>
      <c r="O228" s="302"/>
      <c r="P228" s="303"/>
      <c r="Q228" s="303"/>
      <c r="R228" s="303"/>
      <c r="S228" s="303"/>
      <c r="T228" s="303"/>
      <c r="U228" s="304"/>
      <c r="V228" s="201"/>
      <c r="W228" s="1"/>
      <c r="X228" s="251">
        <f>IF(G223="N/A","N/A",0.4*G223*POSMMLV)</f>
        <v>557.61441126605462</v>
      </c>
      <c r="Y228" s="1"/>
      <c r="Z228" s="262" t="str">
        <f>IF(AND(H228&lt;=M222,M222&gt;1),VLOOKUP(VALUE(E207&amp;","&amp;H228),INTEGRANTES!$B$15:$D$72,2,0),"")</f>
        <v/>
      </c>
      <c r="AA228" s="248" t="str">
        <f>IF(I228="","",SUMIF(J211:$J216,I228,$T211:$T216))</f>
        <v/>
      </c>
      <c r="AB228" s="232"/>
      <c r="AC228" s="250" t="str">
        <f>IF(OR(Z228="",AB228=""),"",IF(AND(AB228="X",AA228&gt;=X228),"CUMPLE","NO CUMPLE"))</f>
        <v/>
      </c>
    </row>
    <row r="229" spans="1:29" ht="33.75" customHeight="1" thickBot="1">
      <c r="A229" s="122" t="str">
        <f>"O"&amp;E207</f>
        <v>O8</v>
      </c>
      <c r="B229" s="328" t="s">
        <v>108</v>
      </c>
      <c r="C229" s="329"/>
      <c r="D229" s="329"/>
      <c r="E229" s="329"/>
      <c r="F229" s="329"/>
      <c r="G229" s="185" t="s">
        <v>99</v>
      </c>
      <c r="H229" s="186">
        <v>5</v>
      </c>
      <c r="I229" s="92" t="str">
        <f>IF(AND(H229&lt;=M222,M222&gt;1),VLOOKUP(VALUE(E207&amp;","&amp;H229),INTEGRANTES!$B$15:$D$72,2,0),"")</f>
        <v/>
      </c>
      <c r="J229" s="187" t="str">
        <f>IF(I229&lt;&gt;"",VLOOKUP(VALUE(E207&amp;","&amp;H229),INTEGRANTES!$B$15:$D$72,3,0),"")</f>
        <v/>
      </c>
      <c r="K229" s="247" t="str">
        <f>IF($I229="","",IF(G223="N/A","",ROUND($G223*POSMMLV*PORPOM,2)))</f>
        <v/>
      </c>
      <c r="L229" s="247" t="str">
        <f>IF(I229="","",SUMIF($J211:$J216,I229,$T211:$T216))</f>
        <v/>
      </c>
      <c r="M229" s="93" t="str">
        <f t="shared" si="48"/>
        <v/>
      </c>
      <c r="N229" s="93" t="str">
        <f t="shared" si="49"/>
        <v/>
      </c>
      <c r="O229" s="302"/>
      <c r="P229" s="303"/>
      <c r="Q229" s="303"/>
      <c r="R229" s="303"/>
      <c r="S229" s="303"/>
      <c r="T229" s="303"/>
      <c r="U229" s="304"/>
      <c r="V229" s="201"/>
      <c r="W229" s="1"/>
      <c r="X229" s="42"/>
      <c r="Y229" s="1"/>
      <c r="Z229" s="262" t="str">
        <f>IF(AND(H229&lt;=M222,M222&gt;1),VLOOKUP(VALUE(E207&amp;","&amp;H229),INTEGRANTES!$B$15:$D$72,2,0),"")</f>
        <v/>
      </c>
      <c r="AA229" s="248" t="str">
        <f>IF(I229="","",SUMIF(J211:$J216,I229,$T211:$T216))</f>
        <v/>
      </c>
      <c r="AB229" s="232"/>
      <c r="AC229" s="250" t="str">
        <f>IF(OR(Z229="",AB229=""),"",IF(AND(AB229="X",AA229&gt;=X228),"CUMPLE","NO CUMPLE"))</f>
        <v/>
      </c>
    </row>
    <row r="230" spans="1:29" ht="16" thickBot="1">
      <c r="A230" s="122" t="str">
        <f>"P"&amp;E207</f>
        <v>P8</v>
      </c>
      <c r="B230" s="353"/>
      <c r="C230" s="354"/>
      <c r="D230" s="354"/>
      <c r="E230" s="354"/>
      <c r="F230" s="354"/>
      <c r="G230" s="137" t="str">
        <f>IF(AND(COUNTIF(X211:X216,"")&gt;5,COUNTIF(Z211:Z216,"")&gt;5),"NO CUMPLE",IF(AND(COUNTIF(X211:X216,"SI")&gt;=$AF$17,COUNTIF(Z211:Z216,"SI")&gt;=$AF$17),"CUMPLE", "NO CUMPLE"))</f>
        <v>CUMPLE</v>
      </c>
      <c r="H230" s="257">
        <v>6</v>
      </c>
      <c r="I230" s="258" t="str">
        <f>IF(AND(H230&lt;=M222,M222&gt;1),VLOOKUP(VALUE(E207&amp;","&amp;H230),INTEGRANTES!$B$15:$D$72,2,0),"")</f>
        <v/>
      </c>
      <c r="J230" s="259" t="str">
        <f>IF(I230&lt;&gt;"",VLOOKUP(VALUE(E207&amp;","&amp;H230),INTEGRANTES!$B$15:$D$72,3,0),"")</f>
        <v/>
      </c>
      <c r="K230" s="260" t="str">
        <f>IF($I230="","",IF(G223="N/A","",ROUND($G223*POSMMLV*PORPOM,2)))</f>
        <v/>
      </c>
      <c r="L230" s="260" t="str">
        <f>IF(I230="","",SUMIF($J211:$J216,I230,$T211:$T216))</f>
        <v/>
      </c>
      <c r="M230" s="261" t="str">
        <f t="shared" si="48"/>
        <v/>
      </c>
      <c r="N230" s="93" t="str">
        <f t="shared" si="49"/>
        <v/>
      </c>
      <c r="O230" s="302"/>
      <c r="P230" s="303"/>
      <c r="Q230" s="303"/>
      <c r="R230" s="303"/>
      <c r="S230" s="303"/>
      <c r="T230" s="303"/>
      <c r="U230" s="304"/>
      <c r="V230" s="201"/>
      <c r="W230" s="1"/>
      <c r="X230" s="239" t="s">
        <v>122</v>
      </c>
      <c r="Y230" s="1"/>
      <c r="Z230" s="263" t="str">
        <f>IF(AND(H230&lt;=M222,M222&gt;1),VLOOKUP(VALUE(E207&amp;","&amp;H230),INTEGRANTES!$B$15:$D$72,2,0),"")</f>
        <v/>
      </c>
      <c r="AA230" s="249" t="str">
        <f>IF(I230="","",SUMIF(J211:$J216,I230,$T211:$T216))</f>
        <v/>
      </c>
      <c r="AB230" s="246"/>
      <c r="AC230" s="137" t="str">
        <f>IF(OR(Z230="",AB230=""),"",IF(AND(AB230="X",AA230&gt;=X228),"CUMPLE","NO CUMPLE"))</f>
        <v/>
      </c>
    </row>
    <row r="231" spans="1:29" ht="38.25" customHeight="1" thickBot="1">
      <c r="A231" s="122" t="str">
        <f>"Q"&amp;E207</f>
        <v>Q8</v>
      </c>
      <c r="B231" s="338"/>
      <c r="C231" s="339"/>
      <c r="D231" s="339"/>
      <c r="E231" s="339"/>
      <c r="F231" s="339"/>
      <c r="G231" s="340"/>
      <c r="H231" s="318" t="s">
        <v>138</v>
      </c>
      <c r="I231" s="341"/>
      <c r="J231" s="342"/>
      <c r="K231" s="318" t="s">
        <v>139</v>
      </c>
      <c r="L231" s="319"/>
      <c r="M231" s="188" t="str">
        <f>IF(OR($M222="",SUM(J225:J230)=0),"",IF(COUNTIF(M225:M230,"CUMPLE")&gt;=1,"CUMPLE","NO CUMPLE"))</f>
        <v/>
      </c>
      <c r="N231" s="188" t="str">
        <f>IF(OR($M222="",SUM(J225:J230)=0),"",IF(COUNTIF(N225:N230,"CUMPLE")&gt;=1,"CUMPLE","NO CUMPLE"))</f>
        <v/>
      </c>
      <c r="O231" s="305"/>
      <c r="P231" s="306"/>
      <c r="Q231" s="306"/>
      <c r="R231" s="306"/>
      <c r="S231" s="306"/>
      <c r="T231" s="306"/>
      <c r="U231" s="307"/>
      <c r="V231" s="201"/>
      <c r="W231" s="1"/>
      <c r="X231" s="254" t="str">
        <f>IF(X225="NO APLICA","NO APLICA",IF(COUNTIF(AC225:AC230,"CUMPLE")&gt;0,"CUMPLE","NO CUMPLE"))</f>
        <v>NO APLICA</v>
      </c>
      <c r="Y231" s="1"/>
      <c r="Z231" s="42"/>
      <c r="AA231" s="42"/>
      <c r="AB231" s="42"/>
      <c r="AC231" s="42"/>
    </row>
    <row r="232" spans="1:29">
      <c r="A232"/>
    </row>
    <row r="233" spans="1:29">
      <c r="A233"/>
    </row>
    <row r="234" spans="1:29" ht="23.5" thickBot="1">
      <c r="A234" s="167">
        <v>9</v>
      </c>
      <c r="B234" s="349" t="s">
        <v>1</v>
      </c>
      <c r="C234" s="349"/>
      <c r="D234" s="349"/>
      <c r="E234" s="105">
        <f>VLOOKUP(A234,PROPONENTES!$B$14:$D$37,2,FALSE)</f>
        <v>9</v>
      </c>
      <c r="F234" s="106" t="str">
        <f>VLOOKUP(E234,PROPONENTES!$C$14:$D$37,2,FALSE)</f>
        <v>CONSORCIO JAM.</v>
      </c>
      <c r="G234" s="107"/>
      <c r="H234" s="107"/>
      <c r="I234" s="107"/>
      <c r="J234" s="106"/>
      <c r="K234" s="106"/>
      <c r="L234" s="105"/>
      <c r="M234" s="107"/>
      <c r="N234" s="107"/>
      <c r="O234" s="107"/>
      <c r="P234" s="107"/>
      <c r="Q234" s="107"/>
      <c r="R234" s="107"/>
      <c r="S234" s="107"/>
      <c r="T234" s="108"/>
      <c r="U234" s="109"/>
      <c r="V234" s="109"/>
      <c r="W234" s="11"/>
      <c r="X234" s="240"/>
      <c r="Y234" s="11"/>
      <c r="Z234" s="240"/>
      <c r="AA234" s="240"/>
      <c r="AB234" s="240"/>
      <c r="AC234" s="240"/>
    </row>
    <row r="235" spans="1:29" ht="48" customHeight="1">
      <c r="A235" s="131"/>
      <c r="B235" s="350" t="s">
        <v>88</v>
      </c>
      <c r="C235" s="345" t="s">
        <v>48</v>
      </c>
      <c r="D235" s="352" t="s">
        <v>130</v>
      </c>
      <c r="E235" s="295"/>
      <c r="F235" s="352" t="s">
        <v>93</v>
      </c>
      <c r="G235" s="295"/>
      <c r="H235" s="315" t="s">
        <v>351</v>
      </c>
      <c r="I235" s="315" t="s">
        <v>103</v>
      </c>
      <c r="J235" s="315" t="s">
        <v>2</v>
      </c>
      <c r="K235" s="315" t="s">
        <v>352</v>
      </c>
      <c r="L235" s="315" t="s">
        <v>353</v>
      </c>
      <c r="M235" s="316" t="s">
        <v>29</v>
      </c>
      <c r="N235" s="315" t="s">
        <v>104</v>
      </c>
      <c r="O235" s="343" t="s">
        <v>78</v>
      </c>
      <c r="P235" s="344"/>
      <c r="Q235" s="345" t="s">
        <v>144</v>
      </c>
      <c r="R235" s="345" t="s">
        <v>101</v>
      </c>
      <c r="S235" s="294" t="s">
        <v>3</v>
      </c>
      <c r="T235" s="295"/>
      <c r="U235" s="347" t="s">
        <v>18</v>
      </c>
      <c r="V235" s="366" t="s">
        <v>102</v>
      </c>
      <c r="W235" s="133"/>
      <c r="X235" s="361" t="s">
        <v>146</v>
      </c>
      <c r="Y235" s="133"/>
      <c r="Z235" s="133"/>
      <c r="AA235" s="133"/>
      <c r="AB235" s="245"/>
      <c r="AC235" s="361" t="s">
        <v>123</v>
      </c>
    </row>
    <row r="236" spans="1:29" ht="98.25" customHeight="1">
      <c r="A236" s="131"/>
      <c r="B236" s="351"/>
      <c r="C236" s="346"/>
      <c r="D236" s="134" t="s">
        <v>10</v>
      </c>
      <c r="E236" s="134" t="s">
        <v>4</v>
      </c>
      <c r="F236" s="134" t="s">
        <v>15</v>
      </c>
      <c r="G236" s="135" t="s">
        <v>90</v>
      </c>
      <c r="H236" s="314"/>
      <c r="I236" s="314"/>
      <c r="J236" s="314"/>
      <c r="K236" s="314"/>
      <c r="L236" s="314"/>
      <c r="M236" s="317"/>
      <c r="N236" s="314"/>
      <c r="O236" s="264" t="s">
        <v>76</v>
      </c>
      <c r="P236" s="264" t="s">
        <v>105</v>
      </c>
      <c r="Q236" s="346"/>
      <c r="R236" s="346"/>
      <c r="S236" s="264" t="s">
        <v>81</v>
      </c>
      <c r="T236" s="264" t="s">
        <v>77</v>
      </c>
      <c r="U236" s="348"/>
      <c r="V236" s="336"/>
      <c r="W236" s="133"/>
      <c r="X236" s="362"/>
      <c r="Y236" s="133"/>
      <c r="Z236" s="245"/>
      <c r="AA236" s="245"/>
      <c r="AB236" s="245"/>
      <c r="AC236" s="362"/>
    </row>
    <row r="237" spans="1:29" ht="16" thickBot="1">
      <c r="A237" s="122"/>
      <c r="B237" s="96"/>
      <c r="C237" s="97"/>
      <c r="D237" s="97"/>
      <c r="E237" s="97"/>
      <c r="F237" s="97"/>
      <c r="G237" s="97"/>
      <c r="H237" s="97"/>
      <c r="I237" s="97"/>
      <c r="J237" s="97"/>
      <c r="K237" s="97"/>
      <c r="L237" s="97"/>
      <c r="M237" s="97"/>
      <c r="N237" s="97"/>
      <c r="O237" s="97"/>
      <c r="P237" s="97"/>
      <c r="Q237" s="97"/>
      <c r="R237" s="173"/>
      <c r="S237" s="173"/>
      <c r="T237" s="97"/>
      <c r="U237" s="191"/>
      <c r="V237" s="202"/>
      <c r="W237" s="1"/>
      <c r="X237" s="241"/>
      <c r="Y237" s="1"/>
      <c r="Z237" s="42"/>
      <c r="AA237" s="42"/>
      <c r="AB237" s="42"/>
      <c r="AC237" s="241"/>
    </row>
    <row r="238" spans="1:29" ht="29" customHeight="1">
      <c r="A238" s="125" t="str">
        <f>"A"&amp;E234</f>
        <v>A9</v>
      </c>
      <c r="B238" s="140">
        <v>1</v>
      </c>
      <c r="C238" s="139" t="s">
        <v>223</v>
      </c>
      <c r="D238" s="139" t="s">
        <v>252</v>
      </c>
      <c r="E238" s="139" t="s">
        <v>253</v>
      </c>
      <c r="F238" s="139" t="s">
        <v>227</v>
      </c>
      <c r="G238" s="142">
        <v>1</v>
      </c>
      <c r="H238" s="142" t="s">
        <v>115</v>
      </c>
      <c r="I238" s="378" t="s">
        <v>50</v>
      </c>
      <c r="J238" s="378" t="s">
        <v>185</v>
      </c>
      <c r="K238" s="127">
        <v>41939</v>
      </c>
      <c r="L238" s="127">
        <v>41999</v>
      </c>
      <c r="M238" s="128">
        <f>IF(OR(K238="",L238=""),"",IF(OR(K238&gt;$T$14,K238&lt;$S$14,L238&gt;$T$14,AND(K238&lt;$S$14,L238&lt;$S$14)),"FUERA DE RANGO",IF(K238&gt;=$S$14,ROUND(((L238-K238+1)/360*12),1),ROUND(((L238-$S$14+1)/360*12),1))))</f>
        <v>2</v>
      </c>
      <c r="N238" s="206">
        <v>48</v>
      </c>
      <c r="O238" s="138" t="s">
        <v>50</v>
      </c>
      <c r="P238" s="128" t="s">
        <v>50</v>
      </c>
      <c r="Q238" s="128"/>
      <c r="R238" s="95">
        <v>1446.52</v>
      </c>
      <c r="S238" s="95">
        <f t="shared" ref="S238:S243" si="50">IF(OR(G238="",R238=""),"",R238*G238)</f>
        <v>1446.52</v>
      </c>
      <c r="T238" s="129">
        <f>IF(OR(I238="NO",I238="",I238&lt;&gt;"SI",S238=""),"",IF(OR(L238&lt;$S$14,L238&gt;$T$14,L238=""),0,ROUND(S238,2)))</f>
        <v>1446.52</v>
      </c>
      <c r="U238" s="192" t="s">
        <v>401</v>
      </c>
      <c r="V238" s="204"/>
      <c r="W238" s="141"/>
      <c r="X238" s="222" t="s">
        <v>50</v>
      </c>
      <c r="Y238" s="141"/>
      <c r="Z238" s="223" t="str">
        <f t="shared" ref="Z238:Z243" si="51">IF(T238="","",IF(T238&gt;=PORCREQCTO*POSMMLV,"SI","NO"))</f>
        <v>SI</v>
      </c>
      <c r="AA238" s="296" t="str">
        <f>"VERIFICACIÓN CUMPLIMIENTO "&amp;PORCREQCTO*100&amp;"% DEL PO"</f>
        <v>VERIFICACIÓN CUMPLIMIENTO 50% DEL PO</v>
      </c>
      <c r="AB238" s="171"/>
      <c r="AC238" s="256"/>
    </row>
    <row r="239" spans="1:29" ht="54" customHeight="1">
      <c r="A239" s="125" t="str">
        <f>"B"&amp;E234</f>
        <v>B9</v>
      </c>
      <c r="B239" s="386">
        <v>2</v>
      </c>
      <c r="C239" s="380" t="s">
        <v>223</v>
      </c>
      <c r="D239" s="380" t="s">
        <v>254</v>
      </c>
      <c r="E239" s="380" t="s">
        <v>363</v>
      </c>
      <c r="F239" s="380" t="s">
        <v>222</v>
      </c>
      <c r="G239" s="142">
        <v>0.2</v>
      </c>
      <c r="H239" s="142" t="s">
        <v>115</v>
      </c>
      <c r="I239" s="406" t="s">
        <v>50</v>
      </c>
      <c r="J239" s="378" t="str">
        <f>+I252</f>
        <v>JAIRO ARIAS MÉNDEZ</v>
      </c>
      <c r="K239" s="382">
        <v>39427</v>
      </c>
      <c r="L239" s="382">
        <v>39610</v>
      </c>
      <c r="M239" s="384">
        <f t="shared" ref="M239:M243" si="52">IF(OR(K239="",L239=""),"",IF(OR(K239&gt;$T$14,K239&lt;$S$14,L239&gt;$T$14,AND(K239&lt;$S$14,L239&lt;$S$14)),"FUERA DE RANGO",IF(K239&gt;=$S$14,ROUND(((L239-K239+1)/360*12),1),ROUND(((L239-$S$14+1)/360*12),1))))</f>
        <v>6.1</v>
      </c>
      <c r="N239" s="206">
        <v>21</v>
      </c>
      <c r="O239" s="138" t="s">
        <v>50</v>
      </c>
      <c r="P239" s="128" t="s">
        <v>50</v>
      </c>
      <c r="Q239" s="128"/>
      <c r="R239" s="405">
        <v>6619</v>
      </c>
      <c r="S239" s="95">
        <f>IF(OR(G239="",R239=""),"",R239*G239)</f>
        <v>1323.8000000000002</v>
      </c>
      <c r="T239" s="129">
        <f t="shared" ref="T239:T243" si="53">IF(OR(I239="NO",I239="",I239&lt;&gt;"SI",S239=""),"",IF(OR(L239&lt;$S$14,L239&gt;$T$14,L239=""),0,ROUND(S239,2)))</f>
        <v>1323.8</v>
      </c>
      <c r="U239" s="192" t="s">
        <v>400</v>
      </c>
      <c r="V239" s="204"/>
      <c r="W239" s="141"/>
      <c r="X239" s="222"/>
      <c r="Y239" s="141"/>
      <c r="Z239" s="224" t="str">
        <f t="shared" si="51"/>
        <v>SI</v>
      </c>
      <c r="AA239" s="297"/>
      <c r="AB239" s="171"/>
      <c r="AC239" s="256"/>
    </row>
    <row r="240" spans="1:29" ht="37" customHeight="1">
      <c r="A240" s="125" t="str">
        <f>"C"&amp;E234</f>
        <v>C9</v>
      </c>
      <c r="B240" s="387"/>
      <c r="C240" s="381"/>
      <c r="D240" s="381"/>
      <c r="E240" s="381"/>
      <c r="F240" s="381"/>
      <c r="G240" s="142">
        <v>0.2</v>
      </c>
      <c r="H240" s="142" t="s">
        <v>115</v>
      </c>
      <c r="I240" s="407"/>
      <c r="J240" s="378" t="str">
        <f>+I253</f>
        <v>MANUEL ANTONIO MUÑOZ LEDEZMA</v>
      </c>
      <c r="K240" s="383"/>
      <c r="L240" s="383"/>
      <c r="M240" s="385"/>
      <c r="N240" s="206">
        <v>17</v>
      </c>
      <c r="O240" s="138" t="s">
        <v>50</v>
      </c>
      <c r="P240" s="128" t="s">
        <v>50</v>
      </c>
      <c r="Q240" s="128"/>
      <c r="R240" s="405">
        <v>6663.29</v>
      </c>
      <c r="S240" s="95">
        <f>IF(OR(G240="",R240=""),"",R240*G240)</f>
        <v>1332.6580000000001</v>
      </c>
      <c r="T240" s="129" t="str">
        <f>IF(OR(I240="NO",I240="",I240&lt;&gt;"SI",S240=""),"",IF(OR(L239&lt;$S$14,L239&gt;$T$14,L239=""),0,ROUND(S240,2)))</f>
        <v/>
      </c>
      <c r="U240" s="192" t="s">
        <v>399</v>
      </c>
      <c r="V240" s="204"/>
      <c r="W240" s="141"/>
      <c r="X240" s="222"/>
      <c r="Y240" s="141"/>
      <c r="Z240" s="224" t="str">
        <f t="shared" si="51"/>
        <v/>
      </c>
      <c r="AA240" s="297"/>
      <c r="AB240" s="171"/>
      <c r="AC240" s="256"/>
    </row>
    <row r="241" spans="1:29">
      <c r="A241" s="125" t="str">
        <f>"D"&amp;E234</f>
        <v>D9</v>
      </c>
      <c r="B241" s="140"/>
      <c r="C241" s="139"/>
      <c r="D241" s="139"/>
      <c r="E241" s="139"/>
      <c r="F241" s="139"/>
      <c r="G241" s="142"/>
      <c r="H241" s="142"/>
      <c r="I241" s="138"/>
      <c r="J241" s="138"/>
      <c r="K241" s="127"/>
      <c r="L241" s="127"/>
      <c r="M241" s="128" t="str">
        <f t="shared" si="52"/>
        <v/>
      </c>
      <c r="N241" s="206"/>
      <c r="O241" s="138"/>
      <c r="P241" s="128"/>
      <c r="Q241" s="128"/>
      <c r="R241" s="95"/>
      <c r="S241" s="95" t="str">
        <f t="shared" si="50"/>
        <v/>
      </c>
      <c r="T241" s="129" t="str">
        <f t="shared" si="53"/>
        <v/>
      </c>
      <c r="U241" s="192"/>
      <c r="V241" s="204"/>
      <c r="W241" s="141"/>
      <c r="X241" s="222"/>
      <c r="Y241" s="141"/>
      <c r="Z241" s="224" t="str">
        <f t="shared" si="51"/>
        <v/>
      </c>
      <c r="AA241" s="297"/>
      <c r="AB241" s="171"/>
      <c r="AC241" s="256"/>
    </row>
    <row r="242" spans="1:29">
      <c r="A242" s="125" t="str">
        <f>"E"&amp;E234</f>
        <v>E9</v>
      </c>
      <c r="B242" s="140"/>
      <c r="C242" s="139"/>
      <c r="D242" s="139"/>
      <c r="E242" s="139"/>
      <c r="F242" s="139"/>
      <c r="G242" s="142"/>
      <c r="H242" s="142"/>
      <c r="I242" s="138"/>
      <c r="J242" s="138"/>
      <c r="K242" s="127"/>
      <c r="L242" s="127"/>
      <c r="M242" s="128" t="str">
        <f t="shared" si="52"/>
        <v/>
      </c>
      <c r="N242" s="206"/>
      <c r="O242" s="138"/>
      <c r="P242" s="128"/>
      <c r="Q242" s="128"/>
      <c r="R242" s="95"/>
      <c r="S242" s="95" t="str">
        <f t="shared" si="50"/>
        <v/>
      </c>
      <c r="T242" s="129" t="str">
        <f t="shared" si="53"/>
        <v/>
      </c>
      <c r="U242" s="192"/>
      <c r="V242" s="204"/>
      <c r="W242" s="141"/>
      <c r="X242" s="222"/>
      <c r="Y242" s="141"/>
      <c r="Z242" s="224" t="str">
        <f t="shared" si="51"/>
        <v/>
      </c>
      <c r="AA242" s="297"/>
      <c r="AB242" s="171"/>
      <c r="AC242" s="256"/>
    </row>
    <row r="243" spans="1:29" ht="16" thickBot="1">
      <c r="A243" s="125" t="str">
        <f>"F"&amp;E234</f>
        <v>F9</v>
      </c>
      <c r="B243" s="140"/>
      <c r="C243" s="139"/>
      <c r="D243" s="139"/>
      <c r="E243" s="139"/>
      <c r="F243" s="139"/>
      <c r="G243" s="142"/>
      <c r="H243" s="142"/>
      <c r="I243" s="138"/>
      <c r="J243" s="138"/>
      <c r="K243" s="127"/>
      <c r="L243" s="127"/>
      <c r="M243" s="128" t="str">
        <f t="shared" si="52"/>
        <v/>
      </c>
      <c r="N243" s="206"/>
      <c r="O243" s="138"/>
      <c r="P243" s="128"/>
      <c r="Q243" s="128"/>
      <c r="R243" s="95"/>
      <c r="S243" s="95" t="str">
        <f t="shared" si="50"/>
        <v/>
      </c>
      <c r="T243" s="129" t="str">
        <f t="shared" si="53"/>
        <v/>
      </c>
      <c r="U243" s="192"/>
      <c r="V243" s="204"/>
      <c r="W243" s="141"/>
      <c r="X243" s="222"/>
      <c r="Y243" s="141"/>
      <c r="Z243" s="225" t="str">
        <f t="shared" si="51"/>
        <v/>
      </c>
      <c r="AA243" s="363"/>
      <c r="AB243" s="171"/>
      <c r="AC243" s="256"/>
    </row>
    <row r="244" spans="1:29" ht="16" thickBot="1">
      <c r="A244" s="122"/>
      <c r="B244" s="96"/>
      <c r="C244" s="97"/>
      <c r="D244" s="97"/>
      <c r="E244" s="97"/>
      <c r="F244" s="97"/>
      <c r="G244" s="97"/>
      <c r="H244" s="97"/>
      <c r="I244" s="97"/>
      <c r="J244" s="97"/>
      <c r="K244" s="97"/>
      <c r="L244" s="97"/>
      <c r="M244" s="97"/>
      <c r="N244" s="97"/>
      <c r="O244" s="97"/>
      <c r="P244" s="97"/>
      <c r="Q244" s="97"/>
      <c r="R244" s="173"/>
      <c r="S244" s="173"/>
      <c r="T244" s="126"/>
      <c r="U244" s="98"/>
      <c r="V244" s="205"/>
      <c r="W244" s="1"/>
      <c r="X244" s="242"/>
      <c r="Y244" s="1"/>
      <c r="Z244" s="42"/>
      <c r="AA244" s="42"/>
      <c r="AB244" s="42"/>
      <c r="AC244" s="242"/>
    </row>
    <row r="245" spans="1:29" ht="16" thickBot="1">
      <c r="A245" s="123"/>
      <c r="B245" s="99"/>
      <c r="C245" s="94"/>
      <c r="D245" s="94"/>
      <c r="E245" s="94"/>
      <c r="F245" s="94"/>
      <c r="G245" s="94"/>
      <c r="H245" s="94"/>
      <c r="I245" s="94"/>
      <c r="J245" s="94"/>
      <c r="K245" s="94"/>
      <c r="L245" s="94"/>
      <c r="M245" s="94"/>
      <c r="N245" s="94"/>
      <c r="O245" s="94"/>
      <c r="P245" s="94"/>
      <c r="Q245" s="94"/>
      <c r="R245" s="265"/>
      <c r="S245" s="265"/>
      <c r="T245" s="130">
        <f>SUM(T238:T243)</f>
        <v>2770.3199999999997</v>
      </c>
      <c r="U245" s="100"/>
      <c r="V245" s="203"/>
      <c r="W245" s="12"/>
      <c r="X245" s="243"/>
      <c r="Y245" s="12"/>
      <c r="Z245" s="243"/>
      <c r="AA245" s="243"/>
      <c r="AB245" s="243"/>
      <c r="AC245" s="243"/>
    </row>
    <row r="246" spans="1:29">
      <c r="B246" s="197"/>
      <c r="C246" s="193"/>
      <c r="D246" s="193"/>
      <c r="E246" s="193"/>
      <c r="F246" s="193"/>
      <c r="G246" s="193"/>
      <c r="H246" s="193"/>
      <c r="I246" s="193"/>
      <c r="J246" s="193"/>
      <c r="K246" s="193"/>
      <c r="L246" s="193"/>
      <c r="M246" s="193"/>
      <c r="N246" s="193"/>
      <c r="O246" s="193"/>
      <c r="P246" s="193"/>
      <c r="Q246" s="193"/>
      <c r="R246" s="194"/>
      <c r="S246" s="194"/>
      <c r="T246" s="195"/>
      <c r="U246" s="196"/>
      <c r="V246" s="195"/>
    </row>
    <row r="247" spans="1:29" ht="16" thickBot="1">
      <c r="A247" s="122"/>
      <c r="B247" s="322" t="s">
        <v>45</v>
      </c>
      <c r="C247" s="323"/>
      <c r="D247" s="323"/>
      <c r="E247" s="323"/>
      <c r="F247" s="323"/>
      <c r="G247" s="324"/>
      <c r="H247" s="324"/>
      <c r="I247" s="324"/>
      <c r="J247" s="324"/>
      <c r="K247" s="324"/>
      <c r="L247" s="324"/>
      <c r="M247" s="324"/>
      <c r="N247" s="324"/>
      <c r="O247" s="324"/>
      <c r="P247" s="324"/>
      <c r="Q247" s="324"/>
      <c r="R247" s="324"/>
      <c r="S247" s="324"/>
      <c r="T247" s="324"/>
      <c r="U247" s="325"/>
      <c r="V247" s="201"/>
      <c r="W247" s="1"/>
      <c r="X247" s="42"/>
      <c r="Y247" s="1"/>
      <c r="Z247" s="42"/>
      <c r="AA247" s="42"/>
      <c r="AB247" s="42"/>
      <c r="AC247" s="42"/>
    </row>
    <row r="248" spans="1:29" ht="16.5" customHeight="1" thickBot="1">
      <c r="A248" s="122" t="str">
        <f>"G"&amp;E234</f>
        <v>G9</v>
      </c>
      <c r="B248" s="291" t="s">
        <v>97</v>
      </c>
      <c r="C248" s="292"/>
      <c r="D248" s="292"/>
      <c r="E248" s="292"/>
      <c r="F248" s="292"/>
      <c r="G248" s="326"/>
      <c r="H248" s="291" t="s">
        <v>100</v>
      </c>
      <c r="I248" s="292"/>
      <c r="J248" s="292"/>
      <c r="K248" s="292"/>
      <c r="L248" s="292"/>
      <c r="M248" s="292"/>
      <c r="N248" s="292"/>
      <c r="O248" s="189" t="s">
        <v>23</v>
      </c>
      <c r="P248" s="190"/>
      <c r="Q248" s="190"/>
      <c r="R248" s="190"/>
      <c r="S248" s="190"/>
      <c r="T248" s="190"/>
      <c r="U248" s="253"/>
      <c r="V248" s="201"/>
      <c r="W248" s="1"/>
      <c r="X248" s="239" t="s">
        <v>117</v>
      </c>
      <c r="Y248" s="1"/>
      <c r="Z248" s="355" t="s">
        <v>119</v>
      </c>
      <c r="AA248" s="345" t="s">
        <v>120</v>
      </c>
      <c r="AB248" s="345" t="s">
        <v>148</v>
      </c>
      <c r="AC248" s="359" t="s">
        <v>149</v>
      </c>
    </row>
    <row r="249" spans="1:29" ht="15.75" customHeight="1" thickBot="1">
      <c r="A249" s="122" t="str">
        <f>"H"&amp;E234</f>
        <v>H9</v>
      </c>
      <c r="B249" s="293" t="s">
        <v>132</v>
      </c>
      <c r="C249" s="294"/>
      <c r="D249" s="294"/>
      <c r="E249" s="294"/>
      <c r="F249" s="294"/>
      <c r="G249" s="327"/>
      <c r="H249" s="293" t="s">
        <v>17</v>
      </c>
      <c r="I249" s="294"/>
      <c r="J249" s="294"/>
      <c r="K249" s="294"/>
      <c r="L249" s="295"/>
      <c r="M249" s="183">
        <f>VLOOKUP(E234,PROPONENTES!$C$14:$E$37,3,0)</f>
        <v>2</v>
      </c>
      <c r="N249" s="296" t="s">
        <v>143</v>
      </c>
      <c r="O249" s="299"/>
      <c r="P249" s="300"/>
      <c r="Q249" s="300"/>
      <c r="R249" s="300"/>
      <c r="S249" s="300"/>
      <c r="T249" s="300"/>
      <c r="U249" s="301"/>
      <c r="V249" s="201"/>
      <c r="W249" s="1"/>
      <c r="X249" s="244" t="str">
        <f>IF(M249="","",IF(M249=1,"INDIVIDUAL","ESTRUCTURA PLURAL"))</f>
        <v>ESTRUCTURA PLURAL</v>
      </c>
      <c r="Y249" s="1"/>
      <c r="Z249" s="356"/>
      <c r="AA249" s="358"/>
      <c r="AB249" s="358"/>
      <c r="AC249" s="360"/>
    </row>
    <row r="250" spans="1:29" ht="15.75" customHeight="1" thickBot="1">
      <c r="A250" s="122" t="str">
        <f>"I"&amp;E234</f>
        <v>I9</v>
      </c>
      <c r="B250" s="328" t="s">
        <v>131</v>
      </c>
      <c r="C250" s="329"/>
      <c r="D250" s="330"/>
      <c r="E250" s="308">
        <f>IF(AND(I238="SI",T238&gt;0),1,0)+IF(AND(I239="SI",T239&gt;0),1,0)+IF(AND(I240="SI",T240&gt;0),1,0)+IF(AND(I241="SI",T241&gt;0),1,0)+IF(AND(I242="SI",T242&gt;0),1,0)+IF(AND(I243="SI",T243&gt;0),1,0)</f>
        <v>2</v>
      </c>
      <c r="F250" s="310" t="s">
        <v>133</v>
      </c>
      <c r="G250" s="312">
        <f>IF(E250=0,"N/A",IF(AND(E250&gt;=1,E250&lt;=2),0.75,IF(AND(E250&gt;=3,E250&lt;=4),1.2,IF(AND(E250&gt;=5,E250&lt;=6),1.5,"REVISAR"))))</f>
        <v>0.75</v>
      </c>
      <c r="H250" s="334" t="s">
        <v>16</v>
      </c>
      <c r="I250" s="335"/>
      <c r="J250" s="314" t="s">
        <v>350</v>
      </c>
      <c r="K250" s="314" t="s">
        <v>140</v>
      </c>
      <c r="L250" s="314" t="s">
        <v>141</v>
      </c>
      <c r="M250" s="320" t="s">
        <v>142</v>
      </c>
      <c r="N250" s="297"/>
      <c r="O250" s="302"/>
      <c r="P250" s="303"/>
      <c r="Q250" s="303"/>
      <c r="R250" s="303"/>
      <c r="S250" s="303"/>
      <c r="T250" s="303"/>
      <c r="U250" s="304"/>
      <c r="V250" s="201"/>
      <c r="W250" s="38"/>
      <c r="X250" s="171"/>
      <c r="Y250" s="38"/>
      <c r="Z250" s="356"/>
      <c r="AA250" s="358"/>
      <c r="AB250" s="358"/>
      <c r="AC250" s="360"/>
    </row>
    <row r="251" spans="1:29" ht="16.5" customHeight="1" thickBot="1">
      <c r="A251" s="122" t="str">
        <f>"J"&amp;E234</f>
        <v>J9</v>
      </c>
      <c r="B251" s="331"/>
      <c r="C251" s="332"/>
      <c r="D251" s="333"/>
      <c r="E251" s="309"/>
      <c r="F251" s="311"/>
      <c r="G251" s="313"/>
      <c r="H251" s="336"/>
      <c r="I251" s="337"/>
      <c r="J251" s="314"/>
      <c r="K251" s="314"/>
      <c r="L251" s="314"/>
      <c r="M251" s="321"/>
      <c r="N251" s="298"/>
      <c r="O251" s="302"/>
      <c r="P251" s="303"/>
      <c r="Q251" s="303"/>
      <c r="R251" s="303"/>
      <c r="S251" s="303"/>
      <c r="T251" s="303"/>
      <c r="U251" s="304"/>
      <c r="V251" s="201"/>
      <c r="W251" s="38"/>
      <c r="X251" s="239" t="s">
        <v>118</v>
      </c>
      <c r="Y251" s="38"/>
      <c r="Z251" s="357"/>
      <c r="AA251" s="346"/>
      <c r="AB251" s="346"/>
      <c r="AC251" s="321"/>
    </row>
    <row r="252" spans="1:29" ht="16" thickBot="1">
      <c r="A252" s="125" t="str">
        <f>"K"&amp;E234</f>
        <v>K9</v>
      </c>
      <c r="B252" s="293" t="s">
        <v>98</v>
      </c>
      <c r="C252" s="294"/>
      <c r="D252" s="294"/>
      <c r="E252" s="294"/>
      <c r="F252" s="294"/>
      <c r="G252" s="294"/>
      <c r="H252" s="186">
        <v>1</v>
      </c>
      <c r="I252" s="92" t="str">
        <f>IF(AND(H252&lt;=M249,M249&gt;1),VLOOKUP(VALUE(E234&amp;","&amp;H252),INTEGRANTES!$B$15:$D$72,2,0),"")</f>
        <v>JAIRO ARIAS MÉNDEZ</v>
      </c>
      <c r="J252" s="187">
        <f>IF(I252&lt;&gt;"",VLOOKUP(VALUE(E234&amp;","&amp;H252),INTEGRANTES!$B$15:$D$72,3,0),"")</f>
        <v>0.5</v>
      </c>
      <c r="K252" s="247">
        <f>IF($I252="","",IF(G250="N/A","",ROUND($G250*POSMMLV*PORPOM,2)))</f>
        <v>697.02</v>
      </c>
      <c r="L252" s="247">
        <f>IF(I252="","",SUMIF($J238:$J243,I252,$T238:$T243))</f>
        <v>1323.8</v>
      </c>
      <c r="M252" s="93" t="str">
        <f t="shared" ref="M252:M257" si="54">IF($I252="","",IF($K252&gt;L252,"NO CUMPLE","CUMPLE"))</f>
        <v>CUMPLE</v>
      </c>
      <c r="N252" s="93" t="str">
        <f t="shared" ref="N252:N257" si="55">IF($I252="","",IF(M252="CUMPLE","CUMPLE","NO CUMPLE"))</f>
        <v>CUMPLE</v>
      </c>
      <c r="O252" s="302"/>
      <c r="P252" s="303"/>
      <c r="Q252" s="303"/>
      <c r="R252" s="303"/>
      <c r="S252" s="303"/>
      <c r="T252" s="303"/>
      <c r="U252" s="304"/>
      <c r="V252" s="201"/>
      <c r="W252" s="1"/>
      <c r="X252" s="244" t="str">
        <f>IF(X249="","",IF(X249="INDIVIDUAL","NO APLICA","VERIFICAR CUADRO"))</f>
        <v>VERIFICAR CUADRO</v>
      </c>
      <c r="Y252" s="1"/>
      <c r="Z252" s="262" t="str">
        <f>IF(AND(H252&lt;=M249,M249&gt;1),VLOOKUP(VALUE(E234&amp;","&amp;H252),INTEGRANTES!$B$15:$D$72,2,0),"")</f>
        <v>JAIRO ARIAS MÉNDEZ</v>
      </c>
      <c r="AA252" s="248">
        <f>IF(I252="","",SUMIF(J238:$J243,I252,$T238:$T243))</f>
        <v>1323.8</v>
      </c>
      <c r="AB252" s="232"/>
      <c r="AC252" s="250" t="str">
        <f>IF(OR(Z252="",AB252=""),"",IF(AND(AB252="X",AA252&gt;=X255),"CUMPLE","NO CUMPLE"))</f>
        <v/>
      </c>
    </row>
    <row r="253" spans="1:29" ht="15.75" customHeight="1" thickBot="1">
      <c r="A253" s="125" t="str">
        <f>"L"&amp;E234</f>
        <v>L9</v>
      </c>
      <c r="B253" s="328" t="s">
        <v>134</v>
      </c>
      <c r="C253" s="329"/>
      <c r="D253" s="330"/>
      <c r="E253" s="132" t="s">
        <v>135</v>
      </c>
      <c r="F253" s="132" t="s">
        <v>136</v>
      </c>
      <c r="G253" s="136" t="s">
        <v>99</v>
      </c>
      <c r="H253" s="186">
        <v>2</v>
      </c>
      <c r="I253" s="92" t="str">
        <f>IF(AND(H253&lt;=M249,M249&gt;1),VLOOKUP(VALUE(E234&amp;","&amp;H253),INTEGRANTES!$B$15:$D$72,2,0),"")</f>
        <v>MANUEL ANTONIO MUÑOZ LEDEZMA</v>
      </c>
      <c r="J253" s="187">
        <f>IF(I253&lt;&gt;"",VLOOKUP(VALUE(E234&amp;","&amp;H253),INTEGRANTES!$B$15:$D$72,3,0),"")</f>
        <v>0.5</v>
      </c>
      <c r="K253" s="247">
        <f>IF($I253="","",IF(G250="N/A","",ROUND($G250*POSMMLV*PORPOM,2)))</f>
        <v>697.02</v>
      </c>
      <c r="L253" s="247">
        <f>IF(I253="","",SUMIF($J238:$J243,I253,$T238:$T243))</f>
        <v>1446.52</v>
      </c>
      <c r="M253" s="93" t="str">
        <f t="shared" si="54"/>
        <v>CUMPLE</v>
      </c>
      <c r="N253" s="93" t="str">
        <f t="shared" si="55"/>
        <v>CUMPLE</v>
      </c>
      <c r="O253" s="302"/>
      <c r="P253" s="303"/>
      <c r="Q253" s="303"/>
      <c r="R253" s="303"/>
      <c r="S253" s="303"/>
      <c r="T253" s="303"/>
      <c r="U253" s="304"/>
      <c r="V253" s="201"/>
      <c r="W253" s="1"/>
      <c r="X253" s="42"/>
      <c r="Y253" s="1"/>
      <c r="Z253" s="262" t="str">
        <f>IF(AND(H253&lt;=M249,M249&gt;1),VLOOKUP(VALUE(E234&amp;","&amp;H253),INTEGRANTES!$B$15:$D$72,2,0),"")</f>
        <v>MANUEL ANTONIO MUÑOZ LEDEZMA</v>
      </c>
      <c r="AA253" s="248">
        <f>IF(I253="","",SUMIF(J238:$J243,I253,$T238:$T243))</f>
        <v>1446.52</v>
      </c>
      <c r="AB253" s="232"/>
      <c r="AC253" s="250" t="str">
        <f>IF(OR(Z253="",AB253=""),"",IF(AND(AB253="X",AA253&gt;=X255),"CUMPLE","NO CUMPLE"))</f>
        <v/>
      </c>
    </row>
    <row r="254" spans="1:29" ht="16" thickBot="1">
      <c r="A254" s="122" t="str">
        <f>"M"&amp;E234</f>
        <v>M9</v>
      </c>
      <c r="B254" s="331"/>
      <c r="C254" s="332"/>
      <c r="D254" s="333"/>
      <c r="E254" s="237">
        <f>IF(ISTEXT(G250),"NO APLICA",G250*POSMMLV)</f>
        <v>1394.0360281651363</v>
      </c>
      <c r="F254" s="238">
        <f>IF(E254="","",T245)</f>
        <v>2770.3199999999997</v>
      </c>
      <c r="G254" s="221" t="str">
        <f>IF(E254="","",IF(E254="NO APLICA","NO CUMPLE",IF(F254&gt;=E254,"CUMPLE", "NO CUMPLE")))</f>
        <v>CUMPLE</v>
      </c>
      <c r="H254" s="186">
        <v>3</v>
      </c>
      <c r="I254" s="92" t="str">
        <f>IF(AND(H254&lt;=M249,M249&gt;1),VLOOKUP(VALUE(E234&amp;","&amp;H254),INTEGRANTES!$B$15:$D$72,2,0),"")</f>
        <v/>
      </c>
      <c r="J254" s="187" t="str">
        <f>IF(I254&lt;&gt;"",VLOOKUP(VALUE(E234&amp;","&amp;H254),INTEGRANTES!$B$15:$D$72,3,0),"")</f>
        <v/>
      </c>
      <c r="K254" s="247" t="str">
        <f>IF($I254="","",IF(G250="N/A","",ROUND($G250*POSMMLV*PORPOM,2)))</f>
        <v/>
      </c>
      <c r="L254" s="247" t="str">
        <f>IF(I254="","",SUMIF($J238:$J243,I254,$T238:$T243))</f>
        <v/>
      </c>
      <c r="M254" s="93" t="str">
        <f t="shared" si="54"/>
        <v/>
      </c>
      <c r="N254" s="93" t="str">
        <f t="shared" si="55"/>
        <v/>
      </c>
      <c r="O254" s="302"/>
      <c r="P254" s="303"/>
      <c r="Q254" s="303"/>
      <c r="R254" s="303"/>
      <c r="S254" s="303"/>
      <c r="T254" s="303"/>
      <c r="U254" s="304"/>
      <c r="V254" s="201"/>
      <c r="W254" s="1"/>
      <c r="X254" s="239" t="s">
        <v>145</v>
      </c>
      <c r="Y254" s="1"/>
      <c r="Z254" s="262" t="str">
        <f>IF(AND(H254&lt;=M249,M249&gt;1),VLOOKUP(VALUE(E234&amp;","&amp;H254),INTEGRANTES!$B$15:$D$72,2,0),"")</f>
        <v/>
      </c>
      <c r="AA254" s="248" t="str">
        <f>IF(I254="","",SUMIF(J238:$J243,I254,$T238:$T243))</f>
        <v/>
      </c>
      <c r="AB254" s="232"/>
      <c r="AC254" s="250" t="str">
        <f>IF(OR(Z254="",AB254=""),"",IF(AND(AB254="X",AA254&gt;=X255),"CUMPLE","NO CUMPLE"))</f>
        <v/>
      </c>
    </row>
    <row r="255" spans="1:29" ht="15.75" customHeight="1" thickBot="1">
      <c r="A255" s="122" t="str">
        <f>"N"&amp;E234</f>
        <v>N9</v>
      </c>
      <c r="B255" s="293" t="s">
        <v>107</v>
      </c>
      <c r="C255" s="294"/>
      <c r="D255" s="294"/>
      <c r="E255" s="294"/>
      <c r="F255" s="294"/>
      <c r="G255" s="294"/>
      <c r="H255" s="186">
        <v>4</v>
      </c>
      <c r="I255" s="92" t="str">
        <f>IF(AND(H255&lt;=M249,M249&gt;1),VLOOKUP(VALUE(E234&amp;","&amp;H255),INTEGRANTES!$B$15:$D$72,2,0),"")</f>
        <v/>
      </c>
      <c r="J255" s="187" t="str">
        <f>IF(I255&lt;&gt;"",VLOOKUP(VALUE(E234&amp;","&amp;H255),INTEGRANTES!$B$15:$D$72,3,0),"")</f>
        <v/>
      </c>
      <c r="K255" s="247" t="str">
        <f>IF($I255="","",IF(G250="N/A","",ROUND($G250*POSMMLV*PORPOM,2)))</f>
        <v/>
      </c>
      <c r="L255" s="247" t="str">
        <f>IF(I255="","",SUMIF($J238:$J243,I255,$T238:$T243))</f>
        <v/>
      </c>
      <c r="M255" s="93" t="str">
        <f t="shared" si="54"/>
        <v/>
      </c>
      <c r="N255" s="93" t="str">
        <f t="shared" si="55"/>
        <v/>
      </c>
      <c r="O255" s="302"/>
      <c r="P255" s="303"/>
      <c r="Q255" s="303"/>
      <c r="R255" s="303"/>
      <c r="S255" s="303"/>
      <c r="T255" s="303"/>
      <c r="U255" s="304"/>
      <c r="V255" s="201"/>
      <c r="W255" s="1"/>
      <c r="X255" s="251">
        <f>IF(G250="N/A","N/A",0.4*G250*POSMMLV)</f>
        <v>557.61441126605462</v>
      </c>
      <c r="Y255" s="1"/>
      <c r="Z255" s="262" t="str">
        <f>IF(AND(H255&lt;=M249,M249&gt;1),VLOOKUP(VALUE(E234&amp;","&amp;H255),INTEGRANTES!$B$15:$D$72,2,0),"")</f>
        <v/>
      </c>
      <c r="AA255" s="248" t="str">
        <f>IF(I255="","",SUMIF(J238:$J243,I255,$T238:$T243))</f>
        <v/>
      </c>
      <c r="AB255" s="232"/>
      <c r="AC255" s="250" t="str">
        <f>IF(OR(Z255="",AB255=""),"",IF(AND(AB255="X",AA255&gt;=X255),"CUMPLE","NO CUMPLE"))</f>
        <v/>
      </c>
    </row>
    <row r="256" spans="1:29" ht="33.75" customHeight="1" thickBot="1">
      <c r="A256" s="122" t="str">
        <f>"O"&amp;E234</f>
        <v>O9</v>
      </c>
      <c r="B256" s="328" t="s">
        <v>108</v>
      </c>
      <c r="C256" s="329"/>
      <c r="D256" s="329"/>
      <c r="E256" s="329"/>
      <c r="F256" s="329"/>
      <c r="G256" s="185" t="s">
        <v>99</v>
      </c>
      <c r="H256" s="186">
        <v>5</v>
      </c>
      <c r="I256" s="92" t="str">
        <f>IF(AND(H256&lt;=M249,M249&gt;1),VLOOKUP(VALUE(E234&amp;","&amp;H256),INTEGRANTES!$B$15:$D$72,2,0),"")</f>
        <v/>
      </c>
      <c r="J256" s="187" t="str">
        <f>IF(I256&lt;&gt;"",VLOOKUP(VALUE(E234&amp;","&amp;H256),INTEGRANTES!$B$15:$D$72,3,0),"")</f>
        <v/>
      </c>
      <c r="K256" s="247" t="str">
        <f>IF($I256="","",IF(G250="N/A","",ROUND($G250*POSMMLV*PORPOM,2)))</f>
        <v/>
      </c>
      <c r="L256" s="247" t="str">
        <f>IF(I256="","",SUMIF($J238:$J243,I256,$T238:$T243))</f>
        <v/>
      </c>
      <c r="M256" s="93" t="str">
        <f t="shared" si="54"/>
        <v/>
      </c>
      <c r="N256" s="93" t="str">
        <f t="shared" si="55"/>
        <v/>
      </c>
      <c r="O256" s="302"/>
      <c r="P256" s="303"/>
      <c r="Q256" s="303"/>
      <c r="R256" s="303"/>
      <c r="S256" s="303"/>
      <c r="T256" s="303"/>
      <c r="U256" s="304"/>
      <c r="V256" s="201"/>
      <c r="W256" s="1"/>
      <c r="X256" s="42"/>
      <c r="Y256" s="1"/>
      <c r="Z256" s="262" t="str">
        <f>IF(AND(H256&lt;=M249,M249&gt;1),VLOOKUP(VALUE(E234&amp;","&amp;H256),INTEGRANTES!$B$15:$D$72,2,0),"")</f>
        <v/>
      </c>
      <c r="AA256" s="248" t="str">
        <f>IF(I256="","",SUMIF(J238:$J243,I256,$T238:$T243))</f>
        <v/>
      </c>
      <c r="AB256" s="232"/>
      <c r="AC256" s="250" t="str">
        <f>IF(OR(Z256="",AB256=""),"",IF(AND(AB256="X",AA256&gt;=X255),"CUMPLE","NO CUMPLE"))</f>
        <v/>
      </c>
    </row>
    <row r="257" spans="1:29" ht="16" thickBot="1">
      <c r="A257" s="122" t="str">
        <f>"P"&amp;E234</f>
        <v>P9</v>
      </c>
      <c r="B257" s="353"/>
      <c r="C257" s="354"/>
      <c r="D257" s="354"/>
      <c r="E257" s="354"/>
      <c r="F257" s="354"/>
      <c r="G257" s="137" t="str">
        <f>IF(AND(COUNTIF(X238:X243,"")&gt;5,COUNTIF(Z238:Z243,"")&gt;5),"NO CUMPLE",IF(AND(COUNTIF(X238:X243,"SI")&gt;=$AF$17,COUNTIF(Z238:Z243,"SI")&gt;=$AF$17),"CUMPLE", "NO CUMPLE"))</f>
        <v>CUMPLE</v>
      </c>
      <c r="H257" s="257">
        <v>6</v>
      </c>
      <c r="I257" s="258" t="str">
        <f>IF(AND(H257&lt;=M249,M249&gt;1),VLOOKUP(VALUE(E234&amp;","&amp;H257),INTEGRANTES!$B$15:$D$72,2,0),"")</f>
        <v/>
      </c>
      <c r="J257" s="259" t="str">
        <f>IF(I257&lt;&gt;"",VLOOKUP(VALUE(E234&amp;","&amp;H257),INTEGRANTES!$B$15:$D$72,3,0),"")</f>
        <v/>
      </c>
      <c r="K257" s="260" t="str">
        <f>IF($I257="","",IF(G250="N/A","",ROUND($G250*POSMMLV*PORPOM,2)))</f>
        <v/>
      </c>
      <c r="L257" s="260" t="str">
        <f>IF(I257="","",SUMIF($J238:$J243,I257,$T238:$T243))</f>
        <v/>
      </c>
      <c r="M257" s="261" t="str">
        <f t="shared" si="54"/>
        <v/>
      </c>
      <c r="N257" s="93" t="str">
        <f t="shared" si="55"/>
        <v/>
      </c>
      <c r="O257" s="302"/>
      <c r="P257" s="303"/>
      <c r="Q257" s="303"/>
      <c r="R257" s="303"/>
      <c r="S257" s="303"/>
      <c r="T257" s="303"/>
      <c r="U257" s="304"/>
      <c r="V257" s="201"/>
      <c r="W257" s="1"/>
      <c r="X257" s="239" t="s">
        <v>122</v>
      </c>
      <c r="Y257" s="1"/>
      <c r="Z257" s="263" t="str">
        <f>IF(AND(H257&lt;=M249,M249&gt;1),VLOOKUP(VALUE(E234&amp;","&amp;H257),INTEGRANTES!$B$15:$D$72,2,0),"")</f>
        <v/>
      </c>
      <c r="AA257" s="249" t="str">
        <f>IF(I257="","",SUMIF(J238:$J243,I257,$T238:$T243))</f>
        <v/>
      </c>
      <c r="AB257" s="246"/>
      <c r="AC257" s="137" t="str">
        <f>IF(OR(Z257="",AB257=""),"",IF(AND(AB257="X",AA257&gt;=X255),"CUMPLE","NO CUMPLE"))</f>
        <v/>
      </c>
    </row>
    <row r="258" spans="1:29" ht="38.25" customHeight="1" thickBot="1">
      <c r="A258" s="122" t="str">
        <f>"Q"&amp;E234</f>
        <v>Q9</v>
      </c>
      <c r="B258" s="338"/>
      <c r="C258" s="339"/>
      <c r="D258" s="339"/>
      <c r="E258" s="339"/>
      <c r="F258" s="339"/>
      <c r="G258" s="340"/>
      <c r="H258" s="318" t="s">
        <v>138</v>
      </c>
      <c r="I258" s="341"/>
      <c r="J258" s="342"/>
      <c r="K258" s="318" t="s">
        <v>139</v>
      </c>
      <c r="L258" s="319"/>
      <c r="M258" s="188" t="str">
        <f>IF(OR($M249="",SUM(J252:J257)=0),"",IF(COUNTIF(M252:M257,"CUMPLE")&gt;=1,"CUMPLE","NO CUMPLE"))</f>
        <v>CUMPLE</v>
      </c>
      <c r="N258" s="188" t="str">
        <f>IF(OR($M249="",SUM(J252:J257)=0),"",IF(COUNTIF(N252:N257,"CUMPLE")&gt;=1,"CUMPLE","NO CUMPLE"))</f>
        <v>CUMPLE</v>
      </c>
      <c r="O258" s="305"/>
      <c r="P258" s="306"/>
      <c r="Q258" s="306"/>
      <c r="R258" s="306"/>
      <c r="S258" s="306"/>
      <c r="T258" s="306"/>
      <c r="U258" s="307"/>
      <c r="V258" s="201"/>
      <c r="W258" s="1"/>
      <c r="X258" s="254" t="str">
        <f>IF(X252="NO APLICA","NO APLICA",IF(COUNTIF(AC252:AC257,"CUMPLE")&gt;0,"CUMPLE","NO CUMPLE"))</f>
        <v>NO CUMPLE</v>
      </c>
      <c r="Y258" s="1"/>
      <c r="Z258" s="42"/>
      <c r="AA258" s="42"/>
      <c r="AB258" s="42"/>
      <c r="AC258" s="42"/>
    </row>
    <row r="259" spans="1:29">
      <c r="A259"/>
    </row>
    <row r="260" spans="1:29">
      <c r="A260"/>
    </row>
    <row r="261" spans="1:29" ht="23.5" thickBot="1">
      <c r="A261" s="167">
        <v>10</v>
      </c>
      <c r="B261" s="349" t="s">
        <v>1</v>
      </c>
      <c r="C261" s="349"/>
      <c r="D261" s="349"/>
      <c r="E261" s="105">
        <f>VLOOKUP(A261,PROPONENTES!$B$14:$D$37,2,FALSE)</f>
        <v>10</v>
      </c>
      <c r="F261" s="106" t="str">
        <f>VLOOKUP(E261,PROPONENTES!$C$14:$D$37,2,FALSE)</f>
        <v>UNIÓN TEMPORAL CAQUETÁ 2019</v>
      </c>
      <c r="G261" s="107"/>
      <c r="H261" s="107"/>
      <c r="I261" s="107"/>
      <c r="J261" s="106"/>
      <c r="K261" s="106"/>
      <c r="L261" s="105"/>
      <c r="M261" s="107"/>
      <c r="N261" s="107"/>
      <c r="O261" s="107"/>
      <c r="P261" s="107"/>
      <c r="Q261" s="107"/>
      <c r="R261" s="107"/>
      <c r="S261" s="107"/>
      <c r="T261" s="108"/>
      <c r="U261" s="109"/>
      <c r="V261" s="109"/>
      <c r="W261" s="11"/>
      <c r="X261" s="240"/>
      <c r="Y261" s="11"/>
      <c r="Z261" s="240"/>
      <c r="AA261" s="240"/>
      <c r="AB261" s="240"/>
      <c r="AC261" s="240"/>
    </row>
    <row r="262" spans="1:29" ht="48" customHeight="1">
      <c r="A262" s="131"/>
      <c r="B262" s="350" t="s">
        <v>88</v>
      </c>
      <c r="C262" s="345" t="s">
        <v>48</v>
      </c>
      <c r="D262" s="352" t="s">
        <v>130</v>
      </c>
      <c r="E262" s="295"/>
      <c r="F262" s="352" t="s">
        <v>93</v>
      </c>
      <c r="G262" s="295"/>
      <c r="H262" s="315" t="s">
        <v>351</v>
      </c>
      <c r="I262" s="315" t="s">
        <v>103</v>
      </c>
      <c r="J262" s="315" t="s">
        <v>2</v>
      </c>
      <c r="K262" s="315" t="s">
        <v>352</v>
      </c>
      <c r="L262" s="315" t="s">
        <v>353</v>
      </c>
      <c r="M262" s="316" t="s">
        <v>29</v>
      </c>
      <c r="N262" s="315" t="s">
        <v>104</v>
      </c>
      <c r="O262" s="343" t="s">
        <v>78</v>
      </c>
      <c r="P262" s="344"/>
      <c r="Q262" s="345" t="s">
        <v>144</v>
      </c>
      <c r="R262" s="345" t="s">
        <v>101</v>
      </c>
      <c r="S262" s="294" t="s">
        <v>3</v>
      </c>
      <c r="T262" s="295"/>
      <c r="U262" s="347" t="s">
        <v>18</v>
      </c>
      <c r="V262" s="366" t="s">
        <v>102</v>
      </c>
      <c r="W262" s="133"/>
      <c r="X262" s="361" t="s">
        <v>146</v>
      </c>
      <c r="Y262" s="133"/>
      <c r="Z262" s="133"/>
      <c r="AA262" s="133"/>
      <c r="AB262" s="245"/>
      <c r="AC262" s="361" t="s">
        <v>123</v>
      </c>
    </row>
    <row r="263" spans="1:29" ht="98.25" customHeight="1">
      <c r="A263" s="131"/>
      <c r="B263" s="351"/>
      <c r="C263" s="346"/>
      <c r="D263" s="134" t="s">
        <v>10</v>
      </c>
      <c r="E263" s="134" t="s">
        <v>4</v>
      </c>
      <c r="F263" s="134" t="s">
        <v>15</v>
      </c>
      <c r="G263" s="135" t="s">
        <v>90</v>
      </c>
      <c r="H263" s="314"/>
      <c r="I263" s="314"/>
      <c r="J263" s="314"/>
      <c r="K263" s="314"/>
      <c r="L263" s="314"/>
      <c r="M263" s="317"/>
      <c r="N263" s="314"/>
      <c r="O263" s="264" t="s">
        <v>76</v>
      </c>
      <c r="P263" s="264" t="str">
        <f>+P209</f>
        <v>¿EL CONTRATO SE ENCUENTRA CLASIFICADO EN ALGUNA DE LAS CLASIFICACIONES ESTABLECIDAS EN EL PLIEGO? (SI/NO) (721033 - 721410 - 721411 - 721416)</v>
      </c>
      <c r="Q263" s="346"/>
      <c r="R263" s="346"/>
      <c r="S263" s="264" t="s">
        <v>81</v>
      </c>
      <c r="T263" s="264" t="s">
        <v>77</v>
      </c>
      <c r="U263" s="348"/>
      <c r="V263" s="336"/>
      <c r="W263" s="133"/>
      <c r="X263" s="362"/>
      <c r="Y263" s="133"/>
      <c r="Z263" s="245"/>
      <c r="AA263" s="245"/>
      <c r="AB263" s="245"/>
      <c r="AC263" s="362"/>
    </row>
    <row r="264" spans="1:29" ht="16" thickBot="1">
      <c r="A264" s="122"/>
      <c r="B264" s="96"/>
      <c r="C264" s="97"/>
      <c r="D264" s="97"/>
      <c r="E264" s="97"/>
      <c r="F264" s="97"/>
      <c r="G264" s="97"/>
      <c r="H264" s="97"/>
      <c r="I264" s="97"/>
      <c r="J264" s="97"/>
      <c r="K264" s="97"/>
      <c r="L264" s="97"/>
      <c r="M264" s="97"/>
      <c r="N264" s="97"/>
      <c r="O264" s="97"/>
      <c r="P264" s="97"/>
      <c r="Q264" s="97"/>
      <c r="R264" s="173"/>
      <c r="S264" s="173"/>
      <c r="T264" s="97"/>
      <c r="U264" s="191"/>
      <c r="V264" s="202"/>
      <c r="W264" s="1"/>
      <c r="X264" s="241"/>
      <c r="Y264" s="1"/>
      <c r="Z264" s="42"/>
      <c r="AA264" s="42"/>
      <c r="AB264" s="42"/>
      <c r="AC264" s="241"/>
    </row>
    <row r="265" spans="1:29" ht="51.5" customHeight="1">
      <c r="A265" s="125" t="str">
        <f>"A"&amp;E261</f>
        <v>A10</v>
      </c>
      <c r="B265" s="140">
        <v>1</v>
      </c>
      <c r="C265" s="139" t="s">
        <v>364</v>
      </c>
      <c r="D265" s="139" t="s">
        <v>255</v>
      </c>
      <c r="E265" s="139" t="s">
        <v>365</v>
      </c>
      <c r="F265" s="139" t="s">
        <v>222</v>
      </c>
      <c r="G265" s="142">
        <v>0.17</v>
      </c>
      <c r="H265" s="142" t="s">
        <v>115</v>
      </c>
      <c r="I265" s="138" t="s">
        <v>50</v>
      </c>
      <c r="J265" s="378" t="str">
        <f>+I280</f>
        <v>OSCAR HERNANDO ANDRADE LARA</v>
      </c>
      <c r="K265" s="127">
        <v>41963</v>
      </c>
      <c r="L265" s="127">
        <v>42347</v>
      </c>
      <c r="M265" s="128">
        <f>IF(OR(K265="",L265=""),"",IF(OR(K265&gt;$T$14,K265&lt;$S$14,L265&gt;$T$14,AND(K265&lt;$S$14,L265&lt;$S$14)),"FUERA DE RANGO",IF(K265&gt;=$S$14,ROUND(((L265-K265+1)/360*12),1),ROUND(((L265-$S$14+1)/360*12),1))))</f>
        <v>12.8</v>
      </c>
      <c r="N265" s="206">
        <v>62</v>
      </c>
      <c r="O265" s="138" t="s">
        <v>50</v>
      </c>
      <c r="P265" s="128" t="s">
        <v>50</v>
      </c>
      <c r="Q265" s="128"/>
      <c r="R265" s="95">
        <v>19896.599999999999</v>
      </c>
      <c r="S265" s="95">
        <f t="shared" ref="S265:S270" si="56">IF(OR(G265="",R265=""),"",R265*G265)</f>
        <v>3382.422</v>
      </c>
      <c r="T265" s="129">
        <f>IF(OR(I265="NO",I265="",I265&lt;&gt;"SI",S265=""),"",IF(OR(L265&lt;$S$14,L265&gt;$T$14,L265=""),0,ROUND(S265,2)))</f>
        <v>3382.42</v>
      </c>
      <c r="U265" s="192" t="s">
        <v>403</v>
      </c>
      <c r="V265" s="204"/>
      <c r="W265" s="141"/>
      <c r="X265" s="222" t="s">
        <v>50</v>
      </c>
      <c r="Y265" s="141"/>
      <c r="Z265" s="223" t="str">
        <f t="shared" ref="Z265:Z270" si="57">IF(T265="","",IF(T265&gt;=PORCREQCTO*POSMMLV,"SI","NO"))</f>
        <v>SI</v>
      </c>
      <c r="AA265" s="296" t="str">
        <f>"VERIFICACIÓN CUMPLIMIENTO "&amp;PORCREQCTO*100&amp;"% DEL PO"</f>
        <v>VERIFICACIÓN CUMPLIMIENTO 50% DEL PO</v>
      </c>
      <c r="AB265" s="171"/>
      <c r="AC265" s="256"/>
    </row>
    <row r="266" spans="1:29" ht="63">
      <c r="A266" s="125" t="str">
        <f>"B"&amp;E261</f>
        <v>B10</v>
      </c>
      <c r="B266" s="140">
        <v>2</v>
      </c>
      <c r="C266" s="139" t="s">
        <v>256</v>
      </c>
      <c r="D266" s="139" t="s">
        <v>257</v>
      </c>
      <c r="E266" s="139" t="s">
        <v>366</v>
      </c>
      <c r="F266" s="139" t="s">
        <v>222</v>
      </c>
      <c r="G266" s="142">
        <v>0.49</v>
      </c>
      <c r="H266" s="142" t="s">
        <v>115</v>
      </c>
      <c r="I266" s="138" t="s">
        <v>51</v>
      </c>
      <c r="J266" s="378" t="str">
        <f>+J265</f>
        <v>OSCAR HERNANDO ANDRADE LARA</v>
      </c>
      <c r="K266" s="127">
        <v>41491</v>
      </c>
      <c r="L266" s="127">
        <v>41947</v>
      </c>
      <c r="M266" s="128">
        <f t="shared" ref="M266:M270" si="58">IF(OR(K266="",L266=""),"",IF(OR(K266&gt;$T$14,K266&lt;$S$14,L266&gt;$T$14,AND(K266&lt;$S$14,L266&lt;$S$14)),"FUERA DE RANGO",IF(K266&gt;=$S$14,ROUND(((L266-K266+1)/360*12),1),ROUND(((L266-$S$14+1)/360*12),1))))</f>
        <v>15.2</v>
      </c>
      <c r="N266" s="206">
        <v>6</v>
      </c>
      <c r="O266" s="138" t="s">
        <v>50</v>
      </c>
      <c r="P266" s="128" t="s">
        <v>51</v>
      </c>
      <c r="Q266" s="128"/>
      <c r="R266" s="95">
        <v>8127.04</v>
      </c>
      <c r="S266" s="95">
        <f t="shared" si="56"/>
        <v>3982.2496000000001</v>
      </c>
      <c r="T266" s="129" t="str">
        <f t="shared" ref="T266:T270" si="59">IF(OR(I266="NO",I266="",I266&lt;&gt;"SI",S266=""),"",IF(OR(L266&lt;$S$14,L266&gt;$T$14,L266=""),0,ROUND(S266,2)))</f>
        <v/>
      </c>
      <c r="U266" s="192" t="s">
        <v>402</v>
      </c>
      <c r="V266" s="204"/>
      <c r="W266" s="141"/>
      <c r="X266" s="222"/>
      <c r="Y266" s="141"/>
      <c r="Z266" s="224" t="str">
        <f t="shared" si="57"/>
        <v/>
      </c>
      <c r="AA266" s="297"/>
      <c r="AB266" s="171"/>
      <c r="AC266" s="256"/>
    </row>
    <row r="267" spans="1:29">
      <c r="A267" s="125" t="str">
        <f>"C"&amp;E261</f>
        <v>C10</v>
      </c>
      <c r="B267" s="140"/>
      <c r="C267" s="139"/>
      <c r="D267" s="139"/>
      <c r="E267" s="139"/>
      <c r="F267" s="139"/>
      <c r="G267" s="142"/>
      <c r="H267" s="142"/>
      <c r="I267" s="138"/>
      <c r="J267" s="138"/>
      <c r="K267" s="127"/>
      <c r="L267" s="127"/>
      <c r="M267" s="128" t="str">
        <f t="shared" si="58"/>
        <v/>
      </c>
      <c r="N267" s="206"/>
      <c r="O267" s="138"/>
      <c r="P267" s="128"/>
      <c r="Q267" s="128"/>
      <c r="R267" s="95"/>
      <c r="S267" s="95" t="str">
        <f t="shared" si="56"/>
        <v/>
      </c>
      <c r="T267" s="129" t="str">
        <f t="shared" si="59"/>
        <v/>
      </c>
      <c r="U267" s="192"/>
      <c r="V267" s="204"/>
      <c r="W267" s="141"/>
      <c r="X267" s="222"/>
      <c r="Y267" s="141"/>
      <c r="Z267" s="224" t="str">
        <f t="shared" si="57"/>
        <v/>
      </c>
      <c r="AA267" s="297"/>
      <c r="AB267" s="171"/>
      <c r="AC267" s="256"/>
    </row>
    <row r="268" spans="1:29">
      <c r="A268" s="125" t="str">
        <f>"D"&amp;E261</f>
        <v>D10</v>
      </c>
      <c r="B268" s="140"/>
      <c r="C268" s="139"/>
      <c r="D268" s="139"/>
      <c r="E268" s="139"/>
      <c r="F268" s="139"/>
      <c r="G268" s="142"/>
      <c r="H268" s="142"/>
      <c r="I268" s="138"/>
      <c r="J268" s="138"/>
      <c r="K268" s="127"/>
      <c r="L268" s="127"/>
      <c r="M268" s="128" t="str">
        <f t="shared" si="58"/>
        <v/>
      </c>
      <c r="N268" s="206"/>
      <c r="O268" s="138"/>
      <c r="P268" s="128"/>
      <c r="Q268" s="128"/>
      <c r="R268" s="95"/>
      <c r="S268" s="95" t="str">
        <f t="shared" si="56"/>
        <v/>
      </c>
      <c r="T268" s="129" t="str">
        <f t="shared" si="59"/>
        <v/>
      </c>
      <c r="U268" s="192"/>
      <c r="V268" s="204"/>
      <c r="W268" s="141"/>
      <c r="X268" s="222"/>
      <c r="Y268" s="141"/>
      <c r="Z268" s="224" t="str">
        <f t="shared" si="57"/>
        <v/>
      </c>
      <c r="AA268" s="297"/>
      <c r="AB268" s="171"/>
      <c r="AC268" s="256"/>
    </row>
    <row r="269" spans="1:29">
      <c r="A269" s="125" t="str">
        <f>"E"&amp;E261</f>
        <v>E10</v>
      </c>
      <c r="B269" s="140"/>
      <c r="C269" s="139"/>
      <c r="D269" s="139"/>
      <c r="E269" s="139"/>
      <c r="F269" s="139"/>
      <c r="G269" s="142"/>
      <c r="H269" s="142"/>
      <c r="I269" s="138"/>
      <c r="J269" s="138"/>
      <c r="K269" s="127"/>
      <c r="L269" s="127"/>
      <c r="M269" s="128" t="str">
        <f t="shared" si="58"/>
        <v/>
      </c>
      <c r="N269" s="206"/>
      <c r="O269" s="138"/>
      <c r="P269" s="128"/>
      <c r="Q269" s="128"/>
      <c r="R269" s="95"/>
      <c r="S269" s="95" t="str">
        <f t="shared" si="56"/>
        <v/>
      </c>
      <c r="T269" s="129" t="str">
        <f t="shared" si="59"/>
        <v/>
      </c>
      <c r="U269" s="192"/>
      <c r="V269" s="204"/>
      <c r="W269" s="141"/>
      <c r="X269" s="222"/>
      <c r="Y269" s="141"/>
      <c r="Z269" s="224" t="str">
        <f t="shared" si="57"/>
        <v/>
      </c>
      <c r="AA269" s="297"/>
      <c r="AB269" s="171"/>
      <c r="AC269" s="256"/>
    </row>
    <row r="270" spans="1:29" ht="16" thickBot="1">
      <c r="A270" s="125" t="str">
        <f>"F"&amp;E261</f>
        <v>F10</v>
      </c>
      <c r="B270" s="140"/>
      <c r="C270" s="139"/>
      <c r="D270" s="139"/>
      <c r="E270" s="139"/>
      <c r="F270" s="139"/>
      <c r="G270" s="142"/>
      <c r="H270" s="142"/>
      <c r="I270" s="138"/>
      <c r="J270" s="138"/>
      <c r="K270" s="127"/>
      <c r="L270" s="127"/>
      <c r="M270" s="128" t="str">
        <f t="shared" si="58"/>
        <v/>
      </c>
      <c r="N270" s="206"/>
      <c r="O270" s="138"/>
      <c r="P270" s="128"/>
      <c r="Q270" s="128"/>
      <c r="R270" s="95"/>
      <c r="S270" s="95" t="str">
        <f t="shared" si="56"/>
        <v/>
      </c>
      <c r="T270" s="129" t="str">
        <f t="shared" si="59"/>
        <v/>
      </c>
      <c r="U270" s="192"/>
      <c r="V270" s="204"/>
      <c r="W270" s="141"/>
      <c r="X270" s="222"/>
      <c r="Y270" s="141"/>
      <c r="Z270" s="225" t="str">
        <f t="shared" si="57"/>
        <v/>
      </c>
      <c r="AA270" s="363"/>
      <c r="AB270" s="171"/>
      <c r="AC270" s="256"/>
    </row>
    <row r="271" spans="1:29" ht="16" thickBot="1">
      <c r="A271" s="122"/>
      <c r="B271" s="96"/>
      <c r="C271" s="97"/>
      <c r="D271" s="97"/>
      <c r="E271" s="97"/>
      <c r="F271" s="97"/>
      <c r="G271" s="97"/>
      <c r="H271" s="97"/>
      <c r="I271" s="97"/>
      <c r="J271" s="97"/>
      <c r="K271" s="97"/>
      <c r="L271" s="97"/>
      <c r="M271" s="97"/>
      <c r="N271" s="97"/>
      <c r="O271" s="97"/>
      <c r="P271" s="97"/>
      <c r="Q271" s="97"/>
      <c r="R271" s="173"/>
      <c r="S271" s="173"/>
      <c r="T271" s="126"/>
      <c r="U271" s="98"/>
      <c r="V271" s="205"/>
      <c r="W271" s="1"/>
      <c r="X271" s="242"/>
      <c r="Y271" s="1"/>
      <c r="Z271" s="42"/>
      <c r="AA271" s="42"/>
      <c r="AB271" s="42"/>
      <c r="AC271" s="242"/>
    </row>
    <row r="272" spans="1:29" ht="16" thickBot="1">
      <c r="A272" s="123"/>
      <c r="B272" s="99"/>
      <c r="C272" s="94"/>
      <c r="D272" s="94"/>
      <c r="E272" s="94"/>
      <c r="F272" s="94"/>
      <c r="G272" s="94"/>
      <c r="H272" s="94"/>
      <c r="I272" s="94"/>
      <c r="J272" s="94"/>
      <c r="K272" s="94"/>
      <c r="L272" s="94"/>
      <c r="M272" s="94"/>
      <c r="N272" s="94"/>
      <c r="O272" s="94"/>
      <c r="P272" s="94"/>
      <c r="Q272" s="94"/>
      <c r="R272" s="265"/>
      <c r="S272" s="265"/>
      <c r="T272" s="130">
        <f>SUM(T265:T270)</f>
        <v>3382.42</v>
      </c>
      <c r="U272" s="100"/>
      <c r="V272" s="203"/>
      <c r="W272" s="12"/>
      <c r="X272" s="243"/>
      <c r="Y272" s="12"/>
      <c r="Z272" s="243"/>
      <c r="AA272" s="243"/>
      <c r="AB272" s="243"/>
      <c r="AC272" s="243"/>
    </row>
    <row r="273" spans="1:29">
      <c r="B273" s="197"/>
      <c r="C273" s="193"/>
      <c r="D273" s="193"/>
      <c r="E273" s="193"/>
      <c r="F273" s="193"/>
      <c r="G273" s="193"/>
      <c r="H273" s="193"/>
      <c r="I273" s="193"/>
      <c r="J273" s="193"/>
      <c r="K273" s="193"/>
      <c r="L273" s="193"/>
      <c r="M273" s="193"/>
      <c r="N273" s="193"/>
      <c r="O273" s="193"/>
      <c r="P273" s="193"/>
      <c r="Q273" s="193"/>
      <c r="R273" s="194"/>
      <c r="S273" s="194"/>
      <c r="T273" s="195"/>
      <c r="U273" s="196"/>
      <c r="V273" s="195"/>
    </row>
    <row r="274" spans="1:29" ht="16" thickBot="1">
      <c r="A274" s="122"/>
      <c r="B274" s="322" t="s">
        <v>45</v>
      </c>
      <c r="C274" s="323"/>
      <c r="D274" s="323"/>
      <c r="E274" s="323"/>
      <c r="F274" s="323"/>
      <c r="G274" s="324"/>
      <c r="H274" s="324"/>
      <c r="I274" s="324"/>
      <c r="J274" s="324"/>
      <c r="K274" s="324"/>
      <c r="L274" s="324"/>
      <c r="M274" s="324"/>
      <c r="N274" s="324"/>
      <c r="O274" s="324"/>
      <c r="P274" s="324"/>
      <c r="Q274" s="324"/>
      <c r="R274" s="324"/>
      <c r="S274" s="324"/>
      <c r="T274" s="324"/>
      <c r="U274" s="325"/>
      <c r="V274" s="201"/>
      <c r="W274" s="1"/>
      <c r="X274" s="42"/>
      <c r="Y274" s="1"/>
      <c r="Z274" s="42"/>
      <c r="AA274" s="42"/>
      <c r="AB274" s="42"/>
      <c r="AC274" s="42"/>
    </row>
    <row r="275" spans="1:29" ht="16.5" customHeight="1" thickBot="1">
      <c r="A275" s="122" t="str">
        <f>"G"&amp;E261</f>
        <v>G10</v>
      </c>
      <c r="B275" s="291" t="s">
        <v>97</v>
      </c>
      <c r="C275" s="292"/>
      <c r="D275" s="292"/>
      <c r="E275" s="292"/>
      <c r="F275" s="292"/>
      <c r="G275" s="326"/>
      <c r="H275" s="291" t="s">
        <v>100</v>
      </c>
      <c r="I275" s="292"/>
      <c r="J275" s="292"/>
      <c r="K275" s="292"/>
      <c r="L275" s="292"/>
      <c r="M275" s="292"/>
      <c r="N275" s="292"/>
      <c r="O275" s="189" t="s">
        <v>23</v>
      </c>
      <c r="P275" s="190"/>
      <c r="Q275" s="190"/>
      <c r="R275" s="190"/>
      <c r="S275" s="190"/>
      <c r="T275" s="190"/>
      <c r="U275" s="253"/>
      <c r="V275" s="201"/>
      <c r="W275" s="1"/>
      <c r="X275" s="239" t="s">
        <v>117</v>
      </c>
      <c r="Y275" s="1"/>
      <c r="Z275" s="355" t="s">
        <v>119</v>
      </c>
      <c r="AA275" s="345" t="s">
        <v>120</v>
      </c>
      <c r="AB275" s="345" t="s">
        <v>148</v>
      </c>
      <c r="AC275" s="359" t="s">
        <v>149</v>
      </c>
    </row>
    <row r="276" spans="1:29" ht="15.75" customHeight="1" thickBot="1">
      <c r="A276" s="122" t="str">
        <f>"H"&amp;E261</f>
        <v>H10</v>
      </c>
      <c r="B276" s="293" t="s">
        <v>132</v>
      </c>
      <c r="C276" s="294"/>
      <c r="D276" s="294"/>
      <c r="E276" s="294"/>
      <c r="F276" s="294"/>
      <c r="G276" s="327"/>
      <c r="H276" s="293" t="s">
        <v>17</v>
      </c>
      <c r="I276" s="294"/>
      <c r="J276" s="294"/>
      <c r="K276" s="294"/>
      <c r="L276" s="295"/>
      <c r="M276" s="183">
        <f>VLOOKUP(E261,PROPONENTES!$C$14:$E$37,3,0)</f>
        <v>2</v>
      </c>
      <c r="N276" s="296" t="s">
        <v>143</v>
      </c>
      <c r="O276" s="299"/>
      <c r="P276" s="300"/>
      <c r="Q276" s="300"/>
      <c r="R276" s="300"/>
      <c r="S276" s="300"/>
      <c r="T276" s="300"/>
      <c r="U276" s="301"/>
      <c r="V276" s="201"/>
      <c r="W276" s="1"/>
      <c r="X276" s="244" t="str">
        <f>IF(M276="","",IF(M276=1,"INDIVIDUAL","ESTRUCTURA PLURAL"))</f>
        <v>ESTRUCTURA PLURAL</v>
      </c>
      <c r="Y276" s="1"/>
      <c r="Z276" s="356"/>
      <c r="AA276" s="358"/>
      <c r="AB276" s="358"/>
      <c r="AC276" s="360"/>
    </row>
    <row r="277" spans="1:29" ht="15.75" customHeight="1" thickBot="1">
      <c r="A277" s="122" t="str">
        <f>"I"&amp;E261</f>
        <v>I10</v>
      </c>
      <c r="B277" s="328" t="s">
        <v>131</v>
      </c>
      <c r="C277" s="329"/>
      <c r="D277" s="330"/>
      <c r="E277" s="308">
        <f>IF(AND(I265="SI",T265&gt;0),1,0)+IF(AND(I266="SI",T266&gt;0),1,0)+IF(AND(I267="SI",T267&gt;0),1,0)+IF(AND(I268="SI",T268&gt;0),1,0)+IF(AND(I269="SI",T269&gt;0),1,0)+IF(AND(I270="SI",T270&gt;0),1,0)</f>
        <v>1</v>
      </c>
      <c r="F277" s="310" t="s">
        <v>133</v>
      </c>
      <c r="G277" s="312">
        <f>IF(E277=0,"N/A",IF(AND(E277&gt;=1,E277&lt;=2),0.75,IF(AND(E277&gt;=3,E277&lt;=4),1.2,IF(AND(E277&gt;=5,E277&lt;=6),1.5,"REVISAR"))))</f>
        <v>0.75</v>
      </c>
      <c r="H277" s="334" t="s">
        <v>16</v>
      </c>
      <c r="I277" s="335"/>
      <c r="J277" s="314" t="s">
        <v>350</v>
      </c>
      <c r="K277" s="314" t="s">
        <v>140</v>
      </c>
      <c r="L277" s="314" t="s">
        <v>141</v>
      </c>
      <c r="M277" s="320" t="s">
        <v>142</v>
      </c>
      <c r="N277" s="297"/>
      <c r="O277" s="302"/>
      <c r="P277" s="303"/>
      <c r="Q277" s="303"/>
      <c r="R277" s="303"/>
      <c r="S277" s="303"/>
      <c r="T277" s="303"/>
      <c r="U277" s="304"/>
      <c r="V277" s="201"/>
      <c r="W277" s="38"/>
      <c r="X277" s="171"/>
      <c r="Y277" s="38"/>
      <c r="Z277" s="356"/>
      <c r="AA277" s="358"/>
      <c r="AB277" s="358"/>
      <c r="AC277" s="360"/>
    </row>
    <row r="278" spans="1:29" ht="16.5" customHeight="1" thickBot="1">
      <c r="A278" s="122" t="str">
        <f>"J"&amp;E261</f>
        <v>J10</v>
      </c>
      <c r="B278" s="331"/>
      <c r="C278" s="332"/>
      <c r="D278" s="333"/>
      <c r="E278" s="309"/>
      <c r="F278" s="311"/>
      <c r="G278" s="313"/>
      <c r="H278" s="336"/>
      <c r="I278" s="337"/>
      <c r="J278" s="314"/>
      <c r="K278" s="314"/>
      <c r="L278" s="314"/>
      <c r="M278" s="321"/>
      <c r="N278" s="298"/>
      <c r="O278" s="302"/>
      <c r="P278" s="303"/>
      <c r="Q278" s="303"/>
      <c r="R278" s="303"/>
      <c r="S278" s="303"/>
      <c r="T278" s="303"/>
      <c r="U278" s="304"/>
      <c r="V278" s="201"/>
      <c r="W278" s="38"/>
      <c r="X278" s="239" t="s">
        <v>118</v>
      </c>
      <c r="Y278" s="38"/>
      <c r="Z278" s="357"/>
      <c r="AA278" s="346"/>
      <c r="AB278" s="346"/>
      <c r="AC278" s="321"/>
    </row>
    <row r="279" spans="1:29" ht="29" customHeight="1" thickBot="1">
      <c r="A279" s="125" t="str">
        <f>"K"&amp;E261</f>
        <v>K10</v>
      </c>
      <c r="B279" s="293" t="s">
        <v>98</v>
      </c>
      <c r="C279" s="294"/>
      <c r="D279" s="294"/>
      <c r="E279" s="294"/>
      <c r="F279" s="294"/>
      <c r="G279" s="294"/>
      <c r="H279" s="186">
        <v>1</v>
      </c>
      <c r="I279" s="92" t="str">
        <f>IF(AND(H279&lt;=M276,M276&gt;1),VLOOKUP(VALUE(E261&amp;","&amp;H279),INTEGRANTES!$B$15:$D$72,2,0),"")</f>
        <v>DELGADO CONTRERAS HOLDING S.A.S</v>
      </c>
      <c r="J279" s="187">
        <f>IF(I279&lt;&gt;"",VLOOKUP(VALUE(E261&amp;","&amp;H279),INTEGRANTES!$B$15:$D$72,3,0),"")</f>
        <v>0.5</v>
      </c>
      <c r="K279" s="247">
        <f>IF($I279="","",IF(G277="N/A","",ROUND($G277*POSMMLV*PORPOM,2)))</f>
        <v>697.02</v>
      </c>
      <c r="L279" s="247">
        <f>IF(I279="","",SUMIF($J265:$J270,I279,$T265:$T270))</f>
        <v>0</v>
      </c>
      <c r="M279" s="93" t="str">
        <f t="shared" ref="M279:M284" si="60">IF($I279="","",IF($K279&gt;L279,"NO CUMPLE","CUMPLE"))</f>
        <v>NO CUMPLE</v>
      </c>
      <c r="N279" s="93" t="str">
        <f t="shared" ref="N279:N284" si="61">IF($I279="","",IF(M279="CUMPLE","CUMPLE","NO CUMPLE"))</f>
        <v>NO CUMPLE</v>
      </c>
      <c r="O279" s="302"/>
      <c r="P279" s="303"/>
      <c r="Q279" s="303"/>
      <c r="R279" s="303"/>
      <c r="S279" s="303"/>
      <c r="T279" s="303"/>
      <c r="U279" s="304"/>
      <c r="V279" s="201"/>
      <c r="W279" s="1"/>
      <c r="X279" s="244" t="str">
        <f>IF(X276="","",IF(X276="INDIVIDUAL","NO APLICA","VERIFICAR CUADRO"))</f>
        <v>VERIFICAR CUADRO</v>
      </c>
      <c r="Y279" s="1"/>
      <c r="Z279" s="262" t="str">
        <f>IF(AND(H279&lt;=M276,M276&gt;1),VLOOKUP(VALUE(E261&amp;","&amp;H279),INTEGRANTES!$B$15:$D$72,2,0),"")</f>
        <v>DELGADO CONTRERAS HOLDING S.A.S</v>
      </c>
      <c r="AA279" s="248">
        <f>IF(I279="","",SUMIF(J265:$J270,I279,$T265:$T270))</f>
        <v>0</v>
      </c>
      <c r="AB279" s="232"/>
      <c r="AC279" s="250" t="str">
        <f>IF(OR(Z279="",AB279=""),"",IF(AND(AB279="X",AA279&gt;=X282),"CUMPLE","NO CUMPLE"))</f>
        <v/>
      </c>
    </row>
    <row r="280" spans="1:29" ht="30.5" customHeight="1" thickBot="1">
      <c r="A280" s="125" t="str">
        <f>"L"&amp;E261</f>
        <v>L10</v>
      </c>
      <c r="B280" s="328" t="s">
        <v>134</v>
      </c>
      <c r="C280" s="329"/>
      <c r="D280" s="330"/>
      <c r="E280" s="132" t="s">
        <v>135</v>
      </c>
      <c r="F280" s="132" t="s">
        <v>136</v>
      </c>
      <c r="G280" s="136" t="s">
        <v>99</v>
      </c>
      <c r="H280" s="186">
        <v>2</v>
      </c>
      <c r="I280" s="92" t="str">
        <f>IF(AND(H280&lt;=M276,M276&gt;1),VLOOKUP(VALUE(E261&amp;","&amp;H280),INTEGRANTES!$B$15:$D$72,2,0),"")</f>
        <v>OSCAR HERNANDO ANDRADE LARA</v>
      </c>
      <c r="J280" s="187">
        <f>IF(I280&lt;&gt;"",VLOOKUP(VALUE(E261&amp;","&amp;H280),INTEGRANTES!$B$15:$D$72,3,0),"")</f>
        <v>0.5</v>
      </c>
      <c r="K280" s="247">
        <f>IF($I280="","",IF(G277="N/A","",ROUND($G277*POSMMLV*PORPOM,2)))</f>
        <v>697.02</v>
      </c>
      <c r="L280" s="247">
        <f>IF(I280="","",SUMIF($J265:$J270,I280,$T265:$T270))</f>
        <v>3382.42</v>
      </c>
      <c r="M280" s="93" t="str">
        <f t="shared" si="60"/>
        <v>CUMPLE</v>
      </c>
      <c r="N280" s="93" t="str">
        <f t="shared" si="61"/>
        <v>CUMPLE</v>
      </c>
      <c r="O280" s="302"/>
      <c r="P280" s="303"/>
      <c r="Q280" s="303"/>
      <c r="R280" s="303"/>
      <c r="S280" s="303"/>
      <c r="T280" s="303"/>
      <c r="U280" s="304"/>
      <c r="V280" s="201"/>
      <c r="W280" s="1"/>
      <c r="X280" s="42"/>
      <c r="Y280" s="1"/>
      <c r="Z280" s="262" t="str">
        <f>IF(AND(H280&lt;=M276,M276&gt;1),VLOOKUP(VALUE(E261&amp;","&amp;H280),INTEGRANTES!$B$15:$D$72,2,0),"")</f>
        <v>OSCAR HERNANDO ANDRADE LARA</v>
      </c>
      <c r="AA280" s="248">
        <f>IF(I280="","",SUMIF(J265:$J270,I280,$T265:$T270))</f>
        <v>3382.42</v>
      </c>
      <c r="AB280" s="232"/>
      <c r="AC280" s="250" t="str">
        <f>IF(OR(Z280="",AB280=""),"",IF(AND(AB280="X",AA280&gt;=X282),"CUMPLE","NO CUMPLE"))</f>
        <v/>
      </c>
    </row>
    <row r="281" spans="1:29" ht="16" thickBot="1">
      <c r="A281" s="122" t="str">
        <f>"M"&amp;E261</f>
        <v>M10</v>
      </c>
      <c r="B281" s="331"/>
      <c r="C281" s="332"/>
      <c r="D281" s="333"/>
      <c r="E281" s="237">
        <f>IF(ISTEXT(G277),"NO APLICA",G277*POSMMLV)</f>
        <v>1394.0360281651363</v>
      </c>
      <c r="F281" s="238">
        <f>IF(E281="","",T272)</f>
        <v>3382.42</v>
      </c>
      <c r="G281" s="221" t="str">
        <f>IF(E281="","",IF(E281="NO APLICA","NO CUMPLE",IF(F281&gt;=E281,"CUMPLE", "NO CUMPLE")))</f>
        <v>CUMPLE</v>
      </c>
      <c r="H281" s="186">
        <v>3</v>
      </c>
      <c r="I281" s="92" t="str">
        <f>IF(AND(H281&lt;=M276,M276&gt;1),VLOOKUP(VALUE(E261&amp;","&amp;H281),INTEGRANTES!$B$15:$D$72,2,0),"")</f>
        <v/>
      </c>
      <c r="J281" s="187" t="str">
        <f>IF(I281&lt;&gt;"",VLOOKUP(VALUE(E261&amp;","&amp;H281),INTEGRANTES!$B$15:$D$72,3,0),"")</f>
        <v/>
      </c>
      <c r="K281" s="247" t="str">
        <f>IF($I281="","",IF(G277="N/A","",ROUND($G277*POSMMLV*PORPOM,2)))</f>
        <v/>
      </c>
      <c r="L281" s="247" t="str">
        <f>IF(I281="","",SUMIF($J265:$J270,I281,$T265:$T270))</f>
        <v/>
      </c>
      <c r="M281" s="93" t="str">
        <f t="shared" si="60"/>
        <v/>
      </c>
      <c r="N281" s="93" t="str">
        <f t="shared" si="61"/>
        <v/>
      </c>
      <c r="O281" s="302"/>
      <c r="P281" s="303"/>
      <c r="Q281" s="303"/>
      <c r="R281" s="303"/>
      <c r="S281" s="303"/>
      <c r="T281" s="303"/>
      <c r="U281" s="304"/>
      <c r="V281" s="201"/>
      <c r="W281" s="1"/>
      <c r="X281" s="239" t="s">
        <v>145</v>
      </c>
      <c r="Y281" s="1"/>
      <c r="Z281" s="262" t="str">
        <f>IF(AND(H281&lt;=M276,M276&gt;1),VLOOKUP(VALUE(E261&amp;","&amp;H281),INTEGRANTES!$B$15:$D$72,2,0),"")</f>
        <v/>
      </c>
      <c r="AA281" s="248" t="str">
        <f>IF(I281="","",SUMIF(J265:$J270,I281,$T265:$T270))</f>
        <v/>
      </c>
      <c r="AB281" s="232"/>
      <c r="AC281" s="250" t="str">
        <f>IF(OR(Z281="",AB281=""),"",IF(AND(AB281="X",AA281&gt;=X282),"CUMPLE","NO CUMPLE"))</f>
        <v/>
      </c>
    </row>
    <row r="282" spans="1:29" ht="15.75" customHeight="1" thickBot="1">
      <c r="A282" s="122" t="str">
        <f>"N"&amp;E261</f>
        <v>N10</v>
      </c>
      <c r="B282" s="293" t="s">
        <v>107</v>
      </c>
      <c r="C282" s="294"/>
      <c r="D282" s="294"/>
      <c r="E282" s="294"/>
      <c r="F282" s="294"/>
      <c r="G282" s="294"/>
      <c r="H282" s="186">
        <v>4</v>
      </c>
      <c r="I282" s="92" t="str">
        <f>IF(AND(H282&lt;=M276,M276&gt;1),VLOOKUP(VALUE(E261&amp;","&amp;H282),INTEGRANTES!$B$15:$D$72,2,0),"")</f>
        <v/>
      </c>
      <c r="J282" s="187" t="str">
        <f>IF(I282&lt;&gt;"",VLOOKUP(VALUE(E261&amp;","&amp;H282),INTEGRANTES!$B$15:$D$72,3,0),"")</f>
        <v/>
      </c>
      <c r="K282" s="247" t="str">
        <f>IF($I282="","",IF(G277="N/A","",ROUND($G277*POSMMLV*PORPOM,2)))</f>
        <v/>
      </c>
      <c r="L282" s="247" t="str">
        <f>IF(I282="","",SUMIF($J265:$J270,I282,$T265:$T270))</f>
        <v/>
      </c>
      <c r="M282" s="93" t="str">
        <f t="shared" si="60"/>
        <v/>
      </c>
      <c r="N282" s="93" t="str">
        <f t="shared" si="61"/>
        <v/>
      </c>
      <c r="O282" s="302"/>
      <c r="P282" s="303"/>
      <c r="Q282" s="303"/>
      <c r="R282" s="303"/>
      <c r="S282" s="303"/>
      <c r="T282" s="303"/>
      <c r="U282" s="304"/>
      <c r="V282" s="201"/>
      <c r="W282" s="1"/>
      <c r="X282" s="251">
        <f>IF(G277="N/A","N/A",0.4*G277*POSMMLV)</f>
        <v>557.61441126605462</v>
      </c>
      <c r="Y282" s="1"/>
      <c r="Z282" s="262" t="str">
        <f>IF(AND(H282&lt;=M276,M276&gt;1),VLOOKUP(VALUE(E261&amp;","&amp;H282),INTEGRANTES!$B$15:$D$72,2,0),"")</f>
        <v/>
      </c>
      <c r="AA282" s="248" t="str">
        <f>IF(I282="","",SUMIF(J265:$J270,I282,$T265:$T270))</f>
        <v/>
      </c>
      <c r="AB282" s="232"/>
      <c r="AC282" s="250" t="str">
        <f>IF(OR(Z282="",AB282=""),"",IF(AND(AB282="X",AA282&gt;=X282),"CUMPLE","NO CUMPLE"))</f>
        <v/>
      </c>
    </row>
    <row r="283" spans="1:29" ht="33.75" customHeight="1" thickBot="1">
      <c r="A283" s="122" t="str">
        <f>"O"&amp;E261</f>
        <v>O10</v>
      </c>
      <c r="B283" s="328" t="s">
        <v>108</v>
      </c>
      <c r="C283" s="329"/>
      <c r="D283" s="329"/>
      <c r="E283" s="329"/>
      <c r="F283" s="329"/>
      <c r="G283" s="185" t="s">
        <v>99</v>
      </c>
      <c r="H283" s="186">
        <v>5</v>
      </c>
      <c r="I283" s="92" t="str">
        <f>IF(AND(H283&lt;=M276,M276&gt;1),VLOOKUP(VALUE(E261&amp;","&amp;H283),INTEGRANTES!$B$15:$D$72,2,0),"")</f>
        <v/>
      </c>
      <c r="J283" s="187" t="str">
        <f>IF(I283&lt;&gt;"",VLOOKUP(VALUE(E261&amp;","&amp;H283),INTEGRANTES!$B$15:$D$72,3,0),"")</f>
        <v/>
      </c>
      <c r="K283" s="247" t="str">
        <f>IF($I283="","",IF(G277="N/A","",ROUND($G277*POSMMLV*PORPOM,2)))</f>
        <v/>
      </c>
      <c r="L283" s="247" t="str">
        <f>IF(I283="","",SUMIF($J265:$J270,I283,$T265:$T270))</f>
        <v/>
      </c>
      <c r="M283" s="93" t="str">
        <f t="shared" si="60"/>
        <v/>
      </c>
      <c r="N283" s="93" t="str">
        <f t="shared" si="61"/>
        <v/>
      </c>
      <c r="O283" s="302"/>
      <c r="P283" s="303"/>
      <c r="Q283" s="303"/>
      <c r="R283" s="303"/>
      <c r="S283" s="303"/>
      <c r="T283" s="303"/>
      <c r="U283" s="304"/>
      <c r="V283" s="201"/>
      <c r="W283" s="1"/>
      <c r="X283" s="42"/>
      <c r="Y283" s="1"/>
      <c r="Z283" s="262" t="str">
        <f>IF(AND(H283&lt;=M276,M276&gt;1),VLOOKUP(VALUE(E261&amp;","&amp;H283),INTEGRANTES!$B$15:$D$72,2,0),"")</f>
        <v/>
      </c>
      <c r="AA283" s="248" t="str">
        <f>IF(I283="","",SUMIF(J265:$J270,I283,$T265:$T270))</f>
        <v/>
      </c>
      <c r="AB283" s="232"/>
      <c r="AC283" s="250" t="str">
        <f>IF(OR(Z283="",AB283=""),"",IF(AND(AB283="X",AA283&gt;=X282),"CUMPLE","NO CUMPLE"))</f>
        <v/>
      </c>
    </row>
    <row r="284" spans="1:29" ht="16" thickBot="1">
      <c r="A284" s="122" t="str">
        <f>"P"&amp;E261</f>
        <v>P10</v>
      </c>
      <c r="B284" s="353"/>
      <c r="C284" s="354"/>
      <c r="D284" s="354"/>
      <c r="E284" s="354"/>
      <c r="F284" s="354"/>
      <c r="G284" s="137" t="str">
        <f>IF(AND(COUNTIF(X265:X270,"")&gt;5,COUNTIF(Z265:Z270,"")&gt;5),"NO CUMPLE",IF(AND(COUNTIF(X265:X270,"SI")&gt;=$AF$17,COUNTIF(Z265:Z270,"SI")&gt;=$AF$17),"CUMPLE", "NO CUMPLE"))</f>
        <v>CUMPLE</v>
      </c>
      <c r="H284" s="257">
        <v>6</v>
      </c>
      <c r="I284" s="258" t="str">
        <f>IF(AND(H284&lt;=M276,M276&gt;1),VLOOKUP(VALUE(E261&amp;","&amp;H284),INTEGRANTES!$B$15:$D$72,2,0),"")</f>
        <v/>
      </c>
      <c r="J284" s="259" t="str">
        <f>IF(I284&lt;&gt;"",VLOOKUP(VALUE(E261&amp;","&amp;H284),INTEGRANTES!$B$15:$D$72,3,0),"")</f>
        <v/>
      </c>
      <c r="K284" s="260" t="str">
        <f>IF($I284="","",IF(G277="N/A","",ROUND($G277*POSMMLV*PORPOM,2)))</f>
        <v/>
      </c>
      <c r="L284" s="260" t="str">
        <f>IF(I284="","",SUMIF($J265:$J270,I284,$T265:$T270))</f>
        <v/>
      </c>
      <c r="M284" s="261" t="str">
        <f t="shared" si="60"/>
        <v/>
      </c>
      <c r="N284" s="93" t="str">
        <f t="shared" si="61"/>
        <v/>
      </c>
      <c r="O284" s="302"/>
      <c r="P284" s="303"/>
      <c r="Q284" s="303"/>
      <c r="R284" s="303"/>
      <c r="S284" s="303"/>
      <c r="T284" s="303"/>
      <c r="U284" s="304"/>
      <c r="V284" s="201"/>
      <c r="W284" s="1"/>
      <c r="X284" s="239" t="s">
        <v>122</v>
      </c>
      <c r="Y284" s="1"/>
      <c r="Z284" s="263" t="str">
        <f>IF(AND(H284&lt;=M276,M276&gt;1),VLOOKUP(VALUE(E261&amp;","&amp;H284),INTEGRANTES!$B$15:$D$72,2,0),"")</f>
        <v/>
      </c>
      <c r="AA284" s="249" t="str">
        <f>IF(I284="","",SUMIF(J265:$J270,I284,$T265:$T270))</f>
        <v/>
      </c>
      <c r="AB284" s="246"/>
      <c r="AC284" s="137" t="str">
        <f>IF(OR(Z284="",AB284=""),"",IF(AND(AB284="X",AA284&gt;=X282),"CUMPLE","NO CUMPLE"))</f>
        <v/>
      </c>
    </row>
    <row r="285" spans="1:29" ht="38.25" customHeight="1" thickBot="1">
      <c r="A285" s="122" t="str">
        <f>"Q"&amp;E261</f>
        <v>Q10</v>
      </c>
      <c r="B285" s="338"/>
      <c r="C285" s="339"/>
      <c r="D285" s="339"/>
      <c r="E285" s="339"/>
      <c r="F285" s="339"/>
      <c r="G285" s="340"/>
      <c r="H285" s="318" t="s">
        <v>138</v>
      </c>
      <c r="I285" s="341"/>
      <c r="J285" s="342"/>
      <c r="K285" s="318" t="s">
        <v>139</v>
      </c>
      <c r="L285" s="319"/>
      <c r="M285" s="188" t="str">
        <f>IF(OR($M276="",SUM(J279:J284)=0),"",IF(COUNTIF(M279:M284,"CUMPLE")&gt;=1,"CUMPLE","NO CUMPLE"))</f>
        <v>CUMPLE</v>
      </c>
      <c r="N285" s="188" t="str">
        <f>IF(OR($M276="",SUM(J279:J284)=0),"",IF(COUNTIF(N279:N284,"CUMPLE")&gt;=1,"CUMPLE","NO CUMPLE"))</f>
        <v>CUMPLE</v>
      </c>
      <c r="O285" s="305"/>
      <c r="P285" s="306"/>
      <c r="Q285" s="306"/>
      <c r="R285" s="306"/>
      <c r="S285" s="306"/>
      <c r="T285" s="306"/>
      <c r="U285" s="307"/>
      <c r="V285" s="201"/>
      <c r="W285" s="1"/>
      <c r="X285" s="254" t="str">
        <f>IF(X279="NO APLICA","NO APLICA",IF(COUNTIF(AC279:AC284,"CUMPLE")&gt;0,"CUMPLE","NO CUMPLE"))</f>
        <v>NO CUMPLE</v>
      </c>
      <c r="Y285" s="1"/>
      <c r="Z285" s="42"/>
      <c r="AA285" s="42"/>
      <c r="AB285" s="42"/>
      <c r="AC285" s="42"/>
    </row>
    <row r="286" spans="1:29">
      <c r="A286"/>
    </row>
    <row r="287" spans="1:29">
      <c r="A287"/>
    </row>
    <row r="288" spans="1:29" ht="23.5" thickBot="1">
      <c r="A288" s="167">
        <v>11</v>
      </c>
      <c r="B288" s="349" t="s">
        <v>1</v>
      </c>
      <c r="C288" s="349"/>
      <c r="D288" s="349"/>
      <c r="E288" s="105">
        <f>VLOOKUP(A288,PROPONENTES!$B$14:$D$37,2,FALSE)</f>
        <v>11</v>
      </c>
      <c r="F288" s="106" t="str">
        <f>VLOOKUP(E288,PROPONENTES!$C$14:$D$37,2,FALSE)</f>
        <v>UNIÓN TEMPORAL VÍAS PUERTO RICO C&amp;E</v>
      </c>
      <c r="G288" s="107"/>
      <c r="H288" s="107"/>
      <c r="I288" s="107"/>
      <c r="J288" s="106"/>
      <c r="K288" s="106"/>
      <c r="L288" s="105"/>
      <c r="M288" s="107"/>
      <c r="N288" s="107"/>
      <c r="O288" s="107"/>
      <c r="P288" s="107"/>
      <c r="Q288" s="107"/>
      <c r="R288" s="107"/>
      <c r="S288" s="107"/>
      <c r="T288" s="108"/>
      <c r="U288" s="109"/>
      <c r="V288" s="109"/>
      <c r="W288" s="11"/>
      <c r="X288" s="240"/>
      <c r="Y288" s="11"/>
      <c r="Z288" s="240"/>
      <c r="AA288" s="240"/>
      <c r="AB288" s="240"/>
      <c r="AC288" s="240"/>
    </row>
    <row r="289" spans="1:29" ht="48" customHeight="1">
      <c r="A289" s="131"/>
      <c r="B289" s="350" t="s">
        <v>88</v>
      </c>
      <c r="C289" s="345" t="s">
        <v>48</v>
      </c>
      <c r="D289" s="352" t="s">
        <v>130</v>
      </c>
      <c r="E289" s="295"/>
      <c r="F289" s="352" t="s">
        <v>93</v>
      </c>
      <c r="G289" s="295"/>
      <c r="H289" s="315" t="s">
        <v>351</v>
      </c>
      <c r="I289" s="315" t="s">
        <v>103</v>
      </c>
      <c r="J289" s="315" t="s">
        <v>2</v>
      </c>
      <c r="K289" s="315" t="s">
        <v>352</v>
      </c>
      <c r="L289" s="315" t="s">
        <v>353</v>
      </c>
      <c r="M289" s="316" t="s">
        <v>29</v>
      </c>
      <c r="N289" s="315" t="s">
        <v>104</v>
      </c>
      <c r="O289" s="343" t="s">
        <v>78</v>
      </c>
      <c r="P289" s="344"/>
      <c r="Q289" s="345" t="s">
        <v>144</v>
      </c>
      <c r="R289" s="345" t="s">
        <v>101</v>
      </c>
      <c r="S289" s="294" t="s">
        <v>3</v>
      </c>
      <c r="T289" s="295"/>
      <c r="U289" s="347" t="s">
        <v>18</v>
      </c>
      <c r="V289" s="366" t="s">
        <v>102</v>
      </c>
      <c r="W289" s="133"/>
      <c r="X289" s="361" t="s">
        <v>146</v>
      </c>
      <c r="Y289" s="133"/>
      <c r="Z289" s="133"/>
      <c r="AA289" s="133"/>
      <c r="AB289" s="245"/>
      <c r="AC289" s="361" t="s">
        <v>123</v>
      </c>
    </row>
    <row r="290" spans="1:29" ht="98.25" customHeight="1">
      <c r="A290" s="131"/>
      <c r="B290" s="351"/>
      <c r="C290" s="346"/>
      <c r="D290" s="134" t="s">
        <v>10</v>
      </c>
      <c r="E290" s="134" t="s">
        <v>4</v>
      </c>
      <c r="F290" s="134" t="s">
        <v>15</v>
      </c>
      <c r="G290" s="135" t="s">
        <v>90</v>
      </c>
      <c r="H290" s="314"/>
      <c r="I290" s="314"/>
      <c r="J290" s="314"/>
      <c r="K290" s="314"/>
      <c r="L290" s="314"/>
      <c r="M290" s="317"/>
      <c r="N290" s="314"/>
      <c r="O290" s="264" t="s">
        <v>76</v>
      </c>
      <c r="P290" s="264" t="s">
        <v>105</v>
      </c>
      <c r="Q290" s="346"/>
      <c r="R290" s="346"/>
      <c r="S290" s="264" t="s">
        <v>81</v>
      </c>
      <c r="T290" s="264" t="s">
        <v>77</v>
      </c>
      <c r="U290" s="348"/>
      <c r="V290" s="336"/>
      <c r="W290" s="133"/>
      <c r="X290" s="362"/>
      <c r="Y290" s="133"/>
      <c r="Z290" s="245"/>
      <c r="AA290" s="245"/>
      <c r="AB290" s="245"/>
      <c r="AC290" s="362"/>
    </row>
    <row r="291" spans="1:29" ht="16" thickBot="1">
      <c r="A291" s="122"/>
      <c r="B291" s="96"/>
      <c r="C291" s="97"/>
      <c r="D291" s="97"/>
      <c r="E291" s="97"/>
      <c r="F291" s="97"/>
      <c r="G291" s="97"/>
      <c r="H291" s="97"/>
      <c r="I291" s="97"/>
      <c r="J291" s="97"/>
      <c r="K291" s="97"/>
      <c r="L291" s="97"/>
      <c r="M291" s="97"/>
      <c r="N291" s="97"/>
      <c r="O291" s="97"/>
      <c r="P291" s="97"/>
      <c r="Q291" s="97"/>
      <c r="R291" s="173"/>
      <c r="S291" s="173"/>
      <c r="T291" s="97"/>
      <c r="U291" s="191"/>
      <c r="V291" s="202"/>
      <c r="W291" s="1"/>
      <c r="X291" s="241"/>
      <c r="Y291" s="1"/>
      <c r="Z291" s="42"/>
      <c r="AA291" s="42"/>
      <c r="AB291" s="42"/>
      <c r="AC291" s="241"/>
    </row>
    <row r="292" spans="1:29" ht="46" customHeight="1">
      <c r="A292" s="125" t="str">
        <f>"A"&amp;E288</f>
        <v>A11</v>
      </c>
      <c r="B292" s="140">
        <v>1</v>
      </c>
      <c r="C292" s="139" t="s">
        <v>266</v>
      </c>
      <c r="D292" s="139" t="s">
        <v>267</v>
      </c>
      <c r="E292" s="139" t="s">
        <v>268</v>
      </c>
      <c r="F292" s="139" t="s">
        <v>227</v>
      </c>
      <c r="G292" s="142">
        <v>1</v>
      </c>
      <c r="H292" s="142" t="s">
        <v>115</v>
      </c>
      <c r="I292" s="138" t="s">
        <v>50</v>
      </c>
      <c r="J292" s="378" t="str">
        <f>+I307</f>
        <v>GRUPO EMPRESARIAL EDIFICAR ZOMAC S.A.S.</v>
      </c>
      <c r="K292" s="127">
        <v>40779</v>
      </c>
      <c r="L292" s="127">
        <v>41044</v>
      </c>
      <c r="M292" s="128">
        <f>IF(OR(K292="",L292=""),"",IF(OR(K292&gt;$T$14,K292&lt;$S$14,L292&gt;$T$14,AND(K292&lt;$S$14,L292&lt;$S$14)),"FUERA DE RANGO",IF(K292&gt;=$S$14,ROUND(((L292-K292+1)/360*12),1),ROUND(((L292-$S$14+1)/360*12),1))))</f>
        <v>8.9</v>
      </c>
      <c r="N292" s="206">
        <v>62</v>
      </c>
      <c r="O292" s="138" t="s">
        <v>50</v>
      </c>
      <c r="P292" s="128" t="s">
        <v>50</v>
      </c>
      <c r="Q292" s="128" t="s">
        <v>111</v>
      </c>
      <c r="R292" s="95">
        <v>172.2</v>
      </c>
      <c r="S292" s="95">
        <f t="shared" ref="S292:S297" si="62">IF(OR(G292="",R292=""),"",R292*G292)</f>
        <v>172.2</v>
      </c>
      <c r="T292" s="129">
        <f>IF(OR(I292="NO",I292="",I292&lt;&gt;"SI",S292=""),"",IF(OR(L292&lt;$S$14,L292&gt;$T$14,L292=""),0,ROUND(S292,2)))</f>
        <v>172.2</v>
      </c>
      <c r="U292" s="192" t="s">
        <v>404</v>
      </c>
      <c r="V292" s="204"/>
      <c r="W292" s="141"/>
      <c r="X292" s="222" t="s">
        <v>51</v>
      </c>
      <c r="Y292" s="141"/>
      <c r="Z292" s="223" t="str">
        <f t="shared" ref="Z292:Z297" si="63">IF(T292="","",IF(T292&gt;=PORCREQCTO*POSMMLV,"SI","NO"))</f>
        <v>NO</v>
      </c>
      <c r="AA292" s="296" t="str">
        <f>"VERIFICACIÓN CUMPLIMIENTO "&amp;PORCREQCTO*100&amp;"% DEL PO"</f>
        <v>VERIFICACIÓN CUMPLIMIENTO 50% DEL PO</v>
      </c>
      <c r="AB292" s="171"/>
      <c r="AC292" s="256"/>
    </row>
    <row r="293" spans="1:29">
      <c r="A293" s="125" t="str">
        <f>"B"&amp;E288</f>
        <v>B11</v>
      </c>
      <c r="B293" s="140"/>
      <c r="C293" s="139"/>
      <c r="D293" s="139"/>
      <c r="E293" s="139"/>
      <c r="F293" s="139"/>
      <c r="G293" s="142"/>
      <c r="H293" s="142"/>
      <c r="I293" s="138"/>
      <c r="J293" s="138"/>
      <c r="K293" s="127"/>
      <c r="L293" s="127"/>
      <c r="M293" s="128" t="str">
        <f t="shared" ref="M293:M297" si="64">IF(OR(K293="",L293=""),"",IF(OR(K293&gt;$T$14,K293&lt;$S$14,L293&gt;$T$14,AND(K293&lt;$S$14,L293&lt;$S$14)),"FUERA DE RANGO",IF(K293&gt;=$S$14,ROUND(((L293-K293+1)/360*12),1),ROUND(((L293-$S$14+1)/360*12),1))))</f>
        <v/>
      </c>
      <c r="N293" s="206"/>
      <c r="O293" s="138"/>
      <c r="P293" s="128"/>
      <c r="Q293" s="128"/>
      <c r="R293" s="95"/>
      <c r="S293" s="95" t="str">
        <f t="shared" si="62"/>
        <v/>
      </c>
      <c r="T293" s="129" t="str">
        <f t="shared" ref="T293:T297" si="65">IF(OR(I293="NO",I293="",I293&lt;&gt;"SI",S293=""),"",IF(OR(L293&lt;$S$14,L293&gt;$T$14,L293=""),0,ROUND(S293,2)))</f>
        <v/>
      </c>
      <c r="U293" s="192"/>
      <c r="V293" s="204"/>
      <c r="W293" s="141"/>
      <c r="X293" s="222"/>
      <c r="Y293" s="141"/>
      <c r="Z293" s="224" t="str">
        <f t="shared" si="63"/>
        <v/>
      </c>
      <c r="AA293" s="297"/>
      <c r="AB293" s="171"/>
      <c r="AC293" s="256"/>
    </row>
    <row r="294" spans="1:29">
      <c r="A294" s="125" t="str">
        <f>"C"&amp;E288</f>
        <v>C11</v>
      </c>
      <c r="B294" s="140"/>
      <c r="C294" s="139"/>
      <c r="D294" s="139"/>
      <c r="E294" s="139"/>
      <c r="F294" s="139"/>
      <c r="G294" s="142"/>
      <c r="H294" s="142"/>
      <c r="I294" s="138"/>
      <c r="J294" s="138"/>
      <c r="K294" s="127"/>
      <c r="L294" s="127"/>
      <c r="M294" s="128" t="str">
        <f t="shared" si="64"/>
        <v/>
      </c>
      <c r="N294" s="206"/>
      <c r="O294" s="138"/>
      <c r="P294" s="128"/>
      <c r="Q294" s="128"/>
      <c r="R294" s="95"/>
      <c r="S294" s="95" t="str">
        <f t="shared" si="62"/>
        <v/>
      </c>
      <c r="T294" s="129" t="str">
        <f t="shared" si="65"/>
        <v/>
      </c>
      <c r="U294" s="192"/>
      <c r="V294" s="204"/>
      <c r="W294" s="141"/>
      <c r="X294" s="222"/>
      <c r="Y294" s="141"/>
      <c r="Z294" s="224" t="str">
        <f t="shared" si="63"/>
        <v/>
      </c>
      <c r="AA294" s="297"/>
      <c r="AB294" s="171"/>
      <c r="AC294" s="256"/>
    </row>
    <row r="295" spans="1:29">
      <c r="A295" s="125" t="str">
        <f>"D"&amp;E288</f>
        <v>D11</v>
      </c>
      <c r="B295" s="140"/>
      <c r="C295" s="139"/>
      <c r="D295" s="139"/>
      <c r="E295" s="139"/>
      <c r="F295" s="139"/>
      <c r="G295" s="142"/>
      <c r="H295" s="142"/>
      <c r="I295" s="138"/>
      <c r="J295" s="138"/>
      <c r="K295" s="127"/>
      <c r="L295" s="127"/>
      <c r="M295" s="128" t="str">
        <f t="shared" si="64"/>
        <v/>
      </c>
      <c r="N295" s="206"/>
      <c r="O295" s="138"/>
      <c r="P295" s="128"/>
      <c r="Q295" s="128"/>
      <c r="R295" s="95"/>
      <c r="S295" s="95" t="str">
        <f t="shared" si="62"/>
        <v/>
      </c>
      <c r="T295" s="129" t="str">
        <f t="shared" si="65"/>
        <v/>
      </c>
      <c r="U295" s="192"/>
      <c r="V295" s="204"/>
      <c r="W295" s="141"/>
      <c r="X295" s="222"/>
      <c r="Y295" s="141"/>
      <c r="Z295" s="224" t="str">
        <f t="shared" si="63"/>
        <v/>
      </c>
      <c r="AA295" s="297"/>
      <c r="AB295" s="171"/>
      <c r="AC295" s="256"/>
    </row>
    <row r="296" spans="1:29">
      <c r="A296" s="125" t="str">
        <f>"E"&amp;E288</f>
        <v>E11</v>
      </c>
      <c r="B296" s="140"/>
      <c r="C296" s="139"/>
      <c r="D296" s="139"/>
      <c r="E296" s="139"/>
      <c r="F296" s="139"/>
      <c r="G296" s="142"/>
      <c r="H296" s="142"/>
      <c r="I296" s="138"/>
      <c r="J296" s="138"/>
      <c r="K296" s="127"/>
      <c r="L296" s="127"/>
      <c r="M296" s="128" t="str">
        <f t="shared" si="64"/>
        <v/>
      </c>
      <c r="N296" s="206"/>
      <c r="O296" s="138"/>
      <c r="P296" s="128"/>
      <c r="Q296" s="128"/>
      <c r="R296" s="95"/>
      <c r="S296" s="95" t="str">
        <f t="shared" si="62"/>
        <v/>
      </c>
      <c r="T296" s="129" t="str">
        <f t="shared" si="65"/>
        <v/>
      </c>
      <c r="U296" s="192"/>
      <c r="V296" s="204"/>
      <c r="W296" s="141"/>
      <c r="X296" s="222"/>
      <c r="Y296" s="141"/>
      <c r="Z296" s="224" t="str">
        <f t="shared" si="63"/>
        <v/>
      </c>
      <c r="AA296" s="297"/>
      <c r="AB296" s="171"/>
      <c r="AC296" s="256"/>
    </row>
    <row r="297" spans="1:29" ht="16" thickBot="1">
      <c r="A297" s="125" t="str">
        <f>"F"&amp;E288</f>
        <v>F11</v>
      </c>
      <c r="B297" s="140"/>
      <c r="C297" s="139"/>
      <c r="D297" s="139"/>
      <c r="E297" s="139"/>
      <c r="F297" s="139"/>
      <c r="G297" s="142"/>
      <c r="H297" s="142"/>
      <c r="I297" s="138"/>
      <c r="J297" s="138"/>
      <c r="K297" s="127"/>
      <c r="L297" s="127"/>
      <c r="M297" s="128" t="str">
        <f t="shared" si="64"/>
        <v/>
      </c>
      <c r="N297" s="206"/>
      <c r="O297" s="138"/>
      <c r="P297" s="128"/>
      <c r="Q297" s="128"/>
      <c r="R297" s="95"/>
      <c r="S297" s="95" t="str">
        <f t="shared" si="62"/>
        <v/>
      </c>
      <c r="T297" s="129" t="str">
        <f t="shared" si="65"/>
        <v/>
      </c>
      <c r="U297" s="192"/>
      <c r="V297" s="204"/>
      <c r="W297" s="141"/>
      <c r="X297" s="222"/>
      <c r="Y297" s="141"/>
      <c r="Z297" s="225" t="str">
        <f t="shared" si="63"/>
        <v/>
      </c>
      <c r="AA297" s="363"/>
      <c r="AB297" s="171"/>
      <c r="AC297" s="256"/>
    </row>
    <row r="298" spans="1:29" ht="16" thickBot="1">
      <c r="A298" s="122"/>
      <c r="B298" s="96"/>
      <c r="C298" s="97"/>
      <c r="D298" s="97"/>
      <c r="E298" s="97"/>
      <c r="F298" s="97"/>
      <c r="G298" s="97"/>
      <c r="H298" s="97"/>
      <c r="I298" s="97"/>
      <c r="J298" s="97"/>
      <c r="K298" s="97"/>
      <c r="L298" s="97"/>
      <c r="M298" s="97"/>
      <c r="N298" s="97"/>
      <c r="O298" s="97"/>
      <c r="P298" s="97"/>
      <c r="Q298" s="97"/>
      <c r="R298" s="173"/>
      <c r="S298" s="173"/>
      <c r="T298" s="126"/>
      <c r="U298" s="98"/>
      <c r="V298" s="205"/>
      <c r="W298" s="1"/>
      <c r="X298" s="242"/>
      <c r="Y298" s="1"/>
      <c r="Z298" s="42"/>
      <c r="AA298" s="42"/>
      <c r="AB298" s="42"/>
      <c r="AC298" s="242"/>
    </row>
    <row r="299" spans="1:29" ht="16" thickBot="1">
      <c r="A299" s="123"/>
      <c r="B299" s="99"/>
      <c r="C299" s="94"/>
      <c r="D299" s="94"/>
      <c r="E299" s="94"/>
      <c r="F299" s="94"/>
      <c r="G299" s="94"/>
      <c r="H299" s="94"/>
      <c r="I299" s="94"/>
      <c r="J299" s="94"/>
      <c r="K299" s="94"/>
      <c r="L299" s="94"/>
      <c r="M299" s="94"/>
      <c r="N299" s="94"/>
      <c r="O299" s="94"/>
      <c r="P299" s="94"/>
      <c r="Q299" s="94"/>
      <c r="R299" s="265"/>
      <c r="S299" s="265"/>
      <c r="T299" s="130">
        <f>SUM(T292:T297)</f>
        <v>172.2</v>
      </c>
      <c r="U299" s="100"/>
      <c r="V299" s="203"/>
      <c r="W299" s="12"/>
      <c r="X299" s="243"/>
      <c r="Y299" s="12"/>
      <c r="Z299" s="243"/>
      <c r="AA299" s="243"/>
      <c r="AB299" s="243"/>
      <c r="AC299" s="243"/>
    </row>
    <row r="300" spans="1:29">
      <c r="B300" s="197"/>
      <c r="C300" s="193"/>
      <c r="D300" s="193"/>
      <c r="E300" s="193"/>
      <c r="F300" s="193"/>
      <c r="G300" s="193"/>
      <c r="H300" s="193"/>
      <c r="I300" s="193"/>
      <c r="J300" s="193"/>
      <c r="K300" s="193"/>
      <c r="L300" s="193"/>
      <c r="M300" s="193"/>
      <c r="N300" s="193"/>
      <c r="O300" s="193"/>
      <c r="P300" s="193"/>
      <c r="Q300" s="193"/>
      <c r="R300" s="194"/>
      <c r="S300" s="194"/>
      <c r="T300" s="195"/>
      <c r="U300" s="196"/>
      <c r="V300" s="195"/>
    </row>
    <row r="301" spans="1:29" ht="16" thickBot="1">
      <c r="A301" s="122"/>
      <c r="B301" s="322" t="s">
        <v>45</v>
      </c>
      <c r="C301" s="323"/>
      <c r="D301" s="323"/>
      <c r="E301" s="323"/>
      <c r="F301" s="323"/>
      <c r="G301" s="324"/>
      <c r="H301" s="324"/>
      <c r="I301" s="324"/>
      <c r="J301" s="324"/>
      <c r="K301" s="324"/>
      <c r="L301" s="324"/>
      <c r="M301" s="324"/>
      <c r="N301" s="324"/>
      <c r="O301" s="324"/>
      <c r="P301" s="324"/>
      <c r="Q301" s="324"/>
      <c r="R301" s="324"/>
      <c r="S301" s="324"/>
      <c r="T301" s="324"/>
      <c r="U301" s="325"/>
      <c r="V301" s="201"/>
      <c r="W301" s="1"/>
      <c r="X301" s="42"/>
      <c r="Y301" s="1"/>
      <c r="Z301" s="42"/>
      <c r="AA301" s="42"/>
      <c r="AB301" s="42"/>
      <c r="AC301" s="42"/>
    </row>
    <row r="302" spans="1:29" ht="16.5" customHeight="1" thickBot="1">
      <c r="A302" s="122" t="str">
        <f>"G"&amp;E288</f>
        <v>G11</v>
      </c>
      <c r="B302" s="291" t="s">
        <v>97</v>
      </c>
      <c r="C302" s="292"/>
      <c r="D302" s="292"/>
      <c r="E302" s="292"/>
      <c r="F302" s="292"/>
      <c r="G302" s="326"/>
      <c r="H302" s="291" t="s">
        <v>100</v>
      </c>
      <c r="I302" s="292"/>
      <c r="J302" s="292"/>
      <c r="K302" s="292"/>
      <c r="L302" s="292"/>
      <c r="M302" s="292"/>
      <c r="N302" s="292"/>
      <c r="O302" s="189" t="s">
        <v>23</v>
      </c>
      <c r="P302" s="190"/>
      <c r="Q302" s="190"/>
      <c r="R302" s="190"/>
      <c r="S302" s="190"/>
      <c r="T302" s="190"/>
      <c r="U302" s="253"/>
      <c r="V302" s="201"/>
      <c r="W302" s="1"/>
      <c r="X302" s="239" t="s">
        <v>117</v>
      </c>
      <c r="Y302" s="1"/>
      <c r="Z302" s="355" t="s">
        <v>119</v>
      </c>
      <c r="AA302" s="345" t="s">
        <v>120</v>
      </c>
      <c r="AB302" s="345" t="s">
        <v>148</v>
      </c>
      <c r="AC302" s="359" t="s">
        <v>149</v>
      </c>
    </row>
    <row r="303" spans="1:29" ht="15.75" customHeight="1" thickBot="1">
      <c r="A303" s="122" t="str">
        <f>"H"&amp;E288</f>
        <v>H11</v>
      </c>
      <c r="B303" s="293" t="s">
        <v>132</v>
      </c>
      <c r="C303" s="294"/>
      <c r="D303" s="294"/>
      <c r="E303" s="294"/>
      <c r="F303" s="294"/>
      <c r="G303" s="327"/>
      <c r="H303" s="293" t="s">
        <v>17</v>
      </c>
      <c r="I303" s="294"/>
      <c r="J303" s="294"/>
      <c r="K303" s="294"/>
      <c r="L303" s="295"/>
      <c r="M303" s="183">
        <f>VLOOKUP(E288,PROPONENTES!$C$14:$E$37,3,0)</f>
        <v>2</v>
      </c>
      <c r="N303" s="296" t="s">
        <v>143</v>
      </c>
      <c r="O303" s="299"/>
      <c r="P303" s="300"/>
      <c r="Q303" s="300"/>
      <c r="R303" s="300"/>
      <c r="S303" s="300"/>
      <c r="T303" s="300"/>
      <c r="U303" s="301"/>
      <c r="V303" s="201"/>
      <c r="W303" s="1"/>
      <c r="X303" s="244" t="str">
        <f>IF(M303="","",IF(M303=1,"INDIVIDUAL","ESTRUCTURA PLURAL"))</f>
        <v>ESTRUCTURA PLURAL</v>
      </c>
      <c r="Y303" s="1"/>
      <c r="Z303" s="356"/>
      <c r="AA303" s="358"/>
      <c r="AB303" s="358"/>
      <c r="AC303" s="360"/>
    </row>
    <row r="304" spans="1:29" ht="15.75" customHeight="1" thickBot="1">
      <c r="A304" s="122" t="str">
        <f>"I"&amp;E288</f>
        <v>I11</v>
      </c>
      <c r="B304" s="328" t="s">
        <v>131</v>
      </c>
      <c r="C304" s="329"/>
      <c r="D304" s="330"/>
      <c r="E304" s="308">
        <f>IF(AND(I292="SI",T292&gt;0),1,0)+IF(AND(I293="SI",T293&gt;0),1,0)+IF(AND(I294="SI",T294&gt;0),1,0)+IF(AND(I295="SI",T295&gt;0),1,0)+IF(AND(I296="SI",T296&gt;0),1,0)+IF(AND(I297="SI",T297&gt;0),1,0)</f>
        <v>1</v>
      </c>
      <c r="F304" s="310" t="s">
        <v>133</v>
      </c>
      <c r="G304" s="312">
        <f>IF(E304=0,"N/A",IF(AND(E304&gt;=1,E304&lt;=2),0.75,IF(AND(E304&gt;=3,E304&lt;=4),1.2,IF(AND(E304&gt;=5,E304&lt;=6),1.5,"REVISAR"))))</f>
        <v>0.75</v>
      </c>
      <c r="H304" s="334" t="s">
        <v>16</v>
      </c>
      <c r="I304" s="335"/>
      <c r="J304" s="314" t="s">
        <v>350</v>
      </c>
      <c r="K304" s="314" t="s">
        <v>140</v>
      </c>
      <c r="L304" s="314" t="s">
        <v>141</v>
      </c>
      <c r="M304" s="320" t="s">
        <v>142</v>
      </c>
      <c r="N304" s="297"/>
      <c r="O304" s="302"/>
      <c r="P304" s="303"/>
      <c r="Q304" s="303"/>
      <c r="R304" s="303"/>
      <c r="S304" s="303"/>
      <c r="T304" s="303"/>
      <c r="U304" s="304"/>
      <c r="V304" s="201"/>
      <c r="W304" s="38"/>
      <c r="X304" s="171"/>
      <c r="Y304" s="38"/>
      <c r="Z304" s="356"/>
      <c r="AA304" s="358"/>
      <c r="AB304" s="358"/>
      <c r="AC304" s="360"/>
    </row>
    <row r="305" spans="1:29" ht="16.5" customHeight="1" thickBot="1">
      <c r="A305" s="122" t="str">
        <f>"J"&amp;E288</f>
        <v>J11</v>
      </c>
      <c r="B305" s="331"/>
      <c r="C305" s="332"/>
      <c r="D305" s="333"/>
      <c r="E305" s="309"/>
      <c r="F305" s="311"/>
      <c r="G305" s="313"/>
      <c r="H305" s="336"/>
      <c r="I305" s="337"/>
      <c r="J305" s="314"/>
      <c r="K305" s="314"/>
      <c r="L305" s="314"/>
      <c r="M305" s="321"/>
      <c r="N305" s="298"/>
      <c r="O305" s="302"/>
      <c r="P305" s="303"/>
      <c r="Q305" s="303"/>
      <c r="R305" s="303"/>
      <c r="S305" s="303"/>
      <c r="T305" s="303"/>
      <c r="U305" s="304"/>
      <c r="V305" s="201"/>
      <c r="W305" s="38"/>
      <c r="X305" s="239" t="s">
        <v>118</v>
      </c>
      <c r="Y305" s="38"/>
      <c r="Z305" s="357"/>
      <c r="AA305" s="346"/>
      <c r="AB305" s="346"/>
      <c r="AC305" s="321"/>
    </row>
    <row r="306" spans="1:29" ht="31" customHeight="1" thickBot="1">
      <c r="A306" s="125" t="str">
        <f>"K"&amp;E288</f>
        <v>K11</v>
      </c>
      <c r="B306" s="293" t="s">
        <v>98</v>
      </c>
      <c r="C306" s="294"/>
      <c r="D306" s="294"/>
      <c r="E306" s="294"/>
      <c r="F306" s="294"/>
      <c r="G306" s="294"/>
      <c r="H306" s="186">
        <v>1</v>
      </c>
      <c r="I306" s="92" t="str">
        <f>IF(AND(H306&lt;=M303,M303&gt;1),VLOOKUP(VALUE(E288&amp;","&amp;H306),INTEGRANTES!$B$15:$D$72,2,0),"")</f>
        <v>CV&amp;S CONSTRUCTORES S.A.S.</v>
      </c>
      <c r="J306" s="187">
        <f>IF(I306&lt;&gt;"",VLOOKUP(VALUE(E288&amp;","&amp;H306),INTEGRANTES!$B$15:$D$72,3,0),"")</f>
        <v>0.75</v>
      </c>
      <c r="K306" s="247">
        <f>IF($I306="","",IF(G304="N/A","",ROUND($G304*POSMMLV*PORPOM,2)))</f>
        <v>697.02</v>
      </c>
      <c r="L306" s="247">
        <f>IF(I306="","",SUMIF($J292:$J297,I306,$T292:$T297))</f>
        <v>0</v>
      </c>
      <c r="M306" s="93" t="str">
        <f t="shared" ref="M306:M311" si="66">IF($I306="","",IF($K306&gt;L306,"NO CUMPLE","CUMPLE"))</f>
        <v>NO CUMPLE</v>
      </c>
      <c r="N306" s="93" t="str">
        <f t="shared" ref="N306:N311" si="67">IF($I306="","",IF(M306="CUMPLE","CUMPLE","NO CUMPLE"))</f>
        <v>NO CUMPLE</v>
      </c>
      <c r="O306" s="302"/>
      <c r="P306" s="303"/>
      <c r="Q306" s="303"/>
      <c r="R306" s="303"/>
      <c r="S306" s="303"/>
      <c r="T306" s="303"/>
      <c r="U306" s="304"/>
      <c r="V306" s="201"/>
      <c r="W306" s="1"/>
      <c r="X306" s="244" t="str">
        <f>IF(X303="","",IF(X303="INDIVIDUAL","NO APLICA","VERIFICAR CUADRO"))</f>
        <v>VERIFICAR CUADRO</v>
      </c>
      <c r="Y306" s="1"/>
      <c r="Z306" s="262" t="str">
        <f>IF(AND(H306&lt;=M303,M303&gt;1),VLOOKUP(VALUE(E288&amp;","&amp;H306),INTEGRANTES!$B$15:$D$72,2,0),"")</f>
        <v>CV&amp;S CONSTRUCTORES S.A.S.</v>
      </c>
      <c r="AA306" s="248">
        <f>IF(I306="","",SUMIF(J292:$J297,I306,$T292:$T297))</f>
        <v>0</v>
      </c>
      <c r="AB306" s="232"/>
      <c r="AC306" s="250" t="str">
        <f>IF(OR(Z306="",AB306=""),"",IF(AND(AB306="X",AA306&gt;=X309),"CUMPLE","NO CUMPLE"))</f>
        <v/>
      </c>
    </row>
    <row r="307" spans="1:29" ht="32" customHeight="1" thickBot="1">
      <c r="A307" s="125" t="str">
        <f>"L"&amp;E288</f>
        <v>L11</v>
      </c>
      <c r="B307" s="328" t="s">
        <v>134</v>
      </c>
      <c r="C307" s="329"/>
      <c r="D307" s="330"/>
      <c r="E307" s="132" t="s">
        <v>135</v>
      </c>
      <c r="F307" s="132" t="s">
        <v>136</v>
      </c>
      <c r="G307" s="136" t="s">
        <v>99</v>
      </c>
      <c r="H307" s="186">
        <v>2</v>
      </c>
      <c r="I307" s="92" t="str">
        <f>IF(AND(H307&lt;=M303,M303&gt;1),VLOOKUP(VALUE(E288&amp;","&amp;H307),INTEGRANTES!$B$15:$D$72,2,0),"")</f>
        <v>GRUPO EMPRESARIAL EDIFICAR ZOMAC S.A.S.</v>
      </c>
      <c r="J307" s="187">
        <f>IF(I307&lt;&gt;"",VLOOKUP(VALUE(E288&amp;","&amp;H307),INTEGRANTES!$B$15:$D$72,3,0),"")</f>
        <v>0.25</v>
      </c>
      <c r="K307" s="247">
        <f>IF($I307="","",IF(G304="N/A","",ROUND($G304*POSMMLV*PORPOM,2)))</f>
        <v>697.02</v>
      </c>
      <c r="L307" s="247">
        <f>IF(I307="","",SUMIF($J292:$J297,I307,$T292:$T297))</f>
        <v>172.2</v>
      </c>
      <c r="M307" s="93" t="str">
        <f t="shared" si="66"/>
        <v>NO CUMPLE</v>
      </c>
      <c r="N307" s="93" t="str">
        <f t="shared" si="67"/>
        <v>NO CUMPLE</v>
      </c>
      <c r="O307" s="302"/>
      <c r="P307" s="303"/>
      <c r="Q307" s="303"/>
      <c r="R307" s="303"/>
      <c r="S307" s="303"/>
      <c r="T307" s="303"/>
      <c r="U307" s="304"/>
      <c r="V307" s="201"/>
      <c r="W307" s="1"/>
      <c r="X307" s="42"/>
      <c r="Y307" s="1"/>
      <c r="Z307" s="262" t="str">
        <f>IF(AND(H307&lt;=M303,M303&gt;1),VLOOKUP(VALUE(E288&amp;","&amp;H307),INTEGRANTES!$B$15:$D$72,2,0),"")</f>
        <v>GRUPO EMPRESARIAL EDIFICAR ZOMAC S.A.S.</v>
      </c>
      <c r="AA307" s="248">
        <f>IF(I307="","",SUMIF(J292:$J297,I307,$T292:$T297))</f>
        <v>172.2</v>
      </c>
      <c r="AB307" s="232"/>
      <c r="AC307" s="250" t="str">
        <f>IF(OR(Z307="",AB307=""),"",IF(AND(AB307="X",AA307&gt;=X309),"CUMPLE","NO CUMPLE"))</f>
        <v/>
      </c>
    </row>
    <row r="308" spans="1:29" ht="16" thickBot="1">
      <c r="A308" s="122" t="str">
        <f>"M"&amp;E288</f>
        <v>M11</v>
      </c>
      <c r="B308" s="331"/>
      <c r="C308" s="332"/>
      <c r="D308" s="333"/>
      <c r="E308" s="237">
        <f>IF(ISTEXT(G304),"NO APLICA",G304*POSMMLV)</f>
        <v>1394.0360281651363</v>
      </c>
      <c r="F308" s="238">
        <f>IF(E308="","",T299)</f>
        <v>172.2</v>
      </c>
      <c r="G308" s="221" t="str">
        <f>IF(E308="","",IF(E308="NO APLICA","NO CUMPLE",IF(F308&gt;=E308,"CUMPLE", "NO CUMPLE")))</f>
        <v>NO CUMPLE</v>
      </c>
      <c r="H308" s="186">
        <v>3</v>
      </c>
      <c r="I308" s="92" t="str">
        <f>IF(AND(H308&lt;=M303,M303&gt;1),VLOOKUP(VALUE(E288&amp;","&amp;H308),INTEGRANTES!$B$15:$D$72,2,0),"")</f>
        <v/>
      </c>
      <c r="J308" s="187" t="str">
        <f>IF(I308&lt;&gt;"",VLOOKUP(VALUE(E288&amp;","&amp;H308),INTEGRANTES!$B$15:$D$72,3,0),"")</f>
        <v/>
      </c>
      <c r="K308" s="247" t="str">
        <f>IF($I308="","",IF(G304="N/A","",ROUND($G304*POSMMLV*PORPOM,2)))</f>
        <v/>
      </c>
      <c r="L308" s="247" t="str">
        <f>IF(I308="","",SUMIF($J292:$J297,I308,$T292:$T297))</f>
        <v/>
      </c>
      <c r="M308" s="93" t="str">
        <f t="shared" si="66"/>
        <v/>
      </c>
      <c r="N308" s="93" t="str">
        <f t="shared" si="67"/>
        <v/>
      </c>
      <c r="O308" s="302"/>
      <c r="P308" s="303"/>
      <c r="Q308" s="303"/>
      <c r="R308" s="303"/>
      <c r="S308" s="303"/>
      <c r="T308" s="303"/>
      <c r="U308" s="304"/>
      <c r="V308" s="201"/>
      <c r="W308" s="1"/>
      <c r="X308" s="239" t="s">
        <v>145</v>
      </c>
      <c r="Y308" s="1"/>
      <c r="Z308" s="262" t="str">
        <f>IF(AND(H308&lt;=M303,M303&gt;1),VLOOKUP(VALUE(E288&amp;","&amp;H308),INTEGRANTES!$B$15:$D$72,2,0),"")</f>
        <v/>
      </c>
      <c r="AA308" s="248" t="str">
        <f>IF(I308="","",SUMIF(J292:$J297,I308,$T292:$T297))</f>
        <v/>
      </c>
      <c r="AB308" s="232"/>
      <c r="AC308" s="250" t="str">
        <f>IF(OR(Z308="",AB308=""),"",IF(AND(AB308="X",AA308&gt;=X309),"CUMPLE","NO CUMPLE"))</f>
        <v/>
      </c>
    </row>
    <row r="309" spans="1:29" ht="15.75" customHeight="1" thickBot="1">
      <c r="A309" s="122" t="str">
        <f>"N"&amp;E288</f>
        <v>N11</v>
      </c>
      <c r="B309" s="293" t="s">
        <v>107</v>
      </c>
      <c r="C309" s="294"/>
      <c r="D309" s="294"/>
      <c r="E309" s="294"/>
      <c r="F309" s="294"/>
      <c r="G309" s="294"/>
      <c r="H309" s="186">
        <v>4</v>
      </c>
      <c r="I309" s="92" t="str">
        <f>IF(AND(H309&lt;=M303,M303&gt;1),VLOOKUP(VALUE(E288&amp;","&amp;H309),INTEGRANTES!$B$15:$D$72,2,0),"")</f>
        <v/>
      </c>
      <c r="J309" s="187" t="str">
        <f>IF(I309&lt;&gt;"",VLOOKUP(VALUE(E288&amp;","&amp;H309),INTEGRANTES!$B$15:$D$72,3,0),"")</f>
        <v/>
      </c>
      <c r="K309" s="247" t="str">
        <f>IF($I309="","",IF(G304="N/A","",ROUND($G304*POSMMLV*PORPOM,2)))</f>
        <v/>
      </c>
      <c r="L309" s="247" t="str">
        <f>IF(I309="","",SUMIF($J292:$J297,I309,$T292:$T297))</f>
        <v/>
      </c>
      <c r="M309" s="93" t="str">
        <f t="shared" si="66"/>
        <v/>
      </c>
      <c r="N309" s="93" t="str">
        <f t="shared" si="67"/>
        <v/>
      </c>
      <c r="O309" s="302"/>
      <c r="P309" s="303"/>
      <c r="Q309" s="303"/>
      <c r="R309" s="303"/>
      <c r="S309" s="303"/>
      <c r="T309" s="303"/>
      <c r="U309" s="304"/>
      <c r="V309" s="201"/>
      <c r="W309" s="1"/>
      <c r="X309" s="251">
        <f>IF(G304="N/A","N/A",0.4*G304*POSMMLV)</f>
        <v>557.61441126605462</v>
      </c>
      <c r="Y309" s="1"/>
      <c r="Z309" s="262" t="str">
        <f>IF(AND(H309&lt;=M303,M303&gt;1),VLOOKUP(VALUE(E288&amp;","&amp;H309),INTEGRANTES!$B$15:$D$72,2,0),"")</f>
        <v/>
      </c>
      <c r="AA309" s="248" t="str">
        <f>IF(I309="","",SUMIF(J292:$J297,I309,$T292:$T297))</f>
        <v/>
      </c>
      <c r="AB309" s="232"/>
      <c r="AC309" s="250" t="str">
        <f>IF(OR(Z309="",AB309=""),"",IF(AND(AB309="X",AA309&gt;=X309),"CUMPLE","NO CUMPLE"))</f>
        <v/>
      </c>
    </row>
    <row r="310" spans="1:29" ht="33.75" customHeight="1" thickBot="1">
      <c r="A310" s="122" t="str">
        <f>"O"&amp;E288</f>
        <v>O11</v>
      </c>
      <c r="B310" s="328" t="s">
        <v>108</v>
      </c>
      <c r="C310" s="329"/>
      <c r="D310" s="329"/>
      <c r="E310" s="329"/>
      <c r="F310" s="329"/>
      <c r="G310" s="185" t="s">
        <v>99</v>
      </c>
      <c r="H310" s="186">
        <v>5</v>
      </c>
      <c r="I310" s="92" t="str">
        <f>IF(AND(H310&lt;=M303,M303&gt;1),VLOOKUP(VALUE(E288&amp;","&amp;H310),INTEGRANTES!$B$15:$D$72,2,0),"")</f>
        <v/>
      </c>
      <c r="J310" s="187" t="str">
        <f>IF(I310&lt;&gt;"",VLOOKUP(VALUE(E288&amp;","&amp;H310),INTEGRANTES!$B$15:$D$72,3,0),"")</f>
        <v/>
      </c>
      <c r="K310" s="247" t="str">
        <f>IF($I310="","",IF(G304="N/A","",ROUND($G304*POSMMLV*PORPOM,2)))</f>
        <v/>
      </c>
      <c r="L310" s="247" t="str">
        <f>IF(I310="","",SUMIF($J292:$J297,I310,$T292:$T297))</f>
        <v/>
      </c>
      <c r="M310" s="93" t="str">
        <f t="shared" si="66"/>
        <v/>
      </c>
      <c r="N310" s="93" t="str">
        <f t="shared" si="67"/>
        <v/>
      </c>
      <c r="O310" s="302"/>
      <c r="P310" s="303"/>
      <c r="Q310" s="303"/>
      <c r="R310" s="303"/>
      <c r="S310" s="303"/>
      <c r="T310" s="303"/>
      <c r="U310" s="304"/>
      <c r="V310" s="201"/>
      <c r="W310" s="1"/>
      <c r="X310" s="42"/>
      <c r="Y310" s="1"/>
      <c r="Z310" s="262" t="str">
        <f>IF(AND(H310&lt;=M303,M303&gt;1),VLOOKUP(VALUE(E288&amp;","&amp;H310),INTEGRANTES!$B$15:$D$72,2,0),"")</f>
        <v/>
      </c>
      <c r="AA310" s="248" t="str">
        <f>IF(I310="","",SUMIF(J292:$J297,I310,$T292:$T297))</f>
        <v/>
      </c>
      <c r="AB310" s="232"/>
      <c r="AC310" s="250" t="str">
        <f>IF(OR(Z310="",AB310=""),"",IF(AND(AB310="X",AA310&gt;=X309),"CUMPLE","NO CUMPLE"))</f>
        <v/>
      </c>
    </row>
    <row r="311" spans="1:29" ht="16" thickBot="1">
      <c r="A311" s="122" t="str">
        <f>"P"&amp;E288</f>
        <v>P11</v>
      </c>
      <c r="B311" s="353"/>
      <c r="C311" s="354"/>
      <c r="D311" s="354"/>
      <c r="E311" s="354"/>
      <c r="F311" s="354"/>
      <c r="G311" s="137" t="str">
        <f>IF(AND(COUNTIF(X292:X297,"")&gt;5,COUNTIF(Z292:Z297,"")&gt;5),"NO CUMPLE",IF(AND(COUNTIF(X292:X297,"SI")&gt;=$AF$17,COUNTIF(Z292:Z297,"SI")&gt;=$AF$17),"CUMPLE", "NO CUMPLE"))</f>
        <v>NO CUMPLE</v>
      </c>
      <c r="H311" s="257">
        <v>6</v>
      </c>
      <c r="I311" s="258" t="str">
        <f>IF(AND(H311&lt;=M303,M303&gt;1),VLOOKUP(VALUE(E288&amp;","&amp;H311),INTEGRANTES!$B$15:$D$72,2,0),"")</f>
        <v/>
      </c>
      <c r="J311" s="259" t="str">
        <f>IF(I311&lt;&gt;"",VLOOKUP(VALUE(E288&amp;","&amp;H311),INTEGRANTES!$B$15:$D$72,3,0),"")</f>
        <v/>
      </c>
      <c r="K311" s="260" t="str">
        <f>IF($I311="","",IF(G304="N/A","",ROUND($G304*POSMMLV*PORPOM,2)))</f>
        <v/>
      </c>
      <c r="L311" s="260" t="str">
        <f>IF(I311="","",SUMIF($J292:$J297,I311,$T292:$T297))</f>
        <v/>
      </c>
      <c r="M311" s="261" t="str">
        <f t="shared" si="66"/>
        <v/>
      </c>
      <c r="N311" s="93" t="str">
        <f t="shared" si="67"/>
        <v/>
      </c>
      <c r="O311" s="302"/>
      <c r="P311" s="303"/>
      <c r="Q311" s="303"/>
      <c r="R311" s="303"/>
      <c r="S311" s="303"/>
      <c r="T311" s="303"/>
      <c r="U311" s="304"/>
      <c r="V311" s="201"/>
      <c r="W311" s="1"/>
      <c r="X311" s="239" t="s">
        <v>122</v>
      </c>
      <c r="Y311" s="1"/>
      <c r="Z311" s="263" t="str">
        <f>IF(AND(H311&lt;=M303,M303&gt;1),VLOOKUP(VALUE(E288&amp;","&amp;H311),INTEGRANTES!$B$15:$D$72,2,0),"")</f>
        <v/>
      </c>
      <c r="AA311" s="249" t="str">
        <f>IF(I311="","",SUMIF(J292:$J297,I311,$T292:$T297))</f>
        <v/>
      </c>
      <c r="AB311" s="246"/>
      <c r="AC311" s="137" t="str">
        <f>IF(OR(Z311="",AB311=""),"",IF(AND(AB311="X",AA311&gt;=X309),"CUMPLE","NO CUMPLE"))</f>
        <v/>
      </c>
    </row>
    <row r="312" spans="1:29" ht="38.25" customHeight="1" thickBot="1">
      <c r="A312" s="122" t="str">
        <f>"Q"&amp;E288</f>
        <v>Q11</v>
      </c>
      <c r="B312" s="338"/>
      <c r="C312" s="339"/>
      <c r="D312" s="339"/>
      <c r="E312" s="339"/>
      <c r="F312" s="339"/>
      <c r="G312" s="340"/>
      <c r="H312" s="318" t="s">
        <v>138</v>
      </c>
      <c r="I312" s="341"/>
      <c r="J312" s="342"/>
      <c r="K312" s="318" t="s">
        <v>139</v>
      </c>
      <c r="L312" s="319"/>
      <c r="M312" s="188" t="str">
        <f>IF(OR($M303="",SUM(J306:J311)=0),"",IF(COUNTIF(M306:M311,"CUMPLE")&gt;=1,"CUMPLE","NO CUMPLE"))</f>
        <v>NO CUMPLE</v>
      </c>
      <c r="N312" s="188" t="str">
        <f>IF(OR($M303="",SUM(J306:J311)=0),"",IF(COUNTIF(N306:N311,"CUMPLE")&gt;=1,"CUMPLE","NO CUMPLE"))</f>
        <v>NO CUMPLE</v>
      </c>
      <c r="O312" s="305"/>
      <c r="P312" s="306"/>
      <c r="Q312" s="306"/>
      <c r="R312" s="306"/>
      <c r="S312" s="306"/>
      <c r="T312" s="306"/>
      <c r="U312" s="307"/>
      <c r="V312" s="201"/>
      <c r="W312" s="1"/>
      <c r="X312" s="254" t="str">
        <f>IF(X306="NO APLICA","NO APLICA",IF(COUNTIF(AC306:AC311,"CUMPLE")&gt;0,"CUMPLE","NO CUMPLE"))</f>
        <v>NO CUMPLE</v>
      </c>
      <c r="Y312" s="1"/>
      <c r="Z312" s="42"/>
      <c r="AA312" s="42"/>
      <c r="AB312" s="42"/>
      <c r="AC312" s="42"/>
    </row>
    <row r="313" spans="1:29">
      <c r="A313"/>
    </row>
    <row r="314" spans="1:29">
      <c r="A314"/>
    </row>
    <row r="315" spans="1:29" ht="23.5" thickBot="1">
      <c r="A315" s="167">
        <v>12</v>
      </c>
      <c r="B315" s="349" t="s">
        <v>1</v>
      </c>
      <c r="C315" s="349"/>
      <c r="D315" s="349"/>
      <c r="E315" s="105">
        <f>VLOOKUP(A315,PROPONENTES!$B$14:$D$37,2,FALSE)</f>
        <v>12</v>
      </c>
      <c r="F315" s="106" t="str">
        <f>VLOOKUP(E315,PROPONENTES!$C$14:$D$37,2,FALSE)</f>
        <v>CONSULTORÍA Y
CONSTRUCCIÓN S.A.S. – CON &amp; CON</v>
      </c>
      <c r="G315" s="107"/>
      <c r="H315" s="107"/>
      <c r="I315" s="107"/>
      <c r="J315" s="106"/>
      <c r="K315" s="106"/>
      <c r="L315" s="105"/>
      <c r="M315" s="107"/>
      <c r="N315" s="107"/>
      <c r="O315" s="107"/>
      <c r="P315" s="107"/>
      <c r="Q315" s="107"/>
      <c r="R315" s="107"/>
      <c r="S315" s="107"/>
      <c r="T315" s="108"/>
      <c r="U315" s="109"/>
      <c r="V315" s="109"/>
      <c r="W315" s="11"/>
      <c r="X315" s="240"/>
      <c r="Y315" s="11"/>
      <c r="Z315" s="240"/>
      <c r="AA315" s="240"/>
      <c r="AB315" s="240"/>
      <c r="AC315" s="240"/>
    </row>
    <row r="316" spans="1:29" ht="48" customHeight="1">
      <c r="A316" s="131"/>
      <c r="B316" s="350" t="s">
        <v>88</v>
      </c>
      <c r="C316" s="345" t="s">
        <v>48</v>
      </c>
      <c r="D316" s="352" t="s">
        <v>130</v>
      </c>
      <c r="E316" s="295"/>
      <c r="F316" s="352" t="s">
        <v>93</v>
      </c>
      <c r="G316" s="295"/>
      <c r="H316" s="315" t="s">
        <v>351</v>
      </c>
      <c r="I316" s="315" t="s">
        <v>103</v>
      </c>
      <c r="J316" s="315" t="s">
        <v>2</v>
      </c>
      <c r="K316" s="315" t="s">
        <v>352</v>
      </c>
      <c r="L316" s="315" t="s">
        <v>353</v>
      </c>
      <c r="M316" s="316" t="s">
        <v>29</v>
      </c>
      <c r="N316" s="315" t="s">
        <v>104</v>
      </c>
      <c r="O316" s="343" t="s">
        <v>78</v>
      </c>
      <c r="P316" s="344"/>
      <c r="Q316" s="345" t="s">
        <v>144</v>
      </c>
      <c r="R316" s="345" t="s">
        <v>101</v>
      </c>
      <c r="S316" s="294" t="s">
        <v>3</v>
      </c>
      <c r="T316" s="295"/>
      <c r="U316" s="347" t="s">
        <v>18</v>
      </c>
      <c r="V316" s="366" t="s">
        <v>102</v>
      </c>
      <c r="W316" s="133"/>
      <c r="X316" s="361" t="s">
        <v>146</v>
      </c>
      <c r="Y316" s="133"/>
      <c r="Z316" s="133"/>
      <c r="AA316" s="133"/>
      <c r="AB316" s="245"/>
      <c r="AC316" s="361" t="s">
        <v>123</v>
      </c>
    </row>
    <row r="317" spans="1:29" ht="98.25" customHeight="1">
      <c r="A317" s="131"/>
      <c r="B317" s="351"/>
      <c r="C317" s="346"/>
      <c r="D317" s="134" t="s">
        <v>10</v>
      </c>
      <c r="E317" s="134" t="s">
        <v>4</v>
      </c>
      <c r="F317" s="134" t="s">
        <v>15</v>
      </c>
      <c r="G317" s="135" t="s">
        <v>90</v>
      </c>
      <c r="H317" s="314"/>
      <c r="I317" s="314"/>
      <c r="J317" s="314"/>
      <c r="K317" s="314"/>
      <c r="L317" s="314"/>
      <c r="M317" s="317"/>
      <c r="N317" s="314"/>
      <c r="O317" s="264" t="s">
        <v>76</v>
      </c>
      <c r="P317" s="264" t="str">
        <f>+P263</f>
        <v>¿EL CONTRATO SE ENCUENTRA CLASIFICADO EN ALGUNA DE LAS CLASIFICACIONES ESTABLECIDAS EN EL PLIEGO? (SI/NO) (721033 - 721410 - 721411 - 721416)</v>
      </c>
      <c r="Q317" s="346"/>
      <c r="R317" s="346"/>
      <c r="S317" s="264" t="s">
        <v>81</v>
      </c>
      <c r="T317" s="264" t="s">
        <v>77</v>
      </c>
      <c r="U317" s="348"/>
      <c r="V317" s="336"/>
      <c r="W317" s="133"/>
      <c r="X317" s="362"/>
      <c r="Y317" s="133"/>
      <c r="Z317" s="245"/>
      <c r="AA317" s="245"/>
      <c r="AB317" s="245"/>
      <c r="AC317" s="362"/>
    </row>
    <row r="318" spans="1:29" ht="16" thickBot="1">
      <c r="A318" s="122"/>
      <c r="B318" s="96"/>
      <c r="C318" s="97"/>
      <c r="D318" s="97"/>
      <c r="E318" s="97"/>
      <c r="F318" s="97"/>
      <c r="G318" s="97"/>
      <c r="H318" s="97"/>
      <c r="I318" s="97"/>
      <c r="J318" s="97"/>
      <c r="K318" s="97"/>
      <c r="L318" s="97"/>
      <c r="M318" s="97"/>
      <c r="N318" s="97"/>
      <c r="O318" s="97"/>
      <c r="P318" s="97"/>
      <c r="Q318" s="97"/>
      <c r="R318" s="173"/>
      <c r="S318" s="173"/>
      <c r="T318" s="97"/>
      <c r="U318" s="191"/>
      <c r="V318" s="202"/>
      <c r="W318" s="1"/>
      <c r="X318" s="241"/>
      <c r="Y318" s="1"/>
      <c r="Z318" s="42"/>
      <c r="AA318" s="42"/>
      <c r="AB318" s="42"/>
      <c r="AC318" s="241"/>
    </row>
    <row r="319" spans="1:29" ht="44.5" customHeight="1">
      <c r="A319" s="125" t="str">
        <f>"A"&amp;E315</f>
        <v>A12</v>
      </c>
      <c r="B319" s="140">
        <v>1</v>
      </c>
      <c r="C319" s="379" t="s">
        <v>405</v>
      </c>
      <c r="D319" s="139" t="s">
        <v>269</v>
      </c>
      <c r="E319" s="139" t="s">
        <v>273</v>
      </c>
      <c r="F319" s="139" t="s">
        <v>222</v>
      </c>
      <c r="G319" s="142">
        <v>0.5</v>
      </c>
      <c r="H319" s="142" t="s">
        <v>115</v>
      </c>
      <c r="I319" s="138" t="s">
        <v>50</v>
      </c>
      <c r="J319" s="378" t="str">
        <f>+F315</f>
        <v>CONSULTORÍA Y
CONSTRUCCIÓN S.A.S. – CON &amp; CON</v>
      </c>
      <c r="K319" s="127">
        <v>40484</v>
      </c>
      <c r="L319" s="127">
        <v>40907</v>
      </c>
      <c r="M319" s="128">
        <f>IF(OR(K319="",L319=""),"",IF(OR(K319&gt;$T$14,K319&lt;$S$14,L319&gt;$T$14,AND(K319&lt;$S$14,L319&lt;$S$14)),"FUERA DE RANGO",IF(K319&gt;=$S$14,ROUND(((L319-K319+1)/360*12),1),ROUND(((L319-$S$14+1)/360*12),1))))</f>
        <v>14.1</v>
      </c>
      <c r="N319" s="206">
        <v>44</v>
      </c>
      <c r="O319" s="138" t="s">
        <v>50</v>
      </c>
      <c r="P319" s="128" t="s">
        <v>50</v>
      </c>
      <c r="Q319" s="128" t="s">
        <v>111</v>
      </c>
      <c r="R319" s="95">
        <v>17718.11</v>
      </c>
      <c r="S319" s="95">
        <f t="shared" ref="S319:S324" si="68">IF(OR(G319="",R319=""),"",R319*G319)</f>
        <v>8859.0550000000003</v>
      </c>
      <c r="T319" s="129">
        <f>IF(OR(I319="NO",I319="",I319&lt;&gt;"SI",S319=""),"",IF(OR(L319&lt;$S$14,L319&gt;$T$14,L319=""),0,ROUND(S319,2)))</f>
        <v>8859.06</v>
      </c>
      <c r="U319" s="192" t="s">
        <v>406</v>
      </c>
      <c r="V319" s="204"/>
      <c r="W319" s="141"/>
      <c r="X319" s="222" t="s">
        <v>50</v>
      </c>
      <c r="Y319" s="141"/>
      <c r="Z319" s="223" t="str">
        <f t="shared" ref="Z319:Z324" si="69">IF(T319="","",IF(T319&gt;=PORCREQCTO*POSMMLV,"SI","NO"))</f>
        <v>SI</v>
      </c>
      <c r="AA319" s="296" t="str">
        <f>"VERIFICACIÓN CUMPLIMIENTO "&amp;PORCREQCTO*100&amp;"% DEL PO"</f>
        <v>VERIFICACIÓN CUMPLIMIENTO 50% DEL PO</v>
      </c>
      <c r="AB319" s="171"/>
      <c r="AC319" s="256"/>
    </row>
    <row r="320" spans="1:29" ht="32" customHeight="1">
      <c r="A320" s="125" t="str">
        <f>"B"&amp;E315</f>
        <v>B12</v>
      </c>
      <c r="B320" s="140">
        <v>2</v>
      </c>
      <c r="C320" s="379" t="str">
        <f>+C319</f>
        <v xml:space="preserve">MUNICIPIO DE TOCANCIPA </v>
      </c>
      <c r="D320" s="139" t="s">
        <v>270</v>
      </c>
      <c r="E320" s="139" t="s">
        <v>274</v>
      </c>
      <c r="F320" s="139" t="s">
        <v>222</v>
      </c>
      <c r="G320" s="142">
        <v>0.5</v>
      </c>
      <c r="H320" s="142" t="s">
        <v>115</v>
      </c>
      <c r="I320" s="138" t="s">
        <v>50</v>
      </c>
      <c r="J320" s="378" t="str">
        <f>+J319</f>
        <v>CONSULTORÍA Y
CONSTRUCCIÓN S.A.S. – CON &amp; CON</v>
      </c>
      <c r="K320" s="127">
        <v>40854</v>
      </c>
      <c r="L320" s="127">
        <v>41628</v>
      </c>
      <c r="M320" s="128">
        <f t="shared" ref="M320:M324" si="70">IF(OR(K320="",L320=""),"",IF(OR(K320&gt;$T$14,K320&lt;$S$14,L320&gt;$T$14,AND(K320&lt;$S$14,L320&lt;$S$14)),"FUERA DE RANGO",IF(K320&gt;=$S$14,ROUND(((L320-K320+1)/360*12),1),ROUND(((L320-$S$14+1)/360*12),1))))</f>
        <v>25.8</v>
      </c>
      <c r="N320" s="206">
        <v>58</v>
      </c>
      <c r="O320" s="138" t="s">
        <v>50</v>
      </c>
      <c r="P320" s="128" t="s">
        <v>50</v>
      </c>
      <c r="Q320" s="128" t="s">
        <v>111</v>
      </c>
      <c r="R320" s="95">
        <v>23662.83</v>
      </c>
      <c r="S320" s="95">
        <f t="shared" si="68"/>
        <v>11831.415000000001</v>
      </c>
      <c r="T320" s="129">
        <f t="shared" ref="T320:T324" si="71">IF(OR(I320="NO",I320="",I320&lt;&gt;"SI",S320=""),"",IF(OR(L320&lt;$S$14,L320&gt;$T$14,L320=""),0,ROUND(S320,2)))</f>
        <v>11831.42</v>
      </c>
      <c r="U320" s="192" t="s">
        <v>407</v>
      </c>
      <c r="V320" s="204"/>
      <c r="W320" s="141"/>
      <c r="X320" s="222"/>
      <c r="Y320" s="141"/>
      <c r="Z320" s="224" t="str">
        <f t="shared" si="69"/>
        <v>SI</v>
      </c>
      <c r="AA320" s="297"/>
      <c r="AB320" s="171"/>
      <c r="AC320" s="256"/>
    </row>
    <row r="321" spans="1:29" ht="70" customHeight="1">
      <c r="A321" s="125" t="str">
        <f>"C"&amp;E315</f>
        <v>C12</v>
      </c>
      <c r="B321" s="140">
        <v>3</v>
      </c>
      <c r="C321" s="379" t="str">
        <f>+C320</f>
        <v xml:space="preserve">MUNICIPIO DE TOCANCIPA </v>
      </c>
      <c r="D321" s="139" t="s">
        <v>271</v>
      </c>
      <c r="E321" s="139" t="s">
        <v>275</v>
      </c>
      <c r="F321" s="139" t="s">
        <v>222</v>
      </c>
      <c r="G321" s="142">
        <v>0.5</v>
      </c>
      <c r="H321" s="142" t="s">
        <v>115</v>
      </c>
      <c r="I321" s="138" t="s">
        <v>50</v>
      </c>
      <c r="J321" s="378" t="str">
        <f>+J320</f>
        <v>CONSULTORÍA Y
CONSTRUCCIÓN S.A.S. – CON &amp; CON</v>
      </c>
      <c r="K321" s="127">
        <v>41008</v>
      </c>
      <c r="L321" s="127">
        <v>41672</v>
      </c>
      <c r="M321" s="128">
        <f t="shared" si="70"/>
        <v>22.2</v>
      </c>
      <c r="N321" s="206">
        <v>61</v>
      </c>
      <c r="O321" s="138" t="s">
        <v>50</v>
      </c>
      <c r="P321" s="128" t="s">
        <v>50</v>
      </c>
      <c r="Q321" s="128" t="s">
        <v>110</v>
      </c>
      <c r="R321" s="95">
        <v>7225.42</v>
      </c>
      <c r="S321" s="95">
        <f t="shared" si="68"/>
        <v>3612.71</v>
      </c>
      <c r="T321" s="129">
        <f t="shared" si="71"/>
        <v>3612.71</v>
      </c>
      <c r="U321" s="192" t="s">
        <v>408</v>
      </c>
      <c r="V321" s="204"/>
      <c r="W321" s="141"/>
      <c r="X321" s="222"/>
      <c r="Y321" s="141"/>
      <c r="Z321" s="224" t="str">
        <f t="shared" si="69"/>
        <v>SI</v>
      </c>
      <c r="AA321" s="297"/>
      <c r="AB321" s="171"/>
      <c r="AC321" s="256"/>
    </row>
    <row r="322" spans="1:29" ht="172.5" customHeight="1">
      <c r="A322" s="125" t="str">
        <f>"D"&amp;E315</f>
        <v>D12</v>
      </c>
      <c r="B322" s="140">
        <v>4</v>
      </c>
      <c r="C322" s="139" t="s">
        <v>367</v>
      </c>
      <c r="D322" s="139" t="s">
        <v>272</v>
      </c>
      <c r="E322" s="139" t="s">
        <v>276</v>
      </c>
      <c r="F322" s="139" t="s">
        <v>227</v>
      </c>
      <c r="G322" s="142">
        <v>1</v>
      </c>
      <c r="H322" s="142" t="s">
        <v>115</v>
      </c>
      <c r="I322" s="138" t="s">
        <v>50</v>
      </c>
      <c r="J322" s="378" t="str">
        <f>+J321</f>
        <v>CONSULTORÍA Y
CONSTRUCCIÓN S.A.S. – CON &amp; CON</v>
      </c>
      <c r="K322" s="127">
        <v>41855</v>
      </c>
      <c r="L322" s="127">
        <v>42219</v>
      </c>
      <c r="M322" s="128">
        <f t="shared" si="70"/>
        <v>12.2</v>
      </c>
      <c r="N322" s="206">
        <v>79</v>
      </c>
      <c r="O322" s="138" t="s">
        <v>50</v>
      </c>
      <c r="P322" s="128" t="s">
        <v>50</v>
      </c>
      <c r="Q322" s="128" t="s">
        <v>111</v>
      </c>
      <c r="R322" s="95">
        <v>12475.53</v>
      </c>
      <c r="S322" s="95">
        <f t="shared" si="68"/>
        <v>12475.53</v>
      </c>
      <c r="T322" s="129">
        <f t="shared" si="71"/>
        <v>12475.53</v>
      </c>
      <c r="U322" s="192"/>
      <c r="V322" s="204"/>
      <c r="W322" s="141"/>
      <c r="X322" s="222"/>
      <c r="Y322" s="141"/>
      <c r="Z322" s="224" t="str">
        <f t="shared" si="69"/>
        <v>SI</v>
      </c>
      <c r="AA322" s="297"/>
      <c r="AB322" s="171"/>
      <c r="AC322" s="256"/>
    </row>
    <row r="323" spans="1:29">
      <c r="A323" s="125" t="str">
        <f>"E"&amp;E315</f>
        <v>E12</v>
      </c>
      <c r="B323" s="140"/>
      <c r="C323" s="139"/>
      <c r="D323" s="139"/>
      <c r="E323" s="139"/>
      <c r="F323" s="139"/>
      <c r="G323" s="142"/>
      <c r="H323" s="142"/>
      <c r="I323" s="138"/>
      <c r="J323" s="138"/>
      <c r="K323" s="127"/>
      <c r="L323" s="127"/>
      <c r="M323" s="128" t="str">
        <f t="shared" si="70"/>
        <v/>
      </c>
      <c r="N323" s="206"/>
      <c r="O323" s="138"/>
      <c r="P323" s="128"/>
      <c r="Q323" s="128"/>
      <c r="R323" s="95"/>
      <c r="S323" s="95" t="str">
        <f t="shared" si="68"/>
        <v/>
      </c>
      <c r="T323" s="129" t="str">
        <f t="shared" si="71"/>
        <v/>
      </c>
      <c r="U323" s="192"/>
      <c r="V323" s="204"/>
      <c r="W323" s="141"/>
      <c r="X323" s="222"/>
      <c r="Y323" s="141"/>
      <c r="Z323" s="224" t="str">
        <f t="shared" si="69"/>
        <v/>
      </c>
      <c r="AA323" s="297"/>
      <c r="AB323" s="171"/>
      <c r="AC323" s="256"/>
    </row>
    <row r="324" spans="1:29" ht="16" thickBot="1">
      <c r="A324" s="125" t="str">
        <f>"F"&amp;E315</f>
        <v>F12</v>
      </c>
      <c r="B324" s="140"/>
      <c r="C324" s="139"/>
      <c r="D324" s="139"/>
      <c r="E324" s="139"/>
      <c r="F324" s="139"/>
      <c r="G324" s="142"/>
      <c r="H324" s="142"/>
      <c r="I324" s="138"/>
      <c r="J324" s="138"/>
      <c r="K324" s="127"/>
      <c r="L324" s="127"/>
      <c r="M324" s="128" t="str">
        <f t="shared" si="70"/>
        <v/>
      </c>
      <c r="N324" s="206"/>
      <c r="O324" s="138"/>
      <c r="P324" s="128"/>
      <c r="Q324" s="128"/>
      <c r="R324" s="95"/>
      <c r="S324" s="95" t="str">
        <f t="shared" si="68"/>
        <v/>
      </c>
      <c r="T324" s="129" t="str">
        <f t="shared" si="71"/>
        <v/>
      </c>
      <c r="U324" s="192"/>
      <c r="V324" s="204"/>
      <c r="W324" s="141"/>
      <c r="X324" s="222"/>
      <c r="Y324" s="141"/>
      <c r="Z324" s="225" t="str">
        <f t="shared" si="69"/>
        <v/>
      </c>
      <c r="AA324" s="363"/>
      <c r="AB324" s="171"/>
      <c r="AC324" s="256"/>
    </row>
    <row r="325" spans="1:29" ht="16" thickBot="1">
      <c r="A325" s="122"/>
      <c r="B325" s="96"/>
      <c r="C325" s="97"/>
      <c r="D325" s="97"/>
      <c r="E325" s="97"/>
      <c r="F325" s="97"/>
      <c r="G325" s="97"/>
      <c r="H325" s="97"/>
      <c r="I325" s="97"/>
      <c r="J325" s="97"/>
      <c r="K325" s="97"/>
      <c r="L325" s="97"/>
      <c r="M325" s="97"/>
      <c r="N325" s="97"/>
      <c r="O325" s="97"/>
      <c r="P325" s="97"/>
      <c r="Q325" s="97"/>
      <c r="R325" s="173"/>
      <c r="S325" s="173"/>
      <c r="T325" s="126"/>
      <c r="U325" s="98"/>
      <c r="V325" s="205"/>
      <c r="W325" s="1"/>
      <c r="X325" s="242"/>
      <c r="Y325" s="1"/>
      <c r="Z325" s="42"/>
      <c r="AA325" s="42"/>
      <c r="AB325" s="42"/>
      <c r="AC325" s="242"/>
    </row>
    <row r="326" spans="1:29" ht="16" thickBot="1">
      <c r="A326" s="123"/>
      <c r="B326" s="99"/>
      <c r="C326" s="94"/>
      <c r="D326" s="94"/>
      <c r="E326" s="94"/>
      <c r="F326" s="94"/>
      <c r="G326" s="94"/>
      <c r="H326" s="94"/>
      <c r="I326" s="94"/>
      <c r="J326" s="94"/>
      <c r="K326" s="94"/>
      <c r="L326" s="94"/>
      <c r="M326" s="94"/>
      <c r="N326" s="94"/>
      <c r="O326" s="94"/>
      <c r="P326" s="94"/>
      <c r="Q326" s="94"/>
      <c r="R326" s="265"/>
      <c r="S326" s="265"/>
      <c r="T326" s="130">
        <f>SUM(T319:T324)</f>
        <v>36778.720000000001</v>
      </c>
      <c r="U326" s="100"/>
      <c r="V326" s="203"/>
      <c r="W326" s="12"/>
      <c r="X326" s="243"/>
      <c r="Y326" s="12"/>
      <c r="Z326" s="243"/>
      <c r="AA326" s="243"/>
      <c r="AB326" s="243"/>
      <c r="AC326" s="243"/>
    </row>
    <row r="327" spans="1:29">
      <c r="B327" s="197"/>
      <c r="C327" s="193"/>
      <c r="D327" s="193"/>
      <c r="E327" s="193"/>
      <c r="F327" s="193"/>
      <c r="G327" s="193"/>
      <c r="H327" s="193"/>
      <c r="I327" s="193"/>
      <c r="J327" s="193"/>
      <c r="K327" s="193"/>
      <c r="L327" s="193"/>
      <c r="M327" s="193"/>
      <c r="N327" s="193"/>
      <c r="O327" s="193"/>
      <c r="P327" s="193"/>
      <c r="Q327" s="193"/>
      <c r="R327" s="194"/>
      <c r="S327" s="194"/>
      <c r="T327" s="195"/>
      <c r="U327" s="196"/>
      <c r="V327" s="195"/>
    </row>
    <row r="328" spans="1:29" ht="16" thickBot="1">
      <c r="A328" s="122"/>
      <c r="B328" s="322" t="s">
        <v>45</v>
      </c>
      <c r="C328" s="323"/>
      <c r="D328" s="323"/>
      <c r="E328" s="323"/>
      <c r="F328" s="323"/>
      <c r="G328" s="324"/>
      <c r="H328" s="324"/>
      <c r="I328" s="324"/>
      <c r="J328" s="324"/>
      <c r="K328" s="324"/>
      <c r="L328" s="324"/>
      <c r="M328" s="324"/>
      <c r="N328" s="324"/>
      <c r="O328" s="324"/>
      <c r="P328" s="324"/>
      <c r="Q328" s="324"/>
      <c r="R328" s="324"/>
      <c r="S328" s="324"/>
      <c r="T328" s="324"/>
      <c r="U328" s="325"/>
      <c r="V328" s="201"/>
      <c r="W328" s="1"/>
      <c r="X328" s="42"/>
      <c r="Y328" s="1"/>
      <c r="Z328" s="42"/>
      <c r="AA328" s="42"/>
      <c r="AB328" s="42"/>
      <c r="AC328" s="42"/>
    </row>
    <row r="329" spans="1:29" ht="16.5" customHeight="1" thickBot="1">
      <c r="A329" s="122" t="str">
        <f>"G"&amp;E315</f>
        <v>G12</v>
      </c>
      <c r="B329" s="291" t="s">
        <v>97</v>
      </c>
      <c r="C329" s="292"/>
      <c r="D329" s="292"/>
      <c r="E329" s="292"/>
      <c r="F329" s="292"/>
      <c r="G329" s="326"/>
      <c r="H329" s="291" t="s">
        <v>100</v>
      </c>
      <c r="I329" s="292"/>
      <c r="J329" s="292"/>
      <c r="K329" s="292"/>
      <c r="L329" s="292"/>
      <c r="M329" s="292"/>
      <c r="N329" s="292"/>
      <c r="O329" s="189" t="s">
        <v>23</v>
      </c>
      <c r="P329" s="190"/>
      <c r="Q329" s="190"/>
      <c r="R329" s="190"/>
      <c r="S329" s="190"/>
      <c r="T329" s="190"/>
      <c r="U329" s="253"/>
      <c r="V329" s="201"/>
      <c r="W329" s="1"/>
      <c r="X329" s="239" t="s">
        <v>117</v>
      </c>
      <c r="Y329" s="1"/>
      <c r="Z329" s="355" t="s">
        <v>119</v>
      </c>
      <c r="AA329" s="345" t="s">
        <v>120</v>
      </c>
      <c r="AB329" s="345" t="s">
        <v>148</v>
      </c>
      <c r="AC329" s="359" t="s">
        <v>149</v>
      </c>
    </row>
    <row r="330" spans="1:29" ht="15.75" customHeight="1" thickBot="1">
      <c r="A330" s="122" t="str">
        <f>"H"&amp;E315</f>
        <v>H12</v>
      </c>
      <c r="B330" s="293" t="s">
        <v>132</v>
      </c>
      <c r="C330" s="294"/>
      <c r="D330" s="294"/>
      <c r="E330" s="294"/>
      <c r="F330" s="294"/>
      <c r="G330" s="327"/>
      <c r="H330" s="293" t="s">
        <v>17</v>
      </c>
      <c r="I330" s="294"/>
      <c r="J330" s="294"/>
      <c r="K330" s="294"/>
      <c r="L330" s="295"/>
      <c r="M330" s="183">
        <f>VLOOKUP(E315,PROPONENTES!$C$14:$E$37,3,0)</f>
        <v>1</v>
      </c>
      <c r="N330" s="296" t="s">
        <v>143</v>
      </c>
      <c r="O330" s="299"/>
      <c r="P330" s="300"/>
      <c r="Q330" s="300"/>
      <c r="R330" s="300"/>
      <c r="S330" s="300"/>
      <c r="T330" s="300"/>
      <c r="U330" s="301"/>
      <c r="V330" s="201"/>
      <c r="W330" s="1"/>
      <c r="X330" s="244" t="str">
        <f>IF(M330="","",IF(M330=1,"INDIVIDUAL","ESTRUCTURA PLURAL"))</f>
        <v>INDIVIDUAL</v>
      </c>
      <c r="Y330" s="1"/>
      <c r="Z330" s="356"/>
      <c r="AA330" s="358"/>
      <c r="AB330" s="358"/>
      <c r="AC330" s="360"/>
    </row>
    <row r="331" spans="1:29" ht="15.75" customHeight="1" thickBot="1">
      <c r="A331" s="122" t="str">
        <f>"I"&amp;E315</f>
        <v>I12</v>
      </c>
      <c r="B331" s="328" t="s">
        <v>131</v>
      </c>
      <c r="C331" s="329"/>
      <c r="D331" s="330"/>
      <c r="E331" s="308">
        <f>IF(AND(I319="SI",T319&gt;0),1,0)+IF(AND(I320="SI",T320&gt;0),1,0)+IF(AND(I321="SI",T321&gt;0),1,0)+IF(AND(I322="SI",T322&gt;0),1,0)+IF(AND(I323="SI",T323&gt;0),1,0)+IF(AND(I324="SI",T324&gt;0),1,0)</f>
        <v>4</v>
      </c>
      <c r="F331" s="310" t="s">
        <v>133</v>
      </c>
      <c r="G331" s="312">
        <f>IF(E331=0,"N/A",IF(AND(E331&gt;=1,E331&lt;=2),0.75,IF(AND(E331&gt;=3,E331&lt;=4),1.2,IF(AND(E331&gt;=5,E331&lt;=6),1.5,"REVISAR"))))</f>
        <v>1.2</v>
      </c>
      <c r="H331" s="334" t="s">
        <v>16</v>
      </c>
      <c r="I331" s="335"/>
      <c r="J331" s="314" t="s">
        <v>350</v>
      </c>
      <c r="K331" s="314" t="s">
        <v>140</v>
      </c>
      <c r="L331" s="314" t="s">
        <v>141</v>
      </c>
      <c r="M331" s="320" t="s">
        <v>142</v>
      </c>
      <c r="N331" s="297"/>
      <c r="O331" s="302"/>
      <c r="P331" s="303"/>
      <c r="Q331" s="303"/>
      <c r="R331" s="303"/>
      <c r="S331" s="303"/>
      <c r="T331" s="303"/>
      <c r="U331" s="304"/>
      <c r="V331" s="201"/>
      <c r="W331" s="38"/>
      <c r="X331" s="171"/>
      <c r="Y331" s="38"/>
      <c r="Z331" s="356"/>
      <c r="AA331" s="358"/>
      <c r="AB331" s="358"/>
      <c r="AC331" s="360"/>
    </row>
    <row r="332" spans="1:29" ht="16.5" customHeight="1" thickBot="1">
      <c r="A332" s="122" t="str">
        <f>"J"&amp;E315</f>
        <v>J12</v>
      </c>
      <c r="B332" s="331"/>
      <c r="C332" s="332"/>
      <c r="D332" s="333"/>
      <c r="E332" s="309"/>
      <c r="F332" s="311"/>
      <c r="G332" s="313"/>
      <c r="H332" s="336"/>
      <c r="I332" s="337"/>
      <c r="J332" s="314"/>
      <c r="K332" s="314"/>
      <c r="L332" s="314"/>
      <c r="M332" s="321"/>
      <c r="N332" s="298"/>
      <c r="O332" s="302"/>
      <c r="P332" s="303"/>
      <c r="Q332" s="303"/>
      <c r="R332" s="303"/>
      <c r="S332" s="303"/>
      <c r="T332" s="303"/>
      <c r="U332" s="304"/>
      <c r="V332" s="201"/>
      <c r="W332" s="38"/>
      <c r="X332" s="239" t="s">
        <v>118</v>
      </c>
      <c r="Y332" s="38"/>
      <c r="Z332" s="357"/>
      <c r="AA332" s="346"/>
      <c r="AB332" s="346"/>
      <c r="AC332" s="321"/>
    </row>
    <row r="333" spans="1:29" ht="16" thickBot="1">
      <c r="A333" s="125" t="str">
        <f>"K"&amp;E315</f>
        <v>K12</v>
      </c>
      <c r="B333" s="293" t="s">
        <v>98</v>
      </c>
      <c r="C333" s="294"/>
      <c r="D333" s="294"/>
      <c r="E333" s="294"/>
      <c r="F333" s="294"/>
      <c r="G333" s="294"/>
      <c r="H333" s="186">
        <v>1</v>
      </c>
      <c r="I333" s="92" t="str">
        <f>IF(AND(H333&lt;=M330,M330&gt;1),VLOOKUP(VALUE(E315&amp;","&amp;H333),INTEGRANTES!$B$15:$D$72,2,0),"")</f>
        <v/>
      </c>
      <c r="J333" s="187" t="str">
        <f>IF(I333&lt;&gt;"",VLOOKUP(VALUE(E315&amp;","&amp;H333),INTEGRANTES!$B$15:$D$72,3,0),"")</f>
        <v/>
      </c>
      <c r="K333" s="247" t="str">
        <f>IF($I333="","",IF(G331="N/A","",ROUND($G331*POSMMLV*PORPOM,2)))</f>
        <v/>
      </c>
      <c r="L333" s="247" t="str">
        <f>IF(I333="","",SUMIF($J319:$J324,I333,$T319:$T324))</f>
        <v/>
      </c>
      <c r="M333" s="93" t="str">
        <f t="shared" ref="M333:M338" si="72">IF($I333="","",IF($K333&gt;L333,"NO CUMPLE","CUMPLE"))</f>
        <v/>
      </c>
      <c r="N333" s="93" t="str">
        <f t="shared" ref="N333:N338" si="73">IF($I333="","",IF(M333="CUMPLE","CUMPLE","NO CUMPLE"))</f>
        <v/>
      </c>
      <c r="O333" s="302"/>
      <c r="P333" s="303"/>
      <c r="Q333" s="303"/>
      <c r="R333" s="303"/>
      <c r="S333" s="303"/>
      <c r="T333" s="303"/>
      <c r="U333" s="304"/>
      <c r="V333" s="201"/>
      <c r="W333" s="1"/>
      <c r="X333" s="244" t="str">
        <f>IF(X330="","",IF(X330="INDIVIDUAL","NO APLICA","VERIFICAR CUADRO"))</f>
        <v>NO APLICA</v>
      </c>
      <c r="Y333" s="1"/>
      <c r="Z333" s="262" t="str">
        <f>IF(AND(H333&lt;=M330,M330&gt;1),VLOOKUP(VALUE(E315&amp;","&amp;H333),INTEGRANTES!$B$15:$D$72,2,0),"")</f>
        <v/>
      </c>
      <c r="AA333" s="248" t="str">
        <f>IF(I333="","",SUMIF(J319:$J324,I333,$T319:$T324))</f>
        <v/>
      </c>
      <c r="AB333" s="232"/>
      <c r="AC333" s="250" t="str">
        <f>IF(OR(Z333="",AB333=""),"",IF(AND(AB333="X",AA333&gt;=X336),"CUMPLE","NO CUMPLE"))</f>
        <v/>
      </c>
    </row>
    <row r="334" spans="1:29" ht="15.75" customHeight="1" thickBot="1">
      <c r="A334" s="125" t="str">
        <f>"L"&amp;E315</f>
        <v>L12</v>
      </c>
      <c r="B334" s="328" t="s">
        <v>134</v>
      </c>
      <c r="C334" s="329"/>
      <c r="D334" s="330"/>
      <c r="E334" s="132" t="s">
        <v>135</v>
      </c>
      <c r="F334" s="132" t="s">
        <v>136</v>
      </c>
      <c r="G334" s="136" t="s">
        <v>99</v>
      </c>
      <c r="H334" s="186">
        <v>2</v>
      </c>
      <c r="I334" s="92" t="str">
        <f>IF(AND(H334&lt;=M330,M330&gt;1),VLOOKUP(VALUE(E315&amp;","&amp;H334),INTEGRANTES!$B$15:$D$72,2,0),"")</f>
        <v/>
      </c>
      <c r="J334" s="187" t="str">
        <f>IF(I334&lt;&gt;"",VLOOKUP(VALUE(E315&amp;","&amp;H334),INTEGRANTES!$B$15:$D$72,3,0),"")</f>
        <v/>
      </c>
      <c r="K334" s="247" t="str">
        <f>IF($I334="","",IF(G331="N/A","",ROUND($G331*POSMMLV*PORPOM,2)))</f>
        <v/>
      </c>
      <c r="L334" s="247" t="str">
        <f>IF(I334="","",SUMIF($J319:$J324,I334,$T319:$T324))</f>
        <v/>
      </c>
      <c r="M334" s="93" t="str">
        <f t="shared" si="72"/>
        <v/>
      </c>
      <c r="N334" s="93" t="str">
        <f t="shared" si="73"/>
        <v/>
      </c>
      <c r="O334" s="302"/>
      <c r="P334" s="303"/>
      <c r="Q334" s="303"/>
      <c r="R334" s="303"/>
      <c r="S334" s="303"/>
      <c r="T334" s="303"/>
      <c r="U334" s="304"/>
      <c r="V334" s="201"/>
      <c r="W334" s="1"/>
      <c r="X334" s="42"/>
      <c r="Y334" s="1"/>
      <c r="Z334" s="262" t="str">
        <f>IF(AND(H334&lt;=M330,M330&gt;1),VLOOKUP(VALUE(E315&amp;","&amp;H334),INTEGRANTES!$B$15:$D$72,2,0),"")</f>
        <v/>
      </c>
      <c r="AA334" s="248" t="str">
        <f>IF(I334="","",SUMIF(J319:$J324,I334,$T319:$T324))</f>
        <v/>
      </c>
      <c r="AB334" s="232"/>
      <c r="AC334" s="250" t="str">
        <f>IF(OR(Z334="",AB334=""),"",IF(AND(AB334="X",AA334&gt;=X336),"CUMPLE","NO CUMPLE"))</f>
        <v/>
      </c>
    </row>
    <row r="335" spans="1:29" ht="16" thickBot="1">
      <c r="A335" s="122" t="str">
        <f>"M"&amp;E315</f>
        <v>M12</v>
      </c>
      <c r="B335" s="331"/>
      <c r="C335" s="332"/>
      <c r="D335" s="333"/>
      <c r="E335" s="237">
        <f>IF(ISTEXT(G331),"NO APLICA",G331*POSMMLV)</f>
        <v>2230.457645064218</v>
      </c>
      <c r="F335" s="238">
        <f>IF(E335="","",T326)</f>
        <v>36778.720000000001</v>
      </c>
      <c r="G335" s="221" t="str">
        <f>IF(E335="","",IF(E335="NO APLICA","NO CUMPLE",IF(F335&gt;=E335,"CUMPLE", "NO CUMPLE")))</f>
        <v>CUMPLE</v>
      </c>
      <c r="H335" s="186">
        <v>3</v>
      </c>
      <c r="I335" s="92" t="str">
        <f>IF(AND(H335&lt;=M330,M330&gt;1),VLOOKUP(VALUE(E315&amp;","&amp;H335),INTEGRANTES!$B$15:$D$72,2,0),"")</f>
        <v/>
      </c>
      <c r="J335" s="187" t="str">
        <f>IF(I335&lt;&gt;"",VLOOKUP(VALUE(E315&amp;","&amp;H335),INTEGRANTES!$B$15:$D$72,3,0),"")</f>
        <v/>
      </c>
      <c r="K335" s="247" t="str">
        <f>IF($I335="","",IF(G331="N/A","",ROUND($G331*POSMMLV*PORPOM,2)))</f>
        <v/>
      </c>
      <c r="L335" s="247" t="str">
        <f>IF(I335="","",SUMIF($J319:$J324,I335,$T319:$T324))</f>
        <v/>
      </c>
      <c r="M335" s="93" t="str">
        <f t="shared" si="72"/>
        <v/>
      </c>
      <c r="N335" s="93" t="str">
        <f t="shared" si="73"/>
        <v/>
      </c>
      <c r="O335" s="302"/>
      <c r="P335" s="303"/>
      <c r="Q335" s="303"/>
      <c r="R335" s="303"/>
      <c r="S335" s="303"/>
      <c r="T335" s="303"/>
      <c r="U335" s="304"/>
      <c r="V335" s="201"/>
      <c r="W335" s="1"/>
      <c r="X335" s="239" t="s">
        <v>145</v>
      </c>
      <c r="Y335" s="1"/>
      <c r="Z335" s="262" t="str">
        <f>IF(AND(H335&lt;=M330,M330&gt;1),VLOOKUP(VALUE(E315&amp;","&amp;H335),INTEGRANTES!$B$15:$D$72,2,0),"")</f>
        <v/>
      </c>
      <c r="AA335" s="248" t="str">
        <f>IF(I335="","",SUMIF(J319:$J324,I335,$T319:$T324))</f>
        <v/>
      </c>
      <c r="AB335" s="232"/>
      <c r="AC335" s="250" t="str">
        <f>IF(OR(Z335="",AB335=""),"",IF(AND(AB335="X",AA335&gt;=X336),"CUMPLE","NO CUMPLE"))</f>
        <v/>
      </c>
    </row>
    <row r="336" spans="1:29" ht="15.75" customHeight="1" thickBot="1">
      <c r="A336" s="122" t="str">
        <f>"N"&amp;E315</f>
        <v>N12</v>
      </c>
      <c r="B336" s="293" t="s">
        <v>107</v>
      </c>
      <c r="C336" s="294"/>
      <c r="D336" s="294"/>
      <c r="E336" s="294"/>
      <c r="F336" s="294"/>
      <c r="G336" s="294"/>
      <c r="H336" s="186">
        <v>4</v>
      </c>
      <c r="I336" s="92" t="str">
        <f>IF(AND(H336&lt;=M330,M330&gt;1),VLOOKUP(VALUE(E315&amp;","&amp;H336),INTEGRANTES!$B$15:$D$72,2,0),"")</f>
        <v/>
      </c>
      <c r="J336" s="187" t="str">
        <f>IF(I336&lt;&gt;"",VLOOKUP(VALUE(E315&amp;","&amp;H336),INTEGRANTES!$B$15:$D$72,3,0),"")</f>
        <v/>
      </c>
      <c r="K336" s="247" t="str">
        <f>IF($I336="","",IF(G331="N/A","",ROUND($G331*POSMMLV*PORPOM,2)))</f>
        <v/>
      </c>
      <c r="L336" s="247" t="str">
        <f>IF(I336="","",SUMIF($J319:$J324,I336,$T319:$T324))</f>
        <v/>
      </c>
      <c r="M336" s="93" t="str">
        <f t="shared" si="72"/>
        <v/>
      </c>
      <c r="N336" s="93" t="str">
        <f t="shared" si="73"/>
        <v/>
      </c>
      <c r="O336" s="302"/>
      <c r="P336" s="303"/>
      <c r="Q336" s="303"/>
      <c r="R336" s="303"/>
      <c r="S336" s="303"/>
      <c r="T336" s="303"/>
      <c r="U336" s="304"/>
      <c r="V336" s="201"/>
      <c r="W336" s="1"/>
      <c r="X336" s="251">
        <f>IF(G331="N/A","N/A",0.4*G331*POSMMLV)</f>
        <v>892.18305802568716</v>
      </c>
      <c r="Y336" s="1"/>
      <c r="Z336" s="262" t="str">
        <f>IF(AND(H336&lt;=M330,M330&gt;1),VLOOKUP(VALUE(E315&amp;","&amp;H336),INTEGRANTES!$B$15:$D$72,2,0),"")</f>
        <v/>
      </c>
      <c r="AA336" s="248" t="str">
        <f>IF(I336="","",SUMIF(J319:$J324,I336,$T319:$T324))</f>
        <v/>
      </c>
      <c r="AB336" s="232"/>
      <c r="AC336" s="250" t="str">
        <f>IF(OR(Z336="",AB336=""),"",IF(AND(AB336="X",AA336&gt;=X336),"CUMPLE","NO CUMPLE"))</f>
        <v/>
      </c>
    </row>
    <row r="337" spans="1:29" ht="33.75" customHeight="1" thickBot="1">
      <c r="A337" s="122" t="str">
        <f>"O"&amp;E315</f>
        <v>O12</v>
      </c>
      <c r="B337" s="328" t="s">
        <v>108</v>
      </c>
      <c r="C337" s="329"/>
      <c r="D337" s="329"/>
      <c r="E337" s="329"/>
      <c r="F337" s="329"/>
      <c r="G337" s="185" t="s">
        <v>99</v>
      </c>
      <c r="H337" s="186">
        <v>5</v>
      </c>
      <c r="I337" s="92" t="str">
        <f>IF(AND(H337&lt;=M330,M330&gt;1),VLOOKUP(VALUE(E315&amp;","&amp;H337),INTEGRANTES!$B$15:$D$72,2,0),"")</f>
        <v/>
      </c>
      <c r="J337" s="187" t="str">
        <f>IF(I337&lt;&gt;"",VLOOKUP(VALUE(E315&amp;","&amp;H337),INTEGRANTES!$B$15:$D$72,3,0),"")</f>
        <v/>
      </c>
      <c r="K337" s="247" t="str">
        <f>IF($I337="","",IF(G331="N/A","",ROUND($G331*POSMMLV*PORPOM,2)))</f>
        <v/>
      </c>
      <c r="L337" s="247" t="str">
        <f>IF(I337="","",SUMIF($J319:$J324,I337,$T319:$T324))</f>
        <v/>
      </c>
      <c r="M337" s="93" t="str">
        <f t="shared" si="72"/>
        <v/>
      </c>
      <c r="N337" s="93" t="str">
        <f t="shared" si="73"/>
        <v/>
      </c>
      <c r="O337" s="302"/>
      <c r="P337" s="303"/>
      <c r="Q337" s="303"/>
      <c r="R337" s="303"/>
      <c r="S337" s="303"/>
      <c r="T337" s="303"/>
      <c r="U337" s="304"/>
      <c r="V337" s="201"/>
      <c r="W337" s="1"/>
      <c r="X337" s="42"/>
      <c r="Y337" s="1"/>
      <c r="Z337" s="262" t="str">
        <f>IF(AND(H337&lt;=M330,M330&gt;1),VLOOKUP(VALUE(E315&amp;","&amp;H337),INTEGRANTES!$B$15:$D$72,2,0),"")</f>
        <v/>
      </c>
      <c r="AA337" s="248" t="str">
        <f>IF(I337="","",SUMIF(J319:$J324,I337,$T319:$T324))</f>
        <v/>
      </c>
      <c r="AB337" s="232"/>
      <c r="AC337" s="250" t="str">
        <f>IF(OR(Z337="",AB337=""),"",IF(AND(AB337="X",AA337&gt;=X336),"CUMPLE","NO CUMPLE"))</f>
        <v/>
      </c>
    </row>
    <row r="338" spans="1:29" ht="16" thickBot="1">
      <c r="A338" s="122" t="str">
        <f>"P"&amp;E315</f>
        <v>P12</v>
      </c>
      <c r="B338" s="353"/>
      <c r="C338" s="354"/>
      <c r="D338" s="354"/>
      <c r="E338" s="354"/>
      <c r="F338" s="354"/>
      <c r="G338" s="137" t="str">
        <f>IF(AND(COUNTIF(X319:X324,"")&gt;5,COUNTIF(Z319:Z324,"")&gt;5),"NO CUMPLE",IF(AND(COUNTIF(X319:X324,"SI")&gt;=$AF$17,COUNTIF(Z319:Z324,"SI")&gt;=$AF$17),"CUMPLE", "NO CUMPLE"))</f>
        <v>CUMPLE</v>
      </c>
      <c r="H338" s="257">
        <v>6</v>
      </c>
      <c r="I338" s="258" t="str">
        <f>IF(AND(H338&lt;=M330,M330&gt;1),VLOOKUP(VALUE(E315&amp;","&amp;H338),INTEGRANTES!$B$15:$D$72,2,0),"")</f>
        <v/>
      </c>
      <c r="J338" s="259" t="str">
        <f>IF(I338&lt;&gt;"",VLOOKUP(VALUE(E315&amp;","&amp;H338),INTEGRANTES!$B$15:$D$72,3,0),"")</f>
        <v/>
      </c>
      <c r="K338" s="260" t="str">
        <f>IF($I338="","",IF(G331="N/A","",ROUND($G331*POSMMLV*PORPOM,2)))</f>
        <v/>
      </c>
      <c r="L338" s="260" t="str">
        <f>IF(I338="","",SUMIF($J319:$J324,I338,$T319:$T324))</f>
        <v/>
      </c>
      <c r="M338" s="261" t="str">
        <f t="shared" si="72"/>
        <v/>
      </c>
      <c r="N338" s="93" t="str">
        <f t="shared" si="73"/>
        <v/>
      </c>
      <c r="O338" s="302"/>
      <c r="P338" s="303"/>
      <c r="Q338" s="303"/>
      <c r="R338" s="303"/>
      <c r="S338" s="303"/>
      <c r="T338" s="303"/>
      <c r="U338" s="304"/>
      <c r="V338" s="201"/>
      <c r="W338" s="1"/>
      <c r="X338" s="239" t="s">
        <v>122</v>
      </c>
      <c r="Y338" s="1"/>
      <c r="Z338" s="263" t="str">
        <f>IF(AND(H338&lt;=M330,M330&gt;1),VLOOKUP(VALUE(E315&amp;","&amp;H338),INTEGRANTES!$B$15:$D$72,2,0),"")</f>
        <v/>
      </c>
      <c r="AA338" s="249" t="str">
        <f>IF(I338="","",SUMIF(J319:$J324,I338,$T319:$T324))</f>
        <v/>
      </c>
      <c r="AB338" s="246"/>
      <c r="AC338" s="137" t="str">
        <f>IF(OR(Z338="",AB338=""),"",IF(AND(AB338="X",AA338&gt;=X336),"CUMPLE","NO CUMPLE"))</f>
        <v/>
      </c>
    </row>
    <row r="339" spans="1:29" ht="38.25" customHeight="1" thickBot="1">
      <c r="A339" s="122" t="str">
        <f>"Q"&amp;E315</f>
        <v>Q12</v>
      </c>
      <c r="B339" s="338"/>
      <c r="C339" s="339"/>
      <c r="D339" s="339"/>
      <c r="E339" s="339"/>
      <c r="F339" s="339"/>
      <c r="G339" s="340"/>
      <c r="H339" s="318" t="s">
        <v>138</v>
      </c>
      <c r="I339" s="341"/>
      <c r="J339" s="342"/>
      <c r="K339" s="318" t="s">
        <v>139</v>
      </c>
      <c r="L339" s="319"/>
      <c r="M339" s="188" t="str">
        <f>IF(OR($M330="",SUM(J333:J338)=0),"",IF(COUNTIF(M333:M338,"CUMPLE")&gt;=1,"CUMPLE","NO CUMPLE"))</f>
        <v/>
      </c>
      <c r="N339" s="188" t="str">
        <f>IF(OR($M330="",SUM(J333:J338)=0),"",IF(COUNTIF(N333:N338,"CUMPLE")&gt;=1,"CUMPLE","NO CUMPLE"))</f>
        <v/>
      </c>
      <c r="O339" s="305"/>
      <c r="P339" s="306"/>
      <c r="Q339" s="306"/>
      <c r="R339" s="306"/>
      <c r="S339" s="306"/>
      <c r="T339" s="306"/>
      <c r="U339" s="307"/>
      <c r="V339" s="201"/>
      <c r="W339" s="1"/>
      <c r="X339" s="254" t="str">
        <f>IF(X333="NO APLICA","NO APLICA",IF(COUNTIF(AC333:AC338,"CUMPLE")&gt;0,"CUMPLE","NO CUMPLE"))</f>
        <v>NO APLICA</v>
      </c>
      <c r="Y339" s="1"/>
      <c r="Z339" s="42"/>
      <c r="AA339" s="42"/>
      <c r="AB339" s="42"/>
      <c r="AC339" s="42"/>
    </row>
    <row r="340" spans="1:29">
      <c r="A340"/>
    </row>
    <row r="341" spans="1:29">
      <c r="A341"/>
    </row>
    <row r="342" spans="1:29" ht="23.5" thickBot="1">
      <c r="A342" s="167">
        <v>13</v>
      </c>
      <c r="B342" s="349" t="s">
        <v>1</v>
      </c>
      <c r="C342" s="349"/>
      <c r="D342" s="349"/>
      <c r="E342" s="105">
        <f>VLOOKUP(A342,PROPONENTES!$B$14:$D$37,2,FALSE)</f>
        <v>13</v>
      </c>
      <c r="F342" s="106" t="str">
        <f>VLOOKUP(E342,PROPONENTES!$C$14:$D$37,2,FALSE)</f>
        <v>UNIÓN TEMPORAL VÍAS COLOMBIA</v>
      </c>
      <c r="G342" s="107"/>
      <c r="H342" s="107"/>
      <c r="I342" s="107"/>
      <c r="J342" s="106"/>
      <c r="K342" s="106"/>
      <c r="L342" s="105"/>
      <c r="M342" s="107"/>
      <c r="N342" s="107"/>
      <c r="O342" s="107"/>
      <c r="P342" s="107"/>
      <c r="Q342" s="107"/>
      <c r="R342" s="107"/>
      <c r="S342" s="107"/>
      <c r="T342" s="108"/>
      <c r="U342" s="109"/>
      <c r="V342" s="109"/>
      <c r="W342" s="11"/>
      <c r="X342" s="240"/>
      <c r="Y342" s="11"/>
      <c r="Z342" s="240"/>
      <c r="AA342" s="240"/>
      <c r="AB342" s="240"/>
      <c r="AC342" s="240"/>
    </row>
    <row r="343" spans="1:29" ht="48" customHeight="1">
      <c r="A343" s="131"/>
      <c r="B343" s="350" t="s">
        <v>88</v>
      </c>
      <c r="C343" s="345" t="s">
        <v>48</v>
      </c>
      <c r="D343" s="352" t="s">
        <v>130</v>
      </c>
      <c r="E343" s="295"/>
      <c r="F343" s="352" t="s">
        <v>93</v>
      </c>
      <c r="G343" s="295"/>
      <c r="H343" s="315" t="s">
        <v>351</v>
      </c>
      <c r="I343" s="315" t="s">
        <v>103</v>
      </c>
      <c r="J343" s="315" t="s">
        <v>2</v>
      </c>
      <c r="K343" s="315" t="s">
        <v>352</v>
      </c>
      <c r="L343" s="315" t="s">
        <v>353</v>
      </c>
      <c r="M343" s="316" t="s">
        <v>29</v>
      </c>
      <c r="N343" s="315" t="s">
        <v>104</v>
      </c>
      <c r="O343" s="343" t="s">
        <v>78</v>
      </c>
      <c r="P343" s="344"/>
      <c r="Q343" s="345" t="s">
        <v>144</v>
      </c>
      <c r="R343" s="345" t="s">
        <v>101</v>
      </c>
      <c r="S343" s="294" t="s">
        <v>3</v>
      </c>
      <c r="T343" s="295"/>
      <c r="U343" s="347" t="s">
        <v>18</v>
      </c>
      <c r="V343" s="366" t="s">
        <v>102</v>
      </c>
      <c r="W343" s="133"/>
      <c r="X343" s="361" t="s">
        <v>146</v>
      </c>
      <c r="Y343" s="133"/>
      <c r="Z343" s="133"/>
      <c r="AA343" s="133"/>
      <c r="AB343" s="245"/>
      <c r="AC343" s="361" t="s">
        <v>123</v>
      </c>
    </row>
    <row r="344" spans="1:29" ht="98.25" customHeight="1">
      <c r="A344" s="131"/>
      <c r="B344" s="351"/>
      <c r="C344" s="346"/>
      <c r="D344" s="134" t="s">
        <v>10</v>
      </c>
      <c r="E344" s="134" t="s">
        <v>4</v>
      </c>
      <c r="F344" s="134" t="s">
        <v>15</v>
      </c>
      <c r="G344" s="135" t="s">
        <v>90</v>
      </c>
      <c r="H344" s="314"/>
      <c r="I344" s="314"/>
      <c r="J344" s="314"/>
      <c r="K344" s="314"/>
      <c r="L344" s="314"/>
      <c r="M344" s="317"/>
      <c r="N344" s="314"/>
      <c r="O344" s="264" t="s">
        <v>76</v>
      </c>
      <c r="P344" s="264" t="s">
        <v>105</v>
      </c>
      <c r="Q344" s="346"/>
      <c r="R344" s="346"/>
      <c r="S344" s="264" t="s">
        <v>81</v>
      </c>
      <c r="T344" s="264" t="s">
        <v>77</v>
      </c>
      <c r="U344" s="348"/>
      <c r="V344" s="336"/>
      <c r="W344" s="133"/>
      <c r="X344" s="362"/>
      <c r="Y344" s="133"/>
      <c r="Z344" s="245"/>
      <c r="AA344" s="245"/>
      <c r="AB344" s="245"/>
      <c r="AC344" s="362"/>
    </row>
    <row r="345" spans="1:29" ht="16" thickBot="1">
      <c r="A345" s="122"/>
      <c r="B345" s="96"/>
      <c r="C345" s="97"/>
      <c r="D345" s="97"/>
      <c r="E345" s="97"/>
      <c r="F345" s="97"/>
      <c r="G345" s="97"/>
      <c r="H345" s="97"/>
      <c r="I345" s="97"/>
      <c r="J345" s="97"/>
      <c r="K345" s="97"/>
      <c r="L345" s="97"/>
      <c r="M345" s="97"/>
      <c r="N345" s="97"/>
      <c r="O345" s="97"/>
      <c r="P345" s="97"/>
      <c r="Q345" s="97"/>
      <c r="R345" s="173"/>
      <c r="S345" s="173"/>
      <c r="T345" s="97"/>
      <c r="U345" s="191"/>
      <c r="V345" s="202"/>
      <c r="W345" s="1"/>
      <c r="X345" s="241"/>
      <c r="Y345" s="1"/>
      <c r="Z345" s="42"/>
      <c r="AA345" s="42"/>
      <c r="AB345" s="42"/>
      <c r="AC345" s="241"/>
    </row>
    <row r="346" spans="1:29" ht="38.5" customHeight="1">
      <c r="A346" s="125" t="str">
        <f>"A"&amp;E342</f>
        <v>A13</v>
      </c>
      <c r="B346" s="140">
        <v>1</v>
      </c>
      <c r="C346" s="139" t="s">
        <v>277</v>
      </c>
      <c r="D346" s="139" t="s">
        <v>279</v>
      </c>
      <c r="E346" s="139" t="s">
        <v>368</v>
      </c>
      <c r="F346" s="139" t="s">
        <v>227</v>
      </c>
      <c r="G346" s="142">
        <v>1</v>
      </c>
      <c r="H346" s="142" t="s">
        <v>115</v>
      </c>
      <c r="I346" s="138" t="s">
        <v>50</v>
      </c>
      <c r="J346" s="378" t="str">
        <f>+I362</f>
        <v xml:space="preserve">equipos y construcciones varego SAS </v>
      </c>
      <c r="K346" s="127">
        <v>38917</v>
      </c>
      <c r="L346" s="127">
        <v>39286</v>
      </c>
      <c r="M346" s="128">
        <f>IF(OR(K346="",L346=""),"",IF(OR(K346&gt;$T$14,K346&lt;$S$14,L346&gt;$T$14,AND(K346&lt;$S$14,L346&lt;$S$14)),"FUERA DE RANGO",IF(K346&gt;=$S$14,ROUND(((L346-K346+1)/360*12),1),ROUND(((L346-$S$14+1)/360*12),1))))</f>
        <v>12.3</v>
      </c>
      <c r="N346" s="206">
        <v>41</v>
      </c>
      <c r="O346" s="138" t="s">
        <v>50</v>
      </c>
      <c r="P346" s="128" t="s">
        <v>50</v>
      </c>
      <c r="Q346" s="128" t="s">
        <v>111</v>
      </c>
      <c r="R346" s="95">
        <v>10035.879999999999</v>
      </c>
      <c r="S346" s="95">
        <f t="shared" ref="S346:S352" si="74">IF(OR(G346="",R346=""),"",R346*G346)</f>
        <v>10035.879999999999</v>
      </c>
      <c r="T346" s="129">
        <f>IF(OR(I346="NO",I346="",I346&lt;&gt;"SI",S346=""),"",IF(OR(L346&lt;$S$14,L346&gt;$T$14,L346=""),0,ROUND(S346,2)))</f>
        <v>10035.879999999999</v>
      </c>
      <c r="U346" s="192"/>
      <c r="V346" s="204"/>
      <c r="W346" s="141"/>
      <c r="X346" s="222" t="s">
        <v>50</v>
      </c>
      <c r="Y346" s="141"/>
      <c r="Z346" s="223" t="str">
        <f t="shared" ref="Z346:Z352" si="75">IF(T346="","",IF(T346&gt;=PORCREQCTO*POSMMLV,"SI","NO"))</f>
        <v>SI</v>
      </c>
      <c r="AA346" s="296" t="str">
        <f>"VERIFICACIÓN CUMPLIMIENTO "&amp;PORCREQCTO*100&amp;"% DEL PO"</f>
        <v>VERIFICACIÓN CUMPLIMIENTO 50% DEL PO</v>
      </c>
      <c r="AB346" s="171"/>
      <c r="AC346" s="256"/>
    </row>
    <row r="347" spans="1:29" ht="31.5">
      <c r="A347" s="125" t="str">
        <f>"B"&amp;E342</f>
        <v>B13</v>
      </c>
      <c r="B347" s="140">
        <v>2</v>
      </c>
      <c r="C347" s="139" t="s">
        <v>277</v>
      </c>
      <c r="D347" s="139" t="s">
        <v>280</v>
      </c>
      <c r="E347" s="139" t="s">
        <v>369</v>
      </c>
      <c r="F347" s="139" t="s">
        <v>207</v>
      </c>
      <c r="G347" s="142">
        <v>0.46870000000000001</v>
      </c>
      <c r="H347" s="142" t="s">
        <v>115</v>
      </c>
      <c r="I347" s="138" t="s">
        <v>50</v>
      </c>
      <c r="J347" s="378" t="str">
        <f>+J346</f>
        <v xml:space="preserve">equipos y construcciones varego SAS </v>
      </c>
      <c r="K347" s="127">
        <v>37018</v>
      </c>
      <c r="L347" s="127">
        <v>37505</v>
      </c>
      <c r="M347" s="128">
        <f t="shared" ref="M347:M352" si="76">IF(OR(K347="",L347=""),"",IF(OR(K347&gt;$T$14,K347&lt;$S$14,L347&gt;$T$14,AND(K347&lt;$S$14,L347&lt;$S$14)),"FUERA DE RANGO",IF(K347&gt;=$S$14,ROUND(((L347-K347+1)/360*12),1),ROUND(((L347-$S$14+1)/360*12),1))))</f>
        <v>16.3</v>
      </c>
      <c r="N347" s="206">
        <v>47</v>
      </c>
      <c r="O347" s="138" t="s">
        <v>50</v>
      </c>
      <c r="P347" s="128" t="s">
        <v>50</v>
      </c>
      <c r="Q347" s="128" t="s">
        <v>111</v>
      </c>
      <c r="R347" s="95">
        <v>7184</v>
      </c>
      <c r="S347" s="95">
        <f t="shared" si="74"/>
        <v>3367.1408000000001</v>
      </c>
      <c r="T347" s="129">
        <f t="shared" ref="T347:T352" si="77">IF(OR(I347="NO",I347="",I347&lt;&gt;"SI",S347=""),"",IF(OR(L347&lt;$S$14,L347&gt;$T$14,L347=""),0,ROUND(S347,2)))</f>
        <v>3367.14</v>
      </c>
      <c r="U347" s="192" t="s">
        <v>411</v>
      </c>
      <c r="V347" s="204"/>
      <c r="W347" s="141"/>
      <c r="X347" s="222"/>
      <c r="Y347" s="141"/>
      <c r="Z347" s="224" t="str">
        <f t="shared" si="75"/>
        <v>SI</v>
      </c>
      <c r="AA347" s="297"/>
      <c r="AB347" s="171"/>
      <c r="AC347" s="256"/>
    </row>
    <row r="348" spans="1:29" ht="42" customHeight="1">
      <c r="A348" s="125" t="str">
        <f>"C"&amp;E342</f>
        <v>C13</v>
      </c>
      <c r="B348" s="386">
        <v>3</v>
      </c>
      <c r="C348" s="380" t="s">
        <v>223</v>
      </c>
      <c r="D348" s="380" t="s">
        <v>281</v>
      </c>
      <c r="E348" s="380" t="s">
        <v>285</v>
      </c>
      <c r="F348" s="380" t="s">
        <v>207</v>
      </c>
      <c r="G348" s="142">
        <v>0.5</v>
      </c>
      <c r="H348" s="142" t="s">
        <v>115</v>
      </c>
      <c r="I348" s="398" t="s">
        <v>50</v>
      </c>
      <c r="J348" s="378" t="str">
        <f>+J347</f>
        <v xml:space="preserve">equipos y construcciones varego SAS </v>
      </c>
      <c r="K348" s="382">
        <v>41975</v>
      </c>
      <c r="L348" s="382">
        <v>42020</v>
      </c>
      <c r="M348" s="384">
        <f t="shared" si="76"/>
        <v>1.5</v>
      </c>
      <c r="N348" s="206">
        <v>70</v>
      </c>
      <c r="O348" s="138" t="s">
        <v>50</v>
      </c>
      <c r="P348" s="128" t="s">
        <v>50</v>
      </c>
      <c r="Q348" s="128" t="s">
        <v>109</v>
      </c>
      <c r="R348" s="95">
        <v>904.97</v>
      </c>
      <c r="S348" s="95">
        <f t="shared" si="74"/>
        <v>452.48500000000001</v>
      </c>
      <c r="T348" s="129">
        <f t="shared" si="77"/>
        <v>452.49</v>
      </c>
      <c r="U348" s="192" t="s">
        <v>409</v>
      </c>
      <c r="V348" s="204"/>
      <c r="W348" s="141"/>
      <c r="X348" s="222"/>
      <c r="Y348" s="141"/>
      <c r="Z348" s="224" t="str">
        <f t="shared" si="75"/>
        <v>NO</v>
      </c>
      <c r="AA348" s="297"/>
      <c r="AB348" s="171"/>
      <c r="AC348" s="256"/>
    </row>
    <row r="349" spans="1:29" ht="21">
      <c r="A349" s="125" t="str">
        <f>"D"&amp;E342</f>
        <v>D13</v>
      </c>
      <c r="B349" s="387"/>
      <c r="C349" s="381"/>
      <c r="D349" s="381"/>
      <c r="E349" s="381"/>
      <c r="F349" s="381"/>
      <c r="G349" s="142">
        <v>0.5</v>
      </c>
      <c r="H349" s="142" t="s">
        <v>115</v>
      </c>
      <c r="I349" s="399"/>
      <c r="J349" s="378" t="str">
        <f>+I361</f>
        <v xml:space="preserve">varego sas </v>
      </c>
      <c r="K349" s="383"/>
      <c r="L349" s="383"/>
      <c r="M349" s="385"/>
      <c r="N349" s="206">
        <v>13</v>
      </c>
      <c r="O349" s="138" t="s">
        <v>50</v>
      </c>
      <c r="P349" s="128" t="s">
        <v>50</v>
      </c>
      <c r="Q349" s="128" t="s">
        <v>109</v>
      </c>
      <c r="R349" s="95">
        <v>904.97</v>
      </c>
      <c r="S349" s="95">
        <f>IF(OR(G349="",R349=""),"",R349*G349)</f>
        <v>452.48500000000001</v>
      </c>
      <c r="T349" s="129" t="str">
        <f t="shared" si="77"/>
        <v/>
      </c>
      <c r="U349" s="192" t="s">
        <v>409</v>
      </c>
      <c r="V349" s="204"/>
      <c r="W349" s="141"/>
      <c r="X349" s="222"/>
      <c r="Y349" s="141"/>
      <c r="Z349" s="224" t="str">
        <f t="shared" si="75"/>
        <v/>
      </c>
      <c r="AA349" s="297"/>
      <c r="AB349" s="171"/>
      <c r="AC349" s="256"/>
    </row>
    <row r="350" spans="1:29" ht="31.5">
      <c r="A350" s="125"/>
      <c r="B350" s="140">
        <v>4</v>
      </c>
      <c r="C350" s="139" t="str">
        <f>+C351</f>
        <v xml:space="preserve">ALCALDÍA DE TOCANCIPÁ </v>
      </c>
      <c r="D350" s="139" t="s">
        <v>282</v>
      </c>
      <c r="E350" s="139" t="s">
        <v>370</v>
      </c>
      <c r="F350" s="139" t="s">
        <v>227</v>
      </c>
      <c r="G350" s="142">
        <v>1</v>
      </c>
      <c r="H350" s="142" t="s">
        <v>115</v>
      </c>
      <c r="I350" s="138" t="s">
        <v>50</v>
      </c>
      <c r="J350" s="378" t="str">
        <f>+J346</f>
        <v xml:space="preserve">equipos y construcciones varego SAS </v>
      </c>
      <c r="K350" s="127">
        <v>39091</v>
      </c>
      <c r="L350" s="127">
        <v>39394</v>
      </c>
      <c r="M350" s="128">
        <f t="shared" si="76"/>
        <v>10.1</v>
      </c>
      <c r="N350" s="206">
        <v>40</v>
      </c>
      <c r="O350" s="138" t="s">
        <v>50</v>
      </c>
      <c r="P350" s="128" t="s">
        <v>50</v>
      </c>
      <c r="Q350" s="128" t="s">
        <v>111</v>
      </c>
      <c r="R350" s="95">
        <v>3146.99</v>
      </c>
      <c r="S350" s="95">
        <f>IF(OR(G350="",R350=""),"",R350*G350)</f>
        <v>3146.99</v>
      </c>
      <c r="T350" s="129">
        <f t="shared" si="77"/>
        <v>3146.99</v>
      </c>
      <c r="U350" s="192"/>
      <c r="V350" s="204"/>
      <c r="W350" s="141"/>
      <c r="X350" s="222"/>
      <c r="Y350" s="141"/>
      <c r="Z350" s="224"/>
      <c r="AA350" s="297"/>
      <c r="AB350" s="171"/>
      <c r="AC350" s="256"/>
    </row>
    <row r="351" spans="1:29" ht="31.5">
      <c r="A351" s="125" t="str">
        <f>"E"&amp;E342</f>
        <v>E13</v>
      </c>
      <c r="B351" s="140">
        <v>5</v>
      </c>
      <c r="C351" s="139" t="s">
        <v>371</v>
      </c>
      <c r="D351" s="139" t="s">
        <v>283</v>
      </c>
      <c r="E351" s="139" t="s">
        <v>372</v>
      </c>
      <c r="F351" s="139" t="s">
        <v>227</v>
      </c>
      <c r="G351" s="142">
        <v>1</v>
      </c>
      <c r="H351" s="142" t="s">
        <v>115</v>
      </c>
      <c r="I351" s="138" t="s">
        <v>50</v>
      </c>
      <c r="J351" s="378" t="str">
        <f>+J350</f>
        <v xml:space="preserve">equipos y construcciones varego SAS </v>
      </c>
      <c r="K351" s="127">
        <v>38895</v>
      </c>
      <c r="L351" s="127">
        <v>39128</v>
      </c>
      <c r="M351" s="128">
        <f t="shared" si="76"/>
        <v>7.8</v>
      </c>
      <c r="N351" s="206">
        <v>42</v>
      </c>
      <c r="O351" s="138" t="s">
        <v>50</v>
      </c>
      <c r="P351" s="128" t="s">
        <v>50</v>
      </c>
      <c r="Q351" s="128" t="s">
        <v>111</v>
      </c>
      <c r="R351" s="95">
        <v>2098.2199999999998</v>
      </c>
      <c r="S351" s="95">
        <f t="shared" si="74"/>
        <v>2098.2199999999998</v>
      </c>
      <c r="T351" s="129">
        <f t="shared" si="77"/>
        <v>2098.2199999999998</v>
      </c>
      <c r="U351" s="192" t="s">
        <v>412</v>
      </c>
      <c r="V351" s="204"/>
      <c r="W351" s="141"/>
      <c r="X351" s="222"/>
      <c r="Y351" s="141"/>
      <c r="Z351" s="224" t="str">
        <f t="shared" si="75"/>
        <v>SI</v>
      </c>
      <c r="AA351" s="297"/>
      <c r="AB351" s="171"/>
      <c r="AC351" s="256"/>
    </row>
    <row r="352" spans="1:29" ht="32" thickBot="1">
      <c r="A352" s="125" t="str">
        <f>"F"&amp;E342</f>
        <v>F13</v>
      </c>
      <c r="B352" s="140">
        <v>6</v>
      </c>
      <c r="C352" s="139" t="s">
        <v>278</v>
      </c>
      <c r="D352" s="139" t="s">
        <v>284</v>
      </c>
      <c r="E352" s="139" t="s">
        <v>286</v>
      </c>
      <c r="F352" s="139" t="s">
        <v>227</v>
      </c>
      <c r="G352" s="142">
        <v>1</v>
      </c>
      <c r="H352" s="142" t="s">
        <v>115</v>
      </c>
      <c r="I352" s="138" t="s">
        <v>50</v>
      </c>
      <c r="J352" s="378" t="str">
        <f>+J351</f>
        <v xml:space="preserve">equipos y construcciones varego SAS </v>
      </c>
      <c r="K352" s="127">
        <v>37118</v>
      </c>
      <c r="L352" s="127">
        <v>37240</v>
      </c>
      <c r="M352" s="128">
        <f t="shared" si="76"/>
        <v>4.0999999999999996</v>
      </c>
      <c r="N352" s="206">
        <v>48</v>
      </c>
      <c r="O352" s="138" t="s">
        <v>50</v>
      </c>
      <c r="P352" s="128" t="s">
        <v>50</v>
      </c>
      <c r="Q352" s="128" t="s">
        <v>109</v>
      </c>
      <c r="R352" s="95">
        <v>1896</v>
      </c>
      <c r="S352" s="95">
        <f t="shared" si="74"/>
        <v>1896</v>
      </c>
      <c r="T352" s="129">
        <f t="shared" si="77"/>
        <v>1896</v>
      </c>
      <c r="U352" s="192" t="s">
        <v>410</v>
      </c>
      <c r="V352" s="204"/>
      <c r="W352" s="141"/>
      <c r="X352" s="222"/>
      <c r="Y352" s="141"/>
      <c r="Z352" s="225" t="str">
        <f t="shared" si="75"/>
        <v>SI</v>
      </c>
      <c r="AA352" s="363"/>
      <c r="AB352" s="171"/>
      <c r="AC352" s="256"/>
    </row>
    <row r="353" spans="1:29" ht="16" thickBot="1">
      <c r="A353" s="122"/>
      <c r="B353" s="96"/>
      <c r="C353" s="97"/>
      <c r="D353" s="97"/>
      <c r="E353" s="97"/>
      <c r="F353" s="97"/>
      <c r="G353" s="97"/>
      <c r="H353" s="97"/>
      <c r="I353" s="97"/>
      <c r="J353" s="97"/>
      <c r="K353" s="97"/>
      <c r="L353" s="97"/>
      <c r="M353" s="97"/>
      <c r="N353" s="97"/>
      <c r="O353" s="97"/>
      <c r="P353" s="97"/>
      <c r="Q353" s="97"/>
      <c r="R353" s="173"/>
      <c r="S353" s="173"/>
      <c r="T353" s="126"/>
      <c r="U353" s="98"/>
      <c r="V353" s="205"/>
      <c r="W353" s="1"/>
      <c r="X353" s="242"/>
      <c r="Y353" s="1"/>
      <c r="Z353" s="42"/>
      <c r="AA353" s="42"/>
      <c r="AB353" s="42"/>
      <c r="AC353" s="242"/>
    </row>
    <row r="354" spans="1:29" ht="16" thickBot="1">
      <c r="A354" s="123"/>
      <c r="B354" s="99"/>
      <c r="C354" s="94"/>
      <c r="D354" s="94"/>
      <c r="E354" s="94"/>
      <c r="F354" s="94"/>
      <c r="G354" s="94"/>
      <c r="H354" s="94"/>
      <c r="I354" s="94"/>
      <c r="J354" s="94"/>
      <c r="K354" s="94"/>
      <c r="L354" s="94"/>
      <c r="M354" s="94"/>
      <c r="N354" s="94"/>
      <c r="O354" s="94"/>
      <c r="P354" s="94"/>
      <c r="Q354" s="94"/>
      <c r="R354" s="265"/>
      <c r="S354" s="265"/>
      <c r="T354" s="130">
        <f>SUM(T346:T352)</f>
        <v>20996.720000000001</v>
      </c>
      <c r="U354" s="100"/>
      <c r="V354" s="203"/>
      <c r="W354" s="12"/>
      <c r="X354" s="243"/>
      <c r="Y354" s="12"/>
      <c r="Z354" s="243"/>
      <c r="AA354" s="243"/>
      <c r="AB354" s="243"/>
      <c r="AC354" s="243"/>
    </row>
    <row r="355" spans="1:29">
      <c r="B355" s="197"/>
      <c r="C355" s="193"/>
      <c r="D355" s="193"/>
      <c r="E355" s="193"/>
      <c r="F355" s="193"/>
      <c r="G355" s="193"/>
      <c r="H355" s="193"/>
      <c r="I355" s="193"/>
      <c r="J355" s="193"/>
      <c r="K355" s="193"/>
      <c r="L355" s="193"/>
      <c r="M355" s="193"/>
      <c r="N355" s="193"/>
      <c r="O355" s="193"/>
      <c r="P355" s="193"/>
      <c r="Q355" s="193"/>
      <c r="R355" s="194"/>
      <c r="S355" s="194"/>
      <c r="T355" s="195"/>
      <c r="U355" s="196"/>
      <c r="V355" s="195"/>
    </row>
    <row r="356" spans="1:29" ht="16" thickBot="1">
      <c r="A356" s="122"/>
      <c r="B356" s="322" t="s">
        <v>45</v>
      </c>
      <c r="C356" s="323"/>
      <c r="D356" s="323"/>
      <c r="E356" s="323"/>
      <c r="F356" s="323"/>
      <c r="G356" s="324"/>
      <c r="H356" s="324"/>
      <c r="I356" s="324"/>
      <c r="J356" s="324"/>
      <c r="K356" s="324"/>
      <c r="L356" s="324"/>
      <c r="M356" s="324"/>
      <c r="N356" s="324"/>
      <c r="O356" s="324"/>
      <c r="P356" s="324"/>
      <c r="Q356" s="324"/>
      <c r="R356" s="324"/>
      <c r="S356" s="324"/>
      <c r="T356" s="324"/>
      <c r="U356" s="325"/>
      <c r="V356" s="201"/>
      <c r="W356" s="1"/>
      <c r="X356" s="42"/>
      <c r="Y356" s="1"/>
      <c r="Z356" s="42"/>
      <c r="AA356" s="42"/>
      <c r="AB356" s="42"/>
      <c r="AC356" s="42"/>
    </row>
    <row r="357" spans="1:29" ht="16.5" customHeight="1" thickBot="1">
      <c r="A357" s="122" t="str">
        <f>"G"&amp;E342</f>
        <v>G13</v>
      </c>
      <c r="B357" s="291" t="s">
        <v>97</v>
      </c>
      <c r="C357" s="292"/>
      <c r="D357" s="292"/>
      <c r="E357" s="292"/>
      <c r="F357" s="292"/>
      <c r="G357" s="326"/>
      <c r="H357" s="291" t="s">
        <v>100</v>
      </c>
      <c r="I357" s="292"/>
      <c r="J357" s="292"/>
      <c r="K357" s="292"/>
      <c r="L357" s="292"/>
      <c r="M357" s="292"/>
      <c r="N357" s="292"/>
      <c r="O357" s="189" t="s">
        <v>23</v>
      </c>
      <c r="P357" s="190"/>
      <c r="Q357" s="190"/>
      <c r="R357" s="190"/>
      <c r="S357" s="190"/>
      <c r="T357" s="190"/>
      <c r="U357" s="253"/>
      <c r="V357" s="201"/>
      <c r="W357" s="1"/>
      <c r="X357" s="239" t="s">
        <v>117</v>
      </c>
      <c r="Y357" s="1"/>
      <c r="Z357" s="355" t="s">
        <v>119</v>
      </c>
      <c r="AA357" s="345" t="s">
        <v>120</v>
      </c>
      <c r="AB357" s="345" t="s">
        <v>148</v>
      </c>
      <c r="AC357" s="359" t="s">
        <v>149</v>
      </c>
    </row>
    <row r="358" spans="1:29" ht="15.75" customHeight="1" thickBot="1">
      <c r="A358" s="122" t="str">
        <f>"H"&amp;E342</f>
        <v>H13</v>
      </c>
      <c r="B358" s="293" t="s">
        <v>132</v>
      </c>
      <c r="C358" s="294"/>
      <c r="D358" s="294"/>
      <c r="E358" s="294"/>
      <c r="F358" s="294"/>
      <c r="G358" s="327"/>
      <c r="H358" s="293" t="s">
        <v>17</v>
      </c>
      <c r="I358" s="294"/>
      <c r="J358" s="294"/>
      <c r="K358" s="294"/>
      <c r="L358" s="295"/>
      <c r="M358" s="183">
        <f>VLOOKUP(E342,PROPONENTES!$C$14:$E$37,3,0)</f>
        <v>2</v>
      </c>
      <c r="N358" s="296" t="s">
        <v>143</v>
      </c>
      <c r="O358" s="299"/>
      <c r="P358" s="300"/>
      <c r="Q358" s="300"/>
      <c r="R358" s="300"/>
      <c r="S358" s="300"/>
      <c r="T358" s="300"/>
      <c r="U358" s="301"/>
      <c r="V358" s="201"/>
      <c r="W358" s="1"/>
      <c r="X358" s="244" t="str">
        <f>IF(M358="","",IF(M358=1,"INDIVIDUAL","ESTRUCTURA PLURAL"))</f>
        <v>ESTRUCTURA PLURAL</v>
      </c>
      <c r="Y358" s="1"/>
      <c r="Z358" s="356"/>
      <c r="AA358" s="358"/>
      <c r="AB358" s="358"/>
      <c r="AC358" s="360"/>
    </row>
    <row r="359" spans="1:29" ht="15.75" customHeight="1" thickBot="1">
      <c r="A359" s="122" t="str">
        <f>"I"&amp;E342</f>
        <v>I13</v>
      </c>
      <c r="B359" s="328" t="s">
        <v>131</v>
      </c>
      <c r="C359" s="329"/>
      <c r="D359" s="330"/>
      <c r="E359" s="308">
        <f>IF(AND(I346="SI",T346&gt;0),1,0)+IF(AND(I347="SI",T347&gt;0),1,0)+IF(AND(I350="SI",T348&gt;0),1,0)+IF(AND(I348="SI",T349&gt;0),1,0)+IF(AND(I351="SI",T351&gt;0),1,0)+IF(AND(I352="SI",T352&gt;0),1,0)</f>
        <v>6</v>
      </c>
      <c r="F359" s="310" t="s">
        <v>133</v>
      </c>
      <c r="G359" s="312">
        <f>IF(E359=0,"N/A",IF(AND(E359&gt;=1,E359&lt;=2),0.75,IF(AND(E359&gt;=3,E359&lt;=4),1.2,IF(AND(E359&gt;=5,E359&lt;=6),1.5,"REVISAR"))))</f>
        <v>1.5</v>
      </c>
      <c r="H359" s="334" t="s">
        <v>16</v>
      </c>
      <c r="I359" s="335"/>
      <c r="J359" s="314" t="s">
        <v>350</v>
      </c>
      <c r="K359" s="314" t="s">
        <v>140</v>
      </c>
      <c r="L359" s="314" t="s">
        <v>141</v>
      </c>
      <c r="M359" s="320" t="s">
        <v>142</v>
      </c>
      <c r="N359" s="297"/>
      <c r="O359" s="302"/>
      <c r="P359" s="303"/>
      <c r="Q359" s="303"/>
      <c r="R359" s="303"/>
      <c r="S359" s="303"/>
      <c r="T359" s="303"/>
      <c r="U359" s="304"/>
      <c r="V359" s="201"/>
      <c r="W359" s="38"/>
      <c r="X359" s="171"/>
      <c r="Y359" s="38"/>
      <c r="Z359" s="356"/>
      <c r="AA359" s="358"/>
      <c r="AB359" s="358"/>
      <c r="AC359" s="360"/>
    </row>
    <row r="360" spans="1:29" ht="16.5" customHeight="1" thickBot="1">
      <c r="A360" s="122" t="str">
        <f>"J"&amp;E342</f>
        <v>J13</v>
      </c>
      <c r="B360" s="331"/>
      <c r="C360" s="332"/>
      <c r="D360" s="333"/>
      <c r="E360" s="309"/>
      <c r="F360" s="311"/>
      <c r="G360" s="313"/>
      <c r="H360" s="336"/>
      <c r="I360" s="337"/>
      <c r="J360" s="314"/>
      <c r="K360" s="314"/>
      <c r="L360" s="314"/>
      <c r="M360" s="321"/>
      <c r="N360" s="298"/>
      <c r="O360" s="302"/>
      <c r="P360" s="303"/>
      <c r="Q360" s="303"/>
      <c r="R360" s="303"/>
      <c r="S360" s="303"/>
      <c r="T360" s="303"/>
      <c r="U360" s="304"/>
      <c r="V360" s="201"/>
      <c r="W360" s="38"/>
      <c r="X360" s="239" t="s">
        <v>118</v>
      </c>
      <c r="Y360" s="38"/>
      <c r="Z360" s="357"/>
      <c r="AA360" s="346"/>
      <c r="AB360" s="346"/>
      <c r="AC360" s="321"/>
    </row>
    <row r="361" spans="1:29" ht="16" thickBot="1">
      <c r="A361" s="125" t="str">
        <f>"K"&amp;E342</f>
        <v>K13</v>
      </c>
      <c r="B361" s="293" t="s">
        <v>98</v>
      </c>
      <c r="C361" s="294"/>
      <c r="D361" s="294"/>
      <c r="E361" s="294"/>
      <c r="F361" s="294"/>
      <c r="G361" s="294"/>
      <c r="H361" s="186">
        <v>1</v>
      </c>
      <c r="I361" s="92" t="str">
        <f>IF(AND(H361&lt;=M358,M358&gt;1),VLOOKUP(VALUE(E342&amp;","&amp;H361),INTEGRANTES!$B$15:$D$72,2,0),"")</f>
        <v xml:space="preserve">varego sas </v>
      </c>
      <c r="J361" s="187">
        <f>IF(I361&lt;&gt;"",VLOOKUP(VALUE(E342&amp;","&amp;H361),INTEGRANTES!$B$15:$D$72,3,0),"")</f>
        <v>0.5</v>
      </c>
      <c r="K361" s="247">
        <f>IF($I361="","",IF(G359="N/A","",ROUND($G359*POSMMLV*PORPOM,2)))</f>
        <v>1394.04</v>
      </c>
      <c r="L361" s="247">
        <f>IF(I361="","",SUMIF($J346:$J352,I361,$T346:$T352))</f>
        <v>0</v>
      </c>
      <c r="M361" s="93" t="str">
        <f t="shared" ref="M361:M366" si="78">IF($I361="","",IF($K361&gt;L361,"NO CUMPLE","CUMPLE"))</f>
        <v>NO CUMPLE</v>
      </c>
      <c r="N361" s="93" t="str">
        <f t="shared" ref="N361:N366" si="79">IF($I361="","",IF(M361="CUMPLE","CUMPLE","NO CUMPLE"))</f>
        <v>NO CUMPLE</v>
      </c>
      <c r="O361" s="302"/>
      <c r="P361" s="303"/>
      <c r="Q361" s="303"/>
      <c r="R361" s="303"/>
      <c r="S361" s="303"/>
      <c r="T361" s="303"/>
      <c r="U361" s="304"/>
      <c r="V361" s="201"/>
      <c r="W361" s="1"/>
      <c r="X361" s="244" t="str">
        <f>IF(X358="","",IF(X358="INDIVIDUAL","NO APLICA","VERIFICAR CUADRO"))</f>
        <v>VERIFICAR CUADRO</v>
      </c>
      <c r="Y361" s="1"/>
      <c r="Z361" s="262" t="str">
        <f>IF(AND(H361&lt;=M358,M358&gt;1),VLOOKUP(VALUE(E342&amp;","&amp;H361),INTEGRANTES!$B$15:$D$72,2,0),"")</f>
        <v xml:space="preserve">varego sas </v>
      </c>
      <c r="AA361" s="248">
        <f>IF(I361="","",SUMIF(J346:$J352,I361,$T346:$T352))</f>
        <v>0</v>
      </c>
      <c r="AB361" s="232"/>
      <c r="AC361" s="250" t="str">
        <f>IF(OR(Z361="",AB361=""),"",IF(AND(AB361="X",AA361&gt;=X364),"CUMPLE","NO CUMPLE"))</f>
        <v/>
      </c>
    </row>
    <row r="362" spans="1:29" ht="29" customHeight="1" thickBot="1">
      <c r="A362" s="125" t="str">
        <f>"L"&amp;E342</f>
        <v>L13</v>
      </c>
      <c r="B362" s="328" t="s">
        <v>134</v>
      </c>
      <c r="C362" s="329"/>
      <c r="D362" s="330"/>
      <c r="E362" s="132" t="s">
        <v>135</v>
      </c>
      <c r="F362" s="132" t="s">
        <v>136</v>
      </c>
      <c r="G362" s="136" t="s">
        <v>99</v>
      </c>
      <c r="H362" s="186">
        <v>2</v>
      </c>
      <c r="I362" s="92" t="str">
        <f>IF(AND(H362&lt;=M358,M358&gt;1),VLOOKUP(VALUE(E342&amp;","&amp;H362),INTEGRANTES!$B$15:$D$72,2,0),"")</f>
        <v xml:space="preserve">equipos y construcciones varego SAS </v>
      </c>
      <c r="J362" s="187">
        <f>IF(I362&lt;&gt;"",VLOOKUP(VALUE(E342&amp;","&amp;H362),INTEGRANTES!$B$15:$D$72,3,0),"")</f>
        <v>0.5</v>
      </c>
      <c r="K362" s="247">
        <f>IF($I362="","",IF(G359="N/A","",ROUND($G359*POSMMLV*PORPOM,2)))</f>
        <v>1394.04</v>
      </c>
      <c r="L362" s="247">
        <f>IF(I362="","",SUMIF($J346:$J352,I362,$T346:$T352))</f>
        <v>20996.720000000001</v>
      </c>
      <c r="M362" s="93" t="str">
        <f t="shared" si="78"/>
        <v>CUMPLE</v>
      </c>
      <c r="N362" s="93" t="str">
        <f t="shared" si="79"/>
        <v>CUMPLE</v>
      </c>
      <c r="O362" s="302"/>
      <c r="P362" s="303"/>
      <c r="Q362" s="303"/>
      <c r="R362" s="303"/>
      <c r="S362" s="303"/>
      <c r="T362" s="303"/>
      <c r="U362" s="304"/>
      <c r="V362" s="201"/>
      <c r="W362" s="1"/>
      <c r="X362" s="42"/>
      <c r="Y362" s="1"/>
      <c r="Z362" s="262" t="str">
        <f>IF(AND(H362&lt;=M358,M358&gt;1),VLOOKUP(VALUE(E342&amp;","&amp;H362),INTEGRANTES!$B$15:$D$72,2,0),"")</f>
        <v xml:space="preserve">equipos y construcciones varego SAS </v>
      </c>
      <c r="AA362" s="248">
        <f>IF(I362="","",SUMIF(J346:$J352,I362,$T346:$T352))</f>
        <v>20996.720000000001</v>
      </c>
      <c r="AB362" s="232"/>
      <c r="AC362" s="250" t="str">
        <f>IF(OR(Z362="",AB362=""),"",IF(AND(AB362="X",AA362&gt;=X364),"CUMPLE","NO CUMPLE"))</f>
        <v/>
      </c>
    </row>
    <row r="363" spans="1:29" ht="16" thickBot="1">
      <c r="A363" s="122" t="str">
        <f>"M"&amp;E342</f>
        <v>M13</v>
      </c>
      <c r="B363" s="331"/>
      <c r="C363" s="332"/>
      <c r="D363" s="333"/>
      <c r="E363" s="237">
        <f>IF(ISTEXT(G359),"NO APLICA",G359*POSMMLV)</f>
        <v>2788.0720563302725</v>
      </c>
      <c r="F363" s="238">
        <f>IF(E363="","",T354)</f>
        <v>20996.720000000001</v>
      </c>
      <c r="G363" s="221" t="str">
        <f>IF(E363="","",IF(E363="NO APLICA","NO CUMPLE",IF(F363&gt;=E363,"CUMPLE", "NO CUMPLE")))</f>
        <v>CUMPLE</v>
      </c>
      <c r="H363" s="186">
        <v>3</v>
      </c>
      <c r="I363" s="92" t="str">
        <f>IF(AND(H363&lt;=M358,M358&gt;1),VLOOKUP(VALUE(E342&amp;","&amp;H363),INTEGRANTES!$B$15:$D$72,2,0),"")</f>
        <v/>
      </c>
      <c r="J363" s="187" t="str">
        <f>IF(I363&lt;&gt;"",VLOOKUP(VALUE(E342&amp;","&amp;H363),INTEGRANTES!$B$15:$D$72,3,0),"")</f>
        <v/>
      </c>
      <c r="K363" s="247" t="str">
        <f>IF($I363="","",IF(G359="N/A","",ROUND($G359*POSMMLV*PORPOM,2)))</f>
        <v/>
      </c>
      <c r="L363" s="247" t="str">
        <f>IF(I363="","",SUMIF($J346:$J352,I363,$T346:$T352))</f>
        <v/>
      </c>
      <c r="M363" s="93" t="str">
        <f t="shared" si="78"/>
        <v/>
      </c>
      <c r="N363" s="93" t="str">
        <f t="shared" si="79"/>
        <v/>
      </c>
      <c r="O363" s="302"/>
      <c r="P363" s="303"/>
      <c r="Q363" s="303"/>
      <c r="R363" s="303"/>
      <c r="S363" s="303"/>
      <c r="T363" s="303"/>
      <c r="U363" s="304"/>
      <c r="V363" s="201"/>
      <c r="W363" s="1"/>
      <c r="X363" s="239" t="s">
        <v>145</v>
      </c>
      <c r="Y363" s="1"/>
      <c r="Z363" s="262" t="str">
        <f>IF(AND(H363&lt;=M358,M358&gt;1),VLOOKUP(VALUE(E342&amp;","&amp;H363),INTEGRANTES!$B$15:$D$72,2,0),"")</f>
        <v/>
      </c>
      <c r="AA363" s="248" t="str">
        <f>IF(I363="","",SUMIF(J346:$J352,I363,$T346:$T352))</f>
        <v/>
      </c>
      <c r="AB363" s="232"/>
      <c r="AC363" s="250" t="str">
        <f>IF(OR(Z363="",AB363=""),"",IF(AND(AB363="X",AA363&gt;=X364),"CUMPLE","NO CUMPLE"))</f>
        <v/>
      </c>
    </row>
    <row r="364" spans="1:29" ht="15.75" customHeight="1" thickBot="1">
      <c r="A364" s="122" t="str">
        <f>"N"&amp;E342</f>
        <v>N13</v>
      </c>
      <c r="B364" s="293" t="s">
        <v>107</v>
      </c>
      <c r="C364" s="294"/>
      <c r="D364" s="294"/>
      <c r="E364" s="294"/>
      <c r="F364" s="294"/>
      <c r="G364" s="294"/>
      <c r="H364" s="186">
        <v>4</v>
      </c>
      <c r="I364" s="92" t="str">
        <f>IF(AND(H364&lt;=M358,M358&gt;1),VLOOKUP(VALUE(E342&amp;","&amp;H364),INTEGRANTES!$B$15:$D$72,2,0),"")</f>
        <v/>
      </c>
      <c r="J364" s="187" t="str">
        <f>IF(I364&lt;&gt;"",VLOOKUP(VALUE(E342&amp;","&amp;H364),INTEGRANTES!$B$15:$D$72,3,0),"")</f>
        <v/>
      </c>
      <c r="K364" s="247" t="str">
        <f>IF($I364="","",IF(G359="N/A","",ROUND($G359*POSMMLV*PORPOM,2)))</f>
        <v/>
      </c>
      <c r="L364" s="247" t="str">
        <f>IF(I364="","",SUMIF($J346:$J352,I364,$T346:$T352))</f>
        <v/>
      </c>
      <c r="M364" s="93" t="str">
        <f t="shared" si="78"/>
        <v/>
      </c>
      <c r="N364" s="93" t="str">
        <f t="shared" si="79"/>
        <v/>
      </c>
      <c r="O364" s="302"/>
      <c r="P364" s="303"/>
      <c r="Q364" s="303"/>
      <c r="R364" s="303"/>
      <c r="S364" s="303"/>
      <c r="T364" s="303"/>
      <c r="U364" s="304"/>
      <c r="V364" s="201"/>
      <c r="W364" s="1"/>
      <c r="X364" s="251">
        <f>IF(G359="N/A","N/A",0.4*G359*POSMMLV)</f>
        <v>1115.2288225321092</v>
      </c>
      <c r="Y364" s="1"/>
      <c r="Z364" s="262" t="str">
        <f>IF(AND(H364&lt;=M358,M358&gt;1),VLOOKUP(VALUE(E342&amp;","&amp;H364),INTEGRANTES!$B$15:$D$72,2,0),"")</f>
        <v/>
      </c>
      <c r="AA364" s="248" t="str">
        <f>IF(I364="","",SUMIF(J346:$J352,I364,$T346:$T352))</f>
        <v/>
      </c>
      <c r="AB364" s="232"/>
      <c r="AC364" s="250" t="str">
        <f>IF(OR(Z364="",AB364=""),"",IF(AND(AB364="X",AA364&gt;=X364),"CUMPLE","NO CUMPLE"))</f>
        <v/>
      </c>
    </row>
    <row r="365" spans="1:29" ht="33.75" customHeight="1" thickBot="1">
      <c r="A365" s="122" t="str">
        <f>"O"&amp;E342</f>
        <v>O13</v>
      </c>
      <c r="B365" s="328" t="s">
        <v>108</v>
      </c>
      <c r="C365" s="329"/>
      <c r="D365" s="329"/>
      <c r="E365" s="329"/>
      <c r="F365" s="329"/>
      <c r="G365" s="185" t="s">
        <v>99</v>
      </c>
      <c r="H365" s="186">
        <v>5</v>
      </c>
      <c r="I365" s="92" t="str">
        <f>IF(AND(H365&lt;=M358,M358&gt;1),VLOOKUP(VALUE(E342&amp;","&amp;H365),INTEGRANTES!$B$15:$D$72,2,0),"")</f>
        <v/>
      </c>
      <c r="J365" s="187" t="str">
        <f>IF(I365&lt;&gt;"",VLOOKUP(VALUE(E342&amp;","&amp;H365),INTEGRANTES!$B$15:$D$72,3,0),"")</f>
        <v/>
      </c>
      <c r="K365" s="247" t="str">
        <f>IF($I365="","",IF(G359="N/A","",ROUND($G359*POSMMLV*PORPOM,2)))</f>
        <v/>
      </c>
      <c r="L365" s="247" t="str">
        <f>IF(I365="","",SUMIF($J346:$J352,I365,$T346:$T352))</f>
        <v/>
      </c>
      <c r="M365" s="93" t="str">
        <f t="shared" si="78"/>
        <v/>
      </c>
      <c r="N365" s="93" t="str">
        <f t="shared" si="79"/>
        <v/>
      </c>
      <c r="O365" s="302"/>
      <c r="P365" s="303"/>
      <c r="Q365" s="303"/>
      <c r="R365" s="303"/>
      <c r="S365" s="303"/>
      <c r="T365" s="303"/>
      <c r="U365" s="304"/>
      <c r="V365" s="201"/>
      <c r="W365" s="1"/>
      <c r="X365" s="42"/>
      <c r="Y365" s="1"/>
      <c r="Z365" s="262" t="str">
        <f>IF(AND(H365&lt;=M358,M358&gt;1),VLOOKUP(VALUE(E342&amp;","&amp;H365),INTEGRANTES!$B$15:$D$72,2,0),"")</f>
        <v/>
      </c>
      <c r="AA365" s="248" t="str">
        <f>IF(I365="","",SUMIF(J346:$J352,I365,$T346:$T352))</f>
        <v/>
      </c>
      <c r="AB365" s="232"/>
      <c r="AC365" s="250" t="str">
        <f>IF(OR(Z365="",AB365=""),"",IF(AND(AB365="X",AA365&gt;=X364),"CUMPLE","NO CUMPLE"))</f>
        <v/>
      </c>
    </row>
    <row r="366" spans="1:29" ht="16" thickBot="1">
      <c r="A366" s="122" t="str">
        <f>"P"&amp;E342</f>
        <v>P13</v>
      </c>
      <c r="B366" s="353"/>
      <c r="C366" s="354"/>
      <c r="D366" s="354"/>
      <c r="E366" s="354"/>
      <c r="F366" s="354"/>
      <c r="G366" s="137" t="str">
        <f>IF(AND(COUNTIF(X346:X352,"")&gt;5,COUNTIF(Z346:Z352,"")&gt;5),"NO CUMPLE",IF(AND(COUNTIF(X346:X352,"SI")&gt;=$AF$17,COUNTIF(Z346:Z352,"SI")&gt;=$AF$17),"CUMPLE", "NO CUMPLE"))</f>
        <v>CUMPLE</v>
      </c>
      <c r="H366" s="257">
        <v>6</v>
      </c>
      <c r="I366" s="258" t="str">
        <f>IF(AND(H366&lt;=M358,M358&gt;1),VLOOKUP(VALUE(E342&amp;","&amp;H366),INTEGRANTES!$B$15:$D$72,2,0),"")</f>
        <v/>
      </c>
      <c r="J366" s="259" t="str">
        <f>IF(I366&lt;&gt;"",VLOOKUP(VALUE(E342&amp;","&amp;H366),INTEGRANTES!$B$15:$D$72,3,0),"")</f>
        <v/>
      </c>
      <c r="K366" s="260" t="str">
        <f>IF($I366="","",IF(G359="N/A","",ROUND($G359*POSMMLV*PORPOM,2)))</f>
        <v/>
      </c>
      <c r="L366" s="260" t="str">
        <f>IF(I366="","",SUMIF($J346:$J352,I366,$T346:$T352))</f>
        <v/>
      </c>
      <c r="M366" s="261" t="str">
        <f t="shared" si="78"/>
        <v/>
      </c>
      <c r="N366" s="93" t="str">
        <f t="shared" si="79"/>
        <v/>
      </c>
      <c r="O366" s="302"/>
      <c r="P366" s="303"/>
      <c r="Q366" s="303"/>
      <c r="R366" s="303"/>
      <c r="S366" s="303"/>
      <c r="T366" s="303"/>
      <c r="U366" s="304"/>
      <c r="V366" s="201"/>
      <c r="W366" s="1"/>
      <c r="X366" s="239" t="s">
        <v>122</v>
      </c>
      <c r="Y366" s="1"/>
      <c r="Z366" s="263" t="str">
        <f>IF(AND(H366&lt;=M358,M358&gt;1),VLOOKUP(VALUE(E342&amp;","&amp;H366),INTEGRANTES!$B$15:$D$72,2,0),"")</f>
        <v/>
      </c>
      <c r="AA366" s="249" t="str">
        <f>IF(I366="","",SUMIF(J346:$J352,I366,$T346:$T352))</f>
        <v/>
      </c>
      <c r="AB366" s="246"/>
      <c r="AC366" s="137" t="str">
        <f>IF(OR(Z366="",AB366=""),"",IF(AND(AB366="X",AA366&gt;=X364),"CUMPLE","NO CUMPLE"))</f>
        <v/>
      </c>
    </row>
    <row r="367" spans="1:29" ht="38.25" customHeight="1" thickBot="1">
      <c r="A367" s="122" t="str">
        <f>"Q"&amp;E342</f>
        <v>Q13</v>
      </c>
      <c r="B367" s="338"/>
      <c r="C367" s="339"/>
      <c r="D367" s="339"/>
      <c r="E367" s="339"/>
      <c r="F367" s="339"/>
      <c r="G367" s="340"/>
      <c r="H367" s="318" t="s">
        <v>138</v>
      </c>
      <c r="I367" s="341"/>
      <c r="J367" s="342"/>
      <c r="K367" s="318" t="s">
        <v>139</v>
      </c>
      <c r="L367" s="319"/>
      <c r="M367" s="188" t="str">
        <f>IF(OR($M358="",SUM(J361:J366)=0),"",IF(COUNTIF(M361:M366,"CUMPLE")&gt;=1,"CUMPLE","NO CUMPLE"))</f>
        <v>CUMPLE</v>
      </c>
      <c r="N367" s="188" t="str">
        <f>IF(OR($M358="",SUM(J361:J366)=0),"",IF(COUNTIF(N361:N366,"CUMPLE")&gt;=1,"CUMPLE","NO CUMPLE"))</f>
        <v>CUMPLE</v>
      </c>
      <c r="O367" s="305"/>
      <c r="P367" s="306"/>
      <c r="Q367" s="306"/>
      <c r="R367" s="306"/>
      <c r="S367" s="306"/>
      <c r="T367" s="306"/>
      <c r="U367" s="307"/>
      <c r="V367" s="201"/>
      <c r="W367" s="1"/>
      <c r="X367" s="254" t="str">
        <f>IF(X361="NO APLICA","NO APLICA",IF(COUNTIF(AC361:AC366,"CUMPLE")&gt;0,"CUMPLE","NO CUMPLE"))</f>
        <v>NO CUMPLE</v>
      </c>
      <c r="Y367" s="1"/>
      <c r="Z367" s="42"/>
      <c r="AA367" s="42"/>
      <c r="AB367" s="42"/>
      <c r="AC367" s="42"/>
    </row>
    <row r="368" spans="1:29">
      <c r="A368"/>
    </row>
    <row r="369" spans="1:29">
      <c r="A369"/>
    </row>
    <row r="370" spans="1:29" ht="23.5" thickBot="1">
      <c r="A370" s="167">
        <v>14</v>
      </c>
      <c r="B370" s="349" t="s">
        <v>1</v>
      </c>
      <c r="C370" s="349"/>
      <c r="D370" s="349"/>
      <c r="E370" s="105">
        <f>VLOOKUP(A370,PROPONENTES!$B$14:$D$37,2,FALSE)</f>
        <v>14</v>
      </c>
      <c r="F370" s="106" t="str">
        <f>VLOOKUP(E370,PROPONENTES!$C$14:$D$37,2,FALSE)</f>
        <v>UNIÓN TEMPORAL VÍAS COLOMBIA 1</v>
      </c>
      <c r="G370" s="107"/>
      <c r="H370" s="107"/>
      <c r="I370" s="107"/>
      <c r="J370" s="106"/>
      <c r="K370" s="106"/>
      <c r="L370" s="105"/>
      <c r="M370" s="107"/>
      <c r="N370" s="107"/>
      <c r="O370" s="107"/>
      <c r="P370" s="107"/>
      <c r="Q370" s="107"/>
      <c r="R370" s="107"/>
      <c r="S370" s="107"/>
      <c r="T370" s="108"/>
      <c r="U370" s="109"/>
      <c r="V370" s="109"/>
      <c r="W370" s="11"/>
      <c r="X370" s="240"/>
      <c r="Y370" s="11"/>
      <c r="Z370" s="240"/>
      <c r="AA370" s="240"/>
      <c r="AB370" s="240"/>
      <c r="AC370" s="240"/>
    </row>
    <row r="371" spans="1:29" ht="48" customHeight="1">
      <c r="A371" s="131"/>
      <c r="B371" s="350" t="s">
        <v>88</v>
      </c>
      <c r="C371" s="345" t="s">
        <v>48</v>
      </c>
      <c r="D371" s="352" t="s">
        <v>130</v>
      </c>
      <c r="E371" s="295"/>
      <c r="F371" s="352" t="s">
        <v>93</v>
      </c>
      <c r="G371" s="295"/>
      <c r="H371" s="315" t="s">
        <v>351</v>
      </c>
      <c r="I371" s="315" t="s">
        <v>103</v>
      </c>
      <c r="J371" s="315" t="s">
        <v>2</v>
      </c>
      <c r="K371" s="315" t="s">
        <v>352</v>
      </c>
      <c r="L371" s="315" t="s">
        <v>353</v>
      </c>
      <c r="M371" s="316" t="s">
        <v>29</v>
      </c>
      <c r="N371" s="315" t="s">
        <v>104</v>
      </c>
      <c r="O371" s="343" t="s">
        <v>78</v>
      </c>
      <c r="P371" s="344"/>
      <c r="Q371" s="345" t="s">
        <v>144</v>
      </c>
      <c r="R371" s="345" t="s">
        <v>101</v>
      </c>
      <c r="S371" s="294" t="s">
        <v>3</v>
      </c>
      <c r="T371" s="295"/>
      <c r="U371" s="347" t="s">
        <v>18</v>
      </c>
      <c r="V371" s="366" t="s">
        <v>102</v>
      </c>
      <c r="W371" s="133"/>
      <c r="X371" s="361" t="s">
        <v>146</v>
      </c>
      <c r="Y371" s="133"/>
      <c r="Z371" s="133"/>
      <c r="AA371" s="133"/>
      <c r="AB371" s="245"/>
      <c r="AC371" s="361" t="s">
        <v>123</v>
      </c>
    </row>
    <row r="372" spans="1:29" ht="98.25" customHeight="1">
      <c r="A372" s="131"/>
      <c r="B372" s="351"/>
      <c r="C372" s="346"/>
      <c r="D372" s="134" t="s">
        <v>10</v>
      </c>
      <c r="E372" s="134" t="s">
        <v>4</v>
      </c>
      <c r="F372" s="134" t="s">
        <v>15</v>
      </c>
      <c r="G372" s="135" t="s">
        <v>90</v>
      </c>
      <c r="H372" s="314"/>
      <c r="I372" s="314"/>
      <c r="J372" s="314"/>
      <c r="K372" s="314"/>
      <c r="L372" s="314"/>
      <c r="M372" s="317"/>
      <c r="N372" s="314"/>
      <c r="O372" s="264" t="s">
        <v>76</v>
      </c>
      <c r="P372" s="264" t="s">
        <v>105</v>
      </c>
      <c r="Q372" s="346"/>
      <c r="R372" s="346"/>
      <c r="S372" s="264" t="s">
        <v>81</v>
      </c>
      <c r="T372" s="264" t="s">
        <v>77</v>
      </c>
      <c r="U372" s="348"/>
      <c r="V372" s="336"/>
      <c r="W372" s="133"/>
      <c r="X372" s="362"/>
      <c r="Y372" s="133"/>
      <c r="Z372" s="245"/>
      <c r="AA372" s="245"/>
      <c r="AB372" s="245"/>
      <c r="AC372" s="362"/>
    </row>
    <row r="373" spans="1:29" ht="16" thickBot="1">
      <c r="A373" s="122"/>
      <c r="B373" s="96"/>
      <c r="C373" s="97"/>
      <c r="D373" s="97"/>
      <c r="E373" s="97"/>
      <c r="F373" s="97"/>
      <c r="G373" s="97"/>
      <c r="H373" s="97"/>
      <c r="I373" s="97"/>
      <c r="J373" s="97"/>
      <c r="K373" s="97"/>
      <c r="L373" s="97"/>
      <c r="M373" s="97"/>
      <c r="N373" s="97"/>
      <c r="O373" s="97"/>
      <c r="P373" s="97"/>
      <c r="Q373" s="97"/>
      <c r="R373" s="173"/>
      <c r="S373" s="173"/>
      <c r="T373" s="97"/>
      <c r="U373" s="191"/>
      <c r="V373" s="202"/>
      <c r="W373" s="1"/>
      <c r="X373" s="241"/>
      <c r="Y373" s="1"/>
      <c r="Z373" s="42"/>
      <c r="AA373" s="42"/>
      <c r="AB373" s="42"/>
      <c r="AC373" s="241"/>
    </row>
    <row r="374" spans="1:29" ht="79" customHeight="1">
      <c r="A374" s="125" t="str">
        <f>"A"&amp;E370</f>
        <v>A14</v>
      </c>
      <c r="B374" s="140">
        <v>1</v>
      </c>
      <c r="C374" s="139" t="s">
        <v>287</v>
      </c>
      <c r="D374" s="139" t="s">
        <v>288</v>
      </c>
      <c r="E374" s="139" t="s">
        <v>373</v>
      </c>
      <c r="F374" s="139" t="s">
        <v>207</v>
      </c>
      <c r="G374" s="142">
        <v>0.9</v>
      </c>
      <c r="H374" s="142" t="s">
        <v>115</v>
      </c>
      <c r="I374" s="138" t="s">
        <v>50</v>
      </c>
      <c r="J374" s="378" t="str">
        <f>+I389</f>
        <v xml:space="preserve">LUIS GUILLERMO RUIZ MACHADO </v>
      </c>
      <c r="K374" s="127">
        <v>41520</v>
      </c>
      <c r="L374" s="127">
        <v>42130</v>
      </c>
      <c r="M374" s="128">
        <f>IF(OR(K374="",L374=""),"",IF(OR(K374&gt;$T$14,K374&lt;$S$14,L374&gt;$T$14,AND(K374&lt;$S$14,L374&lt;$S$14)),"FUERA DE RANGO",IF(K374&gt;=$S$14,ROUND(((L374-K374+1)/360*12),1),ROUND(((L374-$S$14+1)/360*12),1))))</f>
        <v>20.399999999999999</v>
      </c>
      <c r="N374" s="206">
        <v>3</v>
      </c>
      <c r="O374" s="138" t="s">
        <v>50</v>
      </c>
      <c r="P374" s="128" t="s">
        <v>50</v>
      </c>
      <c r="Q374" s="128" t="s">
        <v>110</v>
      </c>
      <c r="R374" s="95">
        <v>49527.86</v>
      </c>
      <c r="S374" s="95">
        <f t="shared" ref="S374:S379" si="80">IF(OR(G374="",R374=""),"",R374*G374)</f>
        <v>44575.074000000001</v>
      </c>
      <c r="T374" s="129">
        <f>IF(OR(I374="NO",I374="",I374&lt;&gt;"SI",S374=""),"",IF(OR(L374&lt;$S$14,L374&gt;$T$14,L374=""),0,ROUND(S374,2)))</f>
        <v>44575.07</v>
      </c>
      <c r="U374" s="192"/>
      <c r="V374" s="204"/>
      <c r="W374" s="141"/>
      <c r="X374" s="222" t="s">
        <v>50</v>
      </c>
      <c r="Y374" s="141"/>
      <c r="Z374" s="223" t="str">
        <f t="shared" ref="Z374:Z379" si="81">IF(T374="","",IF(T374&gt;=PORCREQCTO*POSMMLV,"SI","NO"))</f>
        <v>SI</v>
      </c>
      <c r="AA374" s="296" t="str">
        <f>"VERIFICACIÓN CUMPLIMIENTO "&amp;PORCREQCTO*100&amp;"% DEL PO"</f>
        <v>VERIFICACIÓN CUMPLIMIENTO 50% DEL PO</v>
      </c>
      <c r="AB374" s="171"/>
      <c r="AC374" s="256"/>
    </row>
    <row r="375" spans="1:29" ht="52.5" customHeight="1">
      <c r="A375" s="125" t="str">
        <f>"B"&amp;E370</f>
        <v>B14</v>
      </c>
      <c r="B375" s="386">
        <v>2</v>
      </c>
      <c r="C375" s="380" t="s">
        <v>223</v>
      </c>
      <c r="D375" s="380" t="s">
        <v>289</v>
      </c>
      <c r="E375" s="380" t="s">
        <v>374</v>
      </c>
      <c r="F375" s="380" t="s">
        <v>207</v>
      </c>
      <c r="G375" s="142">
        <v>0.25</v>
      </c>
      <c r="H375" s="142" t="s">
        <v>115</v>
      </c>
      <c r="I375" s="398" t="s">
        <v>50</v>
      </c>
      <c r="J375" s="378" t="str">
        <f>+I388</f>
        <v>CIDTEC S.A.S</v>
      </c>
      <c r="K375" s="382">
        <v>43067</v>
      </c>
      <c r="L375" s="382">
        <v>43441</v>
      </c>
      <c r="M375" s="128">
        <f t="shared" ref="M375:M379" si="82">IF(OR(K375="",L375=""),"",IF(OR(K375&gt;$T$14,K375&lt;$S$14,L375&gt;$T$14,AND(K375&lt;$S$14,L375&lt;$S$14)),"FUERA DE RANGO",IF(K375&gt;=$S$14,ROUND(((L375-K375+1)/360*12),1),ROUND(((L375-$S$14+1)/360*12),1))))</f>
        <v>12.5</v>
      </c>
      <c r="N375" s="206">
        <v>9</v>
      </c>
      <c r="O375" s="138" t="s">
        <v>50</v>
      </c>
      <c r="P375" s="128" t="s">
        <v>50</v>
      </c>
      <c r="Q375" s="128" t="s">
        <v>109</v>
      </c>
      <c r="R375" s="95">
        <v>14454.27</v>
      </c>
      <c r="S375" s="95">
        <f t="shared" si="80"/>
        <v>3613.5675000000001</v>
      </c>
      <c r="T375" s="129">
        <f t="shared" ref="T375:T379" si="83">IF(OR(I375="NO",I375="",I375&lt;&gt;"SI",S375=""),"",IF(OR(L375&lt;$S$14,L375&gt;$T$14,L375=""),0,ROUND(S375,2)))</f>
        <v>3613.57</v>
      </c>
      <c r="U375" s="192"/>
      <c r="V375" s="204"/>
      <c r="W375" s="141"/>
      <c r="X375" s="222"/>
      <c r="Y375" s="141"/>
      <c r="Z375" s="224" t="str">
        <f t="shared" si="81"/>
        <v>SI</v>
      </c>
      <c r="AA375" s="297"/>
      <c r="AB375" s="171"/>
      <c r="AC375" s="256"/>
    </row>
    <row r="376" spans="1:29" ht="33.5" customHeight="1">
      <c r="A376" s="125" t="str">
        <f>"C"&amp;E370</f>
        <v>C14</v>
      </c>
      <c r="B376" s="387"/>
      <c r="C376" s="381"/>
      <c r="D376" s="381"/>
      <c r="E376" s="381"/>
      <c r="F376" s="381"/>
      <c r="G376" s="142">
        <v>0.25</v>
      </c>
      <c r="H376" s="142" t="s">
        <v>115</v>
      </c>
      <c r="I376" s="399"/>
      <c r="J376" s="378" t="str">
        <f>+I389</f>
        <v xml:space="preserve">LUIS GUILLERMO RUIZ MACHADO </v>
      </c>
      <c r="K376" s="383"/>
      <c r="L376" s="383"/>
      <c r="M376" s="128">
        <f>IF(OR(K375="",L375=""),"",IF(OR(K375&gt;$T$14,K375&lt;$S$14,L375&gt;$T$14,AND(K375&lt;$S$14,L375&lt;$S$14)),"FUERA DE RANGO",IF(K375&gt;=$S$14,ROUND(((L375-K375+1)/360*12),1),ROUND(((L375-$S$14+1)/360*12),1))))</f>
        <v>12.5</v>
      </c>
      <c r="N376" s="206">
        <v>14</v>
      </c>
      <c r="O376" s="138" t="s">
        <v>50</v>
      </c>
      <c r="P376" s="128" t="s">
        <v>50</v>
      </c>
      <c r="Q376" s="128" t="s">
        <v>109</v>
      </c>
      <c r="R376" s="95">
        <v>14454.27</v>
      </c>
      <c r="S376" s="95">
        <f t="shared" si="80"/>
        <v>3613.5675000000001</v>
      </c>
      <c r="T376" s="129">
        <f>IF(OR(I375="NO",I375="",I375&lt;&gt;"SI",S376=""),"",IF(OR(L375&lt;$S$14,L375&gt;$T$14,L375=""),0,ROUND(S376,2)))</f>
        <v>3613.57</v>
      </c>
      <c r="U376" s="192"/>
      <c r="V376" s="204"/>
      <c r="W376" s="141"/>
      <c r="X376" s="222"/>
      <c r="Y376" s="141"/>
      <c r="Z376" s="224" t="str">
        <f t="shared" si="81"/>
        <v>SI</v>
      </c>
      <c r="AA376" s="297"/>
      <c r="AB376" s="171"/>
      <c r="AC376" s="256"/>
    </row>
    <row r="377" spans="1:29">
      <c r="A377" s="125" t="str">
        <f>"D"&amp;E370</f>
        <v>D14</v>
      </c>
      <c r="B377" s="140"/>
      <c r="C377" s="139"/>
      <c r="D377" s="139"/>
      <c r="E377" s="139"/>
      <c r="F377" s="139"/>
      <c r="G377" s="142"/>
      <c r="H377" s="142"/>
      <c r="I377" s="138"/>
      <c r="J377" s="138"/>
      <c r="K377" s="127"/>
      <c r="L377" s="127"/>
      <c r="M377" s="128" t="str">
        <f t="shared" si="82"/>
        <v/>
      </c>
      <c r="N377" s="206"/>
      <c r="O377" s="138"/>
      <c r="P377" s="128"/>
      <c r="Q377" s="128"/>
      <c r="R377" s="95"/>
      <c r="S377" s="95" t="str">
        <f t="shared" si="80"/>
        <v/>
      </c>
      <c r="T377" s="129" t="str">
        <f t="shared" si="83"/>
        <v/>
      </c>
      <c r="U377" s="192"/>
      <c r="V377" s="204"/>
      <c r="W377" s="141"/>
      <c r="X377" s="222"/>
      <c r="Y377" s="141"/>
      <c r="Z377" s="224" t="str">
        <f t="shared" si="81"/>
        <v/>
      </c>
      <c r="AA377" s="297"/>
      <c r="AB377" s="171"/>
      <c r="AC377" s="256"/>
    </row>
    <row r="378" spans="1:29">
      <c r="A378" s="125" t="str">
        <f>"E"&amp;E370</f>
        <v>E14</v>
      </c>
      <c r="B378" s="140"/>
      <c r="C378" s="139"/>
      <c r="D378" s="139"/>
      <c r="E378" s="139"/>
      <c r="F378" s="139"/>
      <c r="G378" s="142"/>
      <c r="H378" s="142"/>
      <c r="I378" s="138"/>
      <c r="J378" s="138"/>
      <c r="K378" s="127"/>
      <c r="L378" s="127"/>
      <c r="M378" s="128" t="str">
        <f t="shared" si="82"/>
        <v/>
      </c>
      <c r="N378" s="206"/>
      <c r="O378" s="138"/>
      <c r="P378" s="128"/>
      <c r="Q378" s="128"/>
      <c r="R378" s="95"/>
      <c r="S378" s="95" t="str">
        <f t="shared" si="80"/>
        <v/>
      </c>
      <c r="T378" s="129" t="str">
        <f t="shared" si="83"/>
        <v/>
      </c>
      <c r="U378" s="192"/>
      <c r="V378" s="204"/>
      <c r="W378" s="141"/>
      <c r="X378" s="222"/>
      <c r="Y378" s="141"/>
      <c r="Z378" s="224" t="str">
        <f t="shared" si="81"/>
        <v/>
      </c>
      <c r="AA378" s="297"/>
      <c r="AB378" s="171"/>
      <c r="AC378" s="256"/>
    </row>
    <row r="379" spans="1:29" ht="16" thickBot="1">
      <c r="A379" s="125" t="str">
        <f>"F"&amp;E370</f>
        <v>F14</v>
      </c>
      <c r="B379" s="140"/>
      <c r="C379" s="139"/>
      <c r="D379" s="139"/>
      <c r="E379" s="139"/>
      <c r="F379" s="139"/>
      <c r="G379" s="142"/>
      <c r="H379" s="142"/>
      <c r="I379" s="138"/>
      <c r="J379" s="138"/>
      <c r="K379" s="127"/>
      <c r="L379" s="127"/>
      <c r="M379" s="128" t="str">
        <f t="shared" si="82"/>
        <v/>
      </c>
      <c r="N379" s="206"/>
      <c r="O379" s="138"/>
      <c r="P379" s="128"/>
      <c r="Q379" s="128"/>
      <c r="R379" s="95"/>
      <c r="S379" s="95" t="str">
        <f t="shared" si="80"/>
        <v/>
      </c>
      <c r="T379" s="129" t="str">
        <f t="shared" si="83"/>
        <v/>
      </c>
      <c r="U379" s="192"/>
      <c r="V379" s="204"/>
      <c r="W379" s="141"/>
      <c r="X379" s="222"/>
      <c r="Y379" s="141"/>
      <c r="Z379" s="225" t="str">
        <f t="shared" si="81"/>
        <v/>
      </c>
      <c r="AA379" s="363"/>
      <c r="AB379" s="171"/>
      <c r="AC379" s="256"/>
    </row>
    <row r="380" spans="1:29" ht="16" thickBot="1">
      <c r="A380" s="122"/>
      <c r="B380" s="96"/>
      <c r="C380" s="97"/>
      <c r="D380" s="97"/>
      <c r="E380" s="97"/>
      <c r="F380" s="97"/>
      <c r="G380" s="97"/>
      <c r="H380" s="97"/>
      <c r="I380" s="97"/>
      <c r="J380" s="97"/>
      <c r="K380" s="97"/>
      <c r="L380" s="97"/>
      <c r="M380" s="97"/>
      <c r="N380" s="97"/>
      <c r="O380" s="97"/>
      <c r="P380" s="97"/>
      <c r="Q380" s="97"/>
      <c r="R380" s="173"/>
      <c r="S380" s="173"/>
      <c r="T380" s="126"/>
      <c r="U380" s="98"/>
      <c r="V380" s="205"/>
      <c r="W380" s="1"/>
      <c r="X380" s="242"/>
      <c r="Y380" s="1"/>
      <c r="Z380" s="42"/>
      <c r="AA380" s="42"/>
      <c r="AB380" s="42"/>
      <c r="AC380" s="242"/>
    </row>
    <row r="381" spans="1:29" ht="16" thickBot="1">
      <c r="A381" s="123"/>
      <c r="B381" s="99"/>
      <c r="C381" s="94"/>
      <c r="D381" s="94"/>
      <c r="E381" s="94"/>
      <c r="F381" s="94"/>
      <c r="G381" s="94"/>
      <c r="H381" s="94"/>
      <c r="I381" s="94"/>
      <c r="J381" s="94"/>
      <c r="K381" s="94"/>
      <c r="L381" s="94"/>
      <c r="M381" s="94"/>
      <c r="N381" s="94"/>
      <c r="O381" s="94"/>
      <c r="P381" s="94"/>
      <c r="Q381" s="94"/>
      <c r="R381" s="265"/>
      <c r="S381" s="265"/>
      <c r="T381" s="130">
        <f>SUM(T374:T379)</f>
        <v>51802.21</v>
      </c>
      <c r="U381" s="100"/>
      <c r="V381" s="203"/>
      <c r="W381" s="12"/>
      <c r="X381" s="243"/>
      <c r="Y381" s="12"/>
      <c r="Z381" s="243"/>
      <c r="AA381" s="243"/>
      <c r="AB381" s="243"/>
      <c r="AC381" s="243"/>
    </row>
    <row r="382" spans="1:29">
      <c r="B382" s="197"/>
      <c r="C382" s="193"/>
      <c r="D382" s="193"/>
      <c r="E382" s="193"/>
      <c r="F382" s="193"/>
      <c r="G382" s="193"/>
      <c r="H382" s="193"/>
      <c r="I382" s="193"/>
      <c r="J382" s="193"/>
      <c r="K382" s="193"/>
      <c r="L382" s="193"/>
      <c r="M382" s="193"/>
      <c r="N382" s="193"/>
      <c r="O382" s="193"/>
      <c r="P382" s="193"/>
      <c r="Q382" s="193"/>
      <c r="R382" s="194"/>
      <c r="S382" s="194"/>
      <c r="T382" s="195"/>
      <c r="U382" s="196"/>
      <c r="V382" s="195"/>
    </row>
    <row r="383" spans="1:29" ht="16" thickBot="1">
      <c r="A383" s="122"/>
      <c r="B383" s="322" t="s">
        <v>45</v>
      </c>
      <c r="C383" s="323"/>
      <c r="D383" s="323"/>
      <c r="E383" s="323"/>
      <c r="F383" s="323"/>
      <c r="G383" s="324"/>
      <c r="H383" s="324"/>
      <c r="I383" s="324"/>
      <c r="J383" s="324"/>
      <c r="K383" s="324"/>
      <c r="L383" s="324"/>
      <c r="M383" s="324"/>
      <c r="N383" s="324"/>
      <c r="O383" s="324"/>
      <c r="P383" s="324"/>
      <c r="Q383" s="324"/>
      <c r="R383" s="324"/>
      <c r="S383" s="324"/>
      <c r="T383" s="324"/>
      <c r="U383" s="325"/>
      <c r="V383" s="201"/>
      <c r="W383" s="1"/>
      <c r="X383" s="42"/>
      <c r="Y383" s="1"/>
      <c r="Z383" s="42"/>
      <c r="AA383" s="42"/>
      <c r="AB383" s="42"/>
      <c r="AC383" s="42"/>
    </row>
    <row r="384" spans="1:29" ht="16.5" customHeight="1" thickBot="1">
      <c r="A384" s="122" t="str">
        <f>"G"&amp;E370</f>
        <v>G14</v>
      </c>
      <c r="B384" s="291" t="s">
        <v>97</v>
      </c>
      <c r="C384" s="292"/>
      <c r="D384" s="292"/>
      <c r="E384" s="292"/>
      <c r="F384" s="292"/>
      <c r="G384" s="326"/>
      <c r="H384" s="291" t="s">
        <v>100</v>
      </c>
      <c r="I384" s="292"/>
      <c r="J384" s="292"/>
      <c r="K384" s="292"/>
      <c r="L384" s="292"/>
      <c r="M384" s="292"/>
      <c r="N384" s="292"/>
      <c r="O384" s="189" t="s">
        <v>23</v>
      </c>
      <c r="P384" s="190"/>
      <c r="Q384" s="190"/>
      <c r="R384" s="190"/>
      <c r="S384" s="190"/>
      <c r="T384" s="190"/>
      <c r="U384" s="253"/>
      <c r="V384" s="201"/>
      <c r="W384" s="1"/>
      <c r="X384" s="239" t="s">
        <v>117</v>
      </c>
      <c r="Y384" s="1"/>
      <c r="Z384" s="355" t="s">
        <v>119</v>
      </c>
      <c r="AA384" s="345" t="s">
        <v>120</v>
      </c>
      <c r="AB384" s="345" t="s">
        <v>148</v>
      </c>
      <c r="AC384" s="359" t="s">
        <v>149</v>
      </c>
    </row>
    <row r="385" spans="1:29" ht="15.75" customHeight="1" thickBot="1">
      <c r="A385" s="122" t="str">
        <f>"H"&amp;E370</f>
        <v>H14</v>
      </c>
      <c r="B385" s="293" t="s">
        <v>132</v>
      </c>
      <c r="C385" s="294"/>
      <c r="D385" s="294"/>
      <c r="E385" s="294"/>
      <c r="F385" s="294"/>
      <c r="G385" s="327"/>
      <c r="H385" s="293" t="s">
        <v>17</v>
      </c>
      <c r="I385" s="294"/>
      <c r="J385" s="294"/>
      <c r="K385" s="294"/>
      <c r="L385" s="295"/>
      <c r="M385" s="183">
        <f>VLOOKUP(E370,PROPONENTES!$C$14:$E$37,3,0)</f>
        <v>2</v>
      </c>
      <c r="N385" s="296" t="s">
        <v>143</v>
      </c>
      <c r="O385" s="299"/>
      <c r="P385" s="300"/>
      <c r="Q385" s="300"/>
      <c r="R385" s="300"/>
      <c r="S385" s="300"/>
      <c r="T385" s="300"/>
      <c r="U385" s="301"/>
      <c r="V385" s="201"/>
      <c r="W385" s="1"/>
      <c r="X385" s="244" t="str">
        <f>IF(M385="","",IF(M385=1,"INDIVIDUAL","ESTRUCTURA PLURAL"))</f>
        <v>ESTRUCTURA PLURAL</v>
      </c>
      <c r="Y385" s="1"/>
      <c r="Z385" s="356"/>
      <c r="AA385" s="358"/>
      <c r="AB385" s="358"/>
      <c r="AC385" s="360"/>
    </row>
    <row r="386" spans="1:29" ht="15.75" customHeight="1" thickBot="1">
      <c r="A386" s="122" t="str">
        <f>"I"&amp;E370</f>
        <v>I14</v>
      </c>
      <c r="B386" s="328" t="s">
        <v>131</v>
      </c>
      <c r="C386" s="329"/>
      <c r="D386" s="330"/>
      <c r="E386" s="308">
        <f>IF(AND(I374="SI",T374&gt;0),1,0)+IF(AND(I375="SI",T375&gt;0),1,0)+IF(AND(I376="SI",T376&gt;0),1,0)+IF(AND(I377="SI",T377&gt;0),1,0)+IF(AND(I378="SI",T378&gt;0),1,0)+IF(AND(I379="SI",T379&gt;0),1,0)</f>
        <v>2</v>
      </c>
      <c r="F386" s="310" t="s">
        <v>133</v>
      </c>
      <c r="G386" s="312">
        <f>IF(E386=0,"N/A",IF(AND(E386&gt;=1,E386&lt;=2),0.75,IF(AND(E386&gt;=3,E386&lt;=4),1.2,IF(AND(E386&gt;=5,E386&lt;=6),1.5,"REVISAR"))))</f>
        <v>0.75</v>
      </c>
      <c r="H386" s="334" t="s">
        <v>16</v>
      </c>
      <c r="I386" s="335"/>
      <c r="J386" s="314" t="s">
        <v>350</v>
      </c>
      <c r="K386" s="314" t="s">
        <v>140</v>
      </c>
      <c r="L386" s="314" t="s">
        <v>141</v>
      </c>
      <c r="M386" s="320" t="s">
        <v>142</v>
      </c>
      <c r="N386" s="297"/>
      <c r="O386" s="302"/>
      <c r="P386" s="303"/>
      <c r="Q386" s="303"/>
      <c r="R386" s="303"/>
      <c r="S386" s="303"/>
      <c r="T386" s="303"/>
      <c r="U386" s="304"/>
      <c r="V386" s="201"/>
      <c r="W386" s="38"/>
      <c r="X386" s="171"/>
      <c r="Y386" s="38"/>
      <c r="Z386" s="356"/>
      <c r="AA386" s="358"/>
      <c r="AB386" s="358"/>
      <c r="AC386" s="360"/>
    </row>
    <row r="387" spans="1:29" ht="16.5" customHeight="1" thickBot="1">
      <c r="A387" s="122" t="str">
        <f>"J"&amp;E370</f>
        <v>J14</v>
      </c>
      <c r="B387" s="331"/>
      <c r="C387" s="332"/>
      <c r="D387" s="333"/>
      <c r="E387" s="309"/>
      <c r="F387" s="311"/>
      <c r="G387" s="313"/>
      <c r="H387" s="336"/>
      <c r="I387" s="337"/>
      <c r="J387" s="314"/>
      <c r="K387" s="314"/>
      <c r="L387" s="314"/>
      <c r="M387" s="321"/>
      <c r="N387" s="298"/>
      <c r="O387" s="302"/>
      <c r="P387" s="303"/>
      <c r="Q387" s="303"/>
      <c r="R387" s="303"/>
      <c r="S387" s="303"/>
      <c r="T387" s="303"/>
      <c r="U387" s="304"/>
      <c r="V387" s="201"/>
      <c r="W387" s="38"/>
      <c r="X387" s="239" t="s">
        <v>118</v>
      </c>
      <c r="Y387" s="38"/>
      <c r="Z387" s="357"/>
      <c r="AA387" s="346"/>
      <c r="AB387" s="346"/>
      <c r="AC387" s="321"/>
    </row>
    <row r="388" spans="1:29" ht="16" thickBot="1">
      <c r="A388" s="125" t="str">
        <f>"K"&amp;E370</f>
        <v>K14</v>
      </c>
      <c r="B388" s="293" t="s">
        <v>98</v>
      </c>
      <c r="C388" s="294"/>
      <c r="D388" s="294"/>
      <c r="E388" s="294"/>
      <c r="F388" s="294"/>
      <c r="G388" s="294"/>
      <c r="H388" s="186">
        <v>1</v>
      </c>
      <c r="I388" s="92" t="str">
        <f>IF(AND(H388&lt;=M385,M385&gt;1),VLOOKUP(VALUE(E370&amp;","&amp;H388),INTEGRANTES!$B$15:$D$72,2,0),"")</f>
        <v>CIDTEC S.A.S</v>
      </c>
      <c r="J388" s="187">
        <f>IF(I388&lt;&gt;"",VLOOKUP(VALUE(E370&amp;","&amp;H388),INTEGRANTES!$B$15:$D$72,3,0),"")</f>
        <v>0.7</v>
      </c>
      <c r="K388" s="247">
        <f>IF($I388="","",IF(G386="N/A","",ROUND($G386*POSMMLV*PORPOM,2)))</f>
        <v>697.02</v>
      </c>
      <c r="L388" s="247">
        <f>IF(I388="","",SUMIF($J374:$J379,I388,$T374:$T379))</f>
        <v>3613.57</v>
      </c>
      <c r="M388" s="93" t="str">
        <f t="shared" ref="M388:M393" si="84">IF($I388="","",IF($K388&gt;L388,"NO CUMPLE","CUMPLE"))</f>
        <v>CUMPLE</v>
      </c>
      <c r="N388" s="93" t="str">
        <f t="shared" ref="N388:N393" si="85">IF($I388="","",IF(M388="CUMPLE","CUMPLE","NO CUMPLE"))</f>
        <v>CUMPLE</v>
      </c>
      <c r="O388" s="302"/>
      <c r="P388" s="303"/>
      <c r="Q388" s="303"/>
      <c r="R388" s="303"/>
      <c r="S388" s="303"/>
      <c r="T388" s="303"/>
      <c r="U388" s="304"/>
      <c r="V388" s="201"/>
      <c r="W388" s="1"/>
      <c r="X388" s="244" t="str">
        <f>IF(X385="","",IF(X385="INDIVIDUAL","NO APLICA","VERIFICAR CUADRO"))</f>
        <v>VERIFICAR CUADRO</v>
      </c>
      <c r="Y388" s="1"/>
      <c r="Z388" s="262" t="str">
        <f>IF(AND(H388&lt;=M385,M385&gt;1),VLOOKUP(VALUE(E370&amp;","&amp;H388),INTEGRANTES!$B$15:$D$72,2,0),"")</f>
        <v>CIDTEC S.A.S</v>
      </c>
      <c r="AA388" s="248">
        <f>IF(I388="","",SUMIF(J374:$J379,I388,$T374:$T379))</f>
        <v>3613.57</v>
      </c>
      <c r="AB388" s="232"/>
      <c r="AC388" s="250" t="str">
        <f>IF(OR(Z388="",AB388=""),"",IF(AND(AB388="X",AA388&gt;=X391),"CUMPLE","NO CUMPLE"))</f>
        <v/>
      </c>
    </row>
    <row r="389" spans="1:29" ht="21" customHeight="1" thickBot="1">
      <c r="A389" s="125" t="str">
        <f>"L"&amp;E370</f>
        <v>L14</v>
      </c>
      <c r="B389" s="328" t="s">
        <v>134</v>
      </c>
      <c r="C389" s="329"/>
      <c r="D389" s="330"/>
      <c r="E389" s="132" t="s">
        <v>135</v>
      </c>
      <c r="F389" s="132" t="s">
        <v>136</v>
      </c>
      <c r="G389" s="136" t="s">
        <v>99</v>
      </c>
      <c r="H389" s="186">
        <v>2</v>
      </c>
      <c r="I389" s="92" t="str">
        <f>IF(AND(H389&lt;=M385,M385&gt;1),VLOOKUP(VALUE(E370&amp;","&amp;H389),INTEGRANTES!$B$15:$D$72,2,0),"")</f>
        <v xml:space="preserve">LUIS GUILLERMO RUIZ MACHADO </v>
      </c>
      <c r="J389" s="187">
        <f>IF(I389&lt;&gt;"",VLOOKUP(VALUE(E370&amp;","&amp;H389),INTEGRANTES!$B$15:$D$72,3,0),"")</f>
        <v>0.3</v>
      </c>
      <c r="K389" s="247">
        <f>IF($I389="","",IF(G386="N/A","",ROUND($G386*POSMMLV*PORPOM,2)))</f>
        <v>697.02</v>
      </c>
      <c r="L389" s="247">
        <f>IF(I389="","",SUMIF($J374:$J379,I389,$T374:$T379))</f>
        <v>48188.639999999999</v>
      </c>
      <c r="M389" s="93" t="str">
        <f t="shared" si="84"/>
        <v>CUMPLE</v>
      </c>
      <c r="N389" s="93" t="str">
        <f t="shared" si="85"/>
        <v>CUMPLE</v>
      </c>
      <c r="O389" s="302"/>
      <c r="P389" s="303"/>
      <c r="Q389" s="303"/>
      <c r="R389" s="303"/>
      <c r="S389" s="303"/>
      <c r="T389" s="303"/>
      <c r="U389" s="304"/>
      <c r="V389" s="201"/>
      <c r="W389" s="1"/>
      <c r="X389" s="42"/>
      <c r="Y389" s="1"/>
      <c r="Z389" s="262" t="str">
        <f>IF(AND(H389&lt;=M385,M385&gt;1),VLOOKUP(VALUE(E370&amp;","&amp;H389),INTEGRANTES!$B$15:$D$72,2,0),"")</f>
        <v xml:space="preserve">LUIS GUILLERMO RUIZ MACHADO </v>
      </c>
      <c r="AA389" s="248">
        <f>IF(I389="","",SUMIF(J374:$J379,I389,$T374:$T379))</f>
        <v>48188.639999999999</v>
      </c>
      <c r="AB389" s="232"/>
      <c r="AC389" s="250" t="str">
        <f>IF(OR(Z389="",AB389=""),"",IF(AND(AB389="X",AA389&gt;=X391),"CUMPLE","NO CUMPLE"))</f>
        <v/>
      </c>
    </row>
    <row r="390" spans="1:29" ht="16" thickBot="1">
      <c r="A390" s="122" t="str">
        <f>"M"&amp;E370</f>
        <v>M14</v>
      </c>
      <c r="B390" s="331"/>
      <c r="C390" s="332"/>
      <c r="D390" s="333"/>
      <c r="E390" s="237">
        <f>IF(ISTEXT(G386),"NO APLICA",G386*POSMMLV)</f>
        <v>1394.0360281651363</v>
      </c>
      <c r="F390" s="238">
        <f>IF(E390="","",T381)</f>
        <v>51802.21</v>
      </c>
      <c r="G390" s="221" t="str">
        <f>IF(E390="","",IF(E390="NO APLICA","NO CUMPLE",IF(F390&gt;=E390,"CUMPLE", "NO CUMPLE")))</f>
        <v>CUMPLE</v>
      </c>
      <c r="H390" s="186">
        <v>3</v>
      </c>
      <c r="I390" s="92" t="str">
        <f>IF(AND(H390&lt;=M385,M385&gt;1),VLOOKUP(VALUE(E370&amp;","&amp;H390),INTEGRANTES!$B$15:$D$72,2,0),"")</f>
        <v/>
      </c>
      <c r="J390" s="187" t="str">
        <f>IF(I390&lt;&gt;"",VLOOKUP(VALUE(E370&amp;","&amp;H390),INTEGRANTES!$B$15:$D$72,3,0),"")</f>
        <v/>
      </c>
      <c r="K390" s="247" t="str">
        <f>IF($I390="","",IF(G386="N/A","",ROUND($G386*POSMMLV*PORPOM,2)))</f>
        <v/>
      </c>
      <c r="L390" s="247" t="str">
        <f>IF(I390="","",SUMIF($J374:$J379,I390,$T374:$T379))</f>
        <v/>
      </c>
      <c r="M390" s="93" t="str">
        <f t="shared" si="84"/>
        <v/>
      </c>
      <c r="N390" s="93" t="str">
        <f t="shared" si="85"/>
        <v/>
      </c>
      <c r="O390" s="302"/>
      <c r="P390" s="303"/>
      <c r="Q390" s="303"/>
      <c r="R390" s="303"/>
      <c r="S390" s="303"/>
      <c r="T390" s="303"/>
      <c r="U390" s="304"/>
      <c r="V390" s="201"/>
      <c r="W390" s="1"/>
      <c r="X390" s="239" t="s">
        <v>145</v>
      </c>
      <c r="Y390" s="1"/>
      <c r="Z390" s="262" t="str">
        <f>IF(AND(H390&lt;=M385,M385&gt;1),VLOOKUP(VALUE(E370&amp;","&amp;H390),INTEGRANTES!$B$15:$D$72,2,0),"")</f>
        <v/>
      </c>
      <c r="AA390" s="248" t="str">
        <f>IF(I390="","",SUMIF(J374:$J379,I390,$T374:$T379))</f>
        <v/>
      </c>
      <c r="AB390" s="232"/>
      <c r="AC390" s="250" t="str">
        <f>IF(OR(Z390="",AB390=""),"",IF(AND(AB390="X",AA390&gt;=X391),"CUMPLE","NO CUMPLE"))</f>
        <v/>
      </c>
    </row>
    <row r="391" spans="1:29" ht="15.75" customHeight="1" thickBot="1">
      <c r="A391" s="122" t="str">
        <f>"N"&amp;E370</f>
        <v>N14</v>
      </c>
      <c r="B391" s="293" t="s">
        <v>107</v>
      </c>
      <c r="C391" s="294"/>
      <c r="D391" s="294"/>
      <c r="E391" s="294"/>
      <c r="F391" s="294"/>
      <c r="G391" s="294"/>
      <c r="H391" s="186">
        <v>4</v>
      </c>
      <c r="I391" s="92" t="str">
        <f>IF(AND(H391&lt;=M385,M385&gt;1),VLOOKUP(VALUE(E370&amp;","&amp;H391),INTEGRANTES!$B$15:$D$72,2,0),"")</f>
        <v/>
      </c>
      <c r="J391" s="187" t="str">
        <f>IF(I391&lt;&gt;"",VLOOKUP(VALUE(E370&amp;","&amp;H391),INTEGRANTES!$B$15:$D$72,3,0),"")</f>
        <v/>
      </c>
      <c r="K391" s="247" t="str">
        <f>IF($I391="","",IF(G386="N/A","",ROUND($G386*POSMMLV*PORPOM,2)))</f>
        <v/>
      </c>
      <c r="L391" s="247" t="str">
        <f>IF(I391="","",SUMIF($J374:$J379,I391,$T374:$T379))</f>
        <v/>
      </c>
      <c r="M391" s="93" t="str">
        <f t="shared" si="84"/>
        <v/>
      </c>
      <c r="N391" s="93" t="str">
        <f t="shared" si="85"/>
        <v/>
      </c>
      <c r="O391" s="302"/>
      <c r="P391" s="303"/>
      <c r="Q391" s="303"/>
      <c r="R391" s="303"/>
      <c r="S391" s="303"/>
      <c r="T391" s="303"/>
      <c r="U391" s="304"/>
      <c r="V391" s="201"/>
      <c r="W391" s="1"/>
      <c r="X391" s="251">
        <f>IF(G386="N/A","N/A",0.4*G386*POSMMLV)</f>
        <v>557.61441126605462</v>
      </c>
      <c r="Y391" s="1"/>
      <c r="Z391" s="262" t="str">
        <f>IF(AND(H391&lt;=M385,M385&gt;1),VLOOKUP(VALUE(E370&amp;","&amp;H391),INTEGRANTES!$B$15:$D$72,2,0),"")</f>
        <v/>
      </c>
      <c r="AA391" s="248" t="str">
        <f>IF(I391="","",SUMIF(J374:$J379,I391,$T374:$T379))</f>
        <v/>
      </c>
      <c r="AB391" s="232"/>
      <c r="AC391" s="250" t="str">
        <f>IF(OR(Z391="",AB391=""),"",IF(AND(AB391="X",AA391&gt;=X391),"CUMPLE","NO CUMPLE"))</f>
        <v/>
      </c>
    </row>
    <row r="392" spans="1:29" ht="33.75" customHeight="1" thickBot="1">
      <c r="A392" s="122" t="str">
        <f>"O"&amp;E370</f>
        <v>O14</v>
      </c>
      <c r="B392" s="328" t="s">
        <v>108</v>
      </c>
      <c r="C392" s="329"/>
      <c r="D392" s="329"/>
      <c r="E392" s="329"/>
      <c r="F392" s="329"/>
      <c r="G392" s="185" t="s">
        <v>99</v>
      </c>
      <c r="H392" s="186">
        <v>5</v>
      </c>
      <c r="I392" s="92" t="str">
        <f>IF(AND(H392&lt;=M385,M385&gt;1),VLOOKUP(VALUE(E370&amp;","&amp;H392),INTEGRANTES!$B$15:$D$72,2,0),"")</f>
        <v/>
      </c>
      <c r="J392" s="187" t="str">
        <f>IF(I392&lt;&gt;"",VLOOKUP(VALUE(E370&amp;","&amp;H392),INTEGRANTES!$B$15:$D$72,3,0),"")</f>
        <v/>
      </c>
      <c r="K392" s="247" t="str">
        <f>IF($I392="","",IF(G386="N/A","",ROUND($G386*POSMMLV*PORPOM,2)))</f>
        <v/>
      </c>
      <c r="L392" s="247" t="str">
        <f>IF(I392="","",SUMIF($J374:$J379,I392,$T374:$T379))</f>
        <v/>
      </c>
      <c r="M392" s="93" t="str">
        <f t="shared" si="84"/>
        <v/>
      </c>
      <c r="N392" s="93" t="str">
        <f t="shared" si="85"/>
        <v/>
      </c>
      <c r="O392" s="302"/>
      <c r="P392" s="303"/>
      <c r="Q392" s="303"/>
      <c r="R392" s="303"/>
      <c r="S392" s="303"/>
      <c r="T392" s="303"/>
      <c r="U392" s="304"/>
      <c r="V392" s="201"/>
      <c r="W392" s="1"/>
      <c r="X392" s="42"/>
      <c r="Y392" s="1"/>
      <c r="Z392" s="262" t="str">
        <f>IF(AND(H392&lt;=M385,M385&gt;1),VLOOKUP(VALUE(E370&amp;","&amp;H392),INTEGRANTES!$B$15:$D$72,2,0),"")</f>
        <v/>
      </c>
      <c r="AA392" s="248" t="str">
        <f>IF(I392="","",SUMIF(J374:$J379,I392,$T374:$T379))</f>
        <v/>
      </c>
      <c r="AB392" s="232"/>
      <c r="AC392" s="250" t="str">
        <f>IF(OR(Z392="",AB392=""),"",IF(AND(AB392="X",AA392&gt;=X391),"CUMPLE","NO CUMPLE"))</f>
        <v/>
      </c>
    </row>
    <row r="393" spans="1:29" ht="16" thickBot="1">
      <c r="A393" s="122" t="str">
        <f>"P"&amp;E370</f>
        <v>P14</v>
      </c>
      <c r="B393" s="353"/>
      <c r="C393" s="354"/>
      <c r="D393" s="354"/>
      <c r="E393" s="354"/>
      <c r="F393" s="354"/>
      <c r="G393" s="137" t="str">
        <f>IF(AND(COUNTIF(X374:X379,"")&gt;5,COUNTIF(Z374:Z379,"")&gt;5),"NO CUMPLE",IF(AND(COUNTIF(X374:X379,"SI")&gt;=$AF$17,COUNTIF(Z374:Z379,"SI")&gt;=$AF$17),"CUMPLE", "NO CUMPLE"))</f>
        <v>CUMPLE</v>
      </c>
      <c r="H393" s="257">
        <v>6</v>
      </c>
      <c r="I393" s="258" t="str">
        <f>IF(AND(H393&lt;=M385,M385&gt;1),VLOOKUP(VALUE(E370&amp;","&amp;H393),INTEGRANTES!$B$15:$D$72,2,0),"")</f>
        <v/>
      </c>
      <c r="J393" s="259" t="str">
        <f>IF(I393&lt;&gt;"",VLOOKUP(VALUE(E370&amp;","&amp;H393),INTEGRANTES!$B$15:$D$72,3,0),"")</f>
        <v/>
      </c>
      <c r="K393" s="260" t="str">
        <f>IF($I393="","",IF(G386="N/A","",ROUND($G386*POSMMLV*PORPOM,2)))</f>
        <v/>
      </c>
      <c r="L393" s="260" t="str">
        <f>IF(I393="","",SUMIF($J374:$J379,I393,$T374:$T379))</f>
        <v/>
      </c>
      <c r="M393" s="261" t="str">
        <f t="shared" si="84"/>
        <v/>
      </c>
      <c r="N393" s="93" t="str">
        <f t="shared" si="85"/>
        <v/>
      </c>
      <c r="O393" s="302"/>
      <c r="P393" s="303"/>
      <c r="Q393" s="303"/>
      <c r="R393" s="303"/>
      <c r="S393" s="303"/>
      <c r="T393" s="303"/>
      <c r="U393" s="304"/>
      <c r="V393" s="201"/>
      <c r="W393" s="1"/>
      <c r="X393" s="239" t="s">
        <v>122</v>
      </c>
      <c r="Y393" s="1"/>
      <c r="Z393" s="263" t="str">
        <f>IF(AND(H393&lt;=M385,M385&gt;1),VLOOKUP(VALUE(E370&amp;","&amp;H393),INTEGRANTES!$B$15:$D$72,2,0),"")</f>
        <v/>
      </c>
      <c r="AA393" s="249" t="str">
        <f>IF(I393="","",SUMIF(J374:$J379,I393,$T374:$T379))</f>
        <v/>
      </c>
      <c r="AB393" s="246"/>
      <c r="AC393" s="137" t="str">
        <f>IF(OR(Z393="",AB393=""),"",IF(AND(AB393="X",AA393&gt;=X391),"CUMPLE","NO CUMPLE"))</f>
        <v/>
      </c>
    </row>
    <row r="394" spans="1:29" ht="38.25" customHeight="1" thickBot="1">
      <c r="A394" s="122" t="str">
        <f>"Q"&amp;E370</f>
        <v>Q14</v>
      </c>
      <c r="B394" s="338"/>
      <c r="C394" s="339"/>
      <c r="D394" s="339"/>
      <c r="E394" s="339"/>
      <c r="F394" s="339"/>
      <c r="G394" s="340"/>
      <c r="H394" s="318" t="s">
        <v>138</v>
      </c>
      <c r="I394" s="341"/>
      <c r="J394" s="342"/>
      <c r="K394" s="318" t="s">
        <v>139</v>
      </c>
      <c r="L394" s="319"/>
      <c r="M394" s="188" t="str">
        <f>IF(OR($M385="",SUM(J388:J393)=0),"",IF(COUNTIF(M388:M393,"CUMPLE")&gt;=1,"CUMPLE","NO CUMPLE"))</f>
        <v>CUMPLE</v>
      </c>
      <c r="N394" s="188" t="str">
        <f>IF(OR($M385="",SUM(J388:J393)=0),"",IF(COUNTIF(N388:N393,"CUMPLE")&gt;=1,"CUMPLE","NO CUMPLE"))</f>
        <v>CUMPLE</v>
      </c>
      <c r="O394" s="305"/>
      <c r="P394" s="306"/>
      <c r="Q394" s="306"/>
      <c r="R394" s="306"/>
      <c r="S394" s="306"/>
      <c r="T394" s="306"/>
      <c r="U394" s="307"/>
      <c r="V394" s="201"/>
      <c r="W394" s="1"/>
      <c r="X394" s="254" t="str">
        <f>IF(X388="NO APLICA","NO APLICA",IF(COUNTIF(AC388:AC393,"CUMPLE")&gt;0,"CUMPLE","NO CUMPLE"))</f>
        <v>NO CUMPLE</v>
      </c>
      <c r="Y394" s="1"/>
      <c r="Z394" s="42"/>
      <c r="AA394" s="42"/>
      <c r="AB394" s="42"/>
      <c r="AC394" s="42"/>
    </row>
    <row r="395" spans="1:29">
      <c r="A395"/>
    </row>
    <row r="396" spans="1:29">
      <c r="A396"/>
    </row>
    <row r="397" spans="1:29" ht="23.5" thickBot="1">
      <c r="A397" s="167">
        <v>15</v>
      </c>
      <c r="B397" s="349" t="s">
        <v>1</v>
      </c>
      <c r="C397" s="349"/>
      <c r="D397" s="349"/>
      <c r="E397" s="105">
        <f>VLOOKUP(A397,PROPONENTES!$B$14:$D$37,2,FALSE)</f>
        <v>15</v>
      </c>
      <c r="F397" s="106" t="str">
        <f>VLOOKUP(E397,PROPONENTES!$C$14:$D$37,2,FALSE)</f>
        <v>DP Ingenieros</v>
      </c>
      <c r="G397" s="107"/>
      <c r="H397" s="107"/>
      <c r="I397" s="107"/>
      <c r="J397" s="106"/>
      <c r="K397" s="106"/>
      <c r="L397" s="105"/>
      <c r="M397" s="107"/>
      <c r="N397" s="107"/>
      <c r="O397" s="107"/>
      <c r="P397" s="107"/>
      <c r="Q397" s="107"/>
      <c r="R397" s="107"/>
      <c r="S397" s="107"/>
      <c r="T397" s="108"/>
      <c r="U397" s="109"/>
      <c r="V397" s="109"/>
      <c r="W397" s="11"/>
      <c r="X397" s="240"/>
      <c r="Y397" s="11"/>
      <c r="Z397" s="240"/>
      <c r="AA397" s="240"/>
      <c r="AB397" s="240"/>
      <c r="AC397" s="240"/>
    </row>
    <row r="398" spans="1:29" ht="48" customHeight="1">
      <c r="A398" s="131"/>
      <c r="B398" s="350" t="s">
        <v>88</v>
      </c>
      <c r="C398" s="345" t="s">
        <v>48</v>
      </c>
      <c r="D398" s="352" t="s">
        <v>130</v>
      </c>
      <c r="E398" s="295"/>
      <c r="F398" s="352" t="s">
        <v>93</v>
      </c>
      <c r="G398" s="295"/>
      <c r="H398" s="315" t="s">
        <v>351</v>
      </c>
      <c r="I398" s="315" t="s">
        <v>103</v>
      </c>
      <c r="J398" s="315" t="s">
        <v>2</v>
      </c>
      <c r="K398" s="315" t="s">
        <v>352</v>
      </c>
      <c r="L398" s="315" t="s">
        <v>353</v>
      </c>
      <c r="M398" s="316" t="s">
        <v>29</v>
      </c>
      <c r="N398" s="315" t="s">
        <v>104</v>
      </c>
      <c r="O398" s="343" t="s">
        <v>78</v>
      </c>
      <c r="P398" s="344"/>
      <c r="Q398" s="345" t="s">
        <v>144</v>
      </c>
      <c r="R398" s="345" t="s">
        <v>101</v>
      </c>
      <c r="S398" s="294" t="s">
        <v>3</v>
      </c>
      <c r="T398" s="295"/>
      <c r="U398" s="347" t="s">
        <v>18</v>
      </c>
      <c r="V398" s="366" t="s">
        <v>102</v>
      </c>
      <c r="W398" s="133"/>
      <c r="X398" s="361" t="s">
        <v>146</v>
      </c>
      <c r="Y398" s="133"/>
      <c r="Z398" s="133"/>
      <c r="AA398" s="133"/>
      <c r="AB398" s="245"/>
      <c r="AC398" s="361" t="s">
        <v>123</v>
      </c>
    </row>
    <row r="399" spans="1:29" ht="98.25" customHeight="1">
      <c r="A399" s="131"/>
      <c r="B399" s="351"/>
      <c r="C399" s="346"/>
      <c r="D399" s="134" t="s">
        <v>10</v>
      </c>
      <c r="E399" s="134" t="s">
        <v>4</v>
      </c>
      <c r="F399" s="134" t="s">
        <v>15</v>
      </c>
      <c r="G399" s="135" t="s">
        <v>90</v>
      </c>
      <c r="H399" s="314"/>
      <c r="I399" s="314"/>
      <c r="J399" s="314"/>
      <c r="K399" s="314"/>
      <c r="L399" s="314"/>
      <c r="M399" s="317"/>
      <c r="N399" s="314"/>
      <c r="O399" s="264" t="s">
        <v>76</v>
      </c>
      <c r="P399" s="264" t="s">
        <v>105</v>
      </c>
      <c r="Q399" s="346"/>
      <c r="R399" s="346"/>
      <c r="S399" s="264" t="s">
        <v>81</v>
      </c>
      <c r="T399" s="264" t="s">
        <v>77</v>
      </c>
      <c r="U399" s="348"/>
      <c r="V399" s="336"/>
      <c r="W399" s="133"/>
      <c r="X399" s="362"/>
      <c r="Y399" s="133"/>
      <c r="Z399" s="245"/>
      <c r="AA399" s="245"/>
      <c r="AB399" s="245"/>
      <c r="AC399" s="362"/>
    </row>
    <row r="400" spans="1:29" ht="16" thickBot="1">
      <c r="A400" s="122"/>
      <c r="B400" s="96"/>
      <c r="C400" s="97"/>
      <c r="D400" s="97"/>
      <c r="E400" s="97"/>
      <c r="F400" s="97"/>
      <c r="G400" s="97"/>
      <c r="H400" s="97"/>
      <c r="I400" s="97"/>
      <c r="J400" s="97"/>
      <c r="K400" s="97"/>
      <c r="L400" s="97"/>
      <c r="M400" s="97"/>
      <c r="N400" s="97"/>
      <c r="O400" s="97"/>
      <c r="P400" s="97"/>
      <c r="Q400" s="97"/>
      <c r="R400" s="173"/>
      <c r="S400" s="173"/>
      <c r="T400" s="97"/>
      <c r="U400" s="191"/>
      <c r="V400" s="202"/>
      <c r="W400" s="1"/>
      <c r="X400" s="241"/>
      <c r="Y400" s="1"/>
      <c r="Z400" s="42"/>
      <c r="AA400" s="42"/>
      <c r="AB400" s="42"/>
      <c r="AC400" s="241"/>
    </row>
    <row r="401" spans="1:29" ht="49" customHeight="1">
      <c r="A401" s="125" t="str">
        <f>"A"&amp;E397</f>
        <v>A15</v>
      </c>
      <c r="B401" s="140">
        <v>1</v>
      </c>
      <c r="C401" s="139" t="s">
        <v>375</v>
      </c>
      <c r="D401" s="139" t="s">
        <v>290</v>
      </c>
      <c r="E401" s="139" t="s">
        <v>376</v>
      </c>
      <c r="F401" s="139" t="s">
        <v>222</v>
      </c>
      <c r="G401" s="142">
        <v>0.3</v>
      </c>
      <c r="H401" s="142" t="s">
        <v>115</v>
      </c>
      <c r="I401" s="138" t="s">
        <v>50</v>
      </c>
      <c r="J401" s="378" t="str">
        <f>+F397</f>
        <v>DP Ingenieros</v>
      </c>
      <c r="K401" s="127">
        <v>42422</v>
      </c>
      <c r="L401" s="127">
        <v>43182</v>
      </c>
      <c r="M401" s="128">
        <f>IF(OR(K401="",L401=""),"",IF(OR(K401&gt;$T$14,K401&lt;$S$14,L401&gt;$T$14,AND(K401&lt;$S$14,L401&lt;$S$14)),"FUERA DE RANGO",IF(K401&gt;=$S$14,ROUND(((L401-K401+1)/360*12),1),ROUND(((L401-$S$14+1)/360*12),1))))</f>
        <v>25.4</v>
      </c>
      <c r="N401" s="206">
        <v>55</v>
      </c>
      <c r="O401" s="138" t="s">
        <v>50</v>
      </c>
      <c r="P401" s="128" t="s">
        <v>50</v>
      </c>
      <c r="Q401" s="128" t="s">
        <v>110</v>
      </c>
      <c r="R401" s="95">
        <v>66854.02</v>
      </c>
      <c r="S401" s="95">
        <f t="shared" ref="S401:S406" si="86">IF(OR(G401="",R401=""),"",R401*G401)</f>
        <v>20056.206000000002</v>
      </c>
      <c r="T401" s="129">
        <f>IF(OR(I401="NO",I401="",I401&lt;&gt;"SI",S401=""),"",IF(OR(L401&lt;$S$14,L401&gt;$T$14,L401=""),0,ROUND(S401,2)))</f>
        <v>20056.21</v>
      </c>
      <c r="U401" s="192" t="s">
        <v>415</v>
      </c>
      <c r="V401" s="204"/>
      <c r="W401" s="141"/>
      <c r="X401" s="222" t="s">
        <v>50</v>
      </c>
      <c r="Y401" s="141"/>
      <c r="Z401" s="223" t="str">
        <f t="shared" ref="Z401:Z406" si="87">IF(T401="","",IF(T401&gt;=PORCREQCTO*POSMMLV,"SI","NO"))</f>
        <v>SI</v>
      </c>
      <c r="AA401" s="296" t="str">
        <f>"VERIFICACIÓN CUMPLIMIENTO "&amp;PORCREQCTO*100&amp;"% DEL PO"</f>
        <v>VERIFICACIÓN CUMPLIMIENTO 50% DEL PO</v>
      </c>
      <c r="AB401" s="171"/>
      <c r="AC401" s="256"/>
    </row>
    <row r="402" spans="1:29" ht="63">
      <c r="A402" s="125" t="str">
        <f>"B"&amp;E397</f>
        <v>B15</v>
      </c>
      <c r="B402" s="140">
        <v>2</v>
      </c>
      <c r="C402" s="139" t="s">
        <v>291</v>
      </c>
      <c r="D402" s="139" t="s">
        <v>292</v>
      </c>
      <c r="E402" s="139" t="s">
        <v>377</v>
      </c>
      <c r="F402" s="139" t="s">
        <v>222</v>
      </c>
      <c r="G402" s="142">
        <v>0.35</v>
      </c>
      <c r="H402" s="142" t="s">
        <v>115</v>
      </c>
      <c r="I402" s="138" t="s">
        <v>50</v>
      </c>
      <c r="J402" s="378" t="str">
        <f>+J401</f>
        <v>DP Ingenieros</v>
      </c>
      <c r="K402" s="127">
        <v>42275</v>
      </c>
      <c r="L402" s="127">
        <v>42555</v>
      </c>
      <c r="M402" s="128">
        <f t="shared" ref="M402:M406" si="88">IF(OR(K402="",L402=""),"",IF(OR(K402&gt;$T$14,K402&lt;$S$14,L402&gt;$T$14,AND(K402&lt;$S$14,L402&lt;$S$14)),"FUERA DE RANGO",IF(K402&gt;=$S$14,ROUND(((L402-K402+1)/360*12),1),ROUND(((L402-$S$14+1)/360*12),1))))</f>
        <v>9.4</v>
      </c>
      <c r="N402" s="206">
        <v>47</v>
      </c>
      <c r="O402" s="138" t="s">
        <v>50</v>
      </c>
      <c r="P402" s="128" t="s">
        <v>50</v>
      </c>
      <c r="Q402" s="128" t="s">
        <v>111</v>
      </c>
      <c r="R402" s="95">
        <v>18198.43</v>
      </c>
      <c r="S402" s="95">
        <f t="shared" si="86"/>
        <v>6369.4504999999999</v>
      </c>
      <c r="T402" s="129">
        <f t="shared" ref="T402:T406" si="89">IF(OR(I402="NO",I402="",I402&lt;&gt;"SI",S402=""),"",IF(OR(L402&lt;$S$14,L402&gt;$T$14,L402=""),0,ROUND(S402,2)))</f>
        <v>6369.45</v>
      </c>
      <c r="U402" s="192" t="s">
        <v>413</v>
      </c>
      <c r="V402" s="204"/>
      <c r="W402" s="141"/>
      <c r="X402" s="222"/>
      <c r="Y402" s="141"/>
      <c r="Z402" s="224" t="str">
        <f t="shared" si="87"/>
        <v>SI</v>
      </c>
      <c r="AA402" s="297"/>
      <c r="AB402" s="171"/>
      <c r="AC402" s="256"/>
    </row>
    <row r="403" spans="1:29" ht="52.5">
      <c r="A403" s="125" t="str">
        <f>"C"&amp;E397</f>
        <v>C15</v>
      </c>
      <c r="B403" s="140">
        <v>3</v>
      </c>
      <c r="C403" s="139" t="s">
        <v>293</v>
      </c>
      <c r="D403" s="139" t="s">
        <v>294</v>
      </c>
      <c r="E403" s="139" t="s">
        <v>295</v>
      </c>
      <c r="F403" s="139" t="s">
        <v>227</v>
      </c>
      <c r="G403" s="142">
        <v>1</v>
      </c>
      <c r="H403" s="142" t="s">
        <v>115</v>
      </c>
      <c r="I403" s="138" t="s">
        <v>50</v>
      </c>
      <c r="J403" s="378" t="str">
        <f>+J402</f>
        <v>DP Ingenieros</v>
      </c>
      <c r="K403" s="127">
        <v>43115</v>
      </c>
      <c r="L403" s="127">
        <v>43434</v>
      </c>
      <c r="M403" s="128">
        <f t="shared" si="88"/>
        <v>10.7</v>
      </c>
      <c r="N403" s="206">
        <v>56</v>
      </c>
      <c r="O403" s="138" t="s">
        <v>50</v>
      </c>
      <c r="P403" s="128" t="s">
        <v>50</v>
      </c>
      <c r="Q403" s="128" t="s">
        <v>111</v>
      </c>
      <c r="R403" s="95">
        <v>2675.18</v>
      </c>
      <c r="S403" s="95">
        <f t="shared" si="86"/>
        <v>2675.18</v>
      </c>
      <c r="T403" s="129">
        <f t="shared" si="89"/>
        <v>2675.18</v>
      </c>
      <c r="U403" s="192"/>
      <c r="V403" s="204"/>
      <c r="W403" s="141"/>
      <c r="X403" s="222"/>
      <c r="Y403" s="141"/>
      <c r="Z403" s="224" t="str">
        <f t="shared" si="87"/>
        <v>SI</v>
      </c>
      <c r="AA403" s="297"/>
      <c r="AB403" s="171"/>
      <c r="AC403" s="256"/>
    </row>
    <row r="404" spans="1:29" ht="42">
      <c r="A404" s="125" t="str">
        <f>"D"&amp;E397</f>
        <v>D15</v>
      </c>
      <c r="B404" s="140">
        <v>4</v>
      </c>
      <c r="C404" s="139" t="s">
        <v>296</v>
      </c>
      <c r="D404" s="139" t="s">
        <v>297</v>
      </c>
      <c r="E404" s="139" t="s">
        <v>298</v>
      </c>
      <c r="F404" s="139" t="s">
        <v>222</v>
      </c>
      <c r="G404" s="142">
        <v>0.85</v>
      </c>
      <c r="H404" s="142" t="s">
        <v>115</v>
      </c>
      <c r="I404" s="138" t="s">
        <v>51</v>
      </c>
      <c r="J404" s="378" t="str">
        <f>+J403</f>
        <v>DP Ingenieros</v>
      </c>
      <c r="K404" s="127">
        <v>41520</v>
      </c>
      <c r="L404" s="127">
        <v>41728</v>
      </c>
      <c r="M404" s="128">
        <f t="shared" si="88"/>
        <v>7</v>
      </c>
      <c r="N404" s="206">
        <v>27</v>
      </c>
      <c r="O404" s="138" t="s">
        <v>50</v>
      </c>
      <c r="P404" s="128" t="s">
        <v>50</v>
      </c>
      <c r="Q404" s="128"/>
      <c r="R404" s="95">
        <v>2889.61</v>
      </c>
      <c r="S404" s="95">
        <f t="shared" si="86"/>
        <v>2456.1685000000002</v>
      </c>
      <c r="T404" s="129" t="str">
        <f t="shared" si="89"/>
        <v/>
      </c>
      <c r="U404" s="192" t="s">
        <v>416</v>
      </c>
      <c r="V404" s="204"/>
      <c r="W404" s="141"/>
      <c r="X404" s="222"/>
      <c r="Y404" s="141"/>
      <c r="Z404" s="224" t="str">
        <f t="shared" si="87"/>
        <v/>
      </c>
      <c r="AA404" s="297"/>
      <c r="AB404" s="171"/>
      <c r="AC404" s="256"/>
    </row>
    <row r="405" spans="1:29" ht="52.5">
      <c r="A405" s="125" t="str">
        <f>"E"&amp;E397</f>
        <v>E15</v>
      </c>
      <c r="B405" s="140">
        <v>5</v>
      </c>
      <c r="C405" s="139" t="s">
        <v>299</v>
      </c>
      <c r="D405" s="139">
        <v>257</v>
      </c>
      <c r="E405" s="139" t="s">
        <v>378</v>
      </c>
      <c r="F405" s="139" t="s">
        <v>222</v>
      </c>
      <c r="G405" s="142">
        <v>0.5</v>
      </c>
      <c r="H405" s="142" t="s">
        <v>115</v>
      </c>
      <c r="I405" s="138" t="s">
        <v>50</v>
      </c>
      <c r="J405" s="378" t="str">
        <f>+J404</f>
        <v>DP Ingenieros</v>
      </c>
      <c r="K405" s="127">
        <v>41848</v>
      </c>
      <c r="L405" s="127">
        <v>42034</v>
      </c>
      <c r="M405" s="128">
        <f t="shared" si="88"/>
        <v>6.2</v>
      </c>
      <c r="N405" s="206">
        <v>36</v>
      </c>
      <c r="O405" s="138" t="s">
        <v>50</v>
      </c>
      <c r="P405" s="128" t="s">
        <v>50</v>
      </c>
      <c r="Q405" s="128" t="s">
        <v>109</v>
      </c>
      <c r="R405" s="95">
        <v>5586.77</v>
      </c>
      <c r="S405" s="95">
        <f t="shared" si="86"/>
        <v>2793.3850000000002</v>
      </c>
      <c r="T405" s="129">
        <f t="shared" si="89"/>
        <v>2793.39</v>
      </c>
      <c r="U405" s="192" t="s">
        <v>414</v>
      </c>
      <c r="V405" s="204"/>
      <c r="W405" s="141"/>
      <c r="X405" s="222"/>
      <c r="Y405" s="141"/>
      <c r="Z405" s="224" t="str">
        <f t="shared" si="87"/>
        <v>SI</v>
      </c>
      <c r="AA405" s="297"/>
      <c r="AB405" s="171"/>
      <c r="AC405" s="256"/>
    </row>
    <row r="406" spans="1:29" ht="74" thickBot="1">
      <c r="A406" s="125" t="str">
        <f>"F"&amp;E397</f>
        <v>F15</v>
      </c>
      <c r="B406" s="140">
        <v>6</v>
      </c>
      <c r="C406" s="139" t="s">
        <v>291</v>
      </c>
      <c r="D406" s="139" t="s">
        <v>300</v>
      </c>
      <c r="E406" s="139" t="s">
        <v>379</v>
      </c>
      <c r="F406" s="139" t="s">
        <v>222</v>
      </c>
      <c r="G406" s="142">
        <v>0.33</v>
      </c>
      <c r="H406" s="142" t="s">
        <v>115</v>
      </c>
      <c r="I406" s="138" t="s">
        <v>50</v>
      </c>
      <c r="J406" s="378" t="str">
        <f>+J405</f>
        <v>DP Ingenieros</v>
      </c>
      <c r="K406" s="127">
        <v>41850</v>
      </c>
      <c r="L406" s="127">
        <v>42154</v>
      </c>
      <c r="M406" s="128">
        <f t="shared" si="88"/>
        <v>10.199999999999999</v>
      </c>
      <c r="N406" s="206">
        <v>40</v>
      </c>
      <c r="O406" s="138" t="s">
        <v>50</v>
      </c>
      <c r="P406" s="128" t="s">
        <v>50</v>
      </c>
      <c r="Q406" s="128" t="s">
        <v>109</v>
      </c>
      <c r="R406" s="95">
        <v>19832.98</v>
      </c>
      <c r="S406" s="95">
        <f t="shared" si="86"/>
        <v>6544.8833999999997</v>
      </c>
      <c r="T406" s="129">
        <f t="shared" si="89"/>
        <v>6544.88</v>
      </c>
      <c r="U406" s="192" t="s">
        <v>417</v>
      </c>
      <c r="V406" s="204"/>
      <c r="W406" s="141"/>
      <c r="X406" s="222"/>
      <c r="Y406" s="141"/>
      <c r="Z406" s="225" t="str">
        <f t="shared" si="87"/>
        <v>SI</v>
      </c>
      <c r="AA406" s="363"/>
      <c r="AB406" s="171"/>
      <c r="AC406" s="256"/>
    </row>
    <row r="407" spans="1:29" ht="16" thickBot="1">
      <c r="A407" s="122"/>
      <c r="B407" s="96"/>
      <c r="C407" s="97"/>
      <c r="D407" s="97"/>
      <c r="E407" s="97"/>
      <c r="F407" s="97"/>
      <c r="G407" s="97"/>
      <c r="H407" s="97"/>
      <c r="I407" s="97"/>
      <c r="J407" s="97"/>
      <c r="K407" s="97"/>
      <c r="L407" s="97"/>
      <c r="M407" s="97"/>
      <c r="N407" s="97"/>
      <c r="O407" s="97"/>
      <c r="P407" s="97"/>
      <c r="Q407" s="97"/>
      <c r="R407" s="173"/>
      <c r="S407" s="173"/>
      <c r="T407" s="126"/>
      <c r="U407" s="98"/>
      <c r="V407" s="205"/>
      <c r="W407" s="1"/>
      <c r="X407" s="242"/>
      <c r="Y407" s="1"/>
      <c r="Z407" s="42"/>
      <c r="AA407" s="42"/>
      <c r="AB407" s="42"/>
      <c r="AC407" s="242"/>
    </row>
    <row r="408" spans="1:29" ht="16" thickBot="1">
      <c r="A408" s="123"/>
      <c r="B408" s="99"/>
      <c r="C408" s="94"/>
      <c r="D408" s="94"/>
      <c r="E408" s="94"/>
      <c r="F408" s="94"/>
      <c r="G408" s="94"/>
      <c r="H408" s="94"/>
      <c r="I408" s="94"/>
      <c r="J408" s="94"/>
      <c r="K408" s="94"/>
      <c r="L408" s="94"/>
      <c r="M408" s="94"/>
      <c r="N408" s="94"/>
      <c r="O408" s="94"/>
      <c r="P408" s="94"/>
      <c r="Q408" s="94"/>
      <c r="R408" s="265"/>
      <c r="S408" s="265"/>
      <c r="T408" s="130">
        <f>SUM(T401:T406)</f>
        <v>38439.11</v>
      </c>
      <c r="U408" s="100"/>
      <c r="V408" s="203"/>
      <c r="W408" s="12"/>
      <c r="X408" s="243"/>
      <c r="Y408" s="12"/>
      <c r="Z408" s="243"/>
      <c r="AA408" s="243"/>
      <c r="AB408" s="243"/>
      <c r="AC408" s="243"/>
    </row>
    <row r="409" spans="1:29">
      <c r="B409" s="197"/>
      <c r="C409" s="193"/>
      <c r="D409" s="193"/>
      <c r="E409" s="193"/>
      <c r="F409" s="193"/>
      <c r="G409" s="193"/>
      <c r="H409" s="193"/>
      <c r="I409" s="193"/>
      <c r="J409" s="193"/>
      <c r="K409" s="193"/>
      <c r="L409" s="193"/>
      <c r="M409" s="193"/>
      <c r="N409" s="193"/>
      <c r="O409" s="193"/>
      <c r="P409" s="193"/>
      <c r="Q409" s="193"/>
      <c r="R409" s="194"/>
      <c r="S409" s="194"/>
      <c r="T409" s="195"/>
      <c r="U409" s="196"/>
      <c r="V409" s="195"/>
    </row>
    <row r="410" spans="1:29" ht="16" thickBot="1">
      <c r="A410" s="122"/>
      <c r="B410" s="322" t="s">
        <v>45</v>
      </c>
      <c r="C410" s="323"/>
      <c r="D410" s="323"/>
      <c r="E410" s="323"/>
      <c r="F410" s="323"/>
      <c r="G410" s="324"/>
      <c r="H410" s="324"/>
      <c r="I410" s="324"/>
      <c r="J410" s="324"/>
      <c r="K410" s="324"/>
      <c r="L410" s="324"/>
      <c r="M410" s="324"/>
      <c r="N410" s="324"/>
      <c r="O410" s="324"/>
      <c r="P410" s="324"/>
      <c r="Q410" s="324"/>
      <c r="R410" s="324"/>
      <c r="S410" s="324"/>
      <c r="T410" s="324"/>
      <c r="U410" s="325"/>
      <c r="V410" s="201"/>
      <c r="W410" s="1"/>
      <c r="X410" s="42"/>
      <c r="Y410" s="1"/>
      <c r="Z410" s="42"/>
      <c r="AA410" s="42"/>
      <c r="AB410" s="42"/>
      <c r="AC410" s="42"/>
    </row>
    <row r="411" spans="1:29" ht="16.5" customHeight="1" thickBot="1">
      <c r="A411" s="122" t="str">
        <f>"G"&amp;E397</f>
        <v>G15</v>
      </c>
      <c r="B411" s="291" t="s">
        <v>97</v>
      </c>
      <c r="C411" s="292"/>
      <c r="D411" s="292"/>
      <c r="E411" s="292"/>
      <c r="F411" s="292"/>
      <c r="G411" s="326"/>
      <c r="H411" s="291" t="s">
        <v>100</v>
      </c>
      <c r="I411" s="292"/>
      <c r="J411" s="292"/>
      <c r="K411" s="292"/>
      <c r="L411" s="292"/>
      <c r="M411" s="292"/>
      <c r="N411" s="292"/>
      <c r="O411" s="189" t="s">
        <v>23</v>
      </c>
      <c r="P411" s="190"/>
      <c r="Q411" s="190"/>
      <c r="R411" s="190"/>
      <c r="S411" s="190"/>
      <c r="T411" s="190"/>
      <c r="U411" s="253"/>
      <c r="V411" s="201"/>
      <c r="W411" s="1"/>
      <c r="X411" s="239" t="s">
        <v>117</v>
      </c>
      <c r="Y411" s="1"/>
      <c r="Z411" s="355" t="s">
        <v>119</v>
      </c>
      <c r="AA411" s="345" t="s">
        <v>120</v>
      </c>
      <c r="AB411" s="345" t="s">
        <v>148</v>
      </c>
      <c r="AC411" s="359" t="s">
        <v>149</v>
      </c>
    </row>
    <row r="412" spans="1:29" ht="15.75" customHeight="1" thickBot="1">
      <c r="A412" s="122" t="str">
        <f>"H"&amp;E397</f>
        <v>H15</v>
      </c>
      <c r="B412" s="293" t="s">
        <v>132</v>
      </c>
      <c r="C412" s="294"/>
      <c r="D412" s="294"/>
      <c r="E412" s="294"/>
      <c r="F412" s="294"/>
      <c r="G412" s="327"/>
      <c r="H412" s="293" t="s">
        <v>17</v>
      </c>
      <c r="I412" s="294"/>
      <c r="J412" s="294"/>
      <c r="K412" s="294"/>
      <c r="L412" s="295"/>
      <c r="M412" s="183">
        <f>VLOOKUP(E397,PROPONENTES!$C$14:$E$37,3,0)</f>
        <v>1</v>
      </c>
      <c r="N412" s="296" t="s">
        <v>143</v>
      </c>
      <c r="O412" s="299"/>
      <c r="P412" s="300"/>
      <c r="Q412" s="300"/>
      <c r="R412" s="300"/>
      <c r="S412" s="300"/>
      <c r="T412" s="300"/>
      <c r="U412" s="301"/>
      <c r="V412" s="201"/>
      <c r="W412" s="1"/>
      <c r="X412" s="244" t="str">
        <f>IF(M412="","",IF(M412=1,"INDIVIDUAL","ESTRUCTURA PLURAL"))</f>
        <v>INDIVIDUAL</v>
      </c>
      <c r="Y412" s="1"/>
      <c r="Z412" s="356"/>
      <c r="AA412" s="358"/>
      <c r="AB412" s="358"/>
      <c r="AC412" s="360"/>
    </row>
    <row r="413" spans="1:29" ht="15.75" customHeight="1" thickBot="1">
      <c r="A413" s="122" t="str">
        <f>"I"&amp;E397</f>
        <v>I15</v>
      </c>
      <c r="B413" s="328" t="s">
        <v>131</v>
      </c>
      <c r="C413" s="329"/>
      <c r="D413" s="330"/>
      <c r="E413" s="308">
        <f>IF(AND(I401="SI",T401&gt;0),1,0)+IF(AND(I402="SI",T402&gt;0),1,0)+IF(AND(I403="SI",T403&gt;0),1,0)+IF(AND(I404="SI",T404&gt;0),1,0)+IF(AND(I405="SI",T405&gt;0),1,0)+IF(AND(I406="SI",T406&gt;0),1,0)</f>
        <v>5</v>
      </c>
      <c r="F413" s="310" t="s">
        <v>133</v>
      </c>
      <c r="G413" s="312">
        <f>IF(E413=0,"N/A",IF(AND(E413&gt;=1,E413&lt;=2),0.75,IF(AND(E413&gt;=3,E413&lt;=4),1.2,IF(AND(E413&gt;=5,E413&lt;=6),1.5,"REVISAR"))))</f>
        <v>1.5</v>
      </c>
      <c r="H413" s="334" t="s">
        <v>16</v>
      </c>
      <c r="I413" s="335"/>
      <c r="J413" s="314" t="s">
        <v>350</v>
      </c>
      <c r="K413" s="314" t="s">
        <v>140</v>
      </c>
      <c r="L413" s="314" t="s">
        <v>141</v>
      </c>
      <c r="M413" s="320" t="s">
        <v>142</v>
      </c>
      <c r="N413" s="297"/>
      <c r="O413" s="302"/>
      <c r="P413" s="303"/>
      <c r="Q413" s="303"/>
      <c r="R413" s="303"/>
      <c r="S413" s="303"/>
      <c r="T413" s="303"/>
      <c r="U413" s="304"/>
      <c r="V413" s="201"/>
      <c r="W413" s="38"/>
      <c r="X413" s="171"/>
      <c r="Y413" s="38"/>
      <c r="Z413" s="356"/>
      <c r="AA413" s="358"/>
      <c r="AB413" s="358"/>
      <c r="AC413" s="360"/>
    </row>
    <row r="414" spans="1:29" ht="16.5" customHeight="1" thickBot="1">
      <c r="A414" s="122" t="str">
        <f>"J"&amp;E397</f>
        <v>J15</v>
      </c>
      <c r="B414" s="331"/>
      <c r="C414" s="332"/>
      <c r="D414" s="333"/>
      <c r="E414" s="309"/>
      <c r="F414" s="311"/>
      <c r="G414" s="313"/>
      <c r="H414" s="336"/>
      <c r="I414" s="337"/>
      <c r="J414" s="314"/>
      <c r="K414" s="314"/>
      <c r="L414" s="314"/>
      <c r="M414" s="321"/>
      <c r="N414" s="298"/>
      <c r="O414" s="302"/>
      <c r="P414" s="303"/>
      <c r="Q414" s="303"/>
      <c r="R414" s="303"/>
      <c r="S414" s="303"/>
      <c r="T414" s="303"/>
      <c r="U414" s="304"/>
      <c r="V414" s="201"/>
      <c r="W414" s="38"/>
      <c r="X414" s="239" t="s">
        <v>118</v>
      </c>
      <c r="Y414" s="38"/>
      <c r="Z414" s="357"/>
      <c r="AA414" s="346"/>
      <c r="AB414" s="346"/>
      <c r="AC414" s="321"/>
    </row>
    <row r="415" spans="1:29" ht="16" thickBot="1">
      <c r="A415" s="125" t="str">
        <f>"K"&amp;E397</f>
        <v>K15</v>
      </c>
      <c r="B415" s="293" t="s">
        <v>98</v>
      </c>
      <c r="C415" s="294"/>
      <c r="D415" s="294"/>
      <c r="E415" s="294"/>
      <c r="F415" s="294"/>
      <c r="G415" s="294"/>
      <c r="H415" s="186">
        <v>1</v>
      </c>
      <c r="I415" s="92" t="str">
        <f>IF(AND(H415&lt;=M412,M412&gt;1),VLOOKUP(VALUE(E397&amp;","&amp;H415),INTEGRANTES!$B$15:$D$72,2,0),"")</f>
        <v/>
      </c>
      <c r="J415" s="187" t="str">
        <f>IF(I415&lt;&gt;"",VLOOKUP(VALUE(E397&amp;","&amp;H415),INTEGRANTES!$B$15:$D$72,3,0),"")</f>
        <v/>
      </c>
      <c r="K415" s="247" t="str">
        <f>IF($I415="","",IF(G413="N/A","",ROUND($G413*POSMMLV*PORPOM,2)))</f>
        <v/>
      </c>
      <c r="L415" s="247" t="str">
        <f>IF(I415="","",SUMIF($J401:$J406,I415,$T401:$T406))</f>
        <v/>
      </c>
      <c r="M415" s="93" t="str">
        <f t="shared" ref="M415:M420" si="90">IF($I415="","",IF($K415&gt;L415,"NO CUMPLE","CUMPLE"))</f>
        <v/>
      </c>
      <c r="N415" s="93" t="str">
        <f t="shared" ref="N415:N420" si="91">IF($I415="","",IF(M415="CUMPLE","CUMPLE","NO CUMPLE"))</f>
        <v/>
      </c>
      <c r="O415" s="302"/>
      <c r="P415" s="303"/>
      <c r="Q415" s="303"/>
      <c r="R415" s="303"/>
      <c r="S415" s="303"/>
      <c r="T415" s="303"/>
      <c r="U415" s="304"/>
      <c r="V415" s="201"/>
      <c r="W415" s="1"/>
      <c r="X415" s="244" t="str">
        <f>IF(X412="","",IF(X412="INDIVIDUAL","NO APLICA","VERIFICAR CUADRO"))</f>
        <v>NO APLICA</v>
      </c>
      <c r="Y415" s="1"/>
      <c r="Z415" s="262" t="str">
        <f>IF(AND(H415&lt;=M412,M412&gt;1),VLOOKUP(VALUE(E397&amp;","&amp;H415),INTEGRANTES!$B$15:$D$72,2,0),"")</f>
        <v/>
      </c>
      <c r="AA415" s="248" t="str">
        <f>IF(I415="","",SUMIF(J401:$J406,I415,$T401:$T406))</f>
        <v/>
      </c>
      <c r="AB415" s="232"/>
      <c r="AC415" s="250" t="str">
        <f>IF(OR(Z415="",AB415=""),"",IF(AND(AB415="X",AA415&gt;=X418),"CUMPLE","NO CUMPLE"))</f>
        <v/>
      </c>
    </row>
    <row r="416" spans="1:29" ht="15.75" customHeight="1" thickBot="1">
      <c r="A416" s="125" t="str">
        <f>"L"&amp;E397</f>
        <v>L15</v>
      </c>
      <c r="B416" s="328" t="s">
        <v>134</v>
      </c>
      <c r="C416" s="329"/>
      <c r="D416" s="330"/>
      <c r="E416" s="132" t="s">
        <v>135</v>
      </c>
      <c r="F416" s="132" t="s">
        <v>136</v>
      </c>
      <c r="G416" s="136" t="s">
        <v>99</v>
      </c>
      <c r="H416" s="186">
        <v>2</v>
      </c>
      <c r="I416" s="92" t="str">
        <f>IF(AND(H416&lt;=M412,M412&gt;1),VLOOKUP(VALUE(E397&amp;","&amp;H416),INTEGRANTES!$B$15:$D$72,2,0),"")</f>
        <v/>
      </c>
      <c r="J416" s="187" t="str">
        <f>IF(I416&lt;&gt;"",VLOOKUP(VALUE(E397&amp;","&amp;H416),INTEGRANTES!$B$15:$D$72,3,0),"")</f>
        <v/>
      </c>
      <c r="K416" s="247" t="str">
        <f>IF($I416="","",IF(G413="N/A","",ROUND($G413*POSMMLV*PORPOM,2)))</f>
        <v/>
      </c>
      <c r="L416" s="247" t="str">
        <f>IF(I416="","",SUMIF($J401:$J406,I416,$T401:$T406))</f>
        <v/>
      </c>
      <c r="M416" s="93" t="str">
        <f t="shared" si="90"/>
        <v/>
      </c>
      <c r="N416" s="93" t="str">
        <f t="shared" si="91"/>
        <v/>
      </c>
      <c r="O416" s="302"/>
      <c r="P416" s="303"/>
      <c r="Q416" s="303"/>
      <c r="R416" s="303"/>
      <c r="S416" s="303"/>
      <c r="T416" s="303"/>
      <c r="U416" s="304"/>
      <c r="V416" s="201"/>
      <c r="W416" s="1"/>
      <c r="X416" s="42"/>
      <c r="Y416" s="1"/>
      <c r="Z416" s="262" t="str">
        <f>IF(AND(H416&lt;=M412,M412&gt;1),VLOOKUP(VALUE(E397&amp;","&amp;H416),INTEGRANTES!$B$15:$D$72,2,0),"")</f>
        <v/>
      </c>
      <c r="AA416" s="248" t="str">
        <f>IF(I416="","",SUMIF(J401:$J406,I416,$T401:$T406))</f>
        <v/>
      </c>
      <c r="AB416" s="232"/>
      <c r="AC416" s="250" t="str">
        <f>IF(OR(Z416="",AB416=""),"",IF(AND(AB416="X",AA416&gt;=X418),"CUMPLE","NO CUMPLE"))</f>
        <v/>
      </c>
    </row>
    <row r="417" spans="1:29" ht="16" thickBot="1">
      <c r="A417" s="122" t="str">
        <f>"M"&amp;E397</f>
        <v>M15</v>
      </c>
      <c r="B417" s="331"/>
      <c r="C417" s="332"/>
      <c r="D417" s="333"/>
      <c r="E417" s="237">
        <f>IF(ISTEXT(G413),"NO APLICA",G413*POSMMLV)</f>
        <v>2788.0720563302725</v>
      </c>
      <c r="F417" s="238">
        <f>IF(E417="","",T408)</f>
        <v>38439.11</v>
      </c>
      <c r="G417" s="221" t="str">
        <f>IF(E417="","",IF(E417="NO APLICA","NO CUMPLE",IF(F417&gt;=E417,"CUMPLE", "NO CUMPLE")))</f>
        <v>CUMPLE</v>
      </c>
      <c r="H417" s="186">
        <v>3</v>
      </c>
      <c r="I417" s="92" t="str">
        <f>IF(AND(H417&lt;=M412,M412&gt;1),VLOOKUP(VALUE(E397&amp;","&amp;H417),INTEGRANTES!$B$15:$D$72,2,0),"")</f>
        <v/>
      </c>
      <c r="J417" s="187" t="str">
        <f>IF(I417&lt;&gt;"",VLOOKUP(VALUE(E397&amp;","&amp;H417),INTEGRANTES!$B$15:$D$72,3,0),"")</f>
        <v/>
      </c>
      <c r="K417" s="247" t="str">
        <f>IF($I417="","",IF(G413="N/A","",ROUND($G413*POSMMLV*PORPOM,2)))</f>
        <v/>
      </c>
      <c r="L417" s="247" t="str">
        <f>IF(I417="","",SUMIF($J401:$J406,I417,$T401:$T406))</f>
        <v/>
      </c>
      <c r="M417" s="93" t="str">
        <f t="shared" si="90"/>
        <v/>
      </c>
      <c r="N417" s="93" t="str">
        <f t="shared" si="91"/>
        <v/>
      </c>
      <c r="O417" s="302"/>
      <c r="P417" s="303"/>
      <c r="Q417" s="303"/>
      <c r="R417" s="303"/>
      <c r="S417" s="303"/>
      <c r="T417" s="303"/>
      <c r="U417" s="304"/>
      <c r="V417" s="201"/>
      <c r="W417" s="1"/>
      <c r="X417" s="239" t="s">
        <v>145</v>
      </c>
      <c r="Y417" s="1"/>
      <c r="Z417" s="262" t="str">
        <f>IF(AND(H417&lt;=M412,M412&gt;1),VLOOKUP(VALUE(E397&amp;","&amp;H417),INTEGRANTES!$B$15:$D$72,2,0),"")</f>
        <v/>
      </c>
      <c r="AA417" s="248" t="str">
        <f>IF(I417="","",SUMIF(J401:$J406,I417,$T401:$T406))</f>
        <v/>
      </c>
      <c r="AB417" s="232"/>
      <c r="AC417" s="250" t="str">
        <f>IF(OR(Z417="",AB417=""),"",IF(AND(AB417="X",AA417&gt;=X418),"CUMPLE","NO CUMPLE"))</f>
        <v/>
      </c>
    </row>
    <row r="418" spans="1:29" ht="15.75" customHeight="1" thickBot="1">
      <c r="A418" s="122" t="str">
        <f>"N"&amp;E397</f>
        <v>N15</v>
      </c>
      <c r="B418" s="293" t="s">
        <v>107</v>
      </c>
      <c r="C418" s="294"/>
      <c r="D418" s="294"/>
      <c r="E418" s="294"/>
      <c r="F418" s="294"/>
      <c r="G418" s="294"/>
      <c r="H418" s="186">
        <v>4</v>
      </c>
      <c r="I418" s="92" t="str">
        <f>IF(AND(H418&lt;=M412,M412&gt;1),VLOOKUP(VALUE(E397&amp;","&amp;H418),INTEGRANTES!$B$15:$D$72,2,0),"")</f>
        <v/>
      </c>
      <c r="J418" s="187" t="str">
        <f>IF(I418&lt;&gt;"",VLOOKUP(VALUE(E397&amp;","&amp;H418),INTEGRANTES!$B$15:$D$72,3,0),"")</f>
        <v/>
      </c>
      <c r="K418" s="247" t="str">
        <f>IF($I418="","",IF(G413="N/A","",ROUND($G413*POSMMLV*PORPOM,2)))</f>
        <v/>
      </c>
      <c r="L418" s="247" t="str">
        <f>IF(I418="","",SUMIF($J401:$J406,I418,$T401:$T406))</f>
        <v/>
      </c>
      <c r="M418" s="93" t="str">
        <f t="shared" si="90"/>
        <v/>
      </c>
      <c r="N418" s="93" t="str">
        <f t="shared" si="91"/>
        <v/>
      </c>
      <c r="O418" s="302"/>
      <c r="P418" s="303"/>
      <c r="Q418" s="303"/>
      <c r="R418" s="303"/>
      <c r="S418" s="303"/>
      <c r="T418" s="303"/>
      <c r="U418" s="304"/>
      <c r="V418" s="201"/>
      <c r="W418" s="1"/>
      <c r="X418" s="251">
        <f>IF(G413="N/A","N/A",0.4*G413*POSMMLV)</f>
        <v>1115.2288225321092</v>
      </c>
      <c r="Y418" s="1"/>
      <c r="Z418" s="262" t="str">
        <f>IF(AND(H418&lt;=M412,M412&gt;1),VLOOKUP(VALUE(E397&amp;","&amp;H418),INTEGRANTES!$B$15:$D$72,2,0),"")</f>
        <v/>
      </c>
      <c r="AA418" s="248" t="str">
        <f>IF(I418="","",SUMIF(J401:$J406,I418,$T401:$T406))</f>
        <v/>
      </c>
      <c r="AB418" s="232"/>
      <c r="AC418" s="250" t="str">
        <f>IF(OR(Z418="",AB418=""),"",IF(AND(AB418="X",AA418&gt;=X418),"CUMPLE","NO CUMPLE"))</f>
        <v/>
      </c>
    </row>
    <row r="419" spans="1:29" ht="33.75" customHeight="1" thickBot="1">
      <c r="A419" s="122" t="str">
        <f>"O"&amp;E397</f>
        <v>O15</v>
      </c>
      <c r="B419" s="328" t="s">
        <v>108</v>
      </c>
      <c r="C419" s="329"/>
      <c r="D419" s="329"/>
      <c r="E419" s="329"/>
      <c r="F419" s="329"/>
      <c r="G419" s="185" t="s">
        <v>99</v>
      </c>
      <c r="H419" s="186">
        <v>5</v>
      </c>
      <c r="I419" s="92" t="str">
        <f>IF(AND(H419&lt;=M412,M412&gt;1),VLOOKUP(VALUE(E397&amp;","&amp;H419),INTEGRANTES!$B$15:$D$72,2,0),"")</f>
        <v/>
      </c>
      <c r="J419" s="187" t="str">
        <f>IF(I419&lt;&gt;"",VLOOKUP(VALUE(E397&amp;","&amp;H419),INTEGRANTES!$B$15:$D$72,3,0),"")</f>
        <v/>
      </c>
      <c r="K419" s="247" t="str">
        <f>IF($I419="","",IF(G413="N/A","",ROUND($G413*POSMMLV*PORPOM,2)))</f>
        <v/>
      </c>
      <c r="L419" s="247" t="str">
        <f>IF(I419="","",SUMIF($J401:$J406,I419,$T401:$T406))</f>
        <v/>
      </c>
      <c r="M419" s="93" t="str">
        <f t="shared" si="90"/>
        <v/>
      </c>
      <c r="N419" s="93" t="str">
        <f t="shared" si="91"/>
        <v/>
      </c>
      <c r="O419" s="302"/>
      <c r="P419" s="303"/>
      <c r="Q419" s="303"/>
      <c r="R419" s="303"/>
      <c r="S419" s="303"/>
      <c r="T419" s="303"/>
      <c r="U419" s="304"/>
      <c r="V419" s="201"/>
      <c r="W419" s="1"/>
      <c r="X419" s="42"/>
      <c r="Y419" s="1"/>
      <c r="Z419" s="262" t="str">
        <f>IF(AND(H419&lt;=M412,M412&gt;1),VLOOKUP(VALUE(E397&amp;","&amp;H419),INTEGRANTES!$B$15:$D$72,2,0),"")</f>
        <v/>
      </c>
      <c r="AA419" s="248" t="str">
        <f>IF(I419="","",SUMIF(J401:$J406,I419,$T401:$T406))</f>
        <v/>
      </c>
      <c r="AB419" s="232"/>
      <c r="AC419" s="250" t="str">
        <f>IF(OR(Z419="",AB419=""),"",IF(AND(AB419="X",AA419&gt;=X418),"CUMPLE","NO CUMPLE"))</f>
        <v/>
      </c>
    </row>
    <row r="420" spans="1:29" ht="16" thickBot="1">
      <c r="A420" s="122" t="str">
        <f>"P"&amp;E397</f>
        <v>P15</v>
      </c>
      <c r="B420" s="353"/>
      <c r="C420" s="354"/>
      <c r="D420" s="354"/>
      <c r="E420" s="354"/>
      <c r="F420" s="354"/>
      <c r="G420" s="137" t="str">
        <f>IF(AND(COUNTIF(X401:X406,"")&gt;5,COUNTIF(Z401:Z406,"")&gt;5),"NO CUMPLE",IF(AND(COUNTIF(X401:X406,"SI")&gt;=$AF$17,COUNTIF(Z401:Z406,"SI")&gt;=$AF$17),"CUMPLE", "NO CUMPLE"))</f>
        <v>CUMPLE</v>
      </c>
      <c r="H420" s="257">
        <v>6</v>
      </c>
      <c r="I420" s="258" t="str">
        <f>IF(AND(H420&lt;=M412,M412&gt;1),VLOOKUP(VALUE(E397&amp;","&amp;H420),INTEGRANTES!$B$15:$D$72,2,0),"")</f>
        <v/>
      </c>
      <c r="J420" s="259" t="str">
        <f>IF(I420&lt;&gt;"",VLOOKUP(VALUE(E397&amp;","&amp;H420),INTEGRANTES!$B$15:$D$72,3,0),"")</f>
        <v/>
      </c>
      <c r="K420" s="260" t="str">
        <f>IF($I420="","",IF(G413="N/A","",ROUND($G413*POSMMLV*PORPOM,2)))</f>
        <v/>
      </c>
      <c r="L420" s="260" t="str">
        <f>IF(I420="","",SUMIF($J401:$J406,I420,$T401:$T406))</f>
        <v/>
      </c>
      <c r="M420" s="261" t="str">
        <f t="shared" si="90"/>
        <v/>
      </c>
      <c r="N420" s="93" t="str">
        <f t="shared" si="91"/>
        <v/>
      </c>
      <c r="O420" s="302"/>
      <c r="P420" s="303"/>
      <c r="Q420" s="303"/>
      <c r="R420" s="303"/>
      <c r="S420" s="303"/>
      <c r="T420" s="303"/>
      <c r="U420" s="304"/>
      <c r="V420" s="201"/>
      <c r="W420" s="1"/>
      <c r="X420" s="239" t="s">
        <v>122</v>
      </c>
      <c r="Y420" s="1"/>
      <c r="Z420" s="263" t="str">
        <f>IF(AND(H420&lt;=M412,M412&gt;1),VLOOKUP(VALUE(E397&amp;","&amp;H420),INTEGRANTES!$B$15:$D$72,2,0),"")</f>
        <v/>
      </c>
      <c r="AA420" s="249" t="str">
        <f>IF(I420="","",SUMIF(J401:$J406,I420,$T401:$T406))</f>
        <v/>
      </c>
      <c r="AB420" s="246"/>
      <c r="AC420" s="137" t="str">
        <f>IF(OR(Z420="",AB420=""),"",IF(AND(AB420="X",AA420&gt;=X418),"CUMPLE","NO CUMPLE"))</f>
        <v/>
      </c>
    </row>
    <row r="421" spans="1:29" ht="38.25" customHeight="1" thickBot="1">
      <c r="A421" s="122" t="str">
        <f>"Q"&amp;E397</f>
        <v>Q15</v>
      </c>
      <c r="B421" s="338"/>
      <c r="C421" s="339"/>
      <c r="D421" s="339"/>
      <c r="E421" s="339"/>
      <c r="F421" s="339"/>
      <c r="G421" s="340"/>
      <c r="H421" s="318" t="s">
        <v>138</v>
      </c>
      <c r="I421" s="341"/>
      <c r="J421" s="342"/>
      <c r="K421" s="318" t="s">
        <v>139</v>
      </c>
      <c r="L421" s="319"/>
      <c r="M421" s="188" t="str">
        <f>IF(OR($M412="",SUM(J415:J420)=0),"",IF(COUNTIF(M415:M420,"CUMPLE")&gt;=1,"CUMPLE","NO CUMPLE"))</f>
        <v/>
      </c>
      <c r="N421" s="188" t="str">
        <f>IF(OR($M412="",SUM(J415:J420)=0),"",IF(COUNTIF(N415:N420,"CUMPLE")&gt;=1,"CUMPLE","NO CUMPLE"))</f>
        <v/>
      </c>
      <c r="O421" s="305"/>
      <c r="P421" s="306"/>
      <c r="Q421" s="306"/>
      <c r="R421" s="306"/>
      <c r="S421" s="306"/>
      <c r="T421" s="306"/>
      <c r="U421" s="307"/>
      <c r="V421" s="201"/>
      <c r="W421" s="1"/>
      <c r="X421" s="254" t="str">
        <f>IF(X415="NO APLICA","NO APLICA",IF(COUNTIF(AC415:AC420,"CUMPLE")&gt;0,"CUMPLE","NO CUMPLE"))</f>
        <v>NO APLICA</v>
      </c>
      <c r="Y421" s="1"/>
      <c r="Z421" s="42"/>
      <c r="AA421" s="42"/>
      <c r="AB421" s="42"/>
      <c r="AC421" s="42"/>
    </row>
    <row r="422" spans="1:29">
      <c r="A422"/>
    </row>
    <row r="423" spans="1:29">
      <c r="A423"/>
    </row>
    <row r="424" spans="1:29" ht="23.5" thickBot="1">
      <c r="A424" s="167">
        <v>16</v>
      </c>
      <c r="B424" s="349" t="s">
        <v>1</v>
      </c>
      <c r="C424" s="349"/>
      <c r="D424" s="349"/>
      <c r="E424" s="105">
        <f>VLOOKUP(A424,PROPONENTES!$B$14:$D$37,2,FALSE)</f>
        <v>16</v>
      </c>
      <c r="F424" s="106" t="str">
        <f>VLOOKUP(E424,PROPONENTES!$C$14:$D$37,2,FALSE)</f>
        <v>CONSORCIO SAN JUDAS TADEO</v>
      </c>
      <c r="G424" s="107"/>
      <c r="H424" s="107"/>
      <c r="I424" s="107"/>
      <c r="J424" s="106"/>
      <c r="K424" s="106"/>
      <c r="L424" s="105"/>
      <c r="M424" s="107"/>
      <c r="N424" s="107"/>
      <c r="O424" s="107"/>
      <c r="P424" s="107"/>
      <c r="Q424" s="107"/>
      <c r="R424" s="107"/>
      <c r="S424" s="107"/>
      <c r="T424" s="108"/>
      <c r="U424" s="109"/>
      <c r="V424" s="109"/>
      <c r="W424" s="11"/>
      <c r="X424" s="240"/>
      <c r="Y424" s="11"/>
      <c r="Z424" s="240"/>
      <c r="AA424" s="240"/>
      <c r="AB424" s="240"/>
      <c r="AC424" s="240"/>
    </row>
    <row r="425" spans="1:29" ht="48" customHeight="1">
      <c r="A425" s="131"/>
      <c r="B425" s="350" t="s">
        <v>88</v>
      </c>
      <c r="C425" s="345" t="s">
        <v>48</v>
      </c>
      <c r="D425" s="352" t="s">
        <v>130</v>
      </c>
      <c r="E425" s="295"/>
      <c r="F425" s="352" t="s">
        <v>93</v>
      </c>
      <c r="G425" s="295"/>
      <c r="H425" s="315" t="s">
        <v>351</v>
      </c>
      <c r="I425" s="315" t="s">
        <v>103</v>
      </c>
      <c r="J425" s="315" t="s">
        <v>2</v>
      </c>
      <c r="K425" s="315" t="s">
        <v>352</v>
      </c>
      <c r="L425" s="315" t="s">
        <v>353</v>
      </c>
      <c r="M425" s="316" t="s">
        <v>29</v>
      </c>
      <c r="N425" s="315" t="s">
        <v>104</v>
      </c>
      <c r="O425" s="343" t="s">
        <v>78</v>
      </c>
      <c r="P425" s="344"/>
      <c r="Q425" s="345" t="s">
        <v>144</v>
      </c>
      <c r="R425" s="345" t="s">
        <v>101</v>
      </c>
      <c r="S425" s="294" t="s">
        <v>3</v>
      </c>
      <c r="T425" s="295"/>
      <c r="U425" s="347" t="s">
        <v>18</v>
      </c>
      <c r="V425" s="366" t="s">
        <v>102</v>
      </c>
      <c r="W425" s="133"/>
      <c r="X425" s="361" t="s">
        <v>146</v>
      </c>
      <c r="Y425" s="133"/>
      <c r="Z425" s="133"/>
      <c r="AA425" s="133"/>
      <c r="AB425" s="245"/>
      <c r="AC425" s="361" t="s">
        <v>123</v>
      </c>
    </row>
    <row r="426" spans="1:29" ht="98.25" customHeight="1">
      <c r="A426" s="131"/>
      <c r="B426" s="351"/>
      <c r="C426" s="346"/>
      <c r="D426" s="134" t="s">
        <v>10</v>
      </c>
      <c r="E426" s="134" t="s">
        <v>4</v>
      </c>
      <c r="F426" s="134" t="s">
        <v>15</v>
      </c>
      <c r="G426" s="135" t="s">
        <v>90</v>
      </c>
      <c r="H426" s="314"/>
      <c r="I426" s="314"/>
      <c r="J426" s="314"/>
      <c r="K426" s="314"/>
      <c r="L426" s="314"/>
      <c r="M426" s="317"/>
      <c r="N426" s="314"/>
      <c r="O426" s="264" t="s">
        <v>76</v>
      </c>
      <c r="P426" s="264" t="s">
        <v>105</v>
      </c>
      <c r="Q426" s="346"/>
      <c r="R426" s="346"/>
      <c r="S426" s="264" t="s">
        <v>81</v>
      </c>
      <c r="T426" s="264" t="s">
        <v>77</v>
      </c>
      <c r="U426" s="348"/>
      <c r="V426" s="336"/>
      <c r="W426" s="133"/>
      <c r="X426" s="362"/>
      <c r="Y426" s="133"/>
      <c r="Z426" s="245"/>
      <c r="AA426" s="245"/>
      <c r="AB426" s="245"/>
      <c r="AC426" s="362"/>
    </row>
    <row r="427" spans="1:29" ht="16" thickBot="1">
      <c r="A427" s="122"/>
      <c r="B427" s="96"/>
      <c r="C427" s="97"/>
      <c r="D427" s="97"/>
      <c r="E427" s="97"/>
      <c r="F427" s="97"/>
      <c r="G427" s="97"/>
      <c r="H427" s="97"/>
      <c r="I427" s="97"/>
      <c r="J427" s="97"/>
      <c r="K427" s="97"/>
      <c r="L427" s="97"/>
      <c r="M427" s="97"/>
      <c r="N427" s="97"/>
      <c r="O427" s="97"/>
      <c r="P427" s="97"/>
      <c r="Q427" s="97"/>
      <c r="R427" s="173"/>
      <c r="S427" s="173"/>
      <c r="T427" s="97"/>
      <c r="U427" s="191"/>
      <c r="V427" s="202"/>
      <c r="W427" s="1"/>
      <c r="X427" s="241"/>
      <c r="Y427" s="1"/>
      <c r="Z427" s="42"/>
      <c r="AA427" s="42"/>
      <c r="AB427" s="42"/>
      <c r="AC427" s="241"/>
    </row>
    <row r="428" spans="1:29" ht="15.75" customHeight="1">
      <c r="A428" s="125" t="str">
        <f>"A"&amp;E424</f>
        <v>A16</v>
      </c>
      <c r="B428" s="386">
        <v>1</v>
      </c>
      <c r="C428" s="380" t="s">
        <v>223</v>
      </c>
      <c r="D428" s="380" t="s">
        <v>301</v>
      </c>
      <c r="E428" s="380" t="s">
        <v>303</v>
      </c>
      <c r="F428" s="139" t="s">
        <v>222</v>
      </c>
      <c r="G428" s="142">
        <v>0.5</v>
      </c>
      <c r="H428" s="142" t="s">
        <v>115</v>
      </c>
      <c r="I428" s="398" t="s">
        <v>50</v>
      </c>
      <c r="J428" s="378" t="str">
        <f>+I442</f>
        <v>JORGE SERRANO</v>
      </c>
      <c r="K428" s="382">
        <v>42972</v>
      </c>
      <c r="L428" s="382">
        <v>43388</v>
      </c>
      <c r="M428" s="384">
        <f>IF(OR(K428="",L428=""),"",IF(OR(K428&gt;$T$14,K428&lt;$S$14,L428&gt;$T$14,AND(K428&lt;$S$14,L428&lt;$S$14)),"FUERA DE RANGO",IF(K428&gt;=$S$14,ROUND(((L428-K428+1)/360*12),1),ROUND(((L428-$S$14+1)/360*12),1))))</f>
        <v>13.9</v>
      </c>
      <c r="N428" s="206">
        <v>33</v>
      </c>
      <c r="O428" s="138" t="s">
        <v>50</v>
      </c>
      <c r="P428" s="128" t="s">
        <v>50</v>
      </c>
      <c r="Q428" s="128" t="s">
        <v>109</v>
      </c>
      <c r="R428" s="95">
        <v>2575.6799999999998</v>
      </c>
      <c r="S428" s="95">
        <f t="shared" ref="S428:S433" si="92">IF(OR(G428="",R428=""),"",R428*G428)</f>
        <v>1287.8399999999999</v>
      </c>
      <c r="T428" s="129">
        <f>IF(OR(I428="NO",I428="",I428&lt;&gt;"SI",S428=""),"",IF(OR(L428&lt;$S$14,L428&gt;$T$14,L428=""),0,ROUND(S428,2)))</f>
        <v>1287.8399999999999</v>
      </c>
      <c r="U428" s="192" t="s">
        <v>418</v>
      </c>
      <c r="V428" s="204"/>
      <c r="W428" s="141"/>
      <c r="X428" s="222" t="s">
        <v>50</v>
      </c>
      <c r="Y428" s="141"/>
      <c r="Z428" s="223" t="str">
        <f t="shared" ref="Z428:Z433" si="93">IF(T428="","",IF(T428&gt;=PORCREQCTO*POSMMLV,"SI","NO"))</f>
        <v>SI</v>
      </c>
      <c r="AA428" s="296" t="str">
        <f>"VERIFICACIÓN CUMPLIMIENTO "&amp;PORCREQCTO*100&amp;"% DEL PO"</f>
        <v>VERIFICACIÓN CUMPLIMIENTO 50% DEL PO</v>
      </c>
      <c r="AB428" s="171"/>
      <c r="AC428" s="256"/>
    </row>
    <row r="429" spans="1:29" ht="21">
      <c r="A429" s="125" t="str">
        <f>"B"&amp;E424</f>
        <v>B16</v>
      </c>
      <c r="B429" s="391"/>
      <c r="C429" s="388"/>
      <c r="D429" s="388"/>
      <c r="E429" s="388"/>
      <c r="F429" s="139" t="s">
        <v>222</v>
      </c>
      <c r="G429" s="142">
        <v>0.25</v>
      </c>
      <c r="H429" s="142" t="s">
        <v>115</v>
      </c>
      <c r="I429" s="408"/>
      <c r="J429" s="378" t="str">
        <f>+I443</f>
        <v>CLAUDIA MARÍA FERRERO SERRANO</v>
      </c>
      <c r="K429" s="389"/>
      <c r="L429" s="389"/>
      <c r="M429" s="390"/>
      <c r="N429" s="206">
        <v>17</v>
      </c>
      <c r="O429" s="138" t="s">
        <v>50</v>
      </c>
      <c r="P429" s="128" t="s">
        <v>50</v>
      </c>
      <c r="Q429" s="128" t="s">
        <v>109</v>
      </c>
      <c r="R429" s="95">
        <v>2575.6799999999998</v>
      </c>
      <c r="S429" s="95">
        <f t="shared" si="92"/>
        <v>643.91999999999996</v>
      </c>
      <c r="T429" s="129">
        <f>IF(OR(I428="NO",I428="",I428&lt;&gt;"SI",S429=""),"",IF(OR(L428&lt;$S$14,L428&gt;$T$14,L428=""),0,ROUND(S429,2)))</f>
        <v>643.91999999999996</v>
      </c>
      <c r="U429" s="192" t="s">
        <v>418</v>
      </c>
      <c r="V429" s="204"/>
      <c r="W429" s="141"/>
      <c r="X429" s="222"/>
      <c r="Y429" s="141"/>
      <c r="Z429" s="224" t="str">
        <f t="shared" si="93"/>
        <v>NO</v>
      </c>
      <c r="AA429" s="297"/>
      <c r="AB429" s="171"/>
      <c r="AC429" s="256"/>
    </row>
    <row r="430" spans="1:29" ht="21">
      <c r="A430" s="125" t="str">
        <f>"C"&amp;E424</f>
        <v>C16</v>
      </c>
      <c r="B430" s="391"/>
      <c r="C430" s="381"/>
      <c r="D430" s="381"/>
      <c r="E430" s="381"/>
      <c r="F430" s="139" t="s">
        <v>222</v>
      </c>
      <c r="G430" s="142">
        <v>0.25</v>
      </c>
      <c r="H430" s="142" t="s">
        <v>115</v>
      </c>
      <c r="I430" s="399"/>
      <c r="J430" s="378" t="str">
        <f>+I445</f>
        <v>ANDRÉS JULIÁN SERRANO CORZO</v>
      </c>
      <c r="K430" s="383"/>
      <c r="L430" s="383"/>
      <c r="M430" s="385"/>
      <c r="N430" s="206">
        <v>17</v>
      </c>
      <c r="O430" s="138" t="s">
        <v>50</v>
      </c>
      <c r="P430" s="128" t="s">
        <v>50</v>
      </c>
      <c r="Q430" s="128" t="s">
        <v>109</v>
      </c>
      <c r="R430" s="95">
        <v>2575.6799999999998</v>
      </c>
      <c r="S430" s="95">
        <f t="shared" si="92"/>
        <v>643.91999999999996</v>
      </c>
      <c r="T430" s="129">
        <f>IF(OR(I428="NO",I428="",I428&lt;&gt;"SI",S430=""),"",IF(OR(L428&lt;$S$14,L428&gt;$T$14,L428=""),0,ROUND(S430,2)))</f>
        <v>643.91999999999996</v>
      </c>
      <c r="U430" s="192" t="s">
        <v>418</v>
      </c>
      <c r="V430" s="204"/>
      <c r="W430" s="141"/>
      <c r="X430" s="222"/>
      <c r="Y430" s="141"/>
      <c r="Z430" s="224" t="str">
        <f t="shared" si="93"/>
        <v>NO</v>
      </c>
      <c r="AA430" s="297"/>
      <c r="AB430" s="171"/>
      <c r="AC430" s="256"/>
    </row>
    <row r="431" spans="1:29" ht="42" customHeight="1">
      <c r="A431" s="125" t="str">
        <f>"D"&amp;E424</f>
        <v>D16</v>
      </c>
      <c r="B431" s="386">
        <v>2</v>
      </c>
      <c r="C431" s="380" t="s">
        <v>223</v>
      </c>
      <c r="D431" s="380" t="s">
        <v>302</v>
      </c>
      <c r="E431" s="380" t="s">
        <v>380</v>
      </c>
      <c r="F431" s="139" t="s">
        <v>222</v>
      </c>
      <c r="G431" s="142">
        <v>0.01</v>
      </c>
      <c r="H431" s="142" t="s">
        <v>115</v>
      </c>
      <c r="I431" s="398" t="s">
        <v>50</v>
      </c>
      <c r="J431" s="378" t="str">
        <f>+J428</f>
        <v>JORGE SERRANO</v>
      </c>
      <c r="K431" s="392">
        <v>41635</v>
      </c>
      <c r="L431" s="392">
        <v>41981</v>
      </c>
      <c r="M431" s="395">
        <f t="shared" ref="M429:M433" si="94">IF(OR(K431="",L431=""),"",IF(OR(K431&gt;$T$14,K431&lt;$S$14,L431&gt;$T$14,AND(K431&lt;$S$14,L431&lt;$S$14)),"FUERA DE RANGO",IF(K431&gt;=$S$14,ROUND(((L431-K431+1)/360*12),1),ROUND(((L431-$S$14+1)/360*12),1))))</f>
        <v>11.6</v>
      </c>
      <c r="N431" s="206">
        <v>26</v>
      </c>
      <c r="O431" s="138" t="s">
        <v>50</v>
      </c>
      <c r="P431" s="128" t="s">
        <v>50</v>
      </c>
      <c r="Q431" s="128" t="s">
        <v>109</v>
      </c>
      <c r="R431" s="95">
        <v>2988.87</v>
      </c>
      <c r="S431" s="95">
        <f t="shared" si="92"/>
        <v>29.8887</v>
      </c>
      <c r="T431" s="129">
        <f t="shared" ref="T429:T433" si="95">IF(OR(I431="NO",I431="",I431&lt;&gt;"SI",S431=""),"",IF(OR(L431&lt;$S$14,L431&gt;$T$14,L431=""),0,ROUND(S431,2)))</f>
        <v>29.89</v>
      </c>
      <c r="U431" s="192" t="s">
        <v>419</v>
      </c>
      <c r="V431" s="204"/>
      <c r="W431" s="141"/>
      <c r="X431" s="222"/>
      <c r="Y431" s="141"/>
      <c r="Z431" s="224" t="str">
        <f t="shared" si="93"/>
        <v>NO</v>
      </c>
      <c r="AA431" s="297"/>
      <c r="AB431" s="171"/>
      <c r="AC431" s="256"/>
    </row>
    <row r="432" spans="1:29" ht="21">
      <c r="A432" s="125" t="str">
        <f>"E"&amp;E424</f>
        <v>E16</v>
      </c>
      <c r="B432" s="391"/>
      <c r="C432" s="388"/>
      <c r="D432" s="388"/>
      <c r="E432" s="388"/>
      <c r="F432" s="139" t="s">
        <v>222</v>
      </c>
      <c r="G432" s="142">
        <v>0.2</v>
      </c>
      <c r="H432" s="142" t="s">
        <v>115</v>
      </c>
      <c r="I432" s="408"/>
      <c r="J432" s="378" t="str">
        <f>+J429</f>
        <v>CLAUDIA MARÍA FERRERO SERRANO</v>
      </c>
      <c r="K432" s="393"/>
      <c r="L432" s="393"/>
      <c r="M432" s="396"/>
      <c r="N432" s="206">
        <v>9</v>
      </c>
      <c r="O432" s="138" t="s">
        <v>50</v>
      </c>
      <c r="P432" s="128" t="s">
        <v>50</v>
      </c>
      <c r="Q432" s="128" t="s">
        <v>109</v>
      </c>
      <c r="R432" s="95">
        <v>2988.87</v>
      </c>
      <c r="S432" s="95">
        <f t="shared" si="92"/>
        <v>597.774</v>
      </c>
      <c r="T432" s="129">
        <f>IF(OR(I431="NO",I431="",I431&lt;&gt;"SI",S432=""),"",IF(OR(L431&lt;$S$14,L431&gt;$T$14,L431=""),0,ROUND(S432,2)))</f>
        <v>597.77</v>
      </c>
      <c r="U432" s="192" t="s">
        <v>419</v>
      </c>
      <c r="V432" s="204"/>
      <c r="W432" s="141"/>
      <c r="X432" s="222"/>
      <c r="Y432" s="141"/>
      <c r="Z432" s="224" t="str">
        <f t="shared" si="93"/>
        <v>NO</v>
      </c>
      <c r="AA432" s="297"/>
      <c r="AB432" s="171"/>
      <c r="AC432" s="256"/>
    </row>
    <row r="433" spans="1:29" ht="21.5" thickBot="1">
      <c r="A433" s="125" t="str">
        <f>"F"&amp;E424</f>
        <v>F16</v>
      </c>
      <c r="B433" s="391"/>
      <c r="C433" s="381"/>
      <c r="D433" s="381"/>
      <c r="E433" s="381"/>
      <c r="F433" s="139" t="s">
        <v>222</v>
      </c>
      <c r="G433" s="142">
        <v>0.79</v>
      </c>
      <c r="H433" s="142" t="s">
        <v>115</v>
      </c>
      <c r="I433" s="399"/>
      <c r="J433" s="378" t="str">
        <f>+J430</f>
        <v>ANDRÉS JULIÁN SERRANO CORZO</v>
      </c>
      <c r="K433" s="394"/>
      <c r="L433" s="394"/>
      <c r="M433" s="397"/>
      <c r="N433" s="206">
        <v>8</v>
      </c>
      <c r="O433" s="138" t="s">
        <v>50</v>
      </c>
      <c r="P433" s="128" t="s">
        <v>50</v>
      </c>
      <c r="Q433" s="128" t="s">
        <v>109</v>
      </c>
      <c r="R433" s="95">
        <v>2988.87</v>
      </c>
      <c r="S433" s="95">
        <f t="shared" si="92"/>
        <v>2361.2073</v>
      </c>
      <c r="T433" s="129">
        <f>IF(OR(I431="NO",I431="",I431&lt;&gt;"SI",S433=""),"",IF(OR(L431&lt;$S$14,L431&gt;$T$14,L431=""),0,ROUND(S433,2)))</f>
        <v>2361.21</v>
      </c>
      <c r="U433" s="192" t="s">
        <v>419</v>
      </c>
      <c r="V433" s="204"/>
      <c r="W433" s="141"/>
      <c r="X433" s="222"/>
      <c r="Y433" s="141"/>
      <c r="Z433" s="225" t="str">
        <f t="shared" si="93"/>
        <v>SI</v>
      </c>
      <c r="AA433" s="363"/>
      <c r="AB433" s="171"/>
      <c r="AC433" s="256"/>
    </row>
    <row r="434" spans="1:29" ht="16" thickBot="1">
      <c r="A434" s="122"/>
      <c r="B434" s="96"/>
      <c r="C434" s="97"/>
      <c r="D434" s="97"/>
      <c r="E434" s="97"/>
      <c r="F434" s="97"/>
      <c r="G434" s="97"/>
      <c r="H434" s="97"/>
      <c r="I434" s="97"/>
      <c r="J434" s="97"/>
      <c r="K434" s="97"/>
      <c r="L434" s="97"/>
      <c r="M434" s="97"/>
      <c r="N434" s="97"/>
      <c r="O434" s="97"/>
      <c r="P434" s="97"/>
      <c r="Q434" s="97"/>
      <c r="R434" s="173"/>
      <c r="S434" s="173"/>
      <c r="T434" s="126"/>
      <c r="U434" s="98"/>
      <c r="V434" s="205"/>
      <c r="W434" s="1"/>
      <c r="X434" s="242"/>
      <c r="Y434" s="1"/>
      <c r="Z434" s="42"/>
      <c r="AA434" s="42"/>
      <c r="AB434" s="42"/>
      <c r="AC434" s="242"/>
    </row>
    <row r="435" spans="1:29" ht="16" thickBot="1">
      <c r="A435" s="123"/>
      <c r="B435" s="99"/>
      <c r="C435" s="94"/>
      <c r="D435" s="94"/>
      <c r="E435" s="94"/>
      <c r="F435" s="94"/>
      <c r="G435" s="94"/>
      <c r="H435" s="94"/>
      <c r="I435" s="94"/>
      <c r="J435" s="94"/>
      <c r="K435" s="94"/>
      <c r="L435" s="94"/>
      <c r="M435" s="94"/>
      <c r="N435" s="94"/>
      <c r="O435" s="94"/>
      <c r="P435" s="94"/>
      <c r="Q435" s="94"/>
      <c r="R435" s="265"/>
      <c r="S435" s="265"/>
      <c r="T435" s="130">
        <f>SUM(T428:T433)</f>
        <v>5564.5499999999993</v>
      </c>
      <c r="U435" s="100"/>
      <c r="V435" s="203"/>
      <c r="W435" s="12"/>
      <c r="X435" s="243"/>
      <c r="Y435" s="12"/>
      <c r="Z435" s="243"/>
      <c r="AA435" s="243"/>
      <c r="AB435" s="243"/>
      <c r="AC435" s="243"/>
    </row>
    <row r="436" spans="1:29">
      <c r="B436" s="197"/>
      <c r="C436" s="193"/>
      <c r="D436" s="193"/>
      <c r="E436" s="193"/>
      <c r="F436" s="193"/>
      <c r="G436" s="193"/>
      <c r="H436" s="193"/>
      <c r="I436" s="193"/>
      <c r="J436" s="193"/>
      <c r="K436" s="193"/>
      <c r="L436" s="193"/>
      <c r="M436" s="193"/>
      <c r="N436" s="193"/>
      <c r="O436" s="193"/>
      <c r="P436" s="193"/>
      <c r="Q436" s="193"/>
      <c r="R436" s="194"/>
      <c r="S436" s="194"/>
      <c r="T436" s="195"/>
      <c r="U436" s="196"/>
      <c r="V436" s="195"/>
    </row>
    <row r="437" spans="1:29" ht="16" thickBot="1">
      <c r="A437" s="122"/>
      <c r="B437" s="322" t="s">
        <v>45</v>
      </c>
      <c r="C437" s="323"/>
      <c r="D437" s="323"/>
      <c r="E437" s="323"/>
      <c r="F437" s="323"/>
      <c r="G437" s="324"/>
      <c r="H437" s="324"/>
      <c r="I437" s="324"/>
      <c r="J437" s="324"/>
      <c r="K437" s="324"/>
      <c r="L437" s="324"/>
      <c r="M437" s="324"/>
      <c r="N437" s="324"/>
      <c r="O437" s="324"/>
      <c r="P437" s="324"/>
      <c r="Q437" s="324"/>
      <c r="R437" s="324"/>
      <c r="S437" s="324"/>
      <c r="T437" s="324"/>
      <c r="U437" s="325"/>
      <c r="V437" s="201"/>
      <c r="W437" s="1"/>
      <c r="X437" s="42"/>
      <c r="Y437" s="1"/>
      <c r="Z437" s="42"/>
      <c r="AA437" s="42"/>
      <c r="AB437" s="42"/>
      <c r="AC437" s="42"/>
    </row>
    <row r="438" spans="1:29" ht="16.5" customHeight="1" thickBot="1">
      <c r="A438" s="122" t="str">
        <f>"G"&amp;E424</f>
        <v>G16</v>
      </c>
      <c r="B438" s="291" t="s">
        <v>97</v>
      </c>
      <c r="C438" s="292"/>
      <c r="D438" s="292"/>
      <c r="E438" s="292"/>
      <c r="F438" s="292"/>
      <c r="G438" s="326"/>
      <c r="H438" s="291" t="s">
        <v>100</v>
      </c>
      <c r="I438" s="292"/>
      <c r="J438" s="292"/>
      <c r="K438" s="292"/>
      <c r="L438" s="292"/>
      <c r="M438" s="292"/>
      <c r="N438" s="292"/>
      <c r="O438" s="189" t="s">
        <v>23</v>
      </c>
      <c r="P438" s="190"/>
      <c r="Q438" s="190"/>
      <c r="R438" s="190"/>
      <c r="S438" s="190"/>
      <c r="T438" s="190"/>
      <c r="U438" s="253"/>
      <c r="V438" s="201"/>
      <c r="W438" s="1"/>
      <c r="X438" s="239" t="s">
        <v>117</v>
      </c>
      <c r="Y438" s="1"/>
      <c r="Z438" s="355" t="s">
        <v>119</v>
      </c>
      <c r="AA438" s="345" t="s">
        <v>120</v>
      </c>
      <c r="AB438" s="345" t="s">
        <v>148</v>
      </c>
      <c r="AC438" s="359" t="s">
        <v>149</v>
      </c>
    </row>
    <row r="439" spans="1:29" ht="15.75" customHeight="1" thickBot="1">
      <c r="A439" s="122" t="str">
        <f>"H"&amp;E424</f>
        <v>H16</v>
      </c>
      <c r="B439" s="293" t="s">
        <v>132</v>
      </c>
      <c r="C439" s="294"/>
      <c r="D439" s="294"/>
      <c r="E439" s="294"/>
      <c r="F439" s="294"/>
      <c r="G439" s="327"/>
      <c r="H439" s="293" t="s">
        <v>17</v>
      </c>
      <c r="I439" s="294"/>
      <c r="J439" s="294"/>
      <c r="K439" s="294"/>
      <c r="L439" s="295"/>
      <c r="M439" s="183">
        <f>VLOOKUP(E424,PROPONENTES!$C$14:$E$37,3,0)</f>
        <v>4</v>
      </c>
      <c r="N439" s="296" t="s">
        <v>143</v>
      </c>
      <c r="O439" s="299"/>
      <c r="P439" s="300"/>
      <c r="Q439" s="300"/>
      <c r="R439" s="300"/>
      <c r="S439" s="300"/>
      <c r="T439" s="300"/>
      <c r="U439" s="301"/>
      <c r="V439" s="201"/>
      <c r="W439" s="1"/>
      <c r="X439" s="244" t="str">
        <f>IF(M439="","",IF(M439=1,"INDIVIDUAL","ESTRUCTURA PLURAL"))</f>
        <v>ESTRUCTURA PLURAL</v>
      </c>
      <c r="Y439" s="1"/>
      <c r="Z439" s="356"/>
      <c r="AA439" s="358"/>
      <c r="AB439" s="358"/>
      <c r="AC439" s="360"/>
    </row>
    <row r="440" spans="1:29" ht="15.75" customHeight="1" thickBot="1">
      <c r="A440" s="122" t="str">
        <f>"I"&amp;E424</f>
        <v>I16</v>
      </c>
      <c r="B440" s="328" t="s">
        <v>131</v>
      </c>
      <c r="C440" s="329"/>
      <c r="D440" s="330"/>
      <c r="E440" s="308">
        <f>IF(AND(I428="SI",T428&gt;0),1,0)+IF(AND(I429="SI",T429&gt;0),1,0)+IF(AND(I430="SI",T430&gt;0),1,0)+IF(AND(I431="SI",T431&gt;0),1,0)+IF(AND(I432="SI",T432&gt;0),1,0)+IF(AND(I433="SI",T433&gt;0),1,0)</f>
        <v>2</v>
      </c>
      <c r="F440" s="310" t="s">
        <v>133</v>
      </c>
      <c r="G440" s="312">
        <f>IF(E440=0,"N/A",IF(AND(E440&gt;=1,E440&lt;=2),0.75,IF(AND(E440&gt;=3,E440&lt;=4),1.2,IF(AND(E440&gt;=5,E440&lt;=6),1.5,"REVISAR"))))</f>
        <v>0.75</v>
      </c>
      <c r="H440" s="334" t="s">
        <v>16</v>
      </c>
      <c r="I440" s="335"/>
      <c r="J440" s="314" t="s">
        <v>350</v>
      </c>
      <c r="K440" s="314" t="s">
        <v>140</v>
      </c>
      <c r="L440" s="314" t="s">
        <v>141</v>
      </c>
      <c r="M440" s="320" t="s">
        <v>142</v>
      </c>
      <c r="N440" s="297"/>
      <c r="O440" s="302"/>
      <c r="P440" s="303"/>
      <c r="Q440" s="303"/>
      <c r="R440" s="303"/>
      <c r="S440" s="303"/>
      <c r="T440" s="303"/>
      <c r="U440" s="304"/>
      <c r="V440" s="201"/>
      <c r="W440" s="38"/>
      <c r="X440" s="171"/>
      <c r="Y440" s="38"/>
      <c r="Z440" s="356"/>
      <c r="AA440" s="358"/>
      <c r="AB440" s="358"/>
      <c r="AC440" s="360"/>
    </row>
    <row r="441" spans="1:29" ht="16.5" customHeight="1" thickBot="1">
      <c r="A441" s="122" t="str">
        <f>"J"&amp;E424</f>
        <v>J16</v>
      </c>
      <c r="B441" s="331"/>
      <c r="C441" s="332"/>
      <c r="D441" s="333"/>
      <c r="E441" s="309"/>
      <c r="F441" s="311"/>
      <c r="G441" s="313"/>
      <c r="H441" s="336"/>
      <c r="I441" s="337"/>
      <c r="J441" s="314"/>
      <c r="K441" s="314"/>
      <c r="L441" s="314"/>
      <c r="M441" s="321"/>
      <c r="N441" s="298"/>
      <c r="O441" s="302"/>
      <c r="P441" s="303"/>
      <c r="Q441" s="303"/>
      <c r="R441" s="303"/>
      <c r="S441" s="303"/>
      <c r="T441" s="303"/>
      <c r="U441" s="304"/>
      <c r="V441" s="201"/>
      <c r="W441" s="38"/>
      <c r="X441" s="239" t="s">
        <v>118</v>
      </c>
      <c r="Y441" s="38"/>
      <c r="Z441" s="357"/>
      <c r="AA441" s="346"/>
      <c r="AB441" s="346"/>
      <c r="AC441" s="321"/>
    </row>
    <row r="442" spans="1:29" ht="16" thickBot="1">
      <c r="A442" s="125" t="str">
        <f>"K"&amp;E424</f>
        <v>K16</v>
      </c>
      <c r="B442" s="293" t="s">
        <v>98</v>
      </c>
      <c r="C442" s="294"/>
      <c r="D442" s="294"/>
      <c r="E442" s="294"/>
      <c r="F442" s="294"/>
      <c r="G442" s="294"/>
      <c r="H442" s="186">
        <v>1</v>
      </c>
      <c r="I442" s="92" t="str">
        <f>IF(AND(H442&lt;=M439,M439&gt;1),VLOOKUP(VALUE(E424&amp;","&amp;H442),INTEGRANTES!$B$15:$D$72,2,0),"")</f>
        <v>JORGE SERRANO</v>
      </c>
      <c r="J442" s="187">
        <f>IF(I442&lt;&gt;"",VLOOKUP(VALUE(E424&amp;","&amp;H442),INTEGRANTES!$B$15:$D$72,3,0),"")</f>
        <v>0.05</v>
      </c>
      <c r="K442" s="247">
        <f>IF($I442="","",IF(G440="N/A","",ROUND($G440*POSMMLV*PORPOM,2)))</f>
        <v>697.02</v>
      </c>
      <c r="L442" s="247">
        <f>IF(I442="","",SUMIF($J428:$J433,I442,$T428:$T433))</f>
        <v>1317.73</v>
      </c>
      <c r="M442" s="93" t="str">
        <f t="shared" ref="M442:M447" si="96">IF($I442="","",IF($K442&gt;L442,"NO CUMPLE","CUMPLE"))</f>
        <v>CUMPLE</v>
      </c>
      <c r="N442" s="93" t="str">
        <f>IF($I442="","",IF(M442="CUMPLE","CUMPLE","NO CUMPLE"))</f>
        <v>CUMPLE</v>
      </c>
      <c r="O442" s="302"/>
      <c r="P442" s="303"/>
      <c r="Q442" s="303"/>
      <c r="R442" s="303"/>
      <c r="S442" s="303"/>
      <c r="T442" s="303"/>
      <c r="U442" s="304"/>
      <c r="V442" s="201"/>
      <c r="W442" s="1"/>
      <c r="X442" s="244" t="str">
        <f>IF(X439="","",IF(X439="INDIVIDUAL","NO APLICA","VERIFICAR CUADRO"))</f>
        <v>VERIFICAR CUADRO</v>
      </c>
      <c r="Y442" s="1"/>
      <c r="Z442" s="262" t="str">
        <f>IF(AND(H442&lt;=M439,M439&gt;1),VLOOKUP(VALUE(E424&amp;","&amp;H442),INTEGRANTES!$B$15:$D$72,2,0),"")</f>
        <v>JORGE SERRANO</v>
      </c>
      <c r="AA442" s="248">
        <f>IF(I442="","",SUMIF(J428:$J433,I442,$T428:$T433))</f>
        <v>1317.73</v>
      </c>
      <c r="AB442" s="232"/>
      <c r="AC442" s="250" t="str">
        <f>IF(OR(Z442="",AB442=""),"",IF(AND(AB442="X",AA442&gt;=X445),"CUMPLE","NO CUMPLE"))</f>
        <v/>
      </c>
    </row>
    <row r="443" spans="1:29" ht="30.5" customHeight="1" thickBot="1">
      <c r="A443" s="125" t="str">
        <f>"L"&amp;E424</f>
        <v>L16</v>
      </c>
      <c r="B443" s="328" t="s">
        <v>134</v>
      </c>
      <c r="C443" s="329"/>
      <c r="D443" s="330"/>
      <c r="E443" s="132" t="s">
        <v>135</v>
      </c>
      <c r="F443" s="132" t="s">
        <v>136</v>
      </c>
      <c r="G443" s="136" t="s">
        <v>99</v>
      </c>
      <c r="H443" s="186">
        <v>2</v>
      </c>
      <c r="I443" s="92" t="str">
        <f>IF(AND(H443&lt;=M439,M439&gt;1),VLOOKUP(VALUE(E424&amp;","&amp;H443),INTEGRANTES!$B$15:$D$72,2,0),"")</f>
        <v>CLAUDIA MARÍA FERRERO SERRANO</v>
      </c>
      <c r="J443" s="187">
        <f>IF(I443&lt;&gt;"",VLOOKUP(VALUE(E424&amp;","&amp;H443),INTEGRANTES!$B$15:$D$72,3,0),"")</f>
        <v>0.05</v>
      </c>
      <c r="K443" s="247">
        <f>IF($I443="","",IF(G440="N/A","",ROUND($G440*POSMMLV*PORPOM,2)))</f>
        <v>697.02</v>
      </c>
      <c r="L443" s="247">
        <f>IF(I443="","",SUMIF($J428:$J433,I443,$T428:$T433))</f>
        <v>1241.69</v>
      </c>
      <c r="M443" s="93" t="str">
        <f t="shared" si="96"/>
        <v>CUMPLE</v>
      </c>
      <c r="N443" s="93" t="str">
        <f t="shared" ref="N442:N447" si="97">IF($I443="","",IF(M443="CUMPLE","CUMPLE","NO CUMPLE"))</f>
        <v>CUMPLE</v>
      </c>
      <c r="O443" s="302"/>
      <c r="P443" s="303"/>
      <c r="Q443" s="303"/>
      <c r="R443" s="303"/>
      <c r="S443" s="303"/>
      <c r="T443" s="303"/>
      <c r="U443" s="304"/>
      <c r="V443" s="201"/>
      <c r="W443" s="1"/>
      <c r="X443" s="42"/>
      <c r="Y443" s="1"/>
      <c r="Z443" s="262" t="str">
        <f>IF(AND(H443&lt;=M439,M439&gt;1),VLOOKUP(VALUE(E424&amp;","&amp;H443),INTEGRANTES!$B$15:$D$72,2,0),"")</f>
        <v>CLAUDIA MARÍA FERRERO SERRANO</v>
      </c>
      <c r="AA443" s="248">
        <f>IF(I443="","",SUMIF(J428:$J433,I443,$T428:$T433))</f>
        <v>1241.69</v>
      </c>
      <c r="AB443" s="232"/>
      <c r="AC443" s="250" t="str">
        <f>IF(OR(Z443="",AB443=""),"",IF(AND(AB443="X",AA443&gt;=X445),"CUMPLE","NO CUMPLE"))</f>
        <v/>
      </c>
    </row>
    <row r="444" spans="1:29" ht="36.5" customHeight="1" thickBot="1">
      <c r="A444" s="122" t="str">
        <f>"M"&amp;E424</f>
        <v>M16</v>
      </c>
      <c r="B444" s="331"/>
      <c r="C444" s="332"/>
      <c r="D444" s="333"/>
      <c r="E444" s="237">
        <f>IF(ISTEXT(G440),"NO APLICA",G440*POSMMLV)</f>
        <v>1394.0360281651363</v>
      </c>
      <c r="F444" s="238">
        <f>IF(E444="","",T435)</f>
        <v>5564.5499999999993</v>
      </c>
      <c r="G444" s="221" t="str">
        <f>IF(E444="","",IF(E444="NO APLICA","NO CUMPLE",IF(F444&gt;=E444,"CUMPLE", "NO CUMPLE")))</f>
        <v>CUMPLE</v>
      </c>
      <c r="H444" s="186">
        <v>3</v>
      </c>
      <c r="I444" s="92" t="str">
        <f>IF(AND(H444&lt;=M439,M439&gt;1),VLOOKUP(VALUE(E424&amp;","&amp;H444),INTEGRANTES!$B$15:$D$72,2,0),"")</f>
        <v>JUAN SEBASTIÁN SERRANO CORZO</v>
      </c>
      <c r="J444" s="187">
        <f>IF(I444&lt;&gt;"",VLOOKUP(VALUE(E424&amp;","&amp;H444),INTEGRANTES!$B$15:$D$72,3,0),"")</f>
        <v>0.1</v>
      </c>
      <c r="K444" s="247">
        <f>IF($I444="","",IF(G440="N/A","",ROUND($G440*POSMMLV*PORPOM,2)))</f>
        <v>697.02</v>
      </c>
      <c r="L444" s="247">
        <f>IF(I444="","",SUMIF($J428:$J433,I444,$T428:$T433))</f>
        <v>0</v>
      </c>
      <c r="M444" s="93" t="str">
        <f t="shared" si="96"/>
        <v>NO CUMPLE</v>
      </c>
      <c r="N444" s="93" t="str">
        <f t="shared" si="97"/>
        <v>NO CUMPLE</v>
      </c>
      <c r="O444" s="302"/>
      <c r="P444" s="303"/>
      <c r="Q444" s="303"/>
      <c r="R444" s="303"/>
      <c r="S444" s="303"/>
      <c r="T444" s="303"/>
      <c r="U444" s="304"/>
      <c r="V444" s="201"/>
      <c r="W444" s="1"/>
      <c r="X444" s="239" t="s">
        <v>145</v>
      </c>
      <c r="Y444" s="1"/>
      <c r="Z444" s="262" t="str">
        <f>IF(AND(H444&lt;=M439,M439&gt;1),VLOOKUP(VALUE(E424&amp;","&amp;H444),INTEGRANTES!$B$15:$D$72,2,0),"")</f>
        <v>JUAN SEBASTIÁN SERRANO CORZO</v>
      </c>
      <c r="AA444" s="248">
        <f>IF(I444="","",SUMIF(J428:$J433,I444,$T428:$T433))</f>
        <v>0</v>
      </c>
      <c r="AB444" s="232"/>
      <c r="AC444" s="250" t="str">
        <f>IF(OR(Z444="",AB444=""),"",IF(AND(AB444="X",AA444&gt;=X445),"CUMPLE","NO CUMPLE"))</f>
        <v/>
      </c>
    </row>
    <row r="445" spans="1:29" ht="23.5" customHeight="1" thickBot="1">
      <c r="A445" s="122" t="str">
        <f>"N"&amp;E424</f>
        <v>N16</v>
      </c>
      <c r="B445" s="293" t="s">
        <v>107</v>
      </c>
      <c r="C445" s="294"/>
      <c r="D445" s="294"/>
      <c r="E445" s="294"/>
      <c r="F445" s="294"/>
      <c r="G445" s="294"/>
      <c r="H445" s="186">
        <v>4</v>
      </c>
      <c r="I445" s="92" t="str">
        <f>IF(AND(H445&lt;=M439,M439&gt;1),VLOOKUP(VALUE(E424&amp;","&amp;H445),INTEGRANTES!$B$15:$D$72,2,0),"")</f>
        <v>ANDRÉS JULIÁN SERRANO CORZO</v>
      </c>
      <c r="J445" s="187">
        <f>IF(I445&lt;&gt;"",VLOOKUP(VALUE(E424&amp;","&amp;H445),INTEGRANTES!$B$15:$D$72,3,0),"")</f>
        <v>0.8</v>
      </c>
      <c r="K445" s="247">
        <f>IF($I445="","",IF(G440="N/A","",ROUND($G440*POSMMLV*PORPOM,2)))</f>
        <v>697.02</v>
      </c>
      <c r="L445" s="247">
        <f>IF(I445="","",SUMIF($J428:$J433,I445,$T428:$T433))</f>
        <v>3005.13</v>
      </c>
      <c r="M445" s="93" t="str">
        <f t="shared" si="96"/>
        <v>CUMPLE</v>
      </c>
      <c r="N445" s="93" t="str">
        <f t="shared" si="97"/>
        <v>CUMPLE</v>
      </c>
      <c r="O445" s="302"/>
      <c r="P445" s="303"/>
      <c r="Q445" s="303"/>
      <c r="R445" s="303"/>
      <c r="S445" s="303"/>
      <c r="T445" s="303"/>
      <c r="U445" s="304"/>
      <c r="V445" s="201"/>
      <c r="W445" s="1"/>
      <c r="X445" s="251">
        <f>IF(G440="N/A","N/A",0.4*G440*POSMMLV)</f>
        <v>557.61441126605462</v>
      </c>
      <c r="Y445" s="1"/>
      <c r="Z445" s="262" t="str">
        <f>IF(AND(H445&lt;=M439,M439&gt;1),VLOOKUP(VALUE(E424&amp;","&amp;H445),INTEGRANTES!$B$15:$D$72,2,0),"")</f>
        <v>ANDRÉS JULIÁN SERRANO CORZO</v>
      </c>
      <c r="AA445" s="248">
        <f>IF(I445="","",SUMIF(J428:$J433,I445,$T428:$T433))</f>
        <v>3005.13</v>
      </c>
      <c r="AB445" s="232"/>
      <c r="AC445" s="250" t="str">
        <f>IF(OR(Z445="",AB445=""),"",IF(AND(AB445="X",AA445&gt;=X445),"CUMPLE","NO CUMPLE"))</f>
        <v/>
      </c>
    </row>
    <row r="446" spans="1:29" ht="33.75" customHeight="1" thickBot="1">
      <c r="A446" s="122" t="str">
        <f>"O"&amp;E424</f>
        <v>O16</v>
      </c>
      <c r="B446" s="328" t="s">
        <v>108</v>
      </c>
      <c r="C446" s="329"/>
      <c r="D446" s="329"/>
      <c r="E446" s="329"/>
      <c r="F446" s="329"/>
      <c r="G446" s="185" t="s">
        <v>99</v>
      </c>
      <c r="H446" s="186">
        <v>5</v>
      </c>
      <c r="I446" s="92" t="str">
        <f>IF(AND(H446&lt;=M439,M439&gt;1),VLOOKUP(VALUE(E424&amp;","&amp;H446),INTEGRANTES!$B$15:$D$72,2,0),"")</f>
        <v/>
      </c>
      <c r="J446" s="187" t="str">
        <f>IF(I446&lt;&gt;"",VLOOKUP(VALUE(E424&amp;","&amp;H446),INTEGRANTES!$B$15:$D$72,3,0),"")</f>
        <v/>
      </c>
      <c r="K446" s="247" t="str">
        <f>IF($I446="","",IF(G440="N/A","",ROUND($G440*POSMMLV*PORPOM,2)))</f>
        <v/>
      </c>
      <c r="L446" s="247" t="str">
        <f>IF(I446="","",SUMIF($J428:$J433,I446,$T428:$T433))</f>
        <v/>
      </c>
      <c r="M446" s="93" t="str">
        <f t="shared" si="96"/>
        <v/>
      </c>
      <c r="N446" s="93" t="str">
        <f t="shared" si="97"/>
        <v/>
      </c>
      <c r="O446" s="302"/>
      <c r="P446" s="303"/>
      <c r="Q446" s="303"/>
      <c r="R446" s="303"/>
      <c r="S446" s="303"/>
      <c r="T446" s="303"/>
      <c r="U446" s="304"/>
      <c r="V446" s="201"/>
      <c r="W446" s="1"/>
      <c r="X446" s="42"/>
      <c r="Y446" s="1"/>
      <c r="Z446" s="262" t="str">
        <f>IF(AND(H446&lt;=M439,M439&gt;1),VLOOKUP(VALUE(E424&amp;","&amp;H446),INTEGRANTES!$B$15:$D$72,2,0),"")</f>
        <v/>
      </c>
      <c r="AA446" s="248" t="str">
        <f>IF(I446="","",SUMIF(J428:$J433,I446,$T428:$T433))</f>
        <v/>
      </c>
      <c r="AB446" s="232"/>
      <c r="AC446" s="250" t="str">
        <f>IF(OR(Z446="",AB446=""),"",IF(AND(AB446="X",AA446&gt;=X445),"CUMPLE","NO CUMPLE"))</f>
        <v/>
      </c>
    </row>
    <row r="447" spans="1:29" ht="16" thickBot="1">
      <c r="A447" s="122" t="str">
        <f>"P"&amp;E424</f>
        <v>P16</v>
      </c>
      <c r="B447" s="353"/>
      <c r="C447" s="354"/>
      <c r="D447" s="354"/>
      <c r="E447" s="354"/>
      <c r="F447" s="354"/>
      <c r="G447" s="137" t="str">
        <f>IF(AND(COUNTIF(X428:X433,"")&gt;5,COUNTIF(Z428:Z433,"")&gt;5),"NO CUMPLE",IF(AND(COUNTIF(X428:X433,"SI")&gt;=$AF$17,COUNTIF(Z428:Z433,"SI")&gt;=$AF$17),"CUMPLE", "NO CUMPLE"))</f>
        <v>CUMPLE</v>
      </c>
      <c r="H447" s="257">
        <v>6</v>
      </c>
      <c r="I447" s="258" t="str">
        <f>IF(AND(H447&lt;=M439,M439&gt;1),VLOOKUP(VALUE(E424&amp;","&amp;H447),INTEGRANTES!$B$15:$D$72,2,0),"")</f>
        <v/>
      </c>
      <c r="J447" s="259" t="str">
        <f>IF(I447&lt;&gt;"",VLOOKUP(VALUE(E424&amp;","&amp;H447),INTEGRANTES!$B$15:$D$72,3,0),"")</f>
        <v/>
      </c>
      <c r="K447" s="260" t="str">
        <f>IF($I447="","",IF(G440="N/A","",ROUND($G440*POSMMLV*PORPOM,2)))</f>
        <v/>
      </c>
      <c r="L447" s="260" t="str">
        <f>IF(I447="","",SUMIF($J428:$J433,I447,$T428:$T433))</f>
        <v/>
      </c>
      <c r="M447" s="261" t="str">
        <f t="shared" si="96"/>
        <v/>
      </c>
      <c r="N447" s="93" t="str">
        <f t="shared" si="97"/>
        <v/>
      </c>
      <c r="O447" s="302"/>
      <c r="P447" s="303"/>
      <c r="Q447" s="303"/>
      <c r="R447" s="303"/>
      <c r="S447" s="303"/>
      <c r="T447" s="303"/>
      <c r="U447" s="304"/>
      <c r="V447" s="201"/>
      <c r="W447" s="1"/>
      <c r="X447" s="239" t="s">
        <v>122</v>
      </c>
      <c r="Y447" s="1"/>
      <c r="Z447" s="263" t="str">
        <f>IF(AND(H447&lt;=M439,M439&gt;1),VLOOKUP(VALUE(E424&amp;","&amp;H447),INTEGRANTES!$B$15:$D$72,2,0),"")</f>
        <v/>
      </c>
      <c r="AA447" s="249" t="str">
        <f>IF(I447="","",SUMIF(J428:$J433,I447,$T428:$T433))</f>
        <v/>
      </c>
      <c r="AB447" s="246"/>
      <c r="AC447" s="137" t="str">
        <f>IF(OR(Z447="",AB447=""),"",IF(AND(AB447="X",AA447&gt;=X445),"CUMPLE","NO CUMPLE"))</f>
        <v/>
      </c>
    </row>
    <row r="448" spans="1:29" ht="38.25" customHeight="1" thickBot="1">
      <c r="A448" s="122" t="str">
        <f>"Q"&amp;E424</f>
        <v>Q16</v>
      </c>
      <c r="B448" s="338"/>
      <c r="C448" s="339"/>
      <c r="D448" s="339"/>
      <c r="E448" s="339"/>
      <c r="F448" s="339"/>
      <c r="G448" s="340"/>
      <c r="H448" s="318" t="s">
        <v>138</v>
      </c>
      <c r="I448" s="341"/>
      <c r="J448" s="342"/>
      <c r="K448" s="318" t="s">
        <v>139</v>
      </c>
      <c r="L448" s="319"/>
      <c r="M448" s="188" t="str">
        <f>IF(OR($M439="",SUM(J442:J447)=0),"",IF(COUNTIF(M442:M447,"CUMPLE")&gt;=1,"CUMPLE","NO CUMPLE"))</f>
        <v>CUMPLE</v>
      </c>
      <c r="N448" s="188" t="str">
        <f>IF(OR($M439="",SUM(J442:J447)=0),"",IF(COUNTIF(N442:N447,"CUMPLE")&gt;=1,"CUMPLE","NO CUMPLE"))</f>
        <v>CUMPLE</v>
      </c>
      <c r="O448" s="305"/>
      <c r="P448" s="306"/>
      <c r="Q448" s="306"/>
      <c r="R448" s="306"/>
      <c r="S448" s="306"/>
      <c r="T448" s="306"/>
      <c r="U448" s="307"/>
      <c r="V448" s="201"/>
      <c r="W448" s="1"/>
      <c r="X448" s="254" t="str">
        <f>IF(X442="NO APLICA","NO APLICA",IF(COUNTIF(AC442:AC447,"CUMPLE")&gt;0,"CUMPLE","NO CUMPLE"))</f>
        <v>NO CUMPLE</v>
      </c>
      <c r="Y448" s="1"/>
      <c r="Z448" s="42"/>
      <c r="AA448" s="42"/>
      <c r="AB448" s="42"/>
      <c r="AC448" s="42"/>
    </row>
    <row r="449" spans="1:29">
      <c r="A449"/>
    </row>
    <row r="450" spans="1:29">
      <c r="A450"/>
    </row>
    <row r="451" spans="1:29" ht="23.5" thickBot="1">
      <c r="A451" s="167">
        <v>17</v>
      </c>
      <c r="B451" s="349" t="s">
        <v>1</v>
      </c>
      <c r="C451" s="349"/>
      <c r="D451" s="349"/>
      <c r="E451" s="105">
        <f>VLOOKUP(A451,PROPONENTES!$B$14:$D$37,2,FALSE)</f>
        <v>17</v>
      </c>
      <c r="F451" s="106" t="str">
        <f>VLOOKUP(E451,PROPONENTES!$C$14:$D$37,2,FALSE)</f>
        <v>CONSORCIO INVIAS 48 CAQUETÁ DM</v>
      </c>
      <c r="G451" s="107"/>
      <c r="H451" s="107"/>
      <c r="I451" s="107"/>
      <c r="J451" s="106"/>
      <c r="K451" s="106"/>
      <c r="L451" s="105"/>
      <c r="M451" s="107"/>
      <c r="N451" s="107"/>
      <c r="O451" s="107"/>
      <c r="P451" s="107"/>
      <c r="Q451" s="107"/>
      <c r="R451" s="107"/>
      <c r="S451" s="107"/>
      <c r="T451" s="108"/>
      <c r="U451" s="109"/>
      <c r="V451" s="109"/>
      <c r="W451" s="11"/>
      <c r="X451" s="240"/>
      <c r="Y451" s="11"/>
      <c r="Z451" s="240"/>
      <c r="AA451" s="240"/>
      <c r="AB451" s="240"/>
      <c r="AC451" s="240"/>
    </row>
    <row r="452" spans="1:29" ht="48" customHeight="1">
      <c r="A452" s="131"/>
      <c r="B452" s="350" t="s">
        <v>88</v>
      </c>
      <c r="C452" s="345" t="s">
        <v>48</v>
      </c>
      <c r="D452" s="352" t="s">
        <v>130</v>
      </c>
      <c r="E452" s="295"/>
      <c r="F452" s="352" t="s">
        <v>93</v>
      </c>
      <c r="G452" s="295"/>
      <c r="H452" s="315" t="s">
        <v>351</v>
      </c>
      <c r="I452" s="315" t="s">
        <v>103</v>
      </c>
      <c r="J452" s="315" t="s">
        <v>2</v>
      </c>
      <c r="K452" s="315" t="s">
        <v>352</v>
      </c>
      <c r="L452" s="315" t="s">
        <v>353</v>
      </c>
      <c r="M452" s="316" t="s">
        <v>29</v>
      </c>
      <c r="N452" s="315" t="s">
        <v>104</v>
      </c>
      <c r="O452" s="343" t="s">
        <v>78</v>
      </c>
      <c r="P452" s="344"/>
      <c r="Q452" s="345" t="s">
        <v>144</v>
      </c>
      <c r="R452" s="345" t="s">
        <v>101</v>
      </c>
      <c r="S452" s="294" t="s">
        <v>3</v>
      </c>
      <c r="T452" s="295"/>
      <c r="U452" s="347" t="s">
        <v>18</v>
      </c>
      <c r="V452" s="366" t="s">
        <v>102</v>
      </c>
      <c r="W452" s="133"/>
      <c r="X452" s="361" t="s">
        <v>146</v>
      </c>
      <c r="Y452" s="133"/>
      <c r="Z452" s="133"/>
      <c r="AA452" s="133"/>
      <c r="AB452" s="245"/>
      <c r="AC452" s="361" t="s">
        <v>123</v>
      </c>
    </row>
    <row r="453" spans="1:29" ht="98.25" customHeight="1">
      <c r="A453" s="131"/>
      <c r="B453" s="351"/>
      <c r="C453" s="346"/>
      <c r="D453" s="134" t="s">
        <v>10</v>
      </c>
      <c r="E453" s="134" t="s">
        <v>4</v>
      </c>
      <c r="F453" s="134" t="s">
        <v>15</v>
      </c>
      <c r="G453" s="135" t="s">
        <v>90</v>
      </c>
      <c r="H453" s="314"/>
      <c r="I453" s="314"/>
      <c r="J453" s="314"/>
      <c r="K453" s="314"/>
      <c r="L453" s="314"/>
      <c r="M453" s="317"/>
      <c r="N453" s="314"/>
      <c r="O453" s="264" t="s">
        <v>76</v>
      </c>
      <c r="P453" s="264" t="s">
        <v>105</v>
      </c>
      <c r="Q453" s="346"/>
      <c r="R453" s="346"/>
      <c r="S453" s="264" t="s">
        <v>81</v>
      </c>
      <c r="T453" s="264" t="s">
        <v>77</v>
      </c>
      <c r="U453" s="348"/>
      <c r="V453" s="336"/>
      <c r="W453" s="133"/>
      <c r="X453" s="362"/>
      <c r="Y453" s="133"/>
      <c r="Z453" s="245"/>
      <c r="AA453" s="245"/>
      <c r="AB453" s="245"/>
      <c r="AC453" s="362"/>
    </row>
    <row r="454" spans="1:29" ht="16" thickBot="1">
      <c r="A454" s="122"/>
      <c r="B454" s="96"/>
      <c r="C454" s="97"/>
      <c r="D454" s="97"/>
      <c r="E454" s="97"/>
      <c r="F454" s="97"/>
      <c r="G454" s="97"/>
      <c r="H454" s="97"/>
      <c r="I454" s="97"/>
      <c r="J454" s="97"/>
      <c r="K454" s="97"/>
      <c r="L454" s="97"/>
      <c r="M454" s="97"/>
      <c r="N454" s="97"/>
      <c r="O454" s="97"/>
      <c r="P454" s="97"/>
      <c r="Q454" s="97"/>
      <c r="R454" s="173"/>
      <c r="S454" s="173"/>
      <c r="T454" s="97"/>
      <c r="U454" s="191"/>
      <c r="V454" s="202"/>
      <c r="W454" s="1"/>
      <c r="X454" s="241"/>
      <c r="Y454" s="1"/>
      <c r="Z454" s="42"/>
      <c r="AA454" s="42"/>
      <c r="AB454" s="42"/>
      <c r="AC454" s="241"/>
    </row>
    <row r="455" spans="1:29" ht="55.5" customHeight="1">
      <c r="A455" s="125" t="str">
        <f>"A"&amp;E451</f>
        <v>A17</v>
      </c>
      <c r="B455" s="140">
        <v>1</v>
      </c>
      <c r="C455" s="139" t="s">
        <v>304</v>
      </c>
      <c r="D455" s="139" t="s">
        <v>305</v>
      </c>
      <c r="E455" s="139" t="s">
        <v>381</v>
      </c>
      <c r="F455" s="139" t="s">
        <v>222</v>
      </c>
      <c r="G455" s="142">
        <v>0.3</v>
      </c>
      <c r="H455" s="142" t="s">
        <v>115</v>
      </c>
      <c r="I455" s="138" t="s">
        <v>50</v>
      </c>
      <c r="J455" s="378" t="str">
        <f>+I470</f>
        <v>MEDINA &amp; RIVERA INGENIEROS ASOCIADOS SAS</v>
      </c>
      <c r="K455" s="127">
        <v>41785</v>
      </c>
      <c r="L455" s="127">
        <v>41988</v>
      </c>
      <c r="M455" s="128">
        <f>IF(OR(K455="",L455=""),"",IF(OR(K455&gt;$T$14,K455&lt;$S$14,L455&gt;$T$14,AND(K455&lt;$S$14,L455&lt;$S$14)),"FUERA DE RANGO",IF(K455&gt;=$S$14,ROUND(((L455-K455+1)/360*12),1),ROUND(((L455-$S$14+1)/360*12),1))))</f>
        <v>6.8</v>
      </c>
      <c r="N455" s="206">
        <v>153</v>
      </c>
      <c r="O455" s="138" t="s">
        <v>50</v>
      </c>
      <c r="P455" s="128" t="s">
        <v>50</v>
      </c>
      <c r="Q455" s="128" t="s">
        <v>110</v>
      </c>
      <c r="R455" s="95">
        <v>62376.56</v>
      </c>
      <c r="S455" s="95">
        <f t="shared" ref="S455:S460" si="98">IF(OR(G455="",R455=""),"",R455*G455)</f>
        <v>18712.967999999997</v>
      </c>
      <c r="T455" s="129">
        <f>IF(OR(I455="NO",I455="",I455&lt;&gt;"SI",S455=""),"",IF(OR(L455&lt;$S$14,L455&gt;$T$14,L455=""),0,ROUND(S455,2)))</f>
        <v>18712.97</v>
      </c>
      <c r="U455" s="192" t="s">
        <v>420</v>
      </c>
      <c r="V455" s="204"/>
      <c r="W455" s="141"/>
      <c r="X455" s="222" t="s">
        <v>50</v>
      </c>
      <c r="Y455" s="141"/>
      <c r="Z455" s="223" t="str">
        <f t="shared" ref="Z455:Z460" si="99">IF(T455="","",IF(T455&gt;=PORCREQCTO*POSMMLV,"SI","NO"))</f>
        <v>SI</v>
      </c>
      <c r="AA455" s="296" t="str">
        <f>"VERIFICACIÓN CUMPLIMIENTO "&amp;PORCREQCTO*100&amp;"% DEL PO"</f>
        <v>VERIFICACIÓN CUMPLIMIENTO 50% DEL PO</v>
      </c>
      <c r="AB455" s="171"/>
      <c r="AC455" s="256"/>
    </row>
    <row r="456" spans="1:29" ht="52.5">
      <c r="A456" s="125" t="str">
        <f>"B"&amp;E451</f>
        <v>B17</v>
      </c>
      <c r="B456" s="140">
        <v>2</v>
      </c>
      <c r="C456" s="139" t="s">
        <v>304</v>
      </c>
      <c r="D456" s="139" t="s">
        <v>306</v>
      </c>
      <c r="E456" s="139" t="s">
        <v>382</v>
      </c>
      <c r="F456" s="139" t="s">
        <v>222</v>
      </c>
      <c r="G456" s="142">
        <v>0.5</v>
      </c>
      <c r="H456" s="142" t="s">
        <v>115</v>
      </c>
      <c r="I456" s="138" t="s">
        <v>50</v>
      </c>
      <c r="J456" s="378" t="str">
        <f>+J455</f>
        <v>MEDINA &amp; RIVERA INGENIEROS ASOCIADOS SAS</v>
      </c>
      <c r="K456" s="127">
        <v>42325</v>
      </c>
      <c r="L456" s="127">
        <v>42636</v>
      </c>
      <c r="M456" s="128">
        <f t="shared" ref="M456:M460" si="100">IF(OR(K456="",L456=""),"",IF(OR(K456&gt;$T$14,K456&lt;$S$14,L456&gt;$T$14,AND(K456&lt;$S$14,L456&lt;$S$14)),"FUERA DE RANGO",IF(K456&gt;=$S$14,ROUND(((L456-K456+1)/360*12),1),ROUND(((L456-$S$14+1)/360*12),1))))</f>
        <v>10.4</v>
      </c>
      <c r="N456" s="206">
        <v>211</v>
      </c>
      <c r="O456" s="138" t="s">
        <v>50</v>
      </c>
      <c r="P456" s="128" t="s">
        <v>50</v>
      </c>
      <c r="Q456" s="128" t="s">
        <v>110</v>
      </c>
      <c r="R456" s="95">
        <v>3441.98</v>
      </c>
      <c r="S456" s="95">
        <f t="shared" si="98"/>
        <v>1720.99</v>
      </c>
      <c r="T456" s="129">
        <f t="shared" ref="T456:T460" si="101">IF(OR(I456="NO",I456="",I456&lt;&gt;"SI",S456=""),"",IF(OR(L456&lt;$S$14,L456&gt;$T$14,L456=""),0,ROUND(S456,2)))</f>
        <v>1720.99</v>
      </c>
      <c r="U456" s="192" t="s">
        <v>421</v>
      </c>
      <c r="V456" s="204"/>
      <c r="W456" s="141"/>
      <c r="X456" s="222"/>
      <c r="Y456" s="141"/>
      <c r="Z456" s="224" t="str">
        <f t="shared" si="99"/>
        <v>SI</v>
      </c>
      <c r="AA456" s="297"/>
      <c r="AB456" s="171"/>
      <c r="AC456" s="256"/>
    </row>
    <row r="457" spans="1:29">
      <c r="A457" s="125" t="str">
        <f>"C"&amp;E451</f>
        <v>C17</v>
      </c>
      <c r="B457" s="140"/>
      <c r="C457" s="139"/>
      <c r="D457" s="139"/>
      <c r="E457" s="139"/>
      <c r="F457" s="139"/>
      <c r="G457" s="142"/>
      <c r="H457" s="142"/>
      <c r="I457" s="138"/>
      <c r="J457" s="138"/>
      <c r="K457" s="127"/>
      <c r="L457" s="127"/>
      <c r="M457" s="128" t="str">
        <f t="shared" si="100"/>
        <v/>
      </c>
      <c r="N457" s="206"/>
      <c r="O457" s="138"/>
      <c r="P457" s="128"/>
      <c r="Q457" s="128"/>
      <c r="R457" s="95"/>
      <c r="S457" s="95" t="str">
        <f t="shared" si="98"/>
        <v/>
      </c>
      <c r="T457" s="129" t="str">
        <f t="shared" si="101"/>
        <v/>
      </c>
      <c r="U457" s="192"/>
      <c r="V457" s="204"/>
      <c r="W457" s="141"/>
      <c r="X457" s="222"/>
      <c r="Y457" s="141"/>
      <c r="Z457" s="224" t="str">
        <f t="shared" si="99"/>
        <v/>
      </c>
      <c r="AA457" s="297"/>
      <c r="AB457" s="171"/>
      <c r="AC457" s="256"/>
    </row>
    <row r="458" spans="1:29">
      <c r="A458" s="125" t="str">
        <f>"D"&amp;E451</f>
        <v>D17</v>
      </c>
      <c r="B458" s="140"/>
      <c r="C458" s="139"/>
      <c r="D458" s="139"/>
      <c r="E458" s="139"/>
      <c r="F458" s="139"/>
      <c r="G458" s="142"/>
      <c r="H458" s="142"/>
      <c r="I458" s="138"/>
      <c r="J458" s="138"/>
      <c r="K458" s="127"/>
      <c r="L458" s="127"/>
      <c r="M458" s="128" t="str">
        <f t="shared" si="100"/>
        <v/>
      </c>
      <c r="N458" s="206"/>
      <c r="O458" s="138"/>
      <c r="P458" s="128"/>
      <c r="Q458" s="128"/>
      <c r="R458" s="95"/>
      <c r="S458" s="95" t="str">
        <f t="shared" si="98"/>
        <v/>
      </c>
      <c r="T458" s="129" t="str">
        <f t="shared" si="101"/>
        <v/>
      </c>
      <c r="U458" s="192"/>
      <c r="V458" s="204"/>
      <c r="W458" s="141"/>
      <c r="X458" s="222"/>
      <c r="Y458" s="141"/>
      <c r="Z458" s="224" t="str">
        <f t="shared" si="99"/>
        <v/>
      </c>
      <c r="AA458" s="297"/>
      <c r="AB458" s="171"/>
      <c r="AC458" s="256"/>
    </row>
    <row r="459" spans="1:29">
      <c r="A459" s="125" t="str">
        <f>"E"&amp;E451</f>
        <v>E17</v>
      </c>
      <c r="B459" s="140"/>
      <c r="C459" s="139"/>
      <c r="D459" s="139"/>
      <c r="E459" s="139"/>
      <c r="F459" s="139"/>
      <c r="G459" s="142"/>
      <c r="H459" s="142"/>
      <c r="I459" s="138"/>
      <c r="J459" s="138"/>
      <c r="K459" s="127"/>
      <c r="L459" s="127"/>
      <c r="M459" s="128" t="str">
        <f t="shared" si="100"/>
        <v/>
      </c>
      <c r="N459" s="206"/>
      <c r="O459" s="138"/>
      <c r="P459" s="128"/>
      <c r="Q459" s="128"/>
      <c r="R459" s="95"/>
      <c r="S459" s="95" t="str">
        <f t="shared" si="98"/>
        <v/>
      </c>
      <c r="T459" s="129" t="str">
        <f t="shared" si="101"/>
        <v/>
      </c>
      <c r="U459" s="192"/>
      <c r="V459" s="204"/>
      <c r="W459" s="141"/>
      <c r="X459" s="222"/>
      <c r="Y459" s="141"/>
      <c r="Z459" s="224" t="str">
        <f t="shared" si="99"/>
        <v/>
      </c>
      <c r="AA459" s="297"/>
      <c r="AB459" s="171"/>
      <c r="AC459" s="256"/>
    </row>
    <row r="460" spans="1:29" ht="16" thickBot="1">
      <c r="A460" s="125" t="str">
        <f>"F"&amp;E451</f>
        <v>F17</v>
      </c>
      <c r="B460" s="140"/>
      <c r="C460" s="139"/>
      <c r="D460" s="139"/>
      <c r="E460" s="139"/>
      <c r="F460" s="139"/>
      <c r="G460" s="142"/>
      <c r="H460" s="142"/>
      <c r="I460" s="138"/>
      <c r="J460" s="138"/>
      <c r="K460" s="127"/>
      <c r="L460" s="127"/>
      <c r="M460" s="128" t="str">
        <f t="shared" si="100"/>
        <v/>
      </c>
      <c r="N460" s="206"/>
      <c r="O460" s="138"/>
      <c r="P460" s="128"/>
      <c r="Q460" s="128"/>
      <c r="R460" s="95"/>
      <c r="S460" s="95" t="str">
        <f t="shared" si="98"/>
        <v/>
      </c>
      <c r="T460" s="129" t="str">
        <f t="shared" si="101"/>
        <v/>
      </c>
      <c r="U460" s="192"/>
      <c r="V460" s="204"/>
      <c r="W460" s="141"/>
      <c r="X460" s="222"/>
      <c r="Y460" s="141"/>
      <c r="Z460" s="225" t="str">
        <f t="shared" si="99"/>
        <v/>
      </c>
      <c r="AA460" s="363"/>
      <c r="AB460" s="171"/>
      <c r="AC460" s="256"/>
    </row>
    <row r="461" spans="1:29" ht="16" thickBot="1">
      <c r="A461" s="122"/>
      <c r="B461" s="96"/>
      <c r="C461" s="97"/>
      <c r="D461" s="97"/>
      <c r="E461" s="97"/>
      <c r="F461" s="97"/>
      <c r="G461" s="97"/>
      <c r="H461" s="97"/>
      <c r="I461" s="97"/>
      <c r="J461" s="97"/>
      <c r="K461" s="97"/>
      <c r="L461" s="97"/>
      <c r="M461" s="97"/>
      <c r="N461" s="97"/>
      <c r="O461" s="97"/>
      <c r="P461" s="97"/>
      <c r="Q461" s="97"/>
      <c r="R461" s="173"/>
      <c r="S461" s="173"/>
      <c r="T461" s="126"/>
      <c r="U461" s="98"/>
      <c r="V461" s="205"/>
      <c r="W461" s="1"/>
      <c r="X461" s="242"/>
      <c r="Y461" s="1"/>
      <c r="Z461" s="42"/>
      <c r="AA461" s="42"/>
      <c r="AB461" s="42"/>
      <c r="AC461" s="242"/>
    </row>
    <row r="462" spans="1:29" ht="16" thickBot="1">
      <c r="A462" s="123"/>
      <c r="B462" s="99"/>
      <c r="C462" s="94"/>
      <c r="D462" s="94"/>
      <c r="E462" s="94"/>
      <c r="F462" s="94"/>
      <c r="G462" s="94"/>
      <c r="H462" s="94"/>
      <c r="I462" s="94"/>
      <c r="J462" s="94"/>
      <c r="K462" s="94"/>
      <c r="L462" s="94"/>
      <c r="M462" s="94"/>
      <c r="N462" s="94"/>
      <c r="O462" s="94"/>
      <c r="P462" s="94"/>
      <c r="Q462" s="94"/>
      <c r="R462" s="265"/>
      <c r="S462" s="265"/>
      <c r="T462" s="130">
        <f>SUM(T455:T460)</f>
        <v>20433.960000000003</v>
      </c>
      <c r="U462" s="100"/>
      <c r="V462" s="203"/>
      <c r="W462" s="12"/>
      <c r="X462" s="243"/>
      <c r="Y462" s="12"/>
      <c r="Z462" s="243"/>
      <c r="AA462" s="243"/>
      <c r="AB462" s="243"/>
      <c r="AC462" s="243"/>
    </row>
    <row r="463" spans="1:29">
      <c r="B463" s="197"/>
      <c r="C463" s="193"/>
      <c r="D463" s="193"/>
      <c r="E463" s="193"/>
      <c r="F463" s="193"/>
      <c r="G463" s="193"/>
      <c r="H463" s="193"/>
      <c r="I463" s="193"/>
      <c r="J463" s="193"/>
      <c r="K463" s="193"/>
      <c r="L463" s="193"/>
      <c r="M463" s="193"/>
      <c r="N463" s="193"/>
      <c r="O463" s="193"/>
      <c r="P463" s="193"/>
      <c r="Q463" s="193"/>
      <c r="R463" s="194"/>
      <c r="S463" s="194"/>
      <c r="T463" s="195"/>
      <c r="U463" s="196"/>
      <c r="V463" s="195"/>
    </row>
    <row r="464" spans="1:29" ht="16" thickBot="1">
      <c r="A464" s="122"/>
      <c r="B464" s="322" t="s">
        <v>45</v>
      </c>
      <c r="C464" s="323"/>
      <c r="D464" s="323"/>
      <c r="E464" s="323"/>
      <c r="F464" s="323"/>
      <c r="G464" s="324"/>
      <c r="H464" s="324"/>
      <c r="I464" s="324"/>
      <c r="J464" s="324"/>
      <c r="K464" s="324"/>
      <c r="L464" s="324"/>
      <c r="M464" s="324"/>
      <c r="N464" s="324"/>
      <c r="O464" s="324"/>
      <c r="P464" s="324"/>
      <c r="Q464" s="324"/>
      <c r="R464" s="324"/>
      <c r="S464" s="324"/>
      <c r="T464" s="324"/>
      <c r="U464" s="325"/>
      <c r="V464" s="201"/>
      <c r="W464" s="1"/>
      <c r="X464" s="42"/>
      <c r="Y464" s="1"/>
      <c r="Z464" s="42"/>
      <c r="AA464" s="42"/>
      <c r="AB464" s="42"/>
      <c r="AC464" s="42"/>
    </row>
    <row r="465" spans="1:29" ht="16.5" customHeight="1" thickBot="1">
      <c r="A465" s="122" t="str">
        <f>"G"&amp;E451</f>
        <v>G17</v>
      </c>
      <c r="B465" s="291" t="s">
        <v>97</v>
      </c>
      <c r="C465" s="292"/>
      <c r="D465" s="292"/>
      <c r="E465" s="292"/>
      <c r="F465" s="292"/>
      <c r="G465" s="326"/>
      <c r="H465" s="291" t="s">
        <v>100</v>
      </c>
      <c r="I465" s="292"/>
      <c r="J465" s="292"/>
      <c r="K465" s="292"/>
      <c r="L465" s="292"/>
      <c r="M465" s="292"/>
      <c r="N465" s="292"/>
      <c r="O465" s="189" t="s">
        <v>23</v>
      </c>
      <c r="P465" s="190"/>
      <c r="Q465" s="190"/>
      <c r="R465" s="190"/>
      <c r="S465" s="190"/>
      <c r="T465" s="190"/>
      <c r="U465" s="253"/>
      <c r="V465" s="201"/>
      <c r="W465" s="1"/>
      <c r="X465" s="239" t="s">
        <v>117</v>
      </c>
      <c r="Y465" s="1"/>
      <c r="Z465" s="355" t="s">
        <v>119</v>
      </c>
      <c r="AA465" s="345" t="s">
        <v>120</v>
      </c>
      <c r="AB465" s="345" t="s">
        <v>148</v>
      </c>
      <c r="AC465" s="359" t="s">
        <v>149</v>
      </c>
    </row>
    <row r="466" spans="1:29" ht="15.75" customHeight="1" thickBot="1">
      <c r="A466" s="122" t="str">
        <f>"H"&amp;E451</f>
        <v>H17</v>
      </c>
      <c r="B466" s="293" t="s">
        <v>132</v>
      </c>
      <c r="C466" s="294"/>
      <c r="D466" s="294"/>
      <c r="E466" s="294"/>
      <c r="F466" s="294"/>
      <c r="G466" s="327"/>
      <c r="H466" s="293" t="s">
        <v>17</v>
      </c>
      <c r="I466" s="294"/>
      <c r="J466" s="294"/>
      <c r="K466" s="294"/>
      <c r="L466" s="295"/>
      <c r="M466" s="183">
        <f>VLOOKUP(E451,PROPONENTES!$C$14:$E$37,3,0)</f>
        <v>2</v>
      </c>
      <c r="N466" s="296" t="s">
        <v>143</v>
      </c>
      <c r="O466" s="299"/>
      <c r="P466" s="300"/>
      <c r="Q466" s="300"/>
      <c r="R466" s="300"/>
      <c r="S466" s="300"/>
      <c r="T466" s="300"/>
      <c r="U466" s="301"/>
      <c r="V466" s="201"/>
      <c r="W466" s="1"/>
      <c r="X466" s="244" t="str">
        <f>IF(M466="","",IF(M466=1,"INDIVIDUAL","ESTRUCTURA PLURAL"))</f>
        <v>ESTRUCTURA PLURAL</v>
      </c>
      <c r="Y466" s="1"/>
      <c r="Z466" s="356"/>
      <c r="AA466" s="358"/>
      <c r="AB466" s="358"/>
      <c r="AC466" s="360"/>
    </row>
    <row r="467" spans="1:29" ht="15.75" customHeight="1" thickBot="1">
      <c r="A467" s="122" t="str">
        <f>"I"&amp;E451</f>
        <v>I17</v>
      </c>
      <c r="B467" s="328" t="s">
        <v>131</v>
      </c>
      <c r="C467" s="329"/>
      <c r="D467" s="330"/>
      <c r="E467" s="308">
        <f>IF(AND(I455="SI",T455&gt;0),1,0)+IF(AND(I456="SI",T456&gt;0),1,0)+IF(AND(I457="SI",T457&gt;0),1,0)+IF(AND(I458="SI",T458&gt;0),1,0)+IF(AND(I459="SI",T459&gt;0),1,0)+IF(AND(I460="SI",T460&gt;0),1,0)</f>
        <v>2</v>
      </c>
      <c r="F467" s="310" t="s">
        <v>133</v>
      </c>
      <c r="G467" s="312">
        <f>IF(E467=0,"N/A",IF(AND(E467&gt;=1,E467&lt;=2),0.75,IF(AND(E467&gt;=3,E467&lt;=4),1.2,IF(AND(E467&gt;=5,E467&lt;=6),1.5,"REVISAR"))))</f>
        <v>0.75</v>
      </c>
      <c r="H467" s="334" t="s">
        <v>16</v>
      </c>
      <c r="I467" s="335"/>
      <c r="J467" s="314" t="s">
        <v>350</v>
      </c>
      <c r="K467" s="314" t="s">
        <v>140</v>
      </c>
      <c r="L467" s="314" t="s">
        <v>141</v>
      </c>
      <c r="M467" s="320" t="s">
        <v>142</v>
      </c>
      <c r="N467" s="297"/>
      <c r="O467" s="302"/>
      <c r="P467" s="303"/>
      <c r="Q467" s="303"/>
      <c r="R467" s="303"/>
      <c r="S467" s="303"/>
      <c r="T467" s="303"/>
      <c r="U467" s="304"/>
      <c r="V467" s="201"/>
      <c r="W467" s="38"/>
      <c r="X467" s="171"/>
      <c r="Y467" s="38"/>
      <c r="Z467" s="356"/>
      <c r="AA467" s="358"/>
      <c r="AB467" s="358"/>
      <c r="AC467" s="360"/>
    </row>
    <row r="468" spans="1:29" ht="16.5" customHeight="1" thickBot="1">
      <c r="A468" s="122" t="str">
        <f>"J"&amp;E451</f>
        <v>J17</v>
      </c>
      <c r="B468" s="331"/>
      <c r="C468" s="332"/>
      <c r="D468" s="333"/>
      <c r="E468" s="309"/>
      <c r="F468" s="311"/>
      <c r="G468" s="313"/>
      <c r="H468" s="336"/>
      <c r="I468" s="337"/>
      <c r="J468" s="314"/>
      <c r="K468" s="314"/>
      <c r="L468" s="314"/>
      <c r="M468" s="321"/>
      <c r="N468" s="298"/>
      <c r="O468" s="302"/>
      <c r="P468" s="303"/>
      <c r="Q468" s="303"/>
      <c r="R468" s="303"/>
      <c r="S468" s="303"/>
      <c r="T468" s="303"/>
      <c r="U468" s="304"/>
      <c r="V468" s="201"/>
      <c r="W468" s="38"/>
      <c r="X468" s="239" t="s">
        <v>118</v>
      </c>
      <c r="Y468" s="38"/>
      <c r="Z468" s="357"/>
      <c r="AA468" s="346"/>
      <c r="AB468" s="346"/>
      <c r="AC468" s="321"/>
    </row>
    <row r="469" spans="1:29" ht="31.5" customHeight="1" thickBot="1">
      <c r="A469" s="125" t="str">
        <f>"K"&amp;E451</f>
        <v>K17</v>
      </c>
      <c r="B469" s="293" t="s">
        <v>98</v>
      </c>
      <c r="C469" s="294"/>
      <c r="D469" s="294"/>
      <c r="E469" s="294"/>
      <c r="F469" s="294"/>
      <c r="G469" s="294"/>
      <c r="H469" s="186">
        <v>1</v>
      </c>
      <c r="I469" s="92" t="str">
        <f>IF(AND(H469&lt;=M466,M466&gt;1),VLOOKUP(VALUE(E451&amp;","&amp;H469),INTEGRANTES!$B$15:$D$72,2,0),"")</f>
        <v>DOBLE R ARQUITECTURA E INGENIERÍA SAS</v>
      </c>
      <c r="J469" s="187">
        <f>IF(I469&lt;&gt;"",VLOOKUP(VALUE(E451&amp;","&amp;H469),INTEGRANTES!$B$15:$D$72,3,0),"")</f>
        <v>0.75</v>
      </c>
      <c r="K469" s="247">
        <f>IF($I469="","",IF(G467="N/A","",ROUND($G467*POSMMLV*PORPOM,2)))</f>
        <v>697.02</v>
      </c>
      <c r="L469" s="247">
        <f>IF(I469="","",SUMIF($J455:$J460,I469,$T455:$T460))</f>
        <v>0</v>
      </c>
      <c r="M469" s="93" t="str">
        <f t="shared" ref="M469:M474" si="102">IF($I469="","",IF($K469&gt;L469,"NO CUMPLE","CUMPLE"))</f>
        <v>NO CUMPLE</v>
      </c>
      <c r="N469" s="93" t="str">
        <f t="shared" ref="N469:N474" si="103">IF($I469="","",IF(M469="CUMPLE","CUMPLE","NO CUMPLE"))</f>
        <v>NO CUMPLE</v>
      </c>
      <c r="O469" s="302"/>
      <c r="P469" s="303"/>
      <c r="Q469" s="303"/>
      <c r="R469" s="303"/>
      <c r="S469" s="303"/>
      <c r="T469" s="303"/>
      <c r="U469" s="304"/>
      <c r="V469" s="201"/>
      <c r="W469" s="1"/>
      <c r="X469" s="244" t="str">
        <f>IF(X466="","",IF(X466="INDIVIDUAL","NO APLICA","VERIFICAR CUADRO"))</f>
        <v>VERIFICAR CUADRO</v>
      </c>
      <c r="Y469" s="1"/>
      <c r="Z469" s="262" t="str">
        <f>IF(AND(H469&lt;=M466,M466&gt;1),VLOOKUP(VALUE(E451&amp;","&amp;H469),INTEGRANTES!$B$15:$D$72,2,0),"")</f>
        <v>DOBLE R ARQUITECTURA E INGENIERÍA SAS</v>
      </c>
      <c r="AA469" s="248">
        <f>IF(I469="","",SUMIF(J455:$J460,I469,$T455:$T460))</f>
        <v>0</v>
      </c>
      <c r="AB469" s="232"/>
      <c r="AC469" s="250" t="str">
        <f>IF(OR(Z469="",AB469=""),"",IF(AND(AB469="X",AA469&gt;=X472),"CUMPLE","NO CUMPLE"))</f>
        <v/>
      </c>
    </row>
    <row r="470" spans="1:29" ht="15.75" customHeight="1" thickBot="1">
      <c r="A470" s="125" t="str">
        <f>"L"&amp;E451</f>
        <v>L17</v>
      </c>
      <c r="B470" s="328" t="s">
        <v>134</v>
      </c>
      <c r="C470" s="329"/>
      <c r="D470" s="330"/>
      <c r="E470" s="132" t="s">
        <v>135</v>
      </c>
      <c r="F470" s="132" t="s">
        <v>136</v>
      </c>
      <c r="G470" s="136" t="s">
        <v>99</v>
      </c>
      <c r="H470" s="186">
        <v>2</v>
      </c>
      <c r="I470" s="92" t="str">
        <f>IF(AND(H470&lt;=M466,M466&gt;1),VLOOKUP(VALUE(E451&amp;","&amp;H470),INTEGRANTES!$B$15:$D$72,2,0),"")</f>
        <v>MEDINA &amp; RIVERA INGENIEROS ASOCIADOS SAS</v>
      </c>
      <c r="J470" s="187">
        <f>IF(I470&lt;&gt;"",VLOOKUP(VALUE(E451&amp;","&amp;H470),INTEGRANTES!$B$15:$D$72,3,0),"")</f>
        <v>0.25</v>
      </c>
      <c r="K470" s="247">
        <f>IF($I470="","",IF(G467="N/A","",ROUND($G467*POSMMLV*PORPOM,2)))</f>
        <v>697.02</v>
      </c>
      <c r="L470" s="247">
        <f>IF(I470="","",SUMIF($J455:$J460,I470,$T455:$T460))</f>
        <v>20433.960000000003</v>
      </c>
      <c r="M470" s="93" t="str">
        <f t="shared" si="102"/>
        <v>CUMPLE</v>
      </c>
      <c r="N470" s="93" t="str">
        <f t="shared" si="103"/>
        <v>CUMPLE</v>
      </c>
      <c r="O470" s="302"/>
      <c r="P470" s="303"/>
      <c r="Q470" s="303"/>
      <c r="R470" s="303"/>
      <c r="S470" s="303"/>
      <c r="T470" s="303"/>
      <c r="U470" s="304"/>
      <c r="V470" s="201"/>
      <c r="W470" s="1"/>
      <c r="X470" s="42"/>
      <c r="Y470" s="1"/>
      <c r="Z470" s="262" t="str">
        <f>IF(AND(H470&lt;=M466,M466&gt;1),VLOOKUP(VALUE(E451&amp;","&amp;H470),INTEGRANTES!$B$15:$D$72,2,0),"")</f>
        <v>MEDINA &amp; RIVERA INGENIEROS ASOCIADOS SAS</v>
      </c>
      <c r="AA470" s="248">
        <f>IF(I470="","",SUMIF(J455:$J460,I470,$T455:$T460))</f>
        <v>20433.960000000003</v>
      </c>
      <c r="AB470" s="232"/>
      <c r="AC470" s="250" t="str">
        <f>IF(OR(Z470="",AB470=""),"",IF(AND(AB470="X",AA470&gt;=X472),"CUMPLE","NO CUMPLE"))</f>
        <v/>
      </c>
    </row>
    <row r="471" spans="1:29" ht="16" thickBot="1">
      <c r="A471" s="122" t="str">
        <f>"M"&amp;E451</f>
        <v>M17</v>
      </c>
      <c r="B471" s="331"/>
      <c r="C471" s="332"/>
      <c r="D471" s="333"/>
      <c r="E471" s="237">
        <f>IF(ISTEXT(G467),"NO APLICA",G467*POSMMLV)</f>
        <v>1394.0360281651363</v>
      </c>
      <c r="F471" s="238">
        <f>IF(E471="","",T462)</f>
        <v>20433.960000000003</v>
      </c>
      <c r="G471" s="221" t="str">
        <f>IF(E471="","",IF(E471="NO APLICA","NO CUMPLE",IF(F471&gt;=E471,"CUMPLE", "NO CUMPLE")))</f>
        <v>CUMPLE</v>
      </c>
      <c r="H471" s="186">
        <v>3</v>
      </c>
      <c r="I471" s="92" t="str">
        <f>IF(AND(H471&lt;=M466,M466&gt;1),VLOOKUP(VALUE(E451&amp;","&amp;H471),INTEGRANTES!$B$15:$D$72,2,0),"")</f>
        <v/>
      </c>
      <c r="J471" s="187" t="str">
        <f>IF(I471&lt;&gt;"",VLOOKUP(VALUE(E451&amp;","&amp;H471),INTEGRANTES!$B$15:$D$72,3,0),"")</f>
        <v/>
      </c>
      <c r="K471" s="247" t="str">
        <f>IF($I471="","",IF(G467="N/A","",ROUND($G467*POSMMLV*PORPOM,2)))</f>
        <v/>
      </c>
      <c r="L471" s="247" t="str">
        <f>IF(I471="","",SUMIF($J455:$J460,I471,$T455:$T460))</f>
        <v/>
      </c>
      <c r="M471" s="93" t="str">
        <f t="shared" si="102"/>
        <v/>
      </c>
      <c r="N471" s="93" t="str">
        <f t="shared" si="103"/>
        <v/>
      </c>
      <c r="O471" s="302"/>
      <c r="P471" s="303"/>
      <c r="Q471" s="303"/>
      <c r="R471" s="303"/>
      <c r="S471" s="303"/>
      <c r="T471" s="303"/>
      <c r="U471" s="304"/>
      <c r="V471" s="201"/>
      <c r="W471" s="1"/>
      <c r="X471" s="239" t="s">
        <v>145</v>
      </c>
      <c r="Y471" s="1"/>
      <c r="Z471" s="262" t="str">
        <f>IF(AND(H471&lt;=M466,M466&gt;1),VLOOKUP(VALUE(E451&amp;","&amp;H471),INTEGRANTES!$B$15:$D$72,2,0),"")</f>
        <v/>
      </c>
      <c r="AA471" s="248" t="str">
        <f>IF(I471="","",SUMIF(J455:$J460,I471,$T455:$T460))</f>
        <v/>
      </c>
      <c r="AB471" s="232"/>
      <c r="AC471" s="250" t="str">
        <f>IF(OR(Z471="",AB471=""),"",IF(AND(AB471="X",AA471&gt;=X472),"CUMPLE","NO CUMPLE"))</f>
        <v/>
      </c>
    </row>
    <row r="472" spans="1:29" ht="15.75" customHeight="1" thickBot="1">
      <c r="A472" s="122" t="str">
        <f>"N"&amp;E451</f>
        <v>N17</v>
      </c>
      <c r="B472" s="293" t="s">
        <v>107</v>
      </c>
      <c r="C472" s="294"/>
      <c r="D472" s="294"/>
      <c r="E472" s="294"/>
      <c r="F472" s="294"/>
      <c r="G472" s="294"/>
      <c r="H472" s="186">
        <v>4</v>
      </c>
      <c r="I472" s="92" t="str">
        <f>IF(AND(H472&lt;=M466,M466&gt;1),VLOOKUP(VALUE(E451&amp;","&amp;H472),INTEGRANTES!$B$15:$D$72,2,0),"")</f>
        <v/>
      </c>
      <c r="J472" s="187" t="str">
        <f>IF(I472&lt;&gt;"",VLOOKUP(VALUE(E451&amp;","&amp;H472),INTEGRANTES!$B$15:$D$72,3,0),"")</f>
        <v/>
      </c>
      <c r="K472" s="247" t="str">
        <f>IF($I472="","",IF(G467="N/A","",ROUND($G467*POSMMLV*PORPOM,2)))</f>
        <v/>
      </c>
      <c r="L472" s="247" t="str">
        <f>IF(I472="","",SUMIF($J455:$J460,I472,$T455:$T460))</f>
        <v/>
      </c>
      <c r="M472" s="93" t="str">
        <f t="shared" si="102"/>
        <v/>
      </c>
      <c r="N472" s="93" t="str">
        <f t="shared" si="103"/>
        <v/>
      </c>
      <c r="O472" s="302"/>
      <c r="P472" s="303"/>
      <c r="Q472" s="303"/>
      <c r="R472" s="303"/>
      <c r="S472" s="303"/>
      <c r="T472" s="303"/>
      <c r="U472" s="304"/>
      <c r="V472" s="201"/>
      <c r="W472" s="1"/>
      <c r="X472" s="251">
        <f>IF(G467="N/A","N/A",0.4*G467*POSMMLV)</f>
        <v>557.61441126605462</v>
      </c>
      <c r="Y472" s="1"/>
      <c r="Z472" s="262" t="str">
        <f>IF(AND(H472&lt;=M466,M466&gt;1),VLOOKUP(VALUE(E451&amp;","&amp;H472),INTEGRANTES!$B$15:$D$72,2,0),"")</f>
        <v/>
      </c>
      <c r="AA472" s="248" t="str">
        <f>IF(I472="","",SUMIF(J455:$J460,I472,$T455:$T460))</f>
        <v/>
      </c>
      <c r="AB472" s="232"/>
      <c r="AC472" s="250" t="str">
        <f>IF(OR(Z472="",AB472=""),"",IF(AND(AB472="X",AA472&gt;=X472),"CUMPLE","NO CUMPLE"))</f>
        <v/>
      </c>
    </row>
    <row r="473" spans="1:29" ht="33.75" customHeight="1" thickBot="1">
      <c r="A473" s="122" t="str">
        <f>"O"&amp;E451</f>
        <v>O17</v>
      </c>
      <c r="B473" s="328" t="s">
        <v>108</v>
      </c>
      <c r="C473" s="329"/>
      <c r="D473" s="329"/>
      <c r="E473" s="329"/>
      <c r="F473" s="329"/>
      <c r="G473" s="185" t="s">
        <v>99</v>
      </c>
      <c r="H473" s="186">
        <v>5</v>
      </c>
      <c r="I473" s="92" t="str">
        <f>IF(AND(H473&lt;=M466,M466&gt;1),VLOOKUP(VALUE(E451&amp;","&amp;H473),INTEGRANTES!$B$15:$D$72,2,0),"")</f>
        <v/>
      </c>
      <c r="J473" s="187" t="str">
        <f>IF(I473&lt;&gt;"",VLOOKUP(VALUE(E451&amp;","&amp;H473),INTEGRANTES!$B$15:$D$72,3,0),"")</f>
        <v/>
      </c>
      <c r="K473" s="247" t="str">
        <f>IF($I473="","",IF(G467="N/A","",ROUND($G467*POSMMLV*PORPOM,2)))</f>
        <v/>
      </c>
      <c r="L473" s="247" t="str">
        <f>IF(I473="","",SUMIF($J455:$J460,I473,$T455:$T460))</f>
        <v/>
      </c>
      <c r="M473" s="93" t="str">
        <f t="shared" si="102"/>
        <v/>
      </c>
      <c r="N473" s="93" t="str">
        <f t="shared" si="103"/>
        <v/>
      </c>
      <c r="O473" s="302"/>
      <c r="P473" s="303"/>
      <c r="Q473" s="303"/>
      <c r="R473" s="303"/>
      <c r="S473" s="303"/>
      <c r="T473" s="303"/>
      <c r="U473" s="304"/>
      <c r="V473" s="201"/>
      <c r="W473" s="1"/>
      <c r="X473" s="42"/>
      <c r="Y473" s="1"/>
      <c r="Z473" s="262" t="str">
        <f>IF(AND(H473&lt;=M466,M466&gt;1),VLOOKUP(VALUE(E451&amp;","&amp;H473),INTEGRANTES!$B$15:$D$72,2,0),"")</f>
        <v/>
      </c>
      <c r="AA473" s="248" t="str">
        <f>IF(I473="","",SUMIF(J455:$J460,I473,$T455:$T460))</f>
        <v/>
      </c>
      <c r="AB473" s="232"/>
      <c r="AC473" s="250" t="str">
        <f>IF(OR(Z473="",AB473=""),"",IF(AND(AB473="X",AA473&gt;=X472),"CUMPLE","NO CUMPLE"))</f>
        <v/>
      </c>
    </row>
    <row r="474" spans="1:29" ht="16" thickBot="1">
      <c r="A474" s="122" t="str">
        <f>"P"&amp;E451</f>
        <v>P17</v>
      </c>
      <c r="B474" s="353"/>
      <c r="C474" s="354"/>
      <c r="D474" s="354"/>
      <c r="E474" s="354"/>
      <c r="F474" s="354"/>
      <c r="G474" s="137" t="str">
        <f>IF(AND(COUNTIF(X455:X460,"")&gt;5,COUNTIF(Z455:Z460,"")&gt;5),"NO CUMPLE",IF(AND(COUNTIF(X455:X460,"SI")&gt;=$AF$17,COUNTIF(Z455:Z460,"SI")&gt;=$AF$17),"CUMPLE", "NO CUMPLE"))</f>
        <v>CUMPLE</v>
      </c>
      <c r="H474" s="257">
        <v>6</v>
      </c>
      <c r="I474" s="258" t="str">
        <f>IF(AND(H474&lt;=M466,M466&gt;1),VLOOKUP(VALUE(E451&amp;","&amp;H474),INTEGRANTES!$B$15:$D$72,2,0),"")</f>
        <v/>
      </c>
      <c r="J474" s="259" t="str">
        <f>IF(I474&lt;&gt;"",VLOOKUP(VALUE(E451&amp;","&amp;H474),INTEGRANTES!$B$15:$D$72,3,0),"")</f>
        <v/>
      </c>
      <c r="K474" s="260" t="str">
        <f>IF($I474="","",IF(G467="N/A","",ROUND($G467*POSMMLV*PORPOM,2)))</f>
        <v/>
      </c>
      <c r="L474" s="260" t="str">
        <f>IF(I474="","",SUMIF($J455:$J460,I474,$T455:$T460))</f>
        <v/>
      </c>
      <c r="M474" s="261" t="str">
        <f t="shared" si="102"/>
        <v/>
      </c>
      <c r="N474" s="93" t="str">
        <f t="shared" si="103"/>
        <v/>
      </c>
      <c r="O474" s="302"/>
      <c r="P474" s="303"/>
      <c r="Q474" s="303"/>
      <c r="R474" s="303"/>
      <c r="S474" s="303"/>
      <c r="T474" s="303"/>
      <c r="U474" s="304"/>
      <c r="V474" s="201"/>
      <c r="W474" s="1"/>
      <c r="X474" s="239" t="s">
        <v>122</v>
      </c>
      <c r="Y474" s="1"/>
      <c r="Z474" s="263" t="str">
        <f>IF(AND(H474&lt;=M466,M466&gt;1),VLOOKUP(VALUE(E451&amp;","&amp;H474),INTEGRANTES!$B$15:$D$72,2,0),"")</f>
        <v/>
      </c>
      <c r="AA474" s="249" t="str">
        <f>IF(I474="","",SUMIF(J455:$J460,I474,$T455:$T460))</f>
        <v/>
      </c>
      <c r="AB474" s="246"/>
      <c r="AC474" s="137" t="str">
        <f>IF(OR(Z474="",AB474=""),"",IF(AND(AB474="X",AA474&gt;=X472),"CUMPLE","NO CUMPLE"))</f>
        <v/>
      </c>
    </row>
    <row r="475" spans="1:29" ht="38.25" customHeight="1" thickBot="1">
      <c r="A475" s="122" t="str">
        <f>"Q"&amp;E451</f>
        <v>Q17</v>
      </c>
      <c r="B475" s="338"/>
      <c r="C475" s="339"/>
      <c r="D475" s="339"/>
      <c r="E475" s="339"/>
      <c r="F475" s="339"/>
      <c r="G475" s="340"/>
      <c r="H475" s="318" t="s">
        <v>138</v>
      </c>
      <c r="I475" s="341"/>
      <c r="J475" s="342"/>
      <c r="K475" s="318" t="s">
        <v>139</v>
      </c>
      <c r="L475" s="319"/>
      <c r="M475" s="188" t="str">
        <f>IF(OR($M466="",SUM(J469:J474)=0),"",IF(COUNTIF(M469:M474,"CUMPLE")&gt;=1,"CUMPLE","NO CUMPLE"))</f>
        <v>CUMPLE</v>
      </c>
      <c r="N475" s="188" t="str">
        <f>IF(OR($M466="",SUM(J469:J474)=0),"",IF(COUNTIF(N469:N474,"CUMPLE")&gt;=1,"CUMPLE","NO CUMPLE"))</f>
        <v>CUMPLE</v>
      </c>
      <c r="O475" s="305"/>
      <c r="P475" s="306"/>
      <c r="Q475" s="306"/>
      <c r="R475" s="306"/>
      <c r="S475" s="306"/>
      <c r="T475" s="306"/>
      <c r="U475" s="307"/>
      <c r="V475" s="201"/>
      <c r="W475" s="1"/>
      <c r="X475" s="254" t="str">
        <f>IF(X469="NO APLICA","NO APLICA",IF(COUNTIF(AC469:AC474,"CUMPLE")&gt;0,"CUMPLE","NO CUMPLE"))</f>
        <v>NO CUMPLE</v>
      </c>
      <c r="Y475" s="1"/>
      <c r="Z475" s="42"/>
      <c r="AA475" s="42"/>
      <c r="AB475" s="42"/>
      <c r="AC475" s="42"/>
    </row>
    <row r="476" spans="1:29">
      <c r="A476"/>
    </row>
    <row r="477" spans="1:29">
      <c r="A477"/>
    </row>
    <row r="478" spans="1:29" ht="23.5" thickBot="1">
      <c r="A478" s="167">
        <v>18</v>
      </c>
      <c r="B478" s="349" t="s">
        <v>1</v>
      </c>
      <c r="C478" s="349"/>
      <c r="D478" s="349"/>
      <c r="E478" s="105">
        <f>VLOOKUP(A478,PROPONENTES!$B$14:$D$37,2,FALSE)</f>
        <v>18</v>
      </c>
      <c r="F478" s="106" t="str">
        <f>VLOOKUP(E478,PROPONENTES!$C$14:$D$37,2,FALSE)</f>
        <v>CONSORCIO MINA BLANCA 11</v>
      </c>
      <c r="G478" s="107"/>
      <c r="H478" s="107"/>
      <c r="I478" s="107"/>
      <c r="J478" s="106"/>
      <c r="K478" s="106"/>
      <c r="L478" s="105"/>
      <c r="M478" s="107"/>
      <c r="N478" s="107"/>
      <c r="O478" s="107"/>
      <c r="P478" s="107"/>
      <c r="Q478" s="107"/>
      <c r="R478" s="107"/>
      <c r="S478" s="107"/>
      <c r="T478" s="108"/>
      <c r="U478" s="109"/>
      <c r="V478" s="109"/>
      <c r="W478" s="11"/>
      <c r="X478" s="240"/>
      <c r="Y478" s="11"/>
      <c r="Z478" s="240"/>
      <c r="AA478" s="240"/>
      <c r="AB478" s="240"/>
      <c r="AC478" s="240"/>
    </row>
    <row r="479" spans="1:29" ht="48" customHeight="1">
      <c r="A479" s="131"/>
      <c r="B479" s="350" t="s">
        <v>88</v>
      </c>
      <c r="C479" s="345" t="s">
        <v>48</v>
      </c>
      <c r="D479" s="352" t="s">
        <v>130</v>
      </c>
      <c r="E479" s="295"/>
      <c r="F479" s="352" t="s">
        <v>93</v>
      </c>
      <c r="G479" s="295"/>
      <c r="H479" s="315" t="s">
        <v>351</v>
      </c>
      <c r="I479" s="315" t="s">
        <v>103</v>
      </c>
      <c r="J479" s="315" t="s">
        <v>2</v>
      </c>
      <c r="K479" s="315" t="s">
        <v>352</v>
      </c>
      <c r="L479" s="315" t="s">
        <v>353</v>
      </c>
      <c r="M479" s="316" t="s">
        <v>29</v>
      </c>
      <c r="N479" s="315" t="s">
        <v>104</v>
      </c>
      <c r="O479" s="343" t="s">
        <v>78</v>
      </c>
      <c r="P479" s="344"/>
      <c r="Q479" s="345" t="s">
        <v>144</v>
      </c>
      <c r="R479" s="345" t="s">
        <v>101</v>
      </c>
      <c r="S479" s="294" t="s">
        <v>3</v>
      </c>
      <c r="T479" s="295"/>
      <c r="U479" s="347" t="s">
        <v>18</v>
      </c>
      <c r="V479" s="366" t="s">
        <v>102</v>
      </c>
      <c r="W479" s="133"/>
      <c r="X479" s="361" t="s">
        <v>146</v>
      </c>
      <c r="Y479" s="133"/>
      <c r="Z479" s="133"/>
      <c r="AA479" s="133"/>
      <c r="AB479" s="245"/>
      <c r="AC479" s="361" t="s">
        <v>123</v>
      </c>
    </row>
    <row r="480" spans="1:29" ht="98.25" customHeight="1">
      <c r="A480" s="131"/>
      <c r="B480" s="351"/>
      <c r="C480" s="346"/>
      <c r="D480" s="134" t="s">
        <v>10</v>
      </c>
      <c r="E480" s="134" t="s">
        <v>4</v>
      </c>
      <c r="F480" s="134" t="s">
        <v>15</v>
      </c>
      <c r="G480" s="135" t="s">
        <v>90</v>
      </c>
      <c r="H480" s="314"/>
      <c r="I480" s="314"/>
      <c r="J480" s="314"/>
      <c r="K480" s="314"/>
      <c r="L480" s="314"/>
      <c r="M480" s="317"/>
      <c r="N480" s="314"/>
      <c r="O480" s="264" t="s">
        <v>76</v>
      </c>
      <c r="P480" s="264" t="s">
        <v>105</v>
      </c>
      <c r="Q480" s="346"/>
      <c r="R480" s="346"/>
      <c r="S480" s="264" t="s">
        <v>81</v>
      </c>
      <c r="T480" s="264" t="s">
        <v>77</v>
      </c>
      <c r="U480" s="348"/>
      <c r="V480" s="336"/>
      <c r="W480" s="133"/>
      <c r="X480" s="362"/>
      <c r="Y480" s="133"/>
      <c r="Z480" s="245"/>
      <c r="AA480" s="245"/>
      <c r="AB480" s="245"/>
      <c r="AC480" s="362"/>
    </row>
    <row r="481" spans="1:29" ht="16" thickBot="1">
      <c r="A481" s="122"/>
      <c r="B481" s="96"/>
      <c r="C481" s="97"/>
      <c r="D481" s="97"/>
      <c r="E481" s="97"/>
      <c r="F481" s="97"/>
      <c r="G481" s="97"/>
      <c r="H481" s="97"/>
      <c r="I481" s="97"/>
      <c r="J481" s="97"/>
      <c r="K481" s="97"/>
      <c r="L481" s="97"/>
      <c r="M481" s="97"/>
      <c r="N481" s="97"/>
      <c r="O481" s="97"/>
      <c r="P481" s="97"/>
      <c r="Q481" s="97"/>
      <c r="R481" s="173"/>
      <c r="S481" s="173"/>
      <c r="T481" s="97"/>
      <c r="U481" s="191"/>
      <c r="V481" s="202"/>
      <c r="W481" s="1"/>
      <c r="X481" s="241"/>
      <c r="Y481" s="1"/>
      <c r="Z481" s="42"/>
      <c r="AA481" s="42"/>
      <c r="AB481" s="42"/>
      <c r="AC481" s="241"/>
    </row>
    <row r="482" spans="1:29" ht="65" customHeight="1">
      <c r="A482" s="125" t="str">
        <f>"A"&amp;E478</f>
        <v>A18</v>
      </c>
      <c r="B482" s="140">
        <v>1</v>
      </c>
      <c r="C482" s="139" t="s">
        <v>307</v>
      </c>
      <c r="D482" s="139" t="s">
        <v>309</v>
      </c>
      <c r="E482" s="139" t="s">
        <v>308</v>
      </c>
      <c r="F482" s="139" t="s">
        <v>222</v>
      </c>
      <c r="G482" s="142">
        <v>0.5</v>
      </c>
      <c r="H482" s="142" t="s">
        <v>115</v>
      </c>
      <c r="I482" s="138" t="s">
        <v>50</v>
      </c>
      <c r="J482" s="378" t="str">
        <f>+I497</f>
        <v>JCC PROYECTOS INTEGRALES S.A.S.</v>
      </c>
      <c r="K482" s="127">
        <v>40548</v>
      </c>
      <c r="L482" s="127">
        <v>41067</v>
      </c>
      <c r="M482" s="128">
        <f>IF(OR(K482="",L482=""),"",IF(OR(K482&gt;$T$14,K482&lt;$S$14,L482&gt;$T$14,AND(K482&lt;$S$14,L482&lt;$S$14)),"FUERA DE RANGO",IF(K482&gt;=$S$14,ROUND(((L482-K482+1)/360*12),1),ROUND(((L482-$S$14+1)/360*12),1))))</f>
        <v>17.3</v>
      </c>
      <c r="N482" s="206">
        <v>1</v>
      </c>
      <c r="O482" s="138" t="s">
        <v>50</v>
      </c>
      <c r="P482" s="128" t="s">
        <v>50</v>
      </c>
      <c r="Q482" s="128" t="s">
        <v>110</v>
      </c>
      <c r="R482" s="95">
        <v>11402.7</v>
      </c>
      <c r="S482" s="95">
        <f t="shared" ref="S482:S487" si="104">IF(OR(G482="",R482=""),"",R482*G482)</f>
        <v>5701.35</v>
      </c>
      <c r="T482" s="129">
        <f>IF(OR(I482="NO",I482="",I482&lt;&gt;"SI",S482=""),"",IF(OR(L482&lt;$S$14,L482&gt;$T$14,L482=""),0,ROUND(S482,2)))</f>
        <v>5701.35</v>
      </c>
      <c r="U482" s="192" t="s">
        <v>422</v>
      </c>
      <c r="V482" s="204"/>
      <c r="W482" s="141"/>
      <c r="X482" s="222" t="s">
        <v>50</v>
      </c>
      <c r="Y482" s="141"/>
      <c r="Z482" s="223" t="str">
        <f t="shared" ref="Z482:Z487" si="105">IF(T482="","",IF(T482&gt;=PORCREQCTO*POSMMLV,"SI","NO"))</f>
        <v>SI</v>
      </c>
      <c r="AA482" s="296" t="str">
        <f>"VERIFICACIÓN CUMPLIMIENTO "&amp;PORCREQCTO*100&amp;"% DEL PO"</f>
        <v>VERIFICACIÓN CUMPLIMIENTO 50% DEL PO</v>
      </c>
      <c r="AB482" s="171"/>
      <c r="AC482" s="256"/>
    </row>
    <row r="483" spans="1:29">
      <c r="A483" s="125" t="str">
        <f>"B"&amp;E478</f>
        <v>B18</v>
      </c>
      <c r="B483" s="140"/>
      <c r="C483" s="139"/>
      <c r="D483" s="139"/>
      <c r="E483" s="139"/>
      <c r="F483" s="139"/>
      <c r="G483" s="142"/>
      <c r="H483" s="142"/>
      <c r="I483" s="138"/>
      <c r="J483" s="138"/>
      <c r="K483" s="127"/>
      <c r="L483" s="127"/>
      <c r="M483" s="128" t="str">
        <f t="shared" ref="M483:M487" si="106">IF(OR(K483="",L483=""),"",IF(OR(K483&gt;$T$14,K483&lt;$S$14,L483&gt;$T$14,AND(K483&lt;$S$14,L483&lt;$S$14)),"FUERA DE RANGO",IF(K483&gt;=$S$14,ROUND(((L483-K483+1)/360*12),1),ROUND(((L483-$S$14+1)/360*12),1))))</f>
        <v/>
      </c>
      <c r="N483" s="206"/>
      <c r="O483" s="138"/>
      <c r="P483" s="128"/>
      <c r="Q483" s="128"/>
      <c r="R483" s="95"/>
      <c r="S483" s="95" t="str">
        <f t="shared" si="104"/>
        <v/>
      </c>
      <c r="T483" s="129" t="str">
        <f t="shared" ref="T483:T487" si="107">IF(OR(I483="NO",I483="",I483&lt;&gt;"SI",S483=""),"",IF(OR(L483&lt;$S$14,L483&gt;$T$14,L483=""),0,ROUND(S483,2)))</f>
        <v/>
      </c>
      <c r="U483" s="192"/>
      <c r="V483" s="204"/>
      <c r="W483" s="141"/>
      <c r="X483" s="222"/>
      <c r="Y483" s="141"/>
      <c r="Z483" s="224" t="str">
        <f t="shared" si="105"/>
        <v/>
      </c>
      <c r="AA483" s="297"/>
      <c r="AB483" s="171"/>
      <c r="AC483" s="256"/>
    </row>
    <row r="484" spans="1:29">
      <c r="A484" s="125" t="str">
        <f>"C"&amp;E478</f>
        <v>C18</v>
      </c>
      <c r="B484" s="140"/>
      <c r="C484" s="139"/>
      <c r="D484" s="139"/>
      <c r="E484" s="139"/>
      <c r="F484" s="139"/>
      <c r="G484" s="142"/>
      <c r="H484" s="142"/>
      <c r="I484" s="138"/>
      <c r="J484" s="138"/>
      <c r="K484" s="127"/>
      <c r="L484" s="127"/>
      <c r="M484" s="128" t="str">
        <f t="shared" si="106"/>
        <v/>
      </c>
      <c r="N484" s="206"/>
      <c r="O484" s="138"/>
      <c r="P484" s="128"/>
      <c r="Q484" s="128"/>
      <c r="R484" s="95"/>
      <c r="S484" s="95" t="str">
        <f t="shared" si="104"/>
        <v/>
      </c>
      <c r="T484" s="129" t="str">
        <f t="shared" si="107"/>
        <v/>
      </c>
      <c r="U484" s="192"/>
      <c r="V484" s="204"/>
      <c r="W484" s="141"/>
      <c r="X484" s="222"/>
      <c r="Y484" s="141"/>
      <c r="Z484" s="224" t="str">
        <f t="shared" si="105"/>
        <v/>
      </c>
      <c r="AA484" s="297"/>
      <c r="AB484" s="171"/>
      <c r="AC484" s="256"/>
    </row>
    <row r="485" spans="1:29">
      <c r="A485" s="125" t="str">
        <f>"D"&amp;E478</f>
        <v>D18</v>
      </c>
      <c r="B485" s="140"/>
      <c r="C485" s="139"/>
      <c r="D485" s="139"/>
      <c r="E485" s="139"/>
      <c r="F485" s="139"/>
      <c r="G485" s="142"/>
      <c r="H485" s="142"/>
      <c r="I485" s="138"/>
      <c r="J485" s="138"/>
      <c r="K485" s="127"/>
      <c r="L485" s="127"/>
      <c r="M485" s="128" t="str">
        <f t="shared" si="106"/>
        <v/>
      </c>
      <c r="N485" s="206"/>
      <c r="O485" s="138"/>
      <c r="P485" s="128"/>
      <c r="Q485" s="128"/>
      <c r="R485" s="95"/>
      <c r="S485" s="95" t="str">
        <f t="shared" si="104"/>
        <v/>
      </c>
      <c r="T485" s="129" t="str">
        <f t="shared" si="107"/>
        <v/>
      </c>
      <c r="U485" s="192"/>
      <c r="V485" s="204"/>
      <c r="W485" s="141"/>
      <c r="X485" s="222"/>
      <c r="Y485" s="141"/>
      <c r="Z485" s="224" t="str">
        <f t="shared" si="105"/>
        <v/>
      </c>
      <c r="AA485" s="297"/>
      <c r="AB485" s="171"/>
      <c r="AC485" s="256"/>
    </row>
    <row r="486" spans="1:29">
      <c r="A486" s="125" t="str">
        <f>"E"&amp;E478</f>
        <v>E18</v>
      </c>
      <c r="B486" s="140"/>
      <c r="C486" s="139"/>
      <c r="D486" s="139"/>
      <c r="E486" s="139"/>
      <c r="F486" s="139"/>
      <c r="G486" s="142"/>
      <c r="H486" s="142"/>
      <c r="I486" s="138"/>
      <c r="J486" s="138"/>
      <c r="K486" s="127"/>
      <c r="L486" s="127"/>
      <c r="M486" s="128" t="str">
        <f t="shared" si="106"/>
        <v/>
      </c>
      <c r="N486" s="206"/>
      <c r="O486" s="138"/>
      <c r="P486" s="128"/>
      <c r="Q486" s="128"/>
      <c r="R486" s="95"/>
      <c r="S486" s="95" t="str">
        <f t="shared" si="104"/>
        <v/>
      </c>
      <c r="T486" s="129" t="str">
        <f t="shared" si="107"/>
        <v/>
      </c>
      <c r="U486" s="192"/>
      <c r="V486" s="204"/>
      <c r="W486" s="141"/>
      <c r="X486" s="222"/>
      <c r="Y486" s="141"/>
      <c r="Z486" s="224" t="str">
        <f t="shared" si="105"/>
        <v/>
      </c>
      <c r="AA486" s="297"/>
      <c r="AB486" s="171"/>
      <c r="AC486" s="256"/>
    </row>
    <row r="487" spans="1:29" ht="16" thickBot="1">
      <c r="A487" s="125" t="str">
        <f>"F"&amp;E478</f>
        <v>F18</v>
      </c>
      <c r="B487" s="140"/>
      <c r="C487" s="139"/>
      <c r="D487" s="139"/>
      <c r="E487" s="139"/>
      <c r="F487" s="139"/>
      <c r="G487" s="142"/>
      <c r="H487" s="142"/>
      <c r="I487" s="138"/>
      <c r="J487" s="138"/>
      <c r="K487" s="127"/>
      <c r="L487" s="127"/>
      <c r="M487" s="128" t="str">
        <f t="shared" si="106"/>
        <v/>
      </c>
      <c r="N487" s="206"/>
      <c r="O487" s="138"/>
      <c r="P487" s="128"/>
      <c r="Q487" s="128"/>
      <c r="R487" s="95"/>
      <c r="S487" s="95" t="str">
        <f t="shared" si="104"/>
        <v/>
      </c>
      <c r="T487" s="129" t="str">
        <f t="shared" si="107"/>
        <v/>
      </c>
      <c r="U487" s="192"/>
      <c r="V487" s="204"/>
      <c r="W487" s="141"/>
      <c r="X487" s="222"/>
      <c r="Y487" s="141"/>
      <c r="Z487" s="225" t="str">
        <f t="shared" si="105"/>
        <v/>
      </c>
      <c r="AA487" s="363"/>
      <c r="AB487" s="171"/>
      <c r="AC487" s="256"/>
    </row>
    <row r="488" spans="1:29" ht="16" thickBot="1">
      <c r="A488" s="122"/>
      <c r="B488" s="96"/>
      <c r="C488" s="97"/>
      <c r="D488" s="97"/>
      <c r="E488" s="97"/>
      <c r="F488" s="97"/>
      <c r="G488" s="97"/>
      <c r="H488" s="97"/>
      <c r="I488" s="97"/>
      <c r="J488" s="97"/>
      <c r="K488" s="97"/>
      <c r="L488" s="97"/>
      <c r="M488" s="97"/>
      <c r="N488" s="97"/>
      <c r="O488" s="97"/>
      <c r="P488" s="97"/>
      <c r="Q488" s="97"/>
      <c r="R488" s="173"/>
      <c r="S488" s="173"/>
      <c r="T488" s="126"/>
      <c r="U488" s="98"/>
      <c r="V488" s="205"/>
      <c r="W488" s="1"/>
      <c r="X488" s="242"/>
      <c r="Y488" s="1"/>
      <c r="Z488" s="42"/>
      <c r="AA488" s="42"/>
      <c r="AB488" s="42"/>
      <c r="AC488" s="242"/>
    </row>
    <row r="489" spans="1:29" ht="16" thickBot="1">
      <c r="A489" s="123"/>
      <c r="B489" s="99"/>
      <c r="C489" s="94"/>
      <c r="D489" s="94"/>
      <c r="E489" s="94"/>
      <c r="F489" s="94"/>
      <c r="G489" s="94"/>
      <c r="H489" s="94"/>
      <c r="I489" s="94"/>
      <c r="J489" s="94"/>
      <c r="K489" s="94"/>
      <c r="L489" s="94"/>
      <c r="M489" s="94"/>
      <c r="N489" s="94"/>
      <c r="O489" s="94"/>
      <c r="P489" s="94"/>
      <c r="Q489" s="94"/>
      <c r="R489" s="265"/>
      <c r="S489" s="265"/>
      <c r="T489" s="130">
        <f>SUM(T482:T487)</f>
        <v>5701.35</v>
      </c>
      <c r="U489" s="100"/>
      <c r="V489" s="203"/>
      <c r="W489" s="12"/>
      <c r="X489" s="243"/>
      <c r="Y489" s="12"/>
      <c r="Z489" s="243"/>
      <c r="AA489" s="243"/>
      <c r="AB489" s="243"/>
      <c r="AC489" s="243"/>
    </row>
    <row r="490" spans="1:29">
      <c r="B490" s="197"/>
      <c r="C490" s="193"/>
      <c r="D490" s="193"/>
      <c r="E490" s="193"/>
      <c r="F490" s="193"/>
      <c r="G490" s="193"/>
      <c r="H490" s="193"/>
      <c r="I490" s="193"/>
      <c r="J490" s="193"/>
      <c r="K490" s="193"/>
      <c r="L490" s="193"/>
      <c r="M490" s="193"/>
      <c r="N490" s="193"/>
      <c r="O490" s="193"/>
      <c r="P490" s="193"/>
      <c r="Q490" s="193"/>
      <c r="R490" s="194"/>
      <c r="S490" s="194"/>
      <c r="T490" s="195"/>
      <c r="U490" s="196"/>
      <c r="V490" s="195"/>
    </row>
    <row r="491" spans="1:29" ht="16" thickBot="1">
      <c r="A491" s="122"/>
      <c r="B491" s="322" t="s">
        <v>45</v>
      </c>
      <c r="C491" s="323"/>
      <c r="D491" s="323"/>
      <c r="E491" s="323"/>
      <c r="F491" s="323"/>
      <c r="G491" s="324"/>
      <c r="H491" s="324"/>
      <c r="I491" s="324"/>
      <c r="J491" s="324"/>
      <c r="K491" s="324"/>
      <c r="L491" s="324"/>
      <c r="M491" s="324"/>
      <c r="N491" s="324"/>
      <c r="O491" s="324"/>
      <c r="P491" s="324"/>
      <c r="Q491" s="324"/>
      <c r="R491" s="324"/>
      <c r="S491" s="324"/>
      <c r="T491" s="324"/>
      <c r="U491" s="325"/>
      <c r="V491" s="201"/>
      <c r="W491" s="1"/>
      <c r="X491" s="42"/>
      <c r="Y491" s="1"/>
      <c r="Z491" s="42"/>
      <c r="AA491" s="42"/>
      <c r="AB491" s="42"/>
      <c r="AC491" s="42"/>
    </row>
    <row r="492" spans="1:29" ht="16.5" customHeight="1" thickBot="1">
      <c r="A492" s="122" t="str">
        <f>"G"&amp;E478</f>
        <v>G18</v>
      </c>
      <c r="B492" s="291" t="s">
        <v>97</v>
      </c>
      <c r="C492" s="292"/>
      <c r="D492" s="292"/>
      <c r="E492" s="292"/>
      <c r="F492" s="292"/>
      <c r="G492" s="326"/>
      <c r="H492" s="291" t="s">
        <v>100</v>
      </c>
      <c r="I492" s="292"/>
      <c r="J492" s="292"/>
      <c r="K492" s="292"/>
      <c r="L492" s="292"/>
      <c r="M492" s="292"/>
      <c r="N492" s="292"/>
      <c r="O492" s="189" t="s">
        <v>23</v>
      </c>
      <c r="P492" s="190"/>
      <c r="Q492" s="190"/>
      <c r="R492" s="190"/>
      <c r="S492" s="190"/>
      <c r="T492" s="190"/>
      <c r="U492" s="253"/>
      <c r="V492" s="201"/>
      <c r="W492" s="1"/>
      <c r="X492" s="239" t="s">
        <v>117</v>
      </c>
      <c r="Y492" s="1"/>
      <c r="Z492" s="355" t="s">
        <v>119</v>
      </c>
      <c r="AA492" s="345" t="s">
        <v>120</v>
      </c>
      <c r="AB492" s="345" t="s">
        <v>148</v>
      </c>
      <c r="AC492" s="359" t="s">
        <v>149</v>
      </c>
    </row>
    <row r="493" spans="1:29" ht="15.75" customHeight="1" thickBot="1">
      <c r="A493" s="122" t="str">
        <f>"H"&amp;E478</f>
        <v>H18</v>
      </c>
      <c r="B493" s="293" t="s">
        <v>132</v>
      </c>
      <c r="C493" s="294"/>
      <c r="D493" s="294"/>
      <c r="E493" s="294"/>
      <c r="F493" s="294"/>
      <c r="G493" s="327"/>
      <c r="H493" s="293" t="s">
        <v>17</v>
      </c>
      <c r="I493" s="294"/>
      <c r="J493" s="294"/>
      <c r="K493" s="294"/>
      <c r="L493" s="295"/>
      <c r="M493" s="183">
        <f>VLOOKUP(E478,PROPONENTES!$C$14:$E$37,3,0)</f>
        <v>2</v>
      </c>
      <c r="N493" s="296" t="s">
        <v>143</v>
      </c>
      <c r="O493" s="299"/>
      <c r="P493" s="300"/>
      <c r="Q493" s="300"/>
      <c r="R493" s="300"/>
      <c r="S493" s="300"/>
      <c r="T493" s="300"/>
      <c r="U493" s="301"/>
      <c r="V493" s="201"/>
      <c r="W493" s="1"/>
      <c r="X493" s="244" t="str">
        <f>IF(M493="","",IF(M493=1,"INDIVIDUAL","ESTRUCTURA PLURAL"))</f>
        <v>ESTRUCTURA PLURAL</v>
      </c>
      <c r="Y493" s="1"/>
      <c r="Z493" s="356"/>
      <c r="AA493" s="358"/>
      <c r="AB493" s="358"/>
      <c r="AC493" s="360"/>
    </row>
    <row r="494" spans="1:29" ht="15.75" customHeight="1" thickBot="1">
      <c r="A494" s="122" t="str">
        <f>"I"&amp;E478</f>
        <v>I18</v>
      </c>
      <c r="B494" s="328" t="s">
        <v>131</v>
      </c>
      <c r="C494" s="329"/>
      <c r="D494" s="330"/>
      <c r="E494" s="308">
        <f>IF(AND(I482="SI",T482&gt;0),1,0)+IF(AND(I483="SI",T483&gt;0),1,0)+IF(AND(I484="SI",T484&gt;0),1,0)+IF(AND(I485="SI",T485&gt;0),1,0)+IF(AND(I486="SI",T486&gt;0),1,0)+IF(AND(I487="SI",T487&gt;0),1,0)</f>
        <v>1</v>
      </c>
      <c r="F494" s="310" t="s">
        <v>133</v>
      </c>
      <c r="G494" s="312">
        <f>IF(E494=0,"N/A",IF(AND(E494&gt;=1,E494&lt;=2),0.75,IF(AND(E494&gt;=3,E494&lt;=4),1.2,IF(AND(E494&gt;=5,E494&lt;=6),1.5,"REVISAR"))))</f>
        <v>0.75</v>
      </c>
      <c r="H494" s="334" t="s">
        <v>16</v>
      </c>
      <c r="I494" s="335"/>
      <c r="J494" s="314" t="s">
        <v>350</v>
      </c>
      <c r="K494" s="314" t="s">
        <v>140</v>
      </c>
      <c r="L494" s="314" t="s">
        <v>141</v>
      </c>
      <c r="M494" s="320" t="s">
        <v>142</v>
      </c>
      <c r="N494" s="297"/>
      <c r="O494" s="302"/>
      <c r="P494" s="303"/>
      <c r="Q494" s="303"/>
      <c r="R494" s="303"/>
      <c r="S494" s="303"/>
      <c r="T494" s="303"/>
      <c r="U494" s="304"/>
      <c r="V494" s="201"/>
      <c r="W494" s="38"/>
      <c r="X494" s="171"/>
      <c r="Y494" s="38"/>
      <c r="Z494" s="356"/>
      <c r="AA494" s="358"/>
      <c r="AB494" s="358"/>
      <c r="AC494" s="360"/>
    </row>
    <row r="495" spans="1:29" ht="16.5" customHeight="1" thickBot="1">
      <c r="A495" s="122" t="str">
        <f>"J"&amp;E478</f>
        <v>J18</v>
      </c>
      <c r="B495" s="331"/>
      <c r="C495" s="332"/>
      <c r="D495" s="333"/>
      <c r="E495" s="309"/>
      <c r="F495" s="311"/>
      <c r="G495" s="313"/>
      <c r="H495" s="336"/>
      <c r="I495" s="337"/>
      <c r="J495" s="314"/>
      <c r="K495" s="314"/>
      <c r="L495" s="314"/>
      <c r="M495" s="321"/>
      <c r="N495" s="298"/>
      <c r="O495" s="302"/>
      <c r="P495" s="303"/>
      <c r="Q495" s="303"/>
      <c r="R495" s="303"/>
      <c r="S495" s="303"/>
      <c r="T495" s="303"/>
      <c r="U495" s="304"/>
      <c r="V495" s="201"/>
      <c r="W495" s="38"/>
      <c r="X495" s="239" t="s">
        <v>118</v>
      </c>
      <c r="Y495" s="38"/>
      <c r="Z495" s="357"/>
      <c r="AA495" s="346"/>
      <c r="AB495" s="346"/>
      <c r="AC495" s="321"/>
    </row>
    <row r="496" spans="1:29" ht="16" thickBot="1">
      <c r="A496" s="125" t="str">
        <f>"K"&amp;E478</f>
        <v>K18</v>
      </c>
      <c r="B496" s="293" t="s">
        <v>98</v>
      </c>
      <c r="C496" s="294"/>
      <c r="D496" s="294"/>
      <c r="E496" s="294"/>
      <c r="F496" s="294"/>
      <c r="G496" s="294"/>
      <c r="H496" s="186">
        <v>1</v>
      </c>
      <c r="I496" s="92" t="str">
        <f>IF(AND(H496&lt;=M493,M493&gt;1),VLOOKUP(VALUE(E478&amp;","&amp;H496),INTEGRANTES!$B$15:$D$72,2,0),"")</f>
        <v xml:space="preserve">HECTOR SÁNCHEZ CUELLAR </v>
      </c>
      <c r="J496" s="187">
        <f>IF(I496&lt;&gt;"",VLOOKUP(VALUE(E478&amp;","&amp;H496),INTEGRANTES!$B$15:$D$72,3,0),"")</f>
        <v>0.5</v>
      </c>
      <c r="K496" s="247">
        <f>IF($I496="","",IF(G494="N/A","",ROUND($G494*POSMMLV*PORPOM,2)))</f>
        <v>697.02</v>
      </c>
      <c r="L496" s="247">
        <f>IF(I496="","",SUMIF($J482:$J487,I496,$T482:$T487))</f>
        <v>0</v>
      </c>
      <c r="M496" s="93" t="str">
        <f t="shared" ref="M496:M501" si="108">IF($I496="","",IF($K496&gt;L496,"NO CUMPLE","CUMPLE"))</f>
        <v>NO CUMPLE</v>
      </c>
      <c r="N496" s="93" t="str">
        <f t="shared" ref="N496:N501" si="109">IF($I496="","",IF(M496="CUMPLE","CUMPLE","NO CUMPLE"))</f>
        <v>NO CUMPLE</v>
      </c>
      <c r="O496" s="302"/>
      <c r="P496" s="303"/>
      <c r="Q496" s="303"/>
      <c r="R496" s="303"/>
      <c r="S496" s="303"/>
      <c r="T496" s="303"/>
      <c r="U496" s="304"/>
      <c r="V496" s="201"/>
      <c r="W496" s="1"/>
      <c r="X496" s="244" t="str">
        <f>IF(X493="","",IF(X493="INDIVIDUAL","NO APLICA","VERIFICAR CUADRO"))</f>
        <v>VERIFICAR CUADRO</v>
      </c>
      <c r="Y496" s="1"/>
      <c r="Z496" s="262" t="str">
        <f>IF(AND(H496&lt;=M493,M493&gt;1),VLOOKUP(VALUE(E478&amp;","&amp;H496),INTEGRANTES!$B$15:$D$72,2,0),"")</f>
        <v xml:space="preserve">HECTOR SÁNCHEZ CUELLAR </v>
      </c>
      <c r="AA496" s="248">
        <f>IF(I496="","",SUMIF(J482:$J487,I496,$T482:$T487))</f>
        <v>0</v>
      </c>
      <c r="AB496" s="232"/>
      <c r="AC496" s="250" t="str">
        <f>IF(OR(Z496="",AB496=""),"",IF(AND(AB496="X",AA496&gt;=X499),"CUMPLE","NO CUMPLE"))</f>
        <v/>
      </c>
    </row>
    <row r="497" spans="1:29" ht="15.75" customHeight="1" thickBot="1">
      <c r="A497" s="125" t="str">
        <f>"L"&amp;E478</f>
        <v>L18</v>
      </c>
      <c r="B497" s="328" t="s">
        <v>134</v>
      </c>
      <c r="C497" s="329"/>
      <c r="D497" s="330"/>
      <c r="E497" s="132" t="s">
        <v>135</v>
      </c>
      <c r="F497" s="132" t="s">
        <v>136</v>
      </c>
      <c r="G497" s="136" t="s">
        <v>99</v>
      </c>
      <c r="H497" s="186">
        <v>2</v>
      </c>
      <c r="I497" s="92" t="str">
        <f>IF(AND(H497&lt;=M493,M493&gt;1),VLOOKUP(VALUE(E478&amp;","&amp;H497),INTEGRANTES!$B$15:$D$72,2,0),"")</f>
        <v>JCC PROYECTOS INTEGRALES S.A.S.</v>
      </c>
      <c r="J497" s="187">
        <f>IF(I497&lt;&gt;"",VLOOKUP(VALUE(E478&amp;","&amp;H497),INTEGRANTES!$B$15:$D$72,3,0),"")</f>
        <v>0.5</v>
      </c>
      <c r="K497" s="247">
        <f>IF($I497="","",IF(G494="N/A","",ROUND($G494*POSMMLV*PORPOM,2)))</f>
        <v>697.02</v>
      </c>
      <c r="L497" s="247">
        <f>IF(I497="","",SUMIF($J482:$J487,I497,$T482:$T487))</f>
        <v>5701.35</v>
      </c>
      <c r="M497" s="93" t="str">
        <f t="shared" si="108"/>
        <v>CUMPLE</v>
      </c>
      <c r="N497" s="93" t="str">
        <f t="shared" si="109"/>
        <v>CUMPLE</v>
      </c>
      <c r="O497" s="302"/>
      <c r="P497" s="303"/>
      <c r="Q497" s="303"/>
      <c r="R497" s="303"/>
      <c r="S497" s="303"/>
      <c r="T497" s="303"/>
      <c r="U497" s="304"/>
      <c r="V497" s="201"/>
      <c r="W497" s="1"/>
      <c r="X497" s="42"/>
      <c r="Y497" s="1"/>
      <c r="Z497" s="262" t="str">
        <f>IF(AND(H497&lt;=M493,M493&gt;1),VLOOKUP(VALUE(E478&amp;","&amp;H497),INTEGRANTES!$B$15:$D$72,2,0),"")</f>
        <v>JCC PROYECTOS INTEGRALES S.A.S.</v>
      </c>
      <c r="AA497" s="248">
        <f>IF(I497="","",SUMIF(J482:$J487,I497,$T482:$T487))</f>
        <v>5701.35</v>
      </c>
      <c r="AB497" s="232"/>
      <c r="AC497" s="250" t="str">
        <f>IF(OR(Z497="",AB497=""),"",IF(AND(AB497="X",AA497&gt;=X499),"CUMPLE","NO CUMPLE"))</f>
        <v/>
      </c>
    </row>
    <row r="498" spans="1:29" ht="16" thickBot="1">
      <c r="A498" s="122" t="str">
        <f>"M"&amp;E478</f>
        <v>M18</v>
      </c>
      <c r="B498" s="331"/>
      <c r="C498" s="332"/>
      <c r="D498" s="333"/>
      <c r="E498" s="237">
        <f>IF(ISTEXT(G494),"NO APLICA",G494*POSMMLV)</f>
        <v>1394.0360281651363</v>
      </c>
      <c r="F498" s="238">
        <f>IF(E498="","",T489)</f>
        <v>5701.35</v>
      </c>
      <c r="G498" s="221" t="str">
        <f>IF(E498="","",IF(E498="NO APLICA","NO CUMPLE",IF(F498&gt;=E498,"CUMPLE", "NO CUMPLE")))</f>
        <v>CUMPLE</v>
      </c>
      <c r="H498" s="186">
        <v>3</v>
      </c>
      <c r="I498" s="92" t="str">
        <f>IF(AND(H498&lt;=M493,M493&gt;1),VLOOKUP(VALUE(E478&amp;","&amp;H498),INTEGRANTES!$B$15:$D$72,2,0),"")</f>
        <v/>
      </c>
      <c r="J498" s="187" t="str">
        <f>IF(I498&lt;&gt;"",VLOOKUP(VALUE(E478&amp;","&amp;H498),INTEGRANTES!$B$15:$D$72,3,0),"")</f>
        <v/>
      </c>
      <c r="K498" s="247" t="str">
        <f>IF($I498="","",IF(G494="N/A","",ROUND($G494*POSMMLV*PORPOM,2)))</f>
        <v/>
      </c>
      <c r="L498" s="247" t="str">
        <f>IF(I498="","",SUMIF($J482:$J487,I498,$T482:$T487))</f>
        <v/>
      </c>
      <c r="M498" s="93" t="str">
        <f t="shared" si="108"/>
        <v/>
      </c>
      <c r="N498" s="93" t="str">
        <f t="shared" si="109"/>
        <v/>
      </c>
      <c r="O498" s="302"/>
      <c r="P498" s="303"/>
      <c r="Q498" s="303"/>
      <c r="R498" s="303"/>
      <c r="S498" s="303"/>
      <c r="T498" s="303"/>
      <c r="U498" s="304"/>
      <c r="V498" s="201"/>
      <c r="W498" s="1"/>
      <c r="X498" s="239" t="s">
        <v>145</v>
      </c>
      <c r="Y498" s="1"/>
      <c r="Z498" s="262" t="str">
        <f>IF(AND(H498&lt;=M493,M493&gt;1),VLOOKUP(VALUE(E478&amp;","&amp;H498),INTEGRANTES!$B$15:$D$72,2,0),"")</f>
        <v/>
      </c>
      <c r="AA498" s="248" t="str">
        <f>IF(I498="","",SUMIF(J482:$J487,I498,$T482:$T487))</f>
        <v/>
      </c>
      <c r="AB498" s="232"/>
      <c r="AC498" s="250" t="str">
        <f>IF(OR(Z498="",AB498=""),"",IF(AND(AB498="X",AA498&gt;=X499),"CUMPLE","NO CUMPLE"))</f>
        <v/>
      </c>
    </row>
    <row r="499" spans="1:29" ht="15.75" customHeight="1" thickBot="1">
      <c r="A499" s="122" t="str">
        <f>"N"&amp;E478</f>
        <v>N18</v>
      </c>
      <c r="B499" s="293" t="s">
        <v>107</v>
      </c>
      <c r="C499" s="294"/>
      <c r="D499" s="294"/>
      <c r="E499" s="294"/>
      <c r="F499" s="294"/>
      <c r="G499" s="294"/>
      <c r="H499" s="186">
        <v>4</v>
      </c>
      <c r="I499" s="92" t="str">
        <f>IF(AND(H499&lt;=M493,M493&gt;1),VLOOKUP(VALUE(E478&amp;","&amp;H499),INTEGRANTES!$B$15:$D$72,2,0),"")</f>
        <v/>
      </c>
      <c r="J499" s="187" t="str">
        <f>IF(I499&lt;&gt;"",VLOOKUP(VALUE(E478&amp;","&amp;H499),INTEGRANTES!$B$15:$D$72,3,0),"")</f>
        <v/>
      </c>
      <c r="K499" s="247" t="str">
        <f>IF($I499="","",IF(G494="N/A","",ROUND($G494*POSMMLV*PORPOM,2)))</f>
        <v/>
      </c>
      <c r="L499" s="247" t="str">
        <f>IF(I499="","",SUMIF($J482:$J487,I499,$T482:$T487))</f>
        <v/>
      </c>
      <c r="M499" s="93" t="str">
        <f t="shared" si="108"/>
        <v/>
      </c>
      <c r="N499" s="93" t="str">
        <f t="shared" si="109"/>
        <v/>
      </c>
      <c r="O499" s="302"/>
      <c r="P499" s="303"/>
      <c r="Q499" s="303"/>
      <c r="R499" s="303"/>
      <c r="S499" s="303"/>
      <c r="T499" s="303"/>
      <c r="U499" s="304"/>
      <c r="V499" s="201"/>
      <c r="W499" s="1"/>
      <c r="X499" s="251">
        <f>IF(G494="N/A","N/A",0.4*G494*POSMMLV)</f>
        <v>557.61441126605462</v>
      </c>
      <c r="Y499" s="1"/>
      <c r="Z499" s="262" t="str">
        <f>IF(AND(H499&lt;=M493,M493&gt;1),VLOOKUP(VALUE(E478&amp;","&amp;H499),INTEGRANTES!$B$15:$D$72,2,0),"")</f>
        <v/>
      </c>
      <c r="AA499" s="248" t="str">
        <f>IF(I499="","",SUMIF(J482:$J487,I499,$T482:$T487))</f>
        <v/>
      </c>
      <c r="AB499" s="232"/>
      <c r="AC499" s="250" t="str">
        <f>IF(OR(Z499="",AB499=""),"",IF(AND(AB499="X",AA499&gt;=X499),"CUMPLE","NO CUMPLE"))</f>
        <v/>
      </c>
    </row>
    <row r="500" spans="1:29" ht="33.75" customHeight="1" thickBot="1">
      <c r="A500" s="122" t="str">
        <f>"O"&amp;E478</f>
        <v>O18</v>
      </c>
      <c r="B500" s="328" t="s">
        <v>108</v>
      </c>
      <c r="C500" s="329"/>
      <c r="D500" s="329"/>
      <c r="E500" s="329"/>
      <c r="F500" s="329"/>
      <c r="G500" s="185" t="s">
        <v>99</v>
      </c>
      <c r="H500" s="186">
        <v>5</v>
      </c>
      <c r="I500" s="92" t="str">
        <f>IF(AND(H500&lt;=M493,M493&gt;1),VLOOKUP(VALUE(E478&amp;","&amp;H500),INTEGRANTES!$B$15:$D$72,2,0),"")</f>
        <v/>
      </c>
      <c r="J500" s="187" t="str">
        <f>IF(I500&lt;&gt;"",VLOOKUP(VALUE(E478&amp;","&amp;H500),INTEGRANTES!$B$15:$D$72,3,0),"")</f>
        <v/>
      </c>
      <c r="K500" s="247" t="str">
        <f>IF($I500="","",IF(G494="N/A","",ROUND($G494*POSMMLV*PORPOM,2)))</f>
        <v/>
      </c>
      <c r="L500" s="247" t="str">
        <f>IF(I500="","",SUMIF($J482:$J487,I500,$T482:$T487))</f>
        <v/>
      </c>
      <c r="M500" s="93" t="str">
        <f t="shared" si="108"/>
        <v/>
      </c>
      <c r="N500" s="93" t="str">
        <f t="shared" si="109"/>
        <v/>
      </c>
      <c r="O500" s="302"/>
      <c r="P500" s="303"/>
      <c r="Q500" s="303"/>
      <c r="R500" s="303"/>
      <c r="S500" s="303"/>
      <c r="T500" s="303"/>
      <c r="U500" s="304"/>
      <c r="V500" s="201"/>
      <c r="W500" s="1"/>
      <c r="X500" s="42"/>
      <c r="Y500" s="1"/>
      <c r="Z500" s="262" t="str">
        <f>IF(AND(H500&lt;=M493,M493&gt;1),VLOOKUP(VALUE(E478&amp;","&amp;H500),INTEGRANTES!$B$15:$D$72,2,0),"")</f>
        <v/>
      </c>
      <c r="AA500" s="248" t="str">
        <f>IF(I500="","",SUMIF(J482:$J487,I500,$T482:$T487))</f>
        <v/>
      </c>
      <c r="AB500" s="232"/>
      <c r="AC500" s="250" t="str">
        <f>IF(OR(Z500="",AB500=""),"",IF(AND(AB500="X",AA500&gt;=X499),"CUMPLE","NO CUMPLE"))</f>
        <v/>
      </c>
    </row>
    <row r="501" spans="1:29" ht="16" thickBot="1">
      <c r="A501" s="122" t="str">
        <f>"P"&amp;E478</f>
        <v>P18</v>
      </c>
      <c r="B501" s="353"/>
      <c r="C501" s="354"/>
      <c r="D501" s="354"/>
      <c r="E501" s="354"/>
      <c r="F501" s="354"/>
      <c r="G501" s="137" t="str">
        <f>IF(AND(COUNTIF(X482:X487,"")&gt;5,COUNTIF(Z482:Z487,"")&gt;5),"NO CUMPLE",IF(AND(COUNTIF(X482:X487,"SI")&gt;=$AF$17,COUNTIF(Z482:Z487,"SI")&gt;=$AF$17),"CUMPLE", "NO CUMPLE"))</f>
        <v>CUMPLE</v>
      </c>
      <c r="H501" s="257">
        <v>6</v>
      </c>
      <c r="I501" s="258" t="str">
        <f>IF(AND(H501&lt;=M493,M493&gt;1),VLOOKUP(VALUE(E478&amp;","&amp;H501),INTEGRANTES!$B$15:$D$72,2,0),"")</f>
        <v/>
      </c>
      <c r="J501" s="259" t="str">
        <f>IF(I501&lt;&gt;"",VLOOKUP(VALUE(E478&amp;","&amp;H501),INTEGRANTES!$B$15:$D$72,3,0),"")</f>
        <v/>
      </c>
      <c r="K501" s="260" t="str">
        <f>IF($I501="","",IF(G494="N/A","",ROUND($G494*POSMMLV*PORPOM,2)))</f>
        <v/>
      </c>
      <c r="L501" s="260" t="str">
        <f>IF(I501="","",SUMIF($J482:$J487,I501,$T482:$T487))</f>
        <v/>
      </c>
      <c r="M501" s="261" t="str">
        <f t="shared" si="108"/>
        <v/>
      </c>
      <c r="N501" s="93" t="str">
        <f t="shared" si="109"/>
        <v/>
      </c>
      <c r="O501" s="302"/>
      <c r="P501" s="303"/>
      <c r="Q501" s="303"/>
      <c r="R501" s="303"/>
      <c r="S501" s="303"/>
      <c r="T501" s="303"/>
      <c r="U501" s="304"/>
      <c r="V501" s="201"/>
      <c r="W501" s="1"/>
      <c r="X501" s="239" t="s">
        <v>122</v>
      </c>
      <c r="Y501" s="1"/>
      <c r="Z501" s="263" t="str">
        <f>IF(AND(H501&lt;=M493,M493&gt;1),VLOOKUP(VALUE(E478&amp;","&amp;H501),INTEGRANTES!$B$15:$D$72,2,0),"")</f>
        <v/>
      </c>
      <c r="AA501" s="249" t="str">
        <f>IF(I501="","",SUMIF(J482:$J487,I501,$T482:$T487))</f>
        <v/>
      </c>
      <c r="AB501" s="246"/>
      <c r="AC501" s="137" t="str">
        <f>IF(OR(Z501="",AB501=""),"",IF(AND(AB501="X",AA501&gt;=X499),"CUMPLE","NO CUMPLE"))</f>
        <v/>
      </c>
    </row>
    <row r="502" spans="1:29" ht="38.25" customHeight="1" thickBot="1">
      <c r="A502" s="122" t="str">
        <f>"Q"&amp;E478</f>
        <v>Q18</v>
      </c>
      <c r="B502" s="338"/>
      <c r="C502" s="339"/>
      <c r="D502" s="339"/>
      <c r="E502" s="339"/>
      <c r="F502" s="339"/>
      <c r="G502" s="340"/>
      <c r="H502" s="318" t="s">
        <v>138</v>
      </c>
      <c r="I502" s="341"/>
      <c r="J502" s="342"/>
      <c r="K502" s="318" t="s">
        <v>139</v>
      </c>
      <c r="L502" s="319"/>
      <c r="M502" s="188" t="str">
        <f>IF(OR($M493="",SUM(J496:J501)=0),"",IF(COUNTIF(M496:M501,"CUMPLE")&gt;=1,"CUMPLE","NO CUMPLE"))</f>
        <v>CUMPLE</v>
      </c>
      <c r="N502" s="188" t="str">
        <f>IF(OR($M493="",SUM(J496:J501)=0),"",IF(COUNTIF(N496:N501,"CUMPLE")&gt;=1,"CUMPLE","NO CUMPLE"))</f>
        <v>CUMPLE</v>
      </c>
      <c r="O502" s="305"/>
      <c r="P502" s="306"/>
      <c r="Q502" s="306"/>
      <c r="R502" s="306"/>
      <c r="S502" s="306"/>
      <c r="T502" s="306"/>
      <c r="U502" s="307"/>
      <c r="V502" s="201"/>
      <c r="W502" s="1"/>
      <c r="X502" s="254" t="str">
        <f>IF(X496="NO APLICA","NO APLICA",IF(COUNTIF(AC496:AC501,"CUMPLE")&gt;0,"CUMPLE","NO CUMPLE"))</f>
        <v>NO CUMPLE</v>
      </c>
      <c r="Y502" s="1"/>
      <c r="Z502" s="42"/>
      <c r="AA502" s="42"/>
      <c r="AB502" s="42"/>
      <c r="AC502" s="42"/>
    </row>
    <row r="503" spans="1:29">
      <c r="A503"/>
    </row>
    <row r="504" spans="1:29">
      <c r="A504"/>
    </row>
    <row r="505" spans="1:29" ht="23.5" thickBot="1">
      <c r="A505" s="167">
        <v>19</v>
      </c>
      <c r="B505" s="349" t="s">
        <v>1</v>
      </c>
      <c r="C505" s="349"/>
      <c r="D505" s="349"/>
      <c r="E505" s="105">
        <f>VLOOKUP(A505,PROPONENTES!$B$14:$D$37,2,FALSE)</f>
        <v>19</v>
      </c>
      <c r="F505" s="106" t="str">
        <f>VLOOKUP(E505,PROPONENTES!$C$14:$D$37,2,FALSE)</f>
        <v>CONSORCIO VIAS JUVER</v>
      </c>
      <c r="G505" s="107"/>
      <c r="H505" s="107"/>
      <c r="I505" s="107"/>
      <c r="J505" s="106"/>
      <c r="K505" s="106"/>
      <c r="L505" s="105"/>
      <c r="M505" s="107"/>
      <c r="N505" s="107"/>
      <c r="O505" s="107"/>
      <c r="P505" s="107"/>
      <c r="Q505" s="107"/>
      <c r="R505" s="107"/>
      <c r="S505" s="107"/>
      <c r="T505" s="108"/>
      <c r="U505" s="109"/>
      <c r="V505" s="109"/>
      <c r="W505" s="11"/>
      <c r="X505" s="240"/>
      <c r="Y505" s="11"/>
      <c r="Z505" s="240"/>
      <c r="AA505" s="240"/>
      <c r="AB505" s="240"/>
      <c r="AC505" s="240"/>
    </row>
    <row r="506" spans="1:29" ht="48" customHeight="1">
      <c r="A506" s="131"/>
      <c r="B506" s="350" t="s">
        <v>88</v>
      </c>
      <c r="C506" s="345" t="s">
        <v>48</v>
      </c>
      <c r="D506" s="352" t="s">
        <v>130</v>
      </c>
      <c r="E506" s="295"/>
      <c r="F506" s="352" t="s">
        <v>93</v>
      </c>
      <c r="G506" s="295"/>
      <c r="H506" s="315" t="s">
        <v>351</v>
      </c>
      <c r="I506" s="315" t="s">
        <v>103</v>
      </c>
      <c r="J506" s="315" t="s">
        <v>2</v>
      </c>
      <c r="K506" s="315" t="s">
        <v>352</v>
      </c>
      <c r="L506" s="315" t="s">
        <v>353</v>
      </c>
      <c r="M506" s="316" t="s">
        <v>29</v>
      </c>
      <c r="N506" s="315" t="s">
        <v>104</v>
      </c>
      <c r="O506" s="343" t="s">
        <v>78</v>
      </c>
      <c r="P506" s="344"/>
      <c r="Q506" s="345" t="s">
        <v>144</v>
      </c>
      <c r="R506" s="345" t="s">
        <v>101</v>
      </c>
      <c r="S506" s="294" t="s">
        <v>3</v>
      </c>
      <c r="T506" s="295"/>
      <c r="U506" s="347" t="s">
        <v>18</v>
      </c>
      <c r="V506" s="366" t="s">
        <v>102</v>
      </c>
      <c r="W506" s="133"/>
      <c r="X506" s="361" t="s">
        <v>146</v>
      </c>
      <c r="Y506" s="133"/>
      <c r="Z506" s="133"/>
      <c r="AA506" s="133"/>
      <c r="AB506" s="245"/>
      <c r="AC506" s="361" t="s">
        <v>123</v>
      </c>
    </row>
    <row r="507" spans="1:29" ht="98.25" customHeight="1">
      <c r="A507" s="131"/>
      <c r="B507" s="351"/>
      <c r="C507" s="346"/>
      <c r="D507" s="134" t="s">
        <v>10</v>
      </c>
      <c r="E507" s="134" t="s">
        <v>4</v>
      </c>
      <c r="F507" s="134" t="s">
        <v>15</v>
      </c>
      <c r="G507" s="135" t="s">
        <v>90</v>
      </c>
      <c r="H507" s="314"/>
      <c r="I507" s="314"/>
      <c r="J507" s="314"/>
      <c r="K507" s="314"/>
      <c r="L507" s="314"/>
      <c r="M507" s="317"/>
      <c r="N507" s="314"/>
      <c r="O507" s="264" t="s">
        <v>76</v>
      </c>
      <c r="P507" s="264" t="str">
        <f>+P317</f>
        <v>¿EL CONTRATO SE ENCUENTRA CLASIFICADO EN ALGUNA DE LAS CLASIFICACIONES ESTABLECIDAS EN EL PLIEGO? (SI/NO) (721033 - 721410 - 721411 - 721416)</v>
      </c>
      <c r="Q507" s="346"/>
      <c r="R507" s="346"/>
      <c r="S507" s="264" t="s">
        <v>81</v>
      </c>
      <c r="T507" s="264" t="s">
        <v>77</v>
      </c>
      <c r="U507" s="348"/>
      <c r="V507" s="336"/>
      <c r="W507" s="133"/>
      <c r="X507" s="362"/>
      <c r="Y507" s="133"/>
      <c r="Z507" s="245"/>
      <c r="AA507" s="245"/>
      <c r="AB507" s="245"/>
      <c r="AC507" s="362"/>
    </row>
    <row r="508" spans="1:29" ht="16" thickBot="1">
      <c r="A508" s="122"/>
      <c r="B508" s="96"/>
      <c r="C508" s="97"/>
      <c r="D508" s="97"/>
      <c r="E508" s="97"/>
      <c r="F508" s="97"/>
      <c r="G508" s="97"/>
      <c r="H508" s="97"/>
      <c r="I508" s="97"/>
      <c r="J508" s="97"/>
      <c r="K508" s="97"/>
      <c r="L508" s="97"/>
      <c r="M508" s="97"/>
      <c r="N508" s="97"/>
      <c r="O508" s="97"/>
      <c r="P508" s="97"/>
      <c r="Q508" s="97"/>
      <c r="R508" s="173"/>
      <c r="S508" s="173"/>
      <c r="T508" s="97"/>
      <c r="U508" s="191"/>
      <c r="V508" s="202"/>
      <c r="W508" s="1"/>
      <c r="X508" s="241"/>
      <c r="Y508" s="1"/>
      <c r="Z508" s="42"/>
      <c r="AA508" s="42"/>
      <c r="AB508" s="42"/>
      <c r="AC508" s="241"/>
    </row>
    <row r="509" spans="1:29" ht="30.5" customHeight="1">
      <c r="A509" s="125" t="str">
        <f>"A"&amp;E505</f>
        <v>A19</v>
      </c>
      <c r="B509" s="140">
        <v>1</v>
      </c>
      <c r="C509" s="139" t="s">
        <v>223</v>
      </c>
      <c r="D509" s="139">
        <v>1076</v>
      </c>
      <c r="E509" s="139" t="s">
        <v>383</v>
      </c>
      <c r="F509" s="139" t="s">
        <v>222</v>
      </c>
      <c r="G509" s="142">
        <v>0.15</v>
      </c>
      <c r="H509" s="142" t="s">
        <v>115</v>
      </c>
      <c r="I509" s="138" t="s">
        <v>50</v>
      </c>
      <c r="J509" s="378" t="str">
        <f>+I524</f>
        <v>VÉRTICES INGENIERÍA SAS</v>
      </c>
      <c r="K509" s="127">
        <v>42611</v>
      </c>
      <c r="L509" s="127">
        <v>42781</v>
      </c>
      <c r="M509" s="128">
        <f>IF(OR(K509="",L509=""),"",IF(OR(K509&gt;$T$14,K509&lt;$S$14,L509&gt;$T$14,AND(K509&lt;$S$14,L509&lt;$S$14)),"FUERA DE RANGO",IF(K509&gt;=$S$14,ROUND(((L509-K509+1)/360*12),1),ROUND(((L509-$S$14+1)/360*12),1))))</f>
        <v>5.7</v>
      </c>
      <c r="N509" s="206">
        <v>81</v>
      </c>
      <c r="O509" s="138" t="s">
        <v>50</v>
      </c>
      <c r="P509" s="128" t="s">
        <v>50</v>
      </c>
      <c r="Q509" s="128" t="s">
        <v>110</v>
      </c>
      <c r="R509" s="95">
        <v>5995.64</v>
      </c>
      <c r="S509" s="95">
        <f t="shared" ref="S509:S514" si="110">IF(OR(G509="",R509=""),"",R509*G509)</f>
        <v>899.346</v>
      </c>
      <c r="T509" s="129">
        <f>IF(OR(I509="NO",I509="",I509&lt;&gt;"SI",S509=""),"",IF(OR(L509&lt;$S$14,L509&gt;$T$14,L509=""),0,ROUND(S509,2)))</f>
        <v>899.35</v>
      </c>
      <c r="U509" s="192" t="s">
        <v>424</v>
      </c>
      <c r="V509" s="204"/>
      <c r="W509" s="141"/>
      <c r="X509" s="222"/>
      <c r="Y509" s="141"/>
      <c r="Z509" s="223" t="str">
        <f t="shared" ref="Z509:Z514" si="111">IF(T509="","",IF(T509&gt;=PORCREQCTO*POSMMLV,"SI","NO"))</f>
        <v>NO</v>
      </c>
      <c r="AA509" s="296" t="str">
        <f>"VERIFICACIÓN CUMPLIMIENTO "&amp;PORCREQCTO*100&amp;"% DEL PO"</f>
        <v>VERIFICACIÓN CUMPLIMIENTO 50% DEL PO</v>
      </c>
      <c r="AB509" s="171"/>
      <c r="AC509" s="256"/>
    </row>
    <row r="510" spans="1:29" ht="42">
      <c r="A510" s="125" t="str">
        <f>"B"&amp;E505</f>
        <v>B19</v>
      </c>
      <c r="B510" s="140">
        <v>2</v>
      </c>
      <c r="C510" s="139" t="s">
        <v>310</v>
      </c>
      <c r="D510" s="139">
        <v>2</v>
      </c>
      <c r="E510" s="139" t="s">
        <v>384</v>
      </c>
      <c r="F510" s="139" t="s">
        <v>222</v>
      </c>
      <c r="G510" s="142">
        <v>0.6</v>
      </c>
      <c r="H510" s="142" t="s">
        <v>115</v>
      </c>
      <c r="I510" s="138" t="s">
        <v>50</v>
      </c>
      <c r="J510" s="378" t="str">
        <f>+J509</f>
        <v>VÉRTICES INGENIERÍA SAS</v>
      </c>
      <c r="K510" s="127">
        <v>40354</v>
      </c>
      <c r="L510" s="127">
        <v>40658</v>
      </c>
      <c r="M510" s="128">
        <f t="shared" ref="M510:M514" si="112">IF(OR(K510="",L510=""),"",IF(OR(K510&gt;$T$14,K510&lt;$S$14,L510&gt;$T$14,AND(K510&lt;$S$14,L510&lt;$S$14)),"FUERA DE RANGO",IF(K510&gt;=$S$14,ROUND(((L510-K510+1)/360*12),1),ROUND(((L510-$S$14+1)/360*12),1))))</f>
        <v>10.199999999999999</v>
      </c>
      <c r="N510" s="206">
        <v>2</v>
      </c>
      <c r="O510" s="138" t="s">
        <v>50</v>
      </c>
      <c r="P510" s="128" t="s">
        <v>50</v>
      </c>
      <c r="Q510" s="128" t="s">
        <v>111</v>
      </c>
      <c r="R510" s="95">
        <v>2643.27</v>
      </c>
      <c r="S510" s="95">
        <f t="shared" si="110"/>
        <v>1585.962</v>
      </c>
      <c r="T510" s="129">
        <f t="shared" ref="T510:T514" si="113">IF(OR(I510="NO",I510="",I510&lt;&gt;"SI",S510=""),"",IF(OR(L510&lt;$S$14,L510&gt;$T$14,L510=""),0,ROUND(S510,2)))</f>
        <v>1585.96</v>
      </c>
      <c r="U510" s="192" t="s">
        <v>423</v>
      </c>
      <c r="V510" s="204"/>
      <c r="W510" s="141"/>
      <c r="X510" s="222" t="s">
        <v>50</v>
      </c>
      <c r="Y510" s="141"/>
      <c r="Z510" s="224" t="str">
        <f t="shared" si="111"/>
        <v>SI</v>
      </c>
      <c r="AA510" s="297"/>
      <c r="AB510" s="171"/>
      <c r="AC510" s="256"/>
    </row>
    <row r="511" spans="1:29">
      <c r="A511" s="125" t="str">
        <f>"C"&amp;E505</f>
        <v>C19</v>
      </c>
      <c r="B511" s="140"/>
      <c r="C511" s="139"/>
      <c r="D511" s="139"/>
      <c r="E511" s="139"/>
      <c r="F511" s="139"/>
      <c r="G511" s="142"/>
      <c r="H511" s="142"/>
      <c r="I511" s="138"/>
      <c r="J511" s="138"/>
      <c r="K511" s="127"/>
      <c r="L511" s="127"/>
      <c r="M511" s="128" t="str">
        <f t="shared" si="112"/>
        <v/>
      </c>
      <c r="N511" s="206"/>
      <c r="O511" s="138"/>
      <c r="P511" s="128"/>
      <c r="Q511" s="128"/>
      <c r="R511" s="95"/>
      <c r="S511" s="95" t="str">
        <f t="shared" si="110"/>
        <v/>
      </c>
      <c r="T511" s="129" t="str">
        <f t="shared" si="113"/>
        <v/>
      </c>
      <c r="U511" s="192"/>
      <c r="V511" s="204"/>
      <c r="W511" s="141"/>
      <c r="X511" s="222"/>
      <c r="Y511" s="141"/>
      <c r="Z511" s="224" t="str">
        <f t="shared" si="111"/>
        <v/>
      </c>
      <c r="AA511" s="297"/>
      <c r="AB511" s="171"/>
      <c r="AC511" s="256"/>
    </row>
    <row r="512" spans="1:29">
      <c r="A512" s="125" t="str">
        <f>"D"&amp;E505</f>
        <v>D19</v>
      </c>
      <c r="B512" s="140"/>
      <c r="C512" s="139"/>
      <c r="D512" s="139"/>
      <c r="E512" s="139"/>
      <c r="F512" s="139"/>
      <c r="G512" s="142"/>
      <c r="H512" s="142"/>
      <c r="I512" s="138"/>
      <c r="J512" s="138"/>
      <c r="K512" s="127"/>
      <c r="L512" s="127"/>
      <c r="M512" s="128" t="str">
        <f t="shared" si="112"/>
        <v/>
      </c>
      <c r="N512" s="206"/>
      <c r="O512" s="138"/>
      <c r="P512" s="128"/>
      <c r="Q512" s="128"/>
      <c r="R512" s="95"/>
      <c r="S512" s="95" t="str">
        <f t="shared" si="110"/>
        <v/>
      </c>
      <c r="T512" s="129" t="str">
        <f t="shared" si="113"/>
        <v/>
      </c>
      <c r="U512" s="192"/>
      <c r="V512" s="204"/>
      <c r="W512" s="141"/>
      <c r="X512" s="222"/>
      <c r="Y512" s="141"/>
      <c r="Z512" s="224" t="str">
        <f t="shared" si="111"/>
        <v/>
      </c>
      <c r="AA512" s="297"/>
      <c r="AB512" s="171"/>
      <c r="AC512" s="256"/>
    </row>
    <row r="513" spans="1:29">
      <c r="A513" s="125" t="str">
        <f>"E"&amp;E505</f>
        <v>E19</v>
      </c>
      <c r="B513" s="140"/>
      <c r="C513" s="139"/>
      <c r="D513" s="139"/>
      <c r="E513" s="139"/>
      <c r="F513" s="139"/>
      <c r="G513" s="142"/>
      <c r="H513" s="142"/>
      <c r="I513" s="138"/>
      <c r="J513" s="138"/>
      <c r="K513" s="127"/>
      <c r="L513" s="127"/>
      <c r="M513" s="128" t="str">
        <f t="shared" si="112"/>
        <v/>
      </c>
      <c r="N513" s="206"/>
      <c r="O513" s="138"/>
      <c r="P513" s="128"/>
      <c r="Q513" s="128"/>
      <c r="R513" s="95"/>
      <c r="S513" s="95" t="str">
        <f t="shared" si="110"/>
        <v/>
      </c>
      <c r="T513" s="129" t="str">
        <f t="shared" si="113"/>
        <v/>
      </c>
      <c r="U513" s="192"/>
      <c r="V513" s="204"/>
      <c r="W513" s="141"/>
      <c r="X513" s="222"/>
      <c r="Y513" s="141"/>
      <c r="Z513" s="224" t="str">
        <f t="shared" si="111"/>
        <v/>
      </c>
      <c r="AA513" s="297"/>
      <c r="AB513" s="171"/>
      <c r="AC513" s="256"/>
    </row>
    <row r="514" spans="1:29" ht="16" thickBot="1">
      <c r="A514" s="125" t="str">
        <f>"F"&amp;E505</f>
        <v>F19</v>
      </c>
      <c r="B514" s="140"/>
      <c r="C514" s="139"/>
      <c r="D514" s="139"/>
      <c r="E514" s="139"/>
      <c r="F514" s="139"/>
      <c r="G514" s="142"/>
      <c r="H514" s="142"/>
      <c r="I514" s="138"/>
      <c r="J514" s="138"/>
      <c r="K514" s="127"/>
      <c r="L514" s="127"/>
      <c r="M514" s="128" t="str">
        <f t="shared" si="112"/>
        <v/>
      </c>
      <c r="N514" s="206"/>
      <c r="O514" s="138"/>
      <c r="P514" s="128"/>
      <c r="Q514" s="128"/>
      <c r="R514" s="95"/>
      <c r="S514" s="95" t="str">
        <f t="shared" si="110"/>
        <v/>
      </c>
      <c r="T514" s="129" t="str">
        <f t="shared" si="113"/>
        <v/>
      </c>
      <c r="U514" s="192"/>
      <c r="V514" s="204"/>
      <c r="W514" s="141"/>
      <c r="X514" s="222"/>
      <c r="Y514" s="141"/>
      <c r="Z514" s="225" t="str">
        <f t="shared" si="111"/>
        <v/>
      </c>
      <c r="AA514" s="363"/>
      <c r="AB514" s="171"/>
      <c r="AC514" s="256"/>
    </row>
    <row r="515" spans="1:29" ht="16" thickBot="1">
      <c r="A515" s="122"/>
      <c r="B515" s="96"/>
      <c r="C515" s="97"/>
      <c r="D515" s="97"/>
      <c r="E515" s="97"/>
      <c r="F515" s="97"/>
      <c r="G515" s="97"/>
      <c r="H515" s="97"/>
      <c r="I515" s="97"/>
      <c r="J515" s="97"/>
      <c r="K515" s="97"/>
      <c r="L515" s="97"/>
      <c r="M515" s="97"/>
      <c r="N515" s="97"/>
      <c r="O515" s="97"/>
      <c r="P515" s="97"/>
      <c r="Q515" s="97"/>
      <c r="R515" s="173"/>
      <c r="S515" s="173"/>
      <c r="T515" s="126"/>
      <c r="U515" s="98"/>
      <c r="V515" s="205"/>
      <c r="W515" s="1"/>
      <c r="X515" s="242"/>
      <c r="Y515" s="1"/>
      <c r="Z515" s="42"/>
      <c r="AA515" s="42"/>
      <c r="AB515" s="42"/>
      <c r="AC515" s="242"/>
    </row>
    <row r="516" spans="1:29" ht="16" thickBot="1">
      <c r="A516" s="123"/>
      <c r="B516" s="99"/>
      <c r="C516" s="94"/>
      <c r="D516" s="94"/>
      <c r="E516" s="94"/>
      <c r="F516" s="94"/>
      <c r="G516" s="94"/>
      <c r="H516" s="94"/>
      <c r="I516" s="94"/>
      <c r="J516" s="94"/>
      <c r="K516" s="94"/>
      <c r="L516" s="94"/>
      <c r="M516" s="94"/>
      <c r="N516" s="94"/>
      <c r="O516" s="94"/>
      <c r="P516" s="94"/>
      <c r="Q516" s="94"/>
      <c r="R516" s="265"/>
      <c r="S516" s="265"/>
      <c r="T516" s="130">
        <f>SUM(T509:T514)</f>
        <v>2485.31</v>
      </c>
      <c r="U516" s="100"/>
      <c r="V516" s="203"/>
      <c r="W516" s="12"/>
      <c r="X516" s="243"/>
      <c r="Y516" s="12"/>
      <c r="Z516" s="243"/>
      <c r="AA516" s="243"/>
      <c r="AB516" s="243"/>
      <c r="AC516" s="243"/>
    </row>
    <row r="517" spans="1:29">
      <c r="B517" s="197"/>
      <c r="C517" s="193"/>
      <c r="D517" s="193"/>
      <c r="E517" s="193"/>
      <c r="F517" s="193"/>
      <c r="G517" s="193"/>
      <c r="H517" s="193"/>
      <c r="I517" s="193"/>
      <c r="J517" s="193"/>
      <c r="K517" s="193"/>
      <c r="L517" s="193"/>
      <c r="M517" s="193"/>
      <c r="N517" s="193"/>
      <c r="O517" s="193"/>
      <c r="P517" s="193"/>
      <c r="Q517" s="193"/>
      <c r="R517" s="194"/>
      <c r="S517" s="194"/>
      <c r="T517" s="195"/>
      <c r="U517" s="196"/>
      <c r="V517" s="195"/>
    </row>
    <row r="518" spans="1:29" ht="16" thickBot="1">
      <c r="A518" s="122"/>
      <c r="B518" s="322" t="s">
        <v>45</v>
      </c>
      <c r="C518" s="323"/>
      <c r="D518" s="323"/>
      <c r="E518" s="323"/>
      <c r="F518" s="323"/>
      <c r="G518" s="324"/>
      <c r="H518" s="324"/>
      <c r="I518" s="324"/>
      <c r="J518" s="324"/>
      <c r="K518" s="324"/>
      <c r="L518" s="324"/>
      <c r="M518" s="324"/>
      <c r="N518" s="324"/>
      <c r="O518" s="324"/>
      <c r="P518" s="324"/>
      <c r="Q518" s="324"/>
      <c r="R518" s="324"/>
      <c r="S518" s="324"/>
      <c r="T518" s="324"/>
      <c r="U518" s="325"/>
      <c r="V518" s="201"/>
      <c r="W518" s="1"/>
      <c r="X518" s="42"/>
      <c r="Y518" s="1"/>
      <c r="Z518" s="42"/>
      <c r="AA518" s="42"/>
      <c r="AB518" s="42"/>
      <c r="AC518" s="42"/>
    </row>
    <row r="519" spans="1:29" ht="16.5" customHeight="1" thickBot="1">
      <c r="A519" s="122" t="str">
        <f>"G"&amp;E505</f>
        <v>G19</v>
      </c>
      <c r="B519" s="291" t="s">
        <v>97</v>
      </c>
      <c r="C519" s="292"/>
      <c r="D519" s="292"/>
      <c r="E519" s="292"/>
      <c r="F519" s="292"/>
      <c r="G519" s="326"/>
      <c r="H519" s="291" t="s">
        <v>100</v>
      </c>
      <c r="I519" s="292"/>
      <c r="J519" s="292"/>
      <c r="K519" s="292"/>
      <c r="L519" s="292"/>
      <c r="M519" s="292"/>
      <c r="N519" s="292"/>
      <c r="O519" s="189" t="s">
        <v>23</v>
      </c>
      <c r="P519" s="190"/>
      <c r="Q519" s="190"/>
      <c r="R519" s="190"/>
      <c r="S519" s="190"/>
      <c r="T519" s="190"/>
      <c r="U519" s="253"/>
      <c r="V519" s="201"/>
      <c r="W519" s="1"/>
      <c r="X519" s="239" t="s">
        <v>117</v>
      </c>
      <c r="Y519" s="1"/>
      <c r="Z519" s="355" t="s">
        <v>119</v>
      </c>
      <c r="AA519" s="345" t="s">
        <v>120</v>
      </c>
      <c r="AB519" s="345" t="s">
        <v>148</v>
      </c>
      <c r="AC519" s="359" t="s">
        <v>149</v>
      </c>
    </row>
    <row r="520" spans="1:29" ht="15.75" customHeight="1" thickBot="1">
      <c r="A520" s="122" t="str">
        <f>"H"&amp;E505</f>
        <v>H19</v>
      </c>
      <c r="B520" s="293" t="s">
        <v>132</v>
      </c>
      <c r="C520" s="294"/>
      <c r="D520" s="294"/>
      <c r="E520" s="294"/>
      <c r="F520" s="294"/>
      <c r="G520" s="327"/>
      <c r="H520" s="293" t="s">
        <v>17</v>
      </c>
      <c r="I520" s="294"/>
      <c r="J520" s="294"/>
      <c r="K520" s="294"/>
      <c r="L520" s="295"/>
      <c r="M520" s="183">
        <f>VLOOKUP(E505,PROPONENTES!$C$14:$E$37,3,0)</f>
        <v>2</v>
      </c>
      <c r="N520" s="296" t="s">
        <v>143</v>
      </c>
      <c r="O520" s="299"/>
      <c r="P520" s="300"/>
      <c r="Q520" s="300"/>
      <c r="R520" s="300"/>
      <c r="S520" s="300"/>
      <c r="T520" s="300"/>
      <c r="U520" s="301"/>
      <c r="V520" s="201"/>
      <c r="W520" s="1"/>
      <c r="X520" s="244" t="str">
        <f>IF(M520="","",IF(M520=1,"INDIVIDUAL","ESTRUCTURA PLURAL"))</f>
        <v>ESTRUCTURA PLURAL</v>
      </c>
      <c r="Y520" s="1"/>
      <c r="Z520" s="356"/>
      <c r="AA520" s="358"/>
      <c r="AB520" s="358"/>
      <c r="AC520" s="360"/>
    </row>
    <row r="521" spans="1:29" ht="15.75" customHeight="1" thickBot="1">
      <c r="A521" s="122" t="str">
        <f>"I"&amp;E505</f>
        <v>I19</v>
      </c>
      <c r="B521" s="328" t="s">
        <v>131</v>
      </c>
      <c r="C521" s="329"/>
      <c r="D521" s="330"/>
      <c r="E521" s="308">
        <f>IF(AND(I509="SI",T509&gt;0),1,0)+IF(AND(I510="SI",T510&gt;0),1,0)+IF(AND(I511="SI",T511&gt;0),1,0)+IF(AND(I512="SI",T512&gt;0),1,0)+IF(AND(I513="SI",T513&gt;0),1,0)+IF(AND(I514="SI",T514&gt;0),1,0)</f>
        <v>2</v>
      </c>
      <c r="F521" s="310" t="s">
        <v>133</v>
      </c>
      <c r="G521" s="312">
        <f>IF(E521=0,"N/A",IF(AND(E521&gt;=1,E521&lt;=2),0.75,IF(AND(E521&gt;=3,E521&lt;=4),1.2,IF(AND(E521&gt;=5,E521&lt;=6),1.5,"REVISAR"))))</f>
        <v>0.75</v>
      </c>
      <c r="H521" s="334" t="s">
        <v>16</v>
      </c>
      <c r="I521" s="335"/>
      <c r="J521" s="314" t="s">
        <v>350</v>
      </c>
      <c r="K521" s="314" t="s">
        <v>140</v>
      </c>
      <c r="L521" s="314" t="s">
        <v>141</v>
      </c>
      <c r="M521" s="320" t="s">
        <v>142</v>
      </c>
      <c r="N521" s="297"/>
      <c r="O521" s="302"/>
      <c r="P521" s="303"/>
      <c r="Q521" s="303"/>
      <c r="R521" s="303"/>
      <c r="S521" s="303"/>
      <c r="T521" s="303"/>
      <c r="U521" s="304"/>
      <c r="V521" s="201"/>
      <c r="W521" s="38"/>
      <c r="X521" s="171"/>
      <c r="Y521" s="38"/>
      <c r="Z521" s="356"/>
      <c r="AA521" s="358"/>
      <c r="AB521" s="358"/>
      <c r="AC521" s="360"/>
    </row>
    <row r="522" spans="1:29" ht="16.5" customHeight="1" thickBot="1">
      <c r="A522" s="122" t="str">
        <f>"J"&amp;E505</f>
        <v>J19</v>
      </c>
      <c r="B522" s="331"/>
      <c r="C522" s="332"/>
      <c r="D522" s="333"/>
      <c r="E522" s="309"/>
      <c r="F522" s="311"/>
      <c r="G522" s="313"/>
      <c r="H522" s="336"/>
      <c r="I522" s="337"/>
      <c r="J522" s="314"/>
      <c r="K522" s="314"/>
      <c r="L522" s="314"/>
      <c r="M522" s="321"/>
      <c r="N522" s="298"/>
      <c r="O522" s="302"/>
      <c r="P522" s="303"/>
      <c r="Q522" s="303"/>
      <c r="R522" s="303"/>
      <c r="S522" s="303"/>
      <c r="T522" s="303"/>
      <c r="U522" s="304"/>
      <c r="V522" s="201"/>
      <c r="W522" s="38"/>
      <c r="X522" s="239" t="s">
        <v>118</v>
      </c>
      <c r="Y522" s="38"/>
      <c r="Z522" s="357"/>
      <c r="AA522" s="346"/>
      <c r="AB522" s="346"/>
      <c r="AC522" s="321"/>
    </row>
    <row r="523" spans="1:29" ht="16" thickBot="1">
      <c r="A523" s="125" t="str">
        <f>"K"&amp;E505</f>
        <v>K19</v>
      </c>
      <c r="B523" s="293" t="s">
        <v>98</v>
      </c>
      <c r="C523" s="294"/>
      <c r="D523" s="294"/>
      <c r="E523" s="294"/>
      <c r="F523" s="294"/>
      <c r="G523" s="294"/>
      <c r="H523" s="186">
        <v>1</v>
      </c>
      <c r="I523" s="92" t="str">
        <f>IF(AND(H523&lt;=M520,M520&gt;1),VLOOKUP(VALUE(E505&amp;","&amp;H523),INTEGRANTES!$B$15:$D$72,2,0),"")</f>
        <v>JULIÁN ANDRES CASTRILLÓN GONZÁLEZ</v>
      </c>
      <c r="J523" s="187">
        <f>IF(I523&lt;&gt;"",VLOOKUP(VALUE(E505&amp;","&amp;H523),INTEGRANTES!$B$15:$D$72,3,0),"")</f>
        <v>0.5</v>
      </c>
      <c r="K523" s="247">
        <f>IF($I523="","",IF(G521="N/A","",ROUND($G521*POSMMLV*PORPOM,2)))</f>
        <v>697.02</v>
      </c>
      <c r="L523" s="247">
        <f>IF(I523="","",SUMIF($J509:$J514,I523,$T509:$T514))</f>
        <v>0</v>
      </c>
      <c r="M523" s="93" t="str">
        <f t="shared" ref="M523:M528" si="114">IF($I523="","",IF($K523&gt;L523,"NO CUMPLE","CUMPLE"))</f>
        <v>NO CUMPLE</v>
      </c>
      <c r="N523" s="93" t="str">
        <f t="shared" ref="N523:N528" si="115">IF($I523="","",IF(M523="CUMPLE","CUMPLE","NO CUMPLE"))</f>
        <v>NO CUMPLE</v>
      </c>
      <c r="O523" s="302"/>
      <c r="P523" s="303"/>
      <c r="Q523" s="303"/>
      <c r="R523" s="303"/>
      <c r="S523" s="303"/>
      <c r="T523" s="303"/>
      <c r="U523" s="304"/>
      <c r="V523" s="201"/>
      <c r="W523" s="1"/>
      <c r="X523" s="244" t="str">
        <f>IF(X520="","",IF(X520="INDIVIDUAL","NO APLICA","VERIFICAR CUADRO"))</f>
        <v>VERIFICAR CUADRO</v>
      </c>
      <c r="Y523" s="1"/>
      <c r="Z523" s="262" t="str">
        <f>IF(AND(H523&lt;=M520,M520&gt;1),VLOOKUP(VALUE(E505&amp;","&amp;H523),INTEGRANTES!$B$15:$D$72,2,0),"")</f>
        <v>JULIÁN ANDRES CASTRILLÓN GONZÁLEZ</v>
      </c>
      <c r="AA523" s="248">
        <f>IF(I523="","",SUMIF(J509:$J514,I523,$T509:$T514))</f>
        <v>0</v>
      </c>
      <c r="AB523" s="232"/>
      <c r="AC523" s="250" t="str">
        <f>IF(OR(Z523="",AB523=""),"",IF(AND(AB523="X",AA523&gt;=X526),"CUMPLE","NO CUMPLE"))</f>
        <v/>
      </c>
    </row>
    <row r="524" spans="1:29" ht="15.75" customHeight="1" thickBot="1">
      <c r="A524" s="125" t="str">
        <f>"L"&amp;E505</f>
        <v>L19</v>
      </c>
      <c r="B524" s="328" t="s">
        <v>134</v>
      </c>
      <c r="C524" s="329"/>
      <c r="D524" s="330"/>
      <c r="E524" s="132" t="s">
        <v>135</v>
      </c>
      <c r="F524" s="132" t="s">
        <v>136</v>
      </c>
      <c r="G524" s="136" t="s">
        <v>99</v>
      </c>
      <c r="H524" s="186">
        <v>2</v>
      </c>
      <c r="I524" s="92" t="str">
        <f>IF(AND(H524&lt;=M520,M520&gt;1),VLOOKUP(VALUE(E505&amp;","&amp;H524),INTEGRANTES!$B$15:$D$72,2,0),"")</f>
        <v>VÉRTICES INGENIERÍA SAS</v>
      </c>
      <c r="J524" s="187">
        <f>IF(I524&lt;&gt;"",VLOOKUP(VALUE(E505&amp;","&amp;H524),INTEGRANTES!$B$15:$D$72,3,0),"")</f>
        <v>0.5</v>
      </c>
      <c r="K524" s="247">
        <f>IF($I524="","",IF(G521="N/A","",ROUND($G521*POSMMLV*PORPOM,2)))</f>
        <v>697.02</v>
      </c>
      <c r="L524" s="247">
        <f>IF(I524="","",SUMIF($J509:$J514,I524,$T509:$T514))</f>
        <v>2485.31</v>
      </c>
      <c r="M524" s="93" t="str">
        <f t="shared" si="114"/>
        <v>CUMPLE</v>
      </c>
      <c r="N524" s="93" t="str">
        <f t="shared" si="115"/>
        <v>CUMPLE</v>
      </c>
      <c r="O524" s="302"/>
      <c r="P524" s="303"/>
      <c r="Q524" s="303"/>
      <c r="R524" s="303"/>
      <c r="S524" s="303"/>
      <c r="T524" s="303"/>
      <c r="U524" s="304"/>
      <c r="V524" s="201"/>
      <c r="W524" s="1"/>
      <c r="X524" s="42"/>
      <c r="Y524" s="1"/>
      <c r="Z524" s="262" t="str">
        <f>IF(AND(H524&lt;=M520,M520&gt;1),VLOOKUP(VALUE(E505&amp;","&amp;H524),INTEGRANTES!$B$15:$D$72,2,0),"")</f>
        <v>VÉRTICES INGENIERÍA SAS</v>
      </c>
      <c r="AA524" s="248">
        <f>IF(I524="","",SUMIF(J509:$J514,I524,$T509:$T514))</f>
        <v>2485.31</v>
      </c>
      <c r="AB524" s="232"/>
      <c r="AC524" s="250" t="str">
        <f>IF(OR(Z524="",AB524=""),"",IF(AND(AB524="X",AA524&gt;=X526),"CUMPLE","NO CUMPLE"))</f>
        <v/>
      </c>
    </row>
    <row r="525" spans="1:29" ht="16" thickBot="1">
      <c r="A525" s="122" t="str">
        <f>"M"&amp;E505</f>
        <v>M19</v>
      </c>
      <c r="B525" s="331"/>
      <c r="C525" s="332"/>
      <c r="D525" s="333"/>
      <c r="E525" s="237">
        <f>IF(ISTEXT(G521),"NO APLICA",G521*POSMMLV)</f>
        <v>1394.0360281651363</v>
      </c>
      <c r="F525" s="238">
        <f>IF(E525="","",T516)</f>
        <v>2485.31</v>
      </c>
      <c r="G525" s="221" t="str">
        <f>IF(E525="","",IF(E525="NO APLICA","NO CUMPLE",IF(F525&gt;=E525,"CUMPLE", "NO CUMPLE")))</f>
        <v>CUMPLE</v>
      </c>
      <c r="H525" s="186">
        <v>3</v>
      </c>
      <c r="I525" s="92" t="str">
        <f>IF(AND(H525&lt;=M520,M520&gt;1),VLOOKUP(VALUE(E505&amp;","&amp;H525),INTEGRANTES!$B$15:$D$72,2,0),"")</f>
        <v/>
      </c>
      <c r="J525" s="187" t="str">
        <f>IF(I525&lt;&gt;"",VLOOKUP(VALUE(E505&amp;","&amp;H525),INTEGRANTES!$B$15:$D$72,3,0),"")</f>
        <v/>
      </c>
      <c r="K525" s="247" t="str">
        <f>IF($I525="","",IF(G521="N/A","",ROUND($G521*POSMMLV*PORPOM,2)))</f>
        <v/>
      </c>
      <c r="L525" s="247" t="str">
        <f>IF(I525="","",SUMIF($J509:$J514,I525,$T509:$T514))</f>
        <v/>
      </c>
      <c r="M525" s="93" t="str">
        <f t="shared" si="114"/>
        <v/>
      </c>
      <c r="N525" s="93" t="str">
        <f t="shared" si="115"/>
        <v/>
      </c>
      <c r="O525" s="302"/>
      <c r="P525" s="303"/>
      <c r="Q525" s="303"/>
      <c r="R525" s="303"/>
      <c r="S525" s="303"/>
      <c r="T525" s="303"/>
      <c r="U525" s="304"/>
      <c r="V525" s="201"/>
      <c r="W525" s="1"/>
      <c r="X525" s="239" t="s">
        <v>145</v>
      </c>
      <c r="Y525" s="1"/>
      <c r="Z525" s="262" t="str">
        <f>IF(AND(H525&lt;=M520,M520&gt;1),VLOOKUP(VALUE(E505&amp;","&amp;H525),INTEGRANTES!$B$15:$D$72,2,0),"")</f>
        <v/>
      </c>
      <c r="AA525" s="248" t="str">
        <f>IF(I525="","",SUMIF(J509:$J514,I525,$T509:$T514))</f>
        <v/>
      </c>
      <c r="AB525" s="232"/>
      <c r="AC525" s="250" t="str">
        <f>IF(OR(Z525="",AB525=""),"",IF(AND(AB525="X",AA525&gt;=X526),"CUMPLE","NO CUMPLE"))</f>
        <v/>
      </c>
    </row>
    <row r="526" spans="1:29" ht="15.75" customHeight="1" thickBot="1">
      <c r="A526" s="122" t="str">
        <f>"N"&amp;E505</f>
        <v>N19</v>
      </c>
      <c r="B526" s="293" t="s">
        <v>107</v>
      </c>
      <c r="C526" s="294"/>
      <c r="D526" s="294"/>
      <c r="E526" s="294"/>
      <c r="F526" s="294"/>
      <c r="G526" s="294"/>
      <c r="H526" s="186">
        <v>4</v>
      </c>
      <c r="I526" s="92" t="str">
        <f>IF(AND(H526&lt;=M520,M520&gt;1),VLOOKUP(VALUE(E505&amp;","&amp;H526),INTEGRANTES!$B$15:$D$72,2,0),"")</f>
        <v/>
      </c>
      <c r="J526" s="187" t="str">
        <f>IF(I526&lt;&gt;"",VLOOKUP(VALUE(E505&amp;","&amp;H526),INTEGRANTES!$B$15:$D$72,3,0),"")</f>
        <v/>
      </c>
      <c r="K526" s="247" t="str">
        <f>IF($I526="","",IF(G521="N/A","",ROUND($G521*POSMMLV*PORPOM,2)))</f>
        <v/>
      </c>
      <c r="L526" s="247" t="str">
        <f>IF(I526="","",SUMIF($J509:$J514,I526,$T509:$T514))</f>
        <v/>
      </c>
      <c r="M526" s="93" t="str">
        <f t="shared" si="114"/>
        <v/>
      </c>
      <c r="N526" s="93" t="str">
        <f t="shared" si="115"/>
        <v/>
      </c>
      <c r="O526" s="302"/>
      <c r="P526" s="303"/>
      <c r="Q526" s="303"/>
      <c r="R526" s="303"/>
      <c r="S526" s="303"/>
      <c r="T526" s="303"/>
      <c r="U526" s="304"/>
      <c r="V526" s="201"/>
      <c r="W526" s="1"/>
      <c r="X526" s="251">
        <f>IF(G521="N/A","N/A",0.4*G521*POSMMLV)</f>
        <v>557.61441126605462</v>
      </c>
      <c r="Y526" s="1"/>
      <c r="Z526" s="262" t="str">
        <f>IF(AND(H526&lt;=M520,M520&gt;1),VLOOKUP(VALUE(E505&amp;","&amp;H526),INTEGRANTES!$B$15:$D$72,2,0),"")</f>
        <v/>
      </c>
      <c r="AA526" s="248" t="str">
        <f>IF(I526="","",SUMIF(J509:$J514,I526,$T509:$T514))</f>
        <v/>
      </c>
      <c r="AB526" s="232"/>
      <c r="AC526" s="250" t="str">
        <f>IF(OR(Z526="",AB526=""),"",IF(AND(AB526="X",AA526&gt;=X526),"CUMPLE","NO CUMPLE"))</f>
        <v/>
      </c>
    </row>
    <row r="527" spans="1:29" ht="33.75" customHeight="1" thickBot="1">
      <c r="A527" s="122" t="str">
        <f>"O"&amp;E505</f>
        <v>O19</v>
      </c>
      <c r="B527" s="328" t="s">
        <v>108</v>
      </c>
      <c r="C527" s="329"/>
      <c r="D527" s="329"/>
      <c r="E527" s="329"/>
      <c r="F527" s="329"/>
      <c r="G527" s="185" t="s">
        <v>99</v>
      </c>
      <c r="H527" s="186">
        <v>5</v>
      </c>
      <c r="I527" s="92" t="str">
        <f>IF(AND(H527&lt;=M520,M520&gt;1),VLOOKUP(VALUE(E505&amp;","&amp;H527),INTEGRANTES!$B$15:$D$72,2,0),"")</f>
        <v/>
      </c>
      <c r="J527" s="187" t="str">
        <f>IF(I527&lt;&gt;"",VLOOKUP(VALUE(E505&amp;","&amp;H527),INTEGRANTES!$B$15:$D$72,3,0),"")</f>
        <v/>
      </c>
      <c r="K527" s="247" t="str">
        <f>IF($I527="","",IF(G521="N/A","",ROUND($G521*POSMMLV*PORPOM,2)))</f>
        <v/>
      </c>
      <c r="L527" s="247" t="str">
        <f>IF(I527="","",SUMIF($J509:$J514,I527,$T509:$T514))</f>
        <v/>
      </c>
      <c r="M527" s="93" t="str">
        <f t="shared" si="114"/>
        <v/>
      </c>
      <c r="N527" s="93" t="str">
        <f t="shared" si="115"/>
        <v/>
      </c>
      <c r="O527" s="302"/>
      <c r="P527" s="303"/>
      <c r="Q527" s="303"/>
      <c r="R527" s="303"/>
      <c r="S527" s="303"/>
      <c r="T527" s="303"/>
      <c r="U527" s="304"/>
      <c r="V527" s="201"/>
      <c r="W527" s="1"/>
      <c r="X527" s="42"/>
      <c r="Y527" s="1"/>
      <c r="Z527" s="262" t="str">
        <f>IF(AND(H527&lt;=M520,M520&gt;1),VLOOKUP(VALUE(E505&amp;","&amp;H527),INTEGRANTES!$B$15:$D$72,2,0),"")</f>
        <v/>
      </c>
      <c r="AA527" s="248" t="str">
        <f>IF(I527="","",SUMIF(J509:$J514,I527,$T509:$T514))</f>
        <v/>
      </c>
      <c r="AB527" s="232"/>
      <c r="AC527" s="250" t="str">
        <f>IF(OR(Z527="",AB527=""),"",IF(AND(AB527="X",AA527&gt;=X526),"CUMPLE","NO CUMPLE"))</f>
        <v/>
      </c>
    </row>
    <row r="528" spans="1:29" ht="16" thickBot="1">
      <c r="A528" s="122" t="str">
        <f>"P"&amp;E505</f>
        <v>P19</v>
      </c>
      <c r="B528" s="353"/>
      <c r="C528" s="354"/>
      <c r="D528" s="354"/>
      <c r="E528" s="354"/>
      <c r="F528" s="354"/>
      <c r="G528" s="137" t="str">
        <f>IF(AND(COUNTIF(X509:X514,"")&gt;5,COUNTIF(Z509:Z514,"")&gt;5),"NO CUMPLE",IF(AND(COUNTIF(X509:X514,"SI")&gt;=$AF$17,COUNTIF(Z509:Z514,"SI")&gt;=$AF$17),"CUMPLE", "NO CUMPLE"))</f>
        <v>CUMPLE</v>
      </c>
      <c r="H528" s="257">
        <v>6</v>
      </c>
      <c r="I528" s="258" t="str">
        <f>IF(AND(H528&lt;=M520,M520&gt;1),VLOOKUP(VALUE(E505&amp;","&amp;H528),INTEGRANTES!$B$15:$D$72,2,0),"")</f>
        <v/>
      </c>
      <c r="J528" s="259" t="str">
        <f>IF(I528&lt;&gt;"",VLOOKUP(VALUE(E505&amp;","&amp;H528),INTEGRANTES!$B$15:$D$72,3,0),"")</f>
        <v/>
      </c>
      <c r="K528" s="260" t="str">
        <f>IF($I528="","",IF(G521="N/A","",ROUND($G521*POSMMLV*PORPOM,2)))</f>
        <v/>
      </c>
      <c r="L528" s="260" t="str">
        <f>IF(I528="","",SUMIF($J509:$J514,I528,$T509:$T514))</f>
        <v/>
      </c>
      <c r="M528" s="261" t="str">
        <f t="shared" si="114"/>
        <v/>
      </c>
      <c r="N528" s="93" t="str">
        <f t="shared" si="115"/>
        <v/>
      </c>
      <c r="O528" s="302"/>
      <c r="P528" s="303"/>
      <c r="Q528" s="303"/>
      <c r="R528" s="303"/>
      <c r="S528" s="303"/>
      <c r="T528" s="303"/>
      <c r="U528" s="304"/>
      <c r="V528" s="201"/>
      <c r="W528" s="1"/>
      <c r="X528" s="239" t="s">
        <v>122</v>
      </c>
      <c r="Y528" s="1"/>
      <c r="Z528" s="263" t="str">
        <f>IF(AND(H528&lt;=M520,M520&gt;1),VLOOKUP(VALUE(E505&amp;","&amp;H528),INTEGRANTES!$B$15:$D$72,2,0),"")</f>
        <v/>
      </c>
      <c r="AA528" s="249" t="str">
        <f>IF(I528="","",SUMIF(J509:$J514,I528,$T509:$T514))</f>
        <v/>
      </c>
      <c r="AB528" s="246"/>
      <c r="AC528" s="137" t="str">
        <f>IF(OR(Z528="",AB528=""),"",IF(AND(AB528="X",AA528&gt;=X526),"CUMPLE","NO CUMPLE"))</f>
        <v/>
      </c>
    </row>
    <row r="529" spans="1:29" ht="38.25" customHeight="1" thickBot="1">
      <c r="A529" s="122" t="str">
        <f>"Q"&amp;E505</f>
        <v>Q19</v>
      </c>
      <c r="B529" s="338"/>
      <c r="C529" s="339"/>
      <c r="D529" s="339"/>
      <c r="E529" s="339"/>
      <c r="F529" s="339"/>
      <c r="G529" s="340"/>
      <c r="H529" s="318" t="s">
        <v>138</v>
      </c>
      <c r="I529" s="341"/>
      <c r="J529" s="342"/>
      <c r="K529" s="318" t="s">
        <v>139</v>
      </c>
      <c r="L529" s="319"/>
      <c r="M529" s="188" t="str">
        <f>IF(OR($M520="",SUM(J523:J528)=0),"",IF(COUNTIF(M523:M528,"CUMPLE")&gt;=1,"CUMPLE","NO CUMPLE"))</f>
        <v>CUMPLE</v>
      </c>
      <c r="N529" s="188" t="str">
        <f>IF(OR($M520="",SUM(J523:J528)=0),"",IF(COUNTIF(N523:N528,"CUMPLE")&gt;=1,"CUMPLE","NO CUMPLE"))</f>
        <v>CUMPLE</v>
      </c>
      <c r="O529" s="305"/>
      <c r="P529" s="306"/>
      <c r="Q529" s="306"/>
      <c r="R529" s="306"/>
      <c r="S529" s="306"/>
      <c r="T529" s="306"/>
      <c r="U529" s="307"/>
      <c r="V529" s="201"/>
      <c r="W529" s="1"/>
      <c r="X529" s="254" t="str">
        <f>IF(X523="NO APLICA","NO APLICA",IF(COUNTIF(AC523:AC528,"CUMPLE")&gt;0,"CUMPLE","NO CUMPLE"))</f>
        <v>NO CUMPLE</v>
      </c>
      <c r="Y529" s="1"/>
      <c r="Z529" s="42"/>
      <c r="AA529" s="42"/>
      <c r="AB529" s="42"/>
      <c r="AC529" s="42"/>
    </row>
    <row r="530" spans="1:29">
      <c r="A530"/>
    </row>
    <row r="531" spans="1:29">
      <c r="A531"/>
    </row>
    <row r="532" spans="1:29" ht="23.5" thickBot="1">
      <c r="A532" s="167">
        <v>20</v>
      </c>
      <c r="B532" s="349" t="s">
        <v>1</v>
      </c>
      <c r="C532" s="349"/>
      <c r="D532" s="349"/>
      <c r="E532" s="105">
        <f>VLOOKUP(A532,PROPONENTES!$B$14:$D$37,2,FALSE)</f>
        <v>20</v>
      </c>
      <c r="F532" s="106" t="str">
        <f>VLOOKUP(E532,PROPONENTES!$C$14:$D$37,2,FALSE)</f>
        <v>CONSORCIO MINA BLANCA</v>
      </c>
      <c r="G532" s="107"/>
      <c r="H532" s="107"/>
      <c r="I532" s="107"/>
      <c r="J532" s="106"/>
      <c r="K532" s="106"/>
      <c r="L532" s="105"/>
      <c r="M532" s="107"/>
      <c r="N532" s="107"/>
      <c r="O532" s="107"/>
      <c r="P532" s="107"/>
      <c r="Q532" s="107"/>
      <c r="R532" s="107"/>
      <c r="S532" s="107"/>
      <c r="T532" s="108"/>
      <c r="U532" s="109"/>
      <c r="V532" s="109"/>
      <c r="W532" s="11"/>
      <c r="X532" s="240"/>
      <c r="Y532" s="11"/>
      <c r="Z532" s="240"/>
      <c r="AA532" s="240"/>
      <c r="AB532" s="240"/>
      <c r="AC532" s="240"/>
    </row>
    <row r="533" spans="1:29" ht="48" customHeight="1">
      <c r="A533" s="131"/>
      <c r="B533" s="350" t="s">
        <v>88</v>
      </c>
      <c r="C533" s="345" t="s">
        <v>48</v>
      </c>
      <c r="D533" s="352" t="s">
        <v>130</v>
      </c>
      <c r="E533" s="295"/>
      <c r="F533" s="352" t="s">
        <v>93</v>
      </c>
      <c r="G533" s="295"/>
      <c r="H533" s="315" t="s">
        <v>351</v>
      </c>
      <c r="I533" s="315" t="s">
        <v>103</v>
      </c>
      <c r="J533" s="315" t="s">
        <v>2</v>
      </c>
      <c r="K533" s="315" t="s">
        <v>352</v>
      </c>
      <c r="L533" s="315" t="s">
        <v>353</v>
      </c>
      <c r="M533" s="316" t="s">
        <v>29</v>
      </c>
      <c r="N533" s="315" t="s">
        <v>104</v>
      </c>
      <c r="O533" s="343" t="s">
        <v>78</v>
      </c>
      <c r="P533" s="344"/>
      <c r="Q533" s="345" t="s">
        <v>144</v>
      </c>
      <c r="R533" s="345" t="s">
        <v>101</v>
      </c>
      <c r="S533" s="294" t="s">
        <v>3</v>
      </c>
      <c r="T533" s="295"/>
      <c r="U533" s="347" t="s">
        <v>18</v>
      </c>
      <c r="V533" s="366" t="s">
        <v>102</v>
      </c>
      <c r="W533" s="133"/>
      <c r="X533" s="361" t="s">
        <v>146</v>
      </c>
      <c r="Y533" s="133"/>
      <c r="Z533" s="133"/>
      <c r="AA533" s="133"/>
      <c r="AB533" s="245"/>
      <c r="AC533" s="361" t="s">
        <v>123</v>
      </c>
    </row>
    <row r="534" spans="1:29" ht="98.25" customHeight="1">
      <c r="A534" s="131"/>
      <c r="B534" s="351"/>
      <c r="C534" s="346"/>
      <c r="D534" s="134" t="s">
        <v>10</v>
      </c>
      <c r="E534" s="134" t="s">
        <v>4</v>
      </c>
      <c r="F534" s="134" t="s">
        <v>15</v>
      </c>
      <c r="G534" s="135" t="s">
        <v>90</v>
      </c>
      <c r="H534" s="314"/>
      <c r="I534" s="314"/>
      <c r="J534" s="314"/>
      <c r="K534" s="314"/>
      <c r="L534" s="314"/>
      <c r="M534" s="317"/>
      <c r="N534" s="314"/>
      <c r="O534" s="264" t="s">
        <v>76</v>
      </c>
      <c r="P534" s="264" t="s">
        <v>105</v>
      </c>
      <c r="Q534" s="346"/>
      <c r="R534" s="346"/>
      <c r="S534" s="264" t="s">
        <v>81</v>
      </c>
      <c r="T534" s="264" t="s">
        <v>77</v>
      </c>
      <c r="U534" s="348"/>
      <c r="V534" s="336"/>
      <c r="W534" s="133"/>
      <c r="X534" s="362"/>
      <c r="Y534" s="133"/>
      <c r="Z534" s="245"/>
      <c r="AA534" s="245"/>
      <c r="AB534" s="245"/>
      <c r="AC534" s="362"/>
    </row>
    <row r="535" spans="1:29" ht="16" thickBot="1">
      <c r="A535" s="122"/>
      <c r="B535" s="96"/>
      <c r="C535" s="97"/>
      <c r="D535" s="97"/>
      <c r="E535" s="97"/>
      <c r="F535" s="97"/>
      <c r="G535" s="97"/>
      <c r="H535" s="97"/>
      <c r="I535" s="97"/>
      <c r="J535" s="97"/>
      <c r="K535" s="97"/>
      <c r="L535" s="97"/>
      <c r="M535" s="97"/>
      <c r="N535" s="97"/>
      <c r="O535" s="97"/>
      <c r="P535" s="97"/>
      <c r="Q535" s="97"/>
      <c r="R535" s="173"/>
      <c r="S535" s="173"/>
      <c r="T535" s="97"/>
      <c r="U535" s="191"/>
      <c r="V535" s="202"/>
      <c r="W535" s="1"/>
      <c r="X535" s="241"/>
      <c r="Y535" s="1"/>
      <c r="Z535" s="42"/>
      <c r="AA535" s="42"/>
      <c r="AB535" s="42"/>
      <c r="AC535" s="241"/>
    </row>
    <row r="536" spans="1:29" ht="61.5" customHeight="1">
      <c r="A536" s="125" t="str">
        <f>"A"&amp;E532</f>
        <v>A20</v>
      </c>
      <c r="B536" s="140">
        <v>1</v>
      </c>
      <c r="C536" s="139" t="s">
        <v>311</v>
      </c>
      <c r="D536" s="139" t="s">
        <v>312</v>
      </c>
      <c r="E536" s="139" t="s">
        <v>385</v>
      </c>
      <c r="F536" s="139" t="s">
        <v>222</v>
      </c>
      <c r="G536" s="142">
        <v>0.2</v>
      </c>
      <c r="H536" s="142" t="s">
        <v>115</v>
      </c>
      <c r="I536" s="138" t="s">
        <v>51</v>
      </c>
      <c r="J536" s="378" t="str">
        <f>+I550</f>
        <v>OR CONSTRUCCIONES E INGENIERÍA S.A.S</v>
      </c>
      <c r="K536" s="127">
        <v>42275</v>
      </c>
      <c r="L536" s="127">
        <v>42555</v>
      </c>
      <c r="M536" s="128">
        <f>IF(OR(K536="",L536=""),"",IF(OR(K536&gt;$T$14,K536&lt;$S$14,L536&gt;$T$14,AND(K536&lt;$S$14,L536&lt;$S$14)),"FUERA DE RANGO",IF(K536&gt;=$S$14,ROUND(((L536-K536+1)/360*12),1),ROUND(((L536-$S$14+1)/360*12),1))))</f>
        <v>9.4</v>
      </c>
      <c r="N536" s="206">
        <v>3</v>
      </c>
      <c r="O536" s="138" t="s">
        <v>50</v>
      </c>
      <c r="P536" s="128" t="s">
        <v>50</v>
      </c>
      <c r="Q536" s="128"/>
      <c r="R536" s="95">
        <v>18198.419999999998</v>
      </c>
      <c r="S536" s="95">
        <f t="shared" ref="S536:S541" si="116">IF(OR(G536="",R536=""),"",R536*G536)</f>
        <v>3639.6839999999997</v>
      </c>
      <c r="T536" s="129" t="str">
        <f>IF(OR(I536="NO",I536="",I536&lt;&gt;"SI",S536=""),"",IF(OR(L536&lt;$S$14,L536&gt;$T$14,L536=""),0,ROUND(S536,2)))</f>
        <v/>
      </c>
      <c r="U536" s="192" t="s">
        <v>426</v>
      </c>
      <c r="V536" s="204"/>
      <c r="W536" s="141"/>
      <c r="X536" s="222"/>
      <c r="Y536" s="141"/>
      <c r="Z536" s="223" t="str">
        <f t="shared" ref="Z536:Z541" si="117">IF(T536="","",IF(T536&gt;=PORCREQCTO*POSMMLV,"SI","NO"))</f>
        <v/>
      </c>
      <c r="AA536" s="296" t="str">
        <f>"VERIFICACIÓN CUMPLIMIENTO "&amp;PORCREQCTO*100&amp;"% DEL PO"</f>
        <v>VERIFICACIÓN CUMPLIMIENTO 50% DEL PO</v>
      </c>
      <c r="AB536" s="171"/>
      <c r="AC536" s="256"/>
    </row>
    <row r="537" spans="1:29" ht="52.5">
      <c r="A537" s="125" t="str">
        <f>"B"&amp;E532</f>
        <v>B20</v>
      </c>
      <c r="B537" s="140">
        <v>2</v>
      </c>
      <c r="C537" s="139" t="s">
        <v>386</v>
      </c>
      <c r="D537" s="139" t="s">
        <v>313</v>
      </c>
      <c r="E537" s="139" t="s">
        <v>314</v>
      </c>
      <c r="F537" s="139" t="s">
        <v>221</v>
      </c>
      <c r="G537" s="142">
        <v>0.35</v>
      </c>
      <c r="H537" s="142" t="s">
        <v>115</v>
      </c>
      <c r="I537" s="138" t="s">
        <v>50</v>
      </c>
      <c r="J537" s="378" t="str">
        <f>+J536</f>
        <v>OR CONSTRUCCIONES E INGENIERÍA S.A.S</v>
      </c>
      <c r="K537" s="127">
        <v>43069</v>
      </c>
      <c r="L537" s="127">
        <v>43358</v>
      </c>
      <c r="M537" s="128">
        <f t="shared" ref="M537:M541" si="118">IF(OR(K537="",L537=""),"",IF(OR(K537&gt;$T$14,K537&lt;$S$14,L537&gt;$T$14,AND(K537&lt;$S$14,L537&lt;$S$14)),"FUERA DE RANGO",IF(K537&gt;=$S$14,ROUND(((L537-K537+1)/360*12),1),ROUND(((L537-$S$14+1)/360*12),1))))</f>
        <v>9.6999999999999993</v>
      </c>
      <c r="N537" s="206">
        <v>11</v>
      </c>
      <c r="O537" s="138" t="s">
        <v>50</v>
      </c>
      <c r="P537" s="128" t="s">
        <v>50</v>
      </c>
      <c r="Q537" s="128" t="s">
        <v>109</v>
      </c>
      <c r="R537" s="95">
        <v>15566.75</v>
      </c>
      <c r="S537" s="95">
        <f t="shared" si="116"/>
        <v>5448.3624999999993</v>
      </c>
      <c r="T537" s="129">
        <f t="shared" ref="T537:T541" si="119">IF(OR(I537="NO",I537="",I537&lt;&gt;"SI",S537=""),"",IF(OR(L537&lt;$S$14,L537&gt;$T$14,L537=""),0,ROUND(S537,2)))</f>
        <v>5448.36</v>
      </c>
      <c r="U537" s="192" t="s">
        <v>425</v>
      </c>
      <c r="V537" s="204"/>
      <c r="W537" s="141"/>
      <c r="X537" s="222" t="s">
        <v>50</v>
      </c>
      <c r="Y537" s="141"/>
      <c r="Z537" s="224" t="str">
        <f t="shared" si="117"/>
        <v>SI</v>
      </c>
      <c r="AA537" s="297"/>
      <c r="AB537" s="171"/>
      <c r="AC537" s="256"/>
    </row>
    <row r="538" spans="1:29">
      <c r="A538" s="125" t="str">
        <f>"C"&amp;E532</f>
        <v>C20</v>
      </c>
      <c r="B538" s="140"/>
      <c r="C538" s="139"/>
      <c r="D538" s="139"/>
      <c r="E538" s="139"/>
      <c r="F538" s="139"/>
      <c r="G538" s="142"/>
      <c r="H538" s="142"/>
      <c r="I538" s="138"/>
      <c r="J538" s="138"/>
      <c r="K538" s="127"/>
      <c r="L538" s="127"/>
      <c r="M538" s="128" t="str">
        <f t="shared" si="118"/>
        <v/>
      </c>
      <c r="N538" s="206"/>
      <c r="O538" s="138"/>
      <c r="P538" s="128"/>
      <c r="Q538" s="128"/>
      <c r="R538" s="95"/>
      <c r="S538" s="95" t="str">
        <f t="shared" si="116"/>
        <v/>
      </c>
      <c r="T538" s="129" t="str">
        <f t="shared" si="119"/>
        <v/>
      </c>
      <c r="U538" s="192"/>
      <c r="V538" s="204"/>
      <c r="W538" s="141"/>
      <c r="X538" s="222"/>
      <c r="Y538" s="141"/>
      <c r="Z538" s="224" t="str">
        <f t="shared" si="117"/>
        <v/>
      </c>
      <c r="AA538" s="297"/>
      <c r="AB538" s="171"/>
      <c r="AC538" s="256"/>
    </row>
    <row r="539" spans="1:29">
      <c r="A539" s="125" t="str">
        <f>"D"&amp;E532</f>
        <v>D20</v>
      </c>
      <c r="B539" s="140"/>
      <c r="C539" s="139"/>
      <c r="D539" s="139"/>
      <c r="E539" s="139"/>
      <c r="F539" s="139"/>
      <c r="G539" s="142"/>
      <c r="H539" s="142"/>
      <c r="I539" s="138"/>
      <c r="J539" s="138"/>
      <c r="K539" s="127"/>
      <c r="L539" s="127"/>
      <c r="M539" s="128" t="str">
        <f t="shared" si="118"/>
        <v/>
      </c>
      <c r="N539" s="206"/>
      <c r="O539" s="138"/>
      <c r="P539" s="128"/>
      <c r="Q539" s="128"/>
      <c r="R539" s="95"/>
      <c r="S539" s="95" t="str">
        <f t="shared" si="116"/>
        <v/>
      </c>
      <c r="T539" s="129" t="str">
        <f t="shared" si="119"/>
        <v/>
      </c>
      <c r="U539" s="192"/>
      <c r="V539" s="204"/>
      <c r="W539" s="141"/>
      <c r="X539" s="222"/>
      <c r="Y539" s="141"/>
      <c r="Z539" s="224" t="str">
        <f t="shared" si="117"/>
        <v/>
      </c>
      <c r="AA539" s="297"/>
      <c r="AB539" s="171"/>
      <c r="AC539" s="256"/>
    </row>
    <row r="540" spans="1:29">
      <c r="A540" s="125" t="str">
        <f>"E"&amp;E532</f>
        <v>E20</v>
      </c>
      <c r="B540" s="140"/>
      <c r="C540" s="139"/>
      <c r="D540" s="139"/>
      <c r="E540" s="139"/>
      <c r="F540" s="139"/>
      <c r="G540" s="142"/>
      <c r="H540" s="142"/>
      <c r="I540" s="138"/>
      <c r="J540" s="138"/>
      <c r="K540" s="127"/>
      <c r="L540" s="127"/>
      <c r="M540" s="128" t="str">
        <f t="shared" si="118"/>
        <v/>
      </c>
      <c r="N540" s="206"/>
      <c r="O540" s="138"/>
      <c r="P540" s="128"/>
      <c r="Q540" s="128"/>
      <c r="R540" s="95"/>
      <c r="S540" s="95" t="str">
        <f t="shared" si="116"/>
        <v/>
      </c>
      <c r="T540" s="129" t="str">
        <f t="shared" si="119"/>
        <v/>
      </c>
      <c r="U540" s="192"/>
      <c r="V540" s="204"/>
      <c r="W540" s="141"/>
      <c r="X540" s="222"/>
      <c r="Y540" s="141"/>
      <c r="Z540" s="224" t="str">
        <f t="shared" si="117"/>
        <v/>
      </c>
      <c r="AA540" s="297"/>
      <c r="AB540" s="171"/>
      <c r="AC540" s="256"/>
    </row>
    <row r="541" spans="1:29" ht="16" thickBot="1">
      <c r="A541" s="125" t="str">
        <f>"F"&amp;E532</f>
        <v>F20</v>
      </c>
      <c r="B541" s="140"/>
      <c r="C541" s="139"/>
      <c r="D541" s="139"/>
      <c r="E541" s="139"/>
      <c r="F541" s="139"/>
      <c r="G541" s="142"/>
      <c r="H541" s="142"/>
      <c r="I541" s="138"/>
      <c r="J541" s="138"/>
      <c r="K541" s="127"/>
      <c r="L541" s="127"/>
      <c r="M541" s="128" t="str">
        <f t="shared" si="118"/>
        <v/>
      </c>
      <c r="N541" s="206"/>
      <c r="O541" s="138"/>
      <c r="P541" s="128"/>
      <c r="Q541" s="128"/>
      <c r="R541" s="95"/>
      <c r="S541" s="95" t="str">
        <f t="shared" si="116"/>
        <v/>
      </c>
      <c r="T541" s="129" t="str">
        <f t="shared" si="119"/>
        <v/>
      </c>
      <c r="U541" s="192"/>
      <c r="V541" s="204"/>
      <c r="W541" s="141"/>
      <c r="X541" s="222"/>
      <c r="Y541" s="141"/>
      <c r="Z541" s="225" t="str">
        <f t="shared" si="117"/>
        <v/>
      </c>
      <c r="AA541" s="363"/>
      <c r="AB541" s="171"/>
      <c r="AC541" s="256"/>
    </row>
    <row r="542" spans="1:29" ht="16" thickBot="1">
      <c r="A542" s="122"/>
      <c r="B542" s="96"/>
      <c r="C542" s="97"/>
      <c r="D542" s="97"/>
      <c r="E542" s="97"/>
      <c r="F542" s="97"/>
      <c r="G542" s="97"/>
      <c r="H542" s="97"/>
      <c r="I542" s="97"/>
      <c r="J542" s="97"/>
      <c r="K542" s="97"/>
      <c r="L542" s="97"/>
      <c r="M542" s="97"/>
      <c r="N542" s="97"/>
      <c r="O542" s="97"/>
      <c r="P542" s="97"/>
      <c r="Q542" s="97"/>
      <c r="R542" s="173"/>
      <c r="S542" s="173"/>
      <c r="T542" s="126"/>
      <c r="U542" s="98"/>
      <c r="V542" s="205"/>
      <c r="W542" s="1"/>
      <c r="X542" s="242"/>
      <c r="Y542" s="1"/>
      <c r="Z542" s="42"/>
      <c r="AA542" s="42"/>
      <c r="AB542" s="42"/>
      <c r="AC542" s="242"/>
    </row>
    <row r="543" spans="1:29" ht="16" thickBot="1">
      <c r="A543" s="123"/>
      <c r="B543" s="99"/>
      <c r="C543" s="94"/>
      <c r="D543" s="94"/>
      <c r="E543" s="94"/>
      <c r="F543" s="94"/>
      <c r="G543" s="94"/>
      <c r="H543" s="94"/>
      <c r="I543" s="94"/>
      <c r="J543" s="94"/>
      <c r="K543" s="94"/>
      <c r="L543" s="94"/>
      <c r="M543" s="94"/>
      <c r="N543" s="94"/>
      <c r="O543" s="94"/>
      <c r="P543" s="94"/>
      <c r="Q543" s="94"/>
      <c r="R543" s="265"/>
      <c r="S543" s="265"/>
      <c r="T543" s="130">
        <f>SUM(T536:T541)</f>
        <v>5448.36</v>
      </c>
      <c r="U543" s="100"/>
      <c r="V543" s="203"/>
      <c r="W543" s="12"/>
      <c r="X543" s="243"/>
      <c r="Y543" s="12"/>
      <c r="Z543" s="243"/>
      <c r="AA543" s="243"/>
      <c r="AB543" s="243"/>
      <c r="AC543" s="243"/>
    </row>
    <row r="544" spans="1:29">
      <c r="B544" s="197"/>
      <c r="C544" s="193"/>
      <c r="D544" s="193"/>
      <c r="E544" s="193"/>
      <c r="F544" s="193"/>
      <c r="G544" s="193"/>
      <c r="H544" s="193"/>
      <c r="I544" s="193"/>
      <c r="J544" s="193"/>
      <c r="K544" s="193"/>
      <c r="L544" s="193"/>
      <c r="M544" s="193"/>
      <c r="N544" s="193"/>
      <c r="O544" s="193"/>
      <c r="P544" s="193"/>
      <c r="Q544" s="193"/>
      <c r="R544" s="194"/>
      <c r="S544" s="194"/>
      <c r="T544" s="195"/>
      <c r="U544" s="196"/>
      <c r="V544" s="195"/>
    </row>
    <row r="545" spans="1:29" ht="16" thickBot="1">
      <c r="A545" s="122"/>
      <c r="B545" s="322" t="s">
        <v>45</v>
      </c>
      <c r="C545" s="323"/>
      <c r="D545" s="323"/>
      <c r="E545" s="323"/>
      <c r="F545" s="323"/>
      <c r="G545" s="324"/>
      <c r="H545" s="324"/>
      <c r="I545" s="324"/>
      <c r="J545" s="324"/>
      <c r="K545" s="324"/>
      <c r="L545" s="324"/>
      <c r="M545" s="324"/>
      <c r="N545" s="324"/>
      <c r="O545" s="324"/>
      <c r="P545" s="324"/>
      <c r="Q545" s="324"/>
      <c r="R545" s="324"/>
      <c r="S545" s="324"/>
      <c r="T545" s="324"/>
      <c r="U545" s="325"/>
      <c r="V545" s="201"/>
      <c r="W545" s="1"/>
      <c r="X545" s="42"/>
      <c r="Y545" s="1"/>
      <c r="Z545" s="42"/>
      <c r="AA545" s="42"/>
      <c r="AB545" s="42"/>
      <c r="AC545" s="42"/>
    </row>
    <row r="546" spans="1:29" ht="16.5" customHeight="1" thickBot="1">
      <c r="A546" s="122" t="str">
        <f>"G"&amp;E532</f>
        <v>G20</v>
      </c>
      <c r="B546" s="291" t="s">
        <v>97</v>
      </c>
      <c r="C546" s="292"/>
      <c r="D546" s="292"/>
      <c r="E546" s="292"/>
      <c r="F546" s="292"/>
      <c r="G546" s="326"/>
      <c r="H546" s="291" t="s">
        <v>100</v>
      </c>
      <c r="I546" s="292"/>
      <c r="J546" s="292"/>
      <c r="K546" s="292"/>
      <c r="L546" s="292"/>
      <c r="M546" s="292"/>
      <c r="N546" s="292"/>
      <c r="O546" s="189" t="s">
        <v>23</v>
      </c>
      <c r="P546" s="190"/>
      <c r="Q546" s="190"/>
      <c r="R546" s="190"/>
      <c r="S546" s="190"/>
      <c r="T546" s="190"/>
      <c r="U546" s="253"/>
      <c r="V546" s="201"/>
      <c r="W546" s="1"/>
      <c r="X546" s="239" t="s">
        <v>117</v>
      </c>
      <c r="Y546" s="1"/>
      <c r="Z546" s="355" t="s">
        <v>119</v>
      </c>
      <c r="AA546" s="345" t="s">
        <v>120</v>
      </c>
      <c r="AB546" s="345" t="s">
        <v>148</v>
      </c>
      <c r="AC546" s="359" t="s">
        <v>149</v>
      </c>
    </row>
    <row r="547" spans="1:29" ht="15.75" customHeight="1" thickBot="1">
      <c r="A547" s="122" t="str">
        <f>"H"&amp;E532</f>
        <v>H20</v>
      </c>
      <c r="B547" s="293" t="s">
        <v>132</v>
      </c>
      <c r="C547" s="294"/>
      <c r="D547" s="294"/>
      <c r="E547" s="294"/>
      <c r="F547" s="294"/>
      <c r="G547" s="327"/>
      <c r="H547" s="293" t="s">
        <v>17</v>
      </c>
      <c r="I547" s="294"/>
      <c r="J547" s="294"/>
      <c r="K547" s="294"/>
      <c r="L547" s="295"/>
      <c r="M547" s="183">
        <f>VLOOKUP(E532,PROPONENTES!$C$14:$E$37,3,0)</f>
        <v>2</v>
      </c>
      <c r="N547" s="296" t="s">
        <v>143</v>
      </c>
      <c r="O547" s="299"/>
      <c r="P547" s="300"/>
      <c r="Q547" s="300"/>
      <c r="R547" s="300"/>
      <c r="S547" s="300"/>
      <c r="T547" s="300"/>
      <c r="U547" s="301"/>
      <c r="V547" s="201"/>
      <c r="W547" s="1"/>
      <c r="X547" s="244" t="str">
        <f>IF(M547="","",IF(M547=1,"INDIVIDUAL","ESTRUCTURA PLURAL"))</f>
        <v>ESTRUCTURA PLURAL</v>
      </c>
      <c r="Y547" s="1"/>
      <c r="Z547" s="356"/>
      <c r="AA547" s="358"/>
      <c r="AB547" s="358"/>
      <c r="AC547" s="360"/>
    </row>
    <row r="548" spans="1:29" ht="15.75" customHeight="1" thickBot="1">
      <c r="A548" s="122" t="str">
        <f>"I"&amp;E532</f>
        <v>I20</v>
      </c>
      <c r="B548" s="328" t="s">
        <v>131</v>
      </c>
      <c r="C548" s="329"/>
      <c r="D548" s="330"/>
      <c r="E548" s="308">
        <f>IF(AND(I536="SI",T536&gt;0),1,0)+IF(AND(I537="SI",T537&gt;0),1,0)+IF(AND(I538="SI",T538&gt;0),1,0)+IF(AND(I539="SI",T539&gt;0),1,0)+IF(AND(I540="SI",T540&gt;0),1,0)+IF(AND(I541="SI",T541&gt;0),1,0)</f>
        <v>1</v>
      </c>
      <c r="F548" s="310" t="s">
        <v>133</v>
      </c>
      <c r="G548" s="312">
        <f>IF(E548=0,"N/A",IF(AND(E548&gt;=1,E548&lt;=2),0.75,IF(AND(E548&gt;=3,E548&lt;=4),1.2,IF(AND(E548&gt;=5,E548&lt;=6),1.5,"REVISAR"))))</f>
        <v>0.75</v>
      </c>
      <c r="H548" s="334" t="s">
        <v>16</v>
      </c>
      <c r="I548" s="335"/>
      <c r="J548" s="314" t="s">
        <v>350</v>
      </c>
      <c r="K548" s="314" t="s">
        <v>140</v>
      </c>
      <c r="L548" s="314" t="s">
        <v>141</v>
      </c>
      <c r="M548" s="320" t="s">
        <v>142</v>
      </c>
      <c r="N548" s="297"/>
      <c r="O548" s="302"/>
      <c r="P548" s="303"/>
      <c r="Q548" s="303"/>
      <c r="R548" s="303"/>
      <c r="S548" s="303"/>
      <c r="T548" s="303"/>
      <c r="U548" s="304"/>
      <c r="V548" s="201"/>
      <c r="W548" s="38"/>
      <c r="X548" s="171"/>
      <c r="Y548" s="38"/>
      <c r="Z548" s="356"/>
      <c r="AA548" s="358"/>
      <c r="AB548" s="358"/>
      <c r="AC548" s="360"/>
    </row>
    <row r="549" spans="1:29" ht="16.5" customHeight="1" thickBot="1">
      <c r="A549" s="122" t="str">
        <f>"J"&amp;E532</f>
        <v>J20</v>
      </c>
      <c r="B549" s="331"/>
      <c r="C549" s="332"/>
      <c r="D549" s="333"/>
      <c r="E549" s="309"/>
      <c r="F549" s="311"/>
      <c r="G549" s="313"/>
      <c r="H549" s="336"/>
      <c r="I549" s="337"/>
      <c r="J549" s="314"/>
      <c r="K549" s="314"/>
      <c r="L549" s="314"/>
      <c r="M549" s="321"/>
      <c r="N549" s="298"/>
      <c r="O549" s="302"/>
      <c r="P549" s="303"/>
      <c r="Q549" s="303"/>
      <c r="R549" s="303"/>
      <c r="S549" s="303"/>
      <c r="T549" s="303"/>
      <c r="U549" s="304"/>
      <c r="V549" s="201"/>
      <c r="W549" s="38"/>
      <c r="X549" s="239" t="s">
        <v>118</v>
      </c>
      <c r="Y549" s="38"/>
      <c r="Z549" s="357"/>
      <c r="AA549" s="346"/>
      <c r="AB549" s="346"/>
      <c r="AC549" s="321"/>
    </row>
    <row r="550" spans="1:29" ht="27.5" customHeight="1" thickBot="1">
      <c r="A550" s="125" t="str">
        <f>"K"&amp;E532</f>
        <v>K20</v>
      </c>
      <c r="B550" s="293" t="s">
        <v>98</v>
      </c>
      <c r="C550" s="294"/>
      <c r="D550" s="294"/>
      <c r="E550" s="294"/>
      <c r="F550" s="294"/>
      <c r="G550" s="294"/>
      <c r="H550" s="186">
        <v>1</v>
      </c>
      <c r="I550" s="92" t="str">
        <f>IF(AND(H550&lt;=M547,M547&gt;1),VLOOKUP(VALUE(E532&amp;","&amp;H550),INTEGRANTES!$B$15:$D$72,2,0),"")</f>
        <v>OR CONSTRUCCIONES E INGENIERÍA S.A.S</v>
      </c>
      <c r="J550" s="187">
        <f>IF(I550&lt;&gt;"",VLOOKUP(VALUE(E532&amp;","&amp;H550),INTEGRANTES!$B$15:$D$72,3,0),"")</f>
        <v>0.5</v>
      </c>
      <c r="K550" s="247">
        <f>IF($I550="","",IF(G548="N/A","",ROUND($G548*POSMMLV*PORPOM,2)))</f>
        <v>697.02</v>
      </c>
      <c r="L550" s="247">
        <f>IF(I550="","",SUMIF($J536:$J541,I550,$T536:$T541))</f>
        <v>5448.36</v>
      </c>
      <c r="M550" s="93" t="str">
        <f t="shared" ref="M550:M555" si="120">IF($I550="","",IF($K550&gt;L550,"NO CUMPLE","CUMPLE"))</f>
        <v>CUMPLE</v>
      </c>
      <c r="N550" s="93" t="str">
        <f t="shared" ref="N550:N555" si="121">IF($I550="","",IF(M550="CUMPLE","CUMPLE","NO CUMPLE"))</f>
        <v>CUMPLE</v>
      </c>
      <c r="O550" s="302"/>
      <c r="P550" s="303"/>
      <c r="Q550" s="303"/>
      <c r="R550" s="303"/>
      <c r="S550" s="303"/>
      <c r="T550" s="303"/>
      <c r="U550" s="304"/>
      <c r="V550" s="201"/>
      <c r="W550" s="1"/>
      <c r="X550" s="244" t="str">
        <f>IF(X547="","",IF(X547="INDIVIDUAL","NO APLICA","VERIFICAR CUADRO"))</f>
        <v>VERIFICAR CUADRO</v>
      </c>
      <c r="Y550" s="1"/>
      <c r="Z550" s="262" t="str">
        <f>IF(AND(H550&lt;=M547,M547&gt;1),VLOOKUP(VALUE(E532&amp;","&amp;H550),INTEGRANTES!$B$15:$D$72,2,0),"")</f>
        <v>OR CONSTRUCCIONES E INGENIERÍA S.A.S</v>
      </c>
      <c r="AA550" s="248">
        <f>IF(I550="","",SUMIF(J536:$J541,I550,$T536:$T541))</f>
        <v>5448.36</v>
      </c>
      <c r="AB550" s="232"/>
      <c r="AC550" s="250" t="str">
        <f>IF(OR(Z550="",AB550=""),"",IF(AND(AB550="X",AA550&gt;=X553),"CUMPLE","NO CUMPLE"))</f>
        <v/>
      </c>
    </row>
    <row r="551" spans="1:29" ht="15.75" customHeight="1" thickBot="1">
      <c r="A551" s="125" t="str">
        <f>"L"&amp;E532</f>
        <v>L20</v>
      </c>
      <c r="B551" s="328" t="s">
        <v>134</v>
      </c>
      <c r="C551" s="329"/>
      <c r="D551" s="330"/>
      <c r="E551" s="132" t="s">
        <v>135</v>
      </c>
      <c r="F551" s="132" t="s">
        <v>136</v>
      </c>
      <c r="G551" s="136" t="s">
        <v>99</v>
      </c>
      <c r="H551" s="186">
        <v>2</v>
      </c>
      <c r="I551" s="92" t="str">
        <f>IF(AND(H551&lt;=M547,M547&gt;1),VLOOKUP(VALUE(E532&amp;","&amp;H551),INTEGRANTES!$B$15:$D$72,2,0),"")</f>
        <v>ISAVEMA S.A.S</v>
      </c>
      <c r="J551" s="187">
        <f>IF(I551&lt;&gt;"",VLOOKUP(VALUE(E532&amp;","&amp;H551),INTEGRANTES!$B$15:$D$72,3,0),"")</f>
        <v>0.5</v>
      </c>
      <c r="K551" s="247">
        <f>IF($I551="","",IF(G548="N/A","",ROUND($G548*POSMMLV*PORPOM,2)))</f>
        <v>697.02</v>
      </c>
      <c r="L551" s="247">
        <f>IF(I551="","",SUMIF($J536:$J541,I551,$T536:$T541))</f>
        <v>0</v>
      </c>
      <c r="M551" s="93" t="str">
        <f t="shared" si="120"/>
        <v>NO CUMPLE</v>
      </c>
      <c r="N551" s="93" t="str">
        <f t="shared" si="121"/>
        <v>NO CUMPLE</v>
      </c>
      <c r="O551" s="302"/>
      <c r="P551" s="303"/>
      <c r="Q551" s="303"/>
      <c r="R551" s="303"/>
      <c r="S551" s="303"/>
      <c r="T551" s="303"/>
      <c r="U551" s="304"/>
      <c r="V551" s="201"/>
      <c r="W551" s="1"/>
      <c r="X551" s="42"/>
      <c r="Y551" s="1"/>
      <c r="Z551" s="262" t="str">
        <f>IF(AND(H551&lt;=M547,M547&gt;1),VLOOKUP(VALUE(E532&amp;","&amp;H551),INTEGRANTES!$B$15:$D$72,2,0),"")</f>
        <v>ISAVEMA S.A.S</v>
      </c>
      <c r="AA551" s="248">
        <f>IF(I551="","",SUMIF(J536:$J541,I551,$T536:$T541))</f>
        <v>0</v>
      </c>
      <c r="AB551" s="232"/>
      <c r="AC551" s="250" t="str">
        <f>IF(OR(Z551="",AB551=""),"",IF(AND(AB551="X",AA551&gt;=X553),"CUMPLE","NO CUMPLE"))</f>
        <v/>
      </c>
    </row>
    <row r="552" spans="1:29" ht="16" thickBot="1">
      <c r="A552" s="122" t="str">
        <f>"M"&amp;E532</f>
        <v>M20</v>
      </c>
      <c r="B552" s="331"/>
      <c r="C552" s="332"/>
      <c r="D552" s="333"/>
      <c r="E552" s="237">
        <f>IF(ISTEXT(G548),"NO APLICA",G548*POSMMLV)</f>
        <v>1394.0360281651363</v>
      </c>
      <c r="F552" s="238">
        <f>IF(E552="","",T543)</f>
        <v>5448.36</v>
      </c>
      <c r="G552" s="221" t="str">
        <f>IF(E552="","",IF(E552="NO APLICA","NO CUMPLE",IF(F552&gt;=E552,"CUMPLE", "NO CUMPLE")))</f>
        <v>CUMPLE</v>
      </c>
      <c r="H552" s="186">
        <v>3</v>
      </c>
      <c r="I552" s="92" t="str">
        <f>IF(AND(H552&lt;=M547,M547&gt;1),VLOOKUP(VALUE(E532&amp;","&amp;H552),INTEGRANTES!$B$15:$D$72,2,0),"")</f>
        <v/>
      </c>
      <c r="J552" s="187" t="str">
        <f>IF(I552&lt;&gt;"",VLOOKUP(VALUE(E532&amp;","&amp;H552),INTEGRANTES!$B$15:$D$72,3,0),"")</f>
        <v/>
      </c>
      <c r="K552" s="247" t="str">
        <f>IF($I552="","",IF(G548="N/A","",ROUND($G548*POSMMLV*PORPOM,2)))</f>
        <v/>
      </c>
      <c r="L552" s="247" t="str">
        <f>IF(I552="","",SUMIF($J536:$J541,I552,$T536:$T541))</f>
        <v/>
      </c>
      <c r="M552" s="93" t="str">
        <f t="shared" si="120"/>
        <v/>
      </c>
      <c r="N552" s="93" t="str">
        <f t="shared" si="121"/>
        <v/>
      </c>
      <c r="O552" s="302"/>
      <c r="P552" s="303"/>
      <c r="Q552" s="303"/>
      <c r="R552" s="303"/>
      <c r="S552" s="303"/>
      <c r="T552" s="303"/>
      <c r="U552" s="304"/>
      <c r="V552" s="201"/>
      <c r="W552" s="1"/>
      <c r="X552" s="239" t="s">
        <v>145</v>
      </c>
      <c r="Y552" s="1"/>
      <c r="Z552" s="262" t="str">
        <f>IF(AND(H552&lt;=M547,M547&gt;1),VLOOKUP(VALUE(E532&amp;","&amp;H552),INTEGRANTES!$B$15:$D$72,2,0),"")</f>
        <v/>
      </c>
      <c r="AA552" s="248" t="str">
        <f>IF(I552="","",SUMIF(J536:$J541,I552,$T536:$T541))</f>
        <v/>
      </c>
      <c r="AB552" s="232"/>
      <c r="AC552" s="250" t="str">
        <f>IF(OR(Z552="",AB552=""),"",IF(AND(AB552="X",AA552&gt;=X553),"CUMPLE","NO CUMPLE"))</f>
        <v/>
      </c>
    </row>
    <row r="553" spans="1:29" ht="15.75" customHeight="1" thickBot="1">
      <c r="A553" s="122" t="str">
        <f>"N"&amp;E532</f>
        <v>N20</v>
      </c>
      <c r="B553" s="293" t="s">
        <v>107</v>
      </c>
      <c r="C553" s="294"/>
      <c r="D553" s="294"/>
      <c r="E553" s="294"/>
      <c r="F553" s="294"/>
      <c r="G553" s="294"/>
      <c r="H553" s="186">
        <v>4</v>
      </c>
      <c r="I553" s="92" t="str">
        <f>IF(AND(H553&lt;=M547,M547&gt;1),VLOOKUP(VALUE(E532&amp;","&amp;H553),INTEGRANTES!$B$15:$D$72,2,0),"")</f>
        <v/>
      </c>
      <c r="J553" s="187" t="str">
        <f>IF(I553&lt;&gt;"",VLOOKUP(VALUE(E532&amp;","&amp;H553),INTEGRANTES!$B$15:$D$72,3,0),"")</f>
        <v/>
      </c>
      <c r="K553" s="247" t="str">
        <f>IF($I553="","",IF(G548="N/A","",ROUND($G548*POSMMLV*PORPOM,2)))</f>
        <v/>
      </c>
      <c r="L553" s="247" t="str">
        <f>IF(I553="","",SUMIF($J536:$J541,I553,$T536:$T541))</f>
        <v/>
      </c>
      <c r="M553" s="93" t="str">
        <f t="shared" si="120"/>
        <v/>
      </c>
      <c r="N553" s="93" t="str">
        <f t="shared" si="121"/>
        <v/>
      </c>
      <c r="O553" s="302"/>
      <c r="P553" s="303"/>
      <c r="Q553" s="303"/>
      <c r="R553" s="303"/>
      <c r="S553" s="303"/>
      <c r="T553" s="303"/>
      <c r="U553" s="304"/>
      <c r="V553" s="201"/>
      <c r="W553" s="1"/>
      <c r="X553" s="251">
        <f>IF(G548="N/A","N/A",0.4*G548*POSMMLV)</f>
        <v>557.61441126605462</v>
      </c>
      <c r="Y553" s="1"/>
      <c r="Z553" s="262" t="str">
        <f>IF(AND(H553&lt;=M547,M547&gt;1),VLOOKUP(VALUE(E532&amp;","&amp;H553),INTEGRANTES!$B$15:$D$72,2,0),"")</f>
        <v/>
      </c>
      <c r="AA553" s="248" t="str">
        <f>IF(I553="","",SUMIF(J536:$J541,I553,$T536:$T541))</f>
        <v/>
      </c>
      <c r="AB553" s="232"/>
      <c r="AC553" s="250" t="str">
        <f>IF(OR(Z553="",AB553=""),"",IF(AND(AB553="X",AA553&gt;=X553),"CUMPLE","NO CUMPLE"))</f>
        <v/>
      </c>
    </row>
    <row r="554" spans="1:29" ht="33.75" customHeight="1" thickBot="1">
      <c r="A554" s="122" t="str">
        <f>"O"&amp;E532</f>
        <v>O20</v>
      </c>
      <c r="B554" s="328" t="s">
        <v>108</v>
      </c>
      <c r="C554" s="329"/>
      <c r="D554" s="329"/>
      <c r="E554" s="329"/>
      <c r="F554" s="329"/>
      <c r="G554" s="185" t="s">
        <v>99</v>
      </c>
      <c r="H554" s="186">
        <v>5</v>
      </c>
      <c r="I554" s="92" t="str">
        <f>IF(AND(H554&lt;=M547,M547&gt;1),VLOOKUP(VALUE(E532&amp;","&amp;H554),INTEGRANTES!$B$15:$D$72,2,0),"")</f>
        <v/>
      </c>
      <c r="J554" s="187" t="str">
        <f>IF(I554&lt;&gt;"",VLOOKUP(VALUE(E532&amp;","&amp;H554),INTEGRANTES!$B$15:$D$72,3,0),"")</f>
        <v/>
      </c>
      <c r="K554" s="247" t="str">
        <f>IF($I554="","",IF(G548="N/A","",ROUND($G548*POSMMLV*PORPOM,2)))</f>
        <v/>
      </c>
      <c r="L554" s="247" t="str">
        <f>IF(I554="","",SUMIF($J536:$J541,I554,$T536:$T541))</f>
        <v/>
      </c>
      <c r="M554" s="93" t="str">
        <f t="shared" si="120"/>
        <v/>
      </c>
      <c r="N554" s="93" t="str">
        <f t="shared" si="121"/>
        <v/>
      </c>
      <c r="O554" s="302"/>
      <c r="P554" s="303"/>
      <c r="Q554" s="303"/>
      <c r="R554" s="303"/>
      <c r="S554" s="303"/>
      <c r="T554" s="303"/>
      <c r="U554" s="304"/>
      <c r="V554" s="201"/>
      <c r="W554" s="1"/>
      <c r="X554" s="42"/>
      <c r="Y554" s="1"/>
      <c r="Z554" s="262" t="str">
        <f>IF(AND(H554&lt;=M547,M547&gt;1),VLOOKUP(VALUE(E532&amp;","&amp;H554),INTEGRANTES!$B$15:$D$72,2,0),"")</f>
        <v/>
      </c>
      <c r="AA554" s="248" t="str">
        <f>IF(I554="","",SUMIF(J536:$J541,I554,$T536:$T541))</f>
        <v/>
      </c>
      <c r="AB554" s="232"/>
      <c r="AC554" s="250" t="str">
        <f>IF(OR(Z554="",AB554=""),"",IF(AND(AB554="X",AA554&gt;=X553),"CUMPLE","NO CUMPLE"))</f>
        <v/>
      </c>
    </row>
    <row r="555" spans="1:29" ht="16" thickBot="1">
      <c r="A555" s="122" t="str">
        <f>"P"&amp;E532</f>
        <v>P20</v>
      </c>
      <c r="B555" s="353"/>
      <c r="C555" s="354"/>
      <c r="D555" s="354"/>
      <c r="E555" s="354"/>
      <c r="F555" s="354"/>
      <c r="G555" s="137" t="str">
        <f>IF(AND(COUNTIF(X536:X541,"")&gt;5,COUNTIF(Z536:Z541,"")&gt;5),"NO CUMPLE",IF(AND(COUNTIF(X536:X541,"SI")&gt;=$AF$17,COUNTIF(Z536:Z541,"SI")&gt;=$AF$17),"CUMPLE", "NO CUMPLE"))</f>
        <v>CUMPLE</v>
      </c>
      <c r="H555" s="257">
        <v>6</v>
      </c>
      <c r="I555" s="258" t="str">
        <f>IF(AND(H555&lt;=M547,M547&gt;1),VLOOKUP(VALUE(E532&amp;","&amp;H555),INTEGRANTES!$B$15:$D$72,2,0),"")</f>
        <v/>
      </c>
      <c r="J555" s="259" t="str">
        <f>IF(I555&lt;&gt;"",VLOOKUP(VALUE(E532&amp;","&amp;H555),INTEGRANTES!$B$15:$D$72,3,0),"")</f>
        <v/>
      </c>
      <c r="K555" s="260" t="str">
        <f>IF($I555="","",IF(G548="N/A","",ROUND($G548*POSMMLV*PORPOM,2)))</f>
        <v/>
      </c>
      <c r="L555" s="260" t="str">
        <f>IF(I555="","",SUMIF($J536:$J541,I555,$T536:$T541))</f>
        <v/>
      </c>
      <c r="M555" s="261" t="str">
        <f t="shared" si="120"/>
        <v/>
      </c>
      <c r="N555" s="93" t="str">
        <f t="shared" si="121"/>
        <v/>
      </c>
      <c r="O555" s="302"/>
      <c r="P555" s="303"/>
      <c r="Q555" s="303"/>
      <c r="R555" s="303"/>
      <c r="S555" s="303"/>
      <c r="T555" s="303"/>
      <c r="U555" s="304"/>
      <c r="V555" s="201"/>
      <c r="W555" s="1"/>
      <c r="X555" s="239" t="s">
        <v>122</v>
      </c>
      <c r="Y555" s="1"/>
      <c r="Z555" s="263" t="str">
        <f>IF(AND(H555&lt;=M547,M547&gt;1),VLOOKUP(VALUE(E532&amp;","&amp;H555),INTEGRANTES!$B$15:$D$72,2,0),"")</f>
        <v/>
      </c>
      <c r="AA555" s="249" t="str">
        <f>IF(I555="","",SUMIF(J536:$J541,I555,$T536:$T541))</f>
        <v/>
      </c>
      <c r="AB555" s="246"/>
      <c r="AC555" s="137" t="str">
        <f>IF(OR(Z555="",AB555=""),"",IF(AND(AB555="X",AA555&gt;=X553),"CUMPLE","NO CUMPLE"))</f>
        <v/>
      </c>
    </row>
    <row r="556" spans="1:29" ht="38.25" customHeight="1" thickBot="1">
      <c r="A556" s="122" t="str">
        <f>"Q"&amp;E532</f>
        <v>Q20</v>
      </c>
      <c r="B556" s="338"/>
      <c r="C556" s="339"/>
      <c r="D556" s="339"/>
      <c r="E556" s="339"/>
      <c r="F556" s="339"/>
      <c r="G556" s="340"/>
      <c r="H556" s="318" t="s">
        <v>138</v>
      </c>
      <c r="I556" s="341"/>
      <c r="J556" s="342"/>
      <c r="K556" s="318" t="s">
        <v>139</v>
      </c>
      <c r="L556" s="319"/>
      <c r="M556" s="188" t="str">
        <f>IF(OR($M547="",SUM(J550:J555)=0),"",IF(COUNTIF(M550:M555,"CUMPLE")&gt;=1,"CUMPLE","NO CUMPLE"))</f>
        <v>CUMPLE</v>
      </c>
      <c r="N556" s="188" t="str">
        <f>IF(OR($M547="",SUM(J550:J555)=0),"",IF(COUNTIF(N550:N555,"CUMPLE")&gt;=1,"CUMPLE","NO CUMPLE"))</f>
        <v>CUMPLE</v>
      </c>
      <c r="O556" s="305"/>
      <c r="P556" s="306"/>
      <c r="Q556" s="306"/>
      <c r="R556" s="306"/>
      <c r="S556" s="306"/>
      <c r="T556" s="306"/>
      <c r="U556" s="307"/>
      <c r="V556" s="201"/>
      <c r="W556" s="1"/>
      <c r="X556" s="254" t="str">
        <f>IF(X550="NO APLICA","NO APLICA",IF(COUNTIF(AC550:AC555,"CUMPLE")&gt;0,"CUMPLE","NO CUMPLE"))</f>
        <v>NO CUMPLE</v>
      </c>
      <c r="Y556" s="1"/>
      <c r="Z556" s="42"/>
      <c r="AA556" s="42"/>
      <c r="AB556" s="42"/>
      <c r="AC556" s="42"/>
    </row>
    <row r="557" spans="1:29">
      <c r="A557"/>
    </row>
    <row r="558" spans="1:29">
      <c r="A558"/>
    </row>
    <row r="559" spans="1:29" ht="23.5" thickBot="1">
      <c r="A559" s="167">
        <v>21</v>
      </c>
      <c r="B559" s="349" t="s">
        <v>1</v>
      </c>
      <c r="C559" s="349"/>
      <c r="D559" s="349"/>
      <c r="E559" s="105">
        <f>VLOOKUP(A559,PROPONENTES!$B$14:$D$37,2,FALSE)</f>
        <v>21</v>
      </c>
      <c r="F559" s="106" t="str">
        <f>VLOOKUP(E559,PROPONENTES!$C$14:$D$37,2,FALSE)</f>
        <v xml:space="preserve">CIPAVI LTDA </v>
      </c>
      <c r="G559" s="107"/>
      <c r="H559" s="107"/>
      <c r="I559" s="107"/>
      <c r="J559" s="106"/>
      <c r="K559" s="106"/>
      <c r="L559" s="105"/>
      <c r="M559" s="107"/>
      <c r="N559" s="107"/>
      <c r="O559" s="107"/>
      <c r="P559" s="107"/>
      <c r="Q559" s="107"/>
      <c r="R559" s="107"/>
      <c r="S559" s="107"/>
      <c r="T559" s="108"/>
      <c r="U559" s="109"/>
      <c r="V559" s="109"/>
      <c r="W559" s="11"/>
      <c r="X559" s="240"/>
      <c r="Y559" s="11"/>
      <c r="Z559" s="240"/>
      <c r="AA559" s="240"/>
      <c r="AB559" s="240"/>
      <c r="AC559" s="240"/>
    </row>
    <row r="560" spans="1:29" ht="48" customHeight="1">
      <c r="A560" s="131"/>
      <c r="B560" s="350" t="s">
        <v>88</v>
      </c>
      <c r="C560" s="345" t="s">
        <v>48</v>
      </c>
      <c r="D560" s="352" t="s">
        <v>130</v>
      </c>
      <c r="E560" s="295"/>
      <c r="F560" s="352" t="s">
        <v>93</v>
      </c>
      <c r="G560" s="295"/>
      <c r="H560" s="315" t="s">
        <v>351</v>
      </c>
      <c r="I560" s="315" t="s">
        <v>103</v>
      </c>
      <c r="J560" s="315" t="s">
        <v>2</v>
      </c>
      <c r="K560" s="315" t="s">
        <v>352</v>
      </c>
      <c r="L560" s="315" t="s">
        <v>353</v>
      </c>
      <c r="M560" s="316" t="s">
        <v>29</v>
      </c>
      <c r="N560" s="315" t="s">
        <v>104</v>
      </c>
      <c r="O560" s="343" t="s">
        <v>78</v>
      </c>
      <c r="P560" s="344"/>
      <c r="Q560" s="345" t="s">
        <v>144</v>
      </c>
      <c r="R560" s="345" t="s">
        <v>101</v>
      </c>
      <c r="S560" s="294" t="s">
        <v>3</v>
      </c>
      <c r="T560" s="295"/>
      <c r="U560" s="347" t="s">
        <v>18</v>
      </c>
      <c r="V560" s="366" t="s">
        <v>102</v>
      </c>
      <c r="W560" s="133"/>
      <c r="X560" s="361" t="s">
        <v>146</v>
      </c>
      <c r="Y560" s="133"/>
      <c r="Z560" s="133"/>
      <c r="AA560" s="133"/>
      <c r="AB560" s="245"/>
      <c r="AC560" s="361" t="s">
        <v>123</v>
      </c>
    </row>
    <row r="561" spans="1:29" ht="98.25" customHeight="1">
      <c r="A561" s="131"/>
      <c r="B561" s="351"/>
      <c r="C561" s="346"/>
      <c r="D561" s="134" t="s">
        <v>10</v>
      </c>
      <c r="E561" s="134" t="s">
        <v>4</v>
      </c>
      <c r="F561" s="134" t="s">
        <v>15</v>
      </c>
      <c r="G561" s="135" t="s">
        <v>90</v>
      </c>
      <c r="H561" s="314"/>
      <c r="I561" s="314"/>
      <c r="J561" s="314"/>
      <c r="K561" s="314"/>
      <c r="L561" s="314"/>
      <c r="M561" s="317"/>
      <c r="N561" s="314"/>
      <c r="O561" s="264" t="s">
        <v>76</v>
      </c>
      <c r="P561" s="264" t="str">
        <f>+P507</f>
        <v>¿EL CONTRATO SE ENCUENTRA CLASIFICADO EN ALGUNA DE LAS CLASIFICACIONES ESTABLECIDAS EN EL PLIEGO? (SI/NO) (721033 - 721410 - 721411 - 721416)</v>
      </c>
      <c r="Q561" s="346"/>
      <c r="R561" s="346"/>
      <c r="S561" s="264" t="s">
        <v>81</v>
      </c>
      <c r="T561" s="264" t="s">
        <v>77</v>
      </c>
      <c r="U561" s="348"/>
      <c r="V561" s="336"/>
      <c r="W561" s="133"/>
      <c r="X561" s="362"/>
      <c r="Y561" s="133"/>
      <c r="Z561" s="245"/>
      <c r="AA561" s="245"/>
      <c r="AB561" s="245"/>
      <c r="AC561" s="362"/>
    </row>
    <row r="562" spans="1:29" ht="16" thickBot="1">
      <c r="A562" s="122"/>
      <c r="B562" s="96"/>
      <c r="C562" s="97"/>
      <c r="D562" s="97"/>
      <c r="E562" s="97"/>
      <c r="F562" s="97"/>
      <c r="G562" s="97"/>
      <c r="H562" s="97"/>
      <c r="I562" s="97"/>
      <c r="J562" s="97"/>
      <c r="K562" s="97"/>
      <c r="L562" s="97"/>
      <c r="M562" s="97"/>
      <c r="N562" s="97"/>
      <c r="O562" s="97"/>
      <c r="P562" s="97"/>
      <c r="Q562" s="97"/>
      <c r="R562" s="173"/>
      <c r="S562" s="173"/>
      <c r="T562" s="97"/>
      <c r="U562" s="191"/>
      <c r="V562" s="202"/>
      <c r="W562" s="1"/>
      <c r="X562" s="241"/>
      <c r="Y562" s="1"/>
      <c r="Z562" s="42"/>
      <c r="AA562" s="42"/>
      <c r="AB562" s="42"/>
      <c r="AC562" s="241"/>
    </row>
    <row r="563" spans="1:29" ht="94.5" customHeight="1">
      <c r="A563" s="125" t="str">
        <f>"A"&amp;E559</f>
        <v>A21</v>
      </c>
      <c r="B563" s="140">
        <v>1</v>
      </c>
      <c r="C563" s="139" t="s">
        <v>315</v>
      </c>
      <c r="D563" s="139" t="s">
        <v>316</v>
      </c>
      <c r="E563" s="139" t="s">
        <v>387</v>
      </c>
      <c r="F563" s="139" t="s">
        <v>222</v>
      </c>
      <c r="G563" s="142">
        <v>0.7</v>
      </c>
      <c r="H563" s="142" t="s">
        <v>115</v>
      </c>
      <c r="I563" s="138" t="s">
        <v>51</v>
      </c>
      <c r="J563" s="378" t="str">
        <f>+F559</f>
        <v xml:space="preserve">CIPAVI LTDA </v>
      </c>
      <c r="K563" s="127">
        <v>41491</v>
      </c>
      <c r="L563" s="127">
        <v>42084</v>
      </c>
      <c r="M563" s="128">
        <f>IF(OR(K563="",L563=""),"",IF(OR(K563&gt;$T$14,K563&lt;$S$14,L563&gt;$T$14,AND(K563&lt;$S$14,L563&lt;$S$14)),"FUERA DE RANGO",IF(K563&gt;=$S$14,ROUND(((L563-K563+1)/360*12),1),ROUND(((L563-$S$14+1)/360*12),1))))</f>
        <v>19.8</v>
      </c>
      <c r="N563" s="206">
        <v>40</v>
      </c>
      <c r="O563" s="138" t="s">
        <v>50</v>
      </c>
      <c r="P563" s="128" t="s">
        <v>50</v>
      </c>
      <c r="Q563" s="128"/>
      <c r="R563" s="95">
        <v>21287.42</v>
      </c>
      <c r="S563" s="95">
        <f t="shared" ref="S563:S568" si="122">IF(OR(G563="",R563=""),"",R563*G563)</f>
        <v>14901.193999999998</v>
      </c>
      <c r="T563" s="129" t="str">
        <f>IF(OR(I563="NO",I563="",I563&lt;&gt;"SI",S563=""),"",IF(OR(L563&lt;$S$14,L563&gt;$T$14,L563=""),0,ROUND(S563,2)))</f>
        <v/>
      </c>
      <c r="U563" s="192" t="s">
        <v>427</v>
      </c>
      <c r="V563" s="204"/>
      <c r="W563" s="141"/>
      <c r="X563" s="222"/>
      <c r="Y563" s="141"/>
      <c r="Z563" s="223" t="str">
        <f t="shared" ref="Z563:Z568" si="123">IF(T563="","",IF(T563&gt;=PORCREQCTO*POSMMLV,"SI","NO"))</f>
        <v/>
      </c>
      <c r="AA563" s="296" t="str">
        <f>"VERIFICACIÓN CUMPLIMIENTO "&amp;PORCREQCTO*100&amp;"% DEL PO"</f>
        <v>VERIFICACIÓN CUMPLIMIENTO 50% DEL PO</v>
      </c>
      <c r="AB563" s="171"/>
      <c r="AC563" s="256"/>
    </row>
    <row r="564" spans="1:29">
      <c r="A564" s="125" t="str">
        <f>"B"&amp;E559</f>
        <v>B21</v>
      </c>
      <c r="B564" s="140"/>
      <c r="C564" s="139"/>
      <c r="D564" s="139"/>
      <c r="E564" s="139"/>
      <c r="F564" s="139"/>
      <c r="G564" s="142"/>
      <c r="H564" s="142"/>
      <c r="I564" s="138"/>
      <c r="J564" s="138"/>
      <c r="K564" s="127"/>
      <c r="L564" s="127"/>
      <c r="M564" s="128" t="str">
        <f t="shared" ref="M564:M568" si="124">IF(OR(K564="",L564=""),"",IF(OR(K564&gt;$T$14,K564&lt;$S$14,L564&gt;$T$14,AND(K564&lt;$S$14,L564&lt;$S$14)),"FUERA DE RANGO",IF(K564&gt;=$S$14,ROUND(((L564-K564+1)/360*12),1),ROUND(((L564-$S$14+1)/360*12),1))))</f>
        <v/>
      </c>
      <c r="N564" s="206"/>
      <c r="O564" s="138"/>
      <c r="P564" s="128"/>
      <c r="Q564" s="128"/>
      <c r="R564" s="95"/>
      <c r="S564" s="95" t="str">
        <f t="shared" si="122"/>
        <v/>
      </c>
      <c r="T564" s="129" t="str">
        <f t="shared" ref="T564:T568" si="125">IF(OR(I564="NO",I564="",I564&lt;&gt;"SI",S564=""),"",IF(OR(L564&lt;$S$14,L564&gt;$T$14,L564=""),0,ROUND(S564,2)))</f>
        <v/>
      </c>
      <c r="U564" s="192"/>
      <c r="V564" s="204"/>
      <c r="W564" s="141"/>
      <c r="X564" s="222"/>
      <c r="Y564" s="141"/>
      <c r="Z564" s="224" t="str">
        <f t="shared" si="123"/>
        <v/>
      </c>
      <c r="AA564" s="297"/>
      <c r="AB564" s="171"/>
      <c r="AC564" s="256"/>
    </row>
    <row r="565" spans="1:29">
      <c r="A565" s="125" t="str">
        <f>"C"&amp;E559</f>
        <v>C21</v>
      </c>
      <c r="B565" s="140"/>
      <c r="C565" s="139"/>
      <c r="D565" s="139"/>
      <c r="E565" s="139"/>
      <c r="F565" s="139"/>
      <c r="G565" s="142"/>
      <c r="H565" s="142"/>
      <c r="I565" s="138"/>
      <c r="J565" s="138"/>
      <c r="K565" s="127"/>
      <c r="L565" s="127"/>
      <c r="M565" s="128" t="str">
        <f t="shared" si="124"/>
        <v/>
      </c>
      <c r="N565" s="206"/>
      <c r="O565" s="138"/>
      <c r="P565" s="128"/>
      <c r="Q565" s="128"/>
      <c r="R565" s="95"/>
      <c r="S565" s="95" t="str">
        <f t="shared" si="122"/>
        <v/>
      </c>
      <c r="T565" s="129" t="str">
        <f t="shared" si="125"/>
        <v/>
      </c>
      <c r="U565" s="192"/>
      <c r="V565" s="204"/>
      <c r="W565" s="141"/>
      <c r="X565" s="222"/>
      <c r="Y565" s="141"/>
      <c r="Z565" s="224" t="str">
        <f t="shared" si="123"/>
        <v/>
      </c>
      <c r="AA565" s="297"/>
      <c r="AB565" s="171"/>
      <c r="AC565" s="256"/>
    </row>
    <row r="566" spans="1:29">
      <c r="A566" s="125" t="str">
        <f>"D"&amp;E559</f>
        <v>D21</v>
      </c>
      <c r="B566" s="140"/>
      <c r="C566" s="139"/>
      <c r="D566" s="139"/>
      <c r="E566" s="139"/>
      <c r="F566" s="139"/>
      <c r="G566" s="142"/>
      <c r="H566" s="142"/>
      <c r="I566" s="138"/>
      <c r="J566" s="138"/>
      <c r="K566" s="127"/>
      <c r="L566" s="127"/>
      <c r="M566" s="128" t="str">
        <f t="shared" si="124"/>
        <v/>
      </c>
      <c r="N566" s="206"/>
      <c r="O566" s="138"/>
      <c r="P566" s="128"/>
      <c r="Q566" s="128"/>
      <c r="R566" s="95"/>
      <c r="S566" s="95" t="str">
        <f t="shared" si="122"/>
        <v/>
      </c>
      <c r="T566" s="129" t="str">
        <f t="shared" si="125"/>
        <v/>
      </c>
      <c r="U566" s="192"/>
      <c r="V566" s="204"/>
      <c r="W566" s="141"/>
      <c r="X566" s="222"/>
      <c r="Y566" s="141"/>
      <c r="Z566" s="224" t="str">
        <f t="shared" si="123"/>
        <v/>
      </c>
      <c r="AA566" s="297"/>
      <c r="AB566" s="171"/>
      <c r="AC566" s="256"/>
    </row>
    <row r="567" spans="1:29">
      <c r="A567" s="125" t="str">
        <f>"E"&amp;E559</f>
        <v>E21</v>
      </c>
      <c r="B567" s="140"/>
      <c r="C567" s="139"/>
      <c r="D567" s="139"/>
      <c r="E567" s="139"/>
      <c r="F567" s="139"/>
      <c r="G567" s="142"/>
      <c r="H567" s="142"/>
      <c r="I567" s="138"/>
      <c r="J567" s="138"/>
      <c r="K567" s="127"/>
      <c r="L567" s="127"/>
      <c r="M567" s="128" t="str">
        <f t="shared" si="124"/>
        <v/>
      </c>
      <c r="N567" s="206"/>
      <c r="O567" s="138"/>
      <c r="P567" s="128"/>
      <c r="Q567" s="128"/>
      <c r="R567" s="95"/>
      <c r="S567" s="95" t="str">
        <f t="shared" si="122"/>
        <v/>
      </c>
      <c r="T567" s="129" t="str">
        <f t="shared" si="125"/>
        <v/>
      </c>
      <c r="U567" s="192"/>
      <c r="V567" s="204"/>
      <c r="W567" s="141"/>
      <c r="X567" s="222"/>
      <c r="Y567" s="141"/>
      <c r="Z567" s="224" t="str">
        <f t="shared" si="123"/>
        <v/>
      </c>
      <c r="AA567" s="297"/>
      <c r="AB567" s="171"/>
      <c r="AC567" s="256"/>
    </row>
    <row r="568" spans="1:29" ht="16" thickBot="1">
      <c r="A568" s="125" t="str">
        <f>"F"&amp;E559</f>
        <v>F21</v>
      </c>
      <c r="B568" s="140"/>
      <c r="C568" s="139"/>
      <c r="D568" s="139"/>
      <c r="E568" s="139"/>
      <c r="F568" s="139"/>
      <c r="G568" s="142"/>
      <c r="H568" s="142"/>
      <c r="I568" s="138"/>
      <c r="J568" s="138"/>
      <c r="K568" s="127"/>
      <c r="L568" s="127"/>
      <c r="M568" s="128" t="str">
        <f t="shared" si="124"/>
        <v/>
      </c>
      <c r="N568" s="206"/>
      <c r="O568" s="138"/>
      <c r="P568" s="128"/>
      <c r="Q568" s="128"/>
      <c r="R568" s="95"/>
      <c r="S568" s="95" t="str">
        <f t="shared" si="122"/>
        <v/>
      </c>
      <c r="T568" s="129" t="str">
        <f t="shared" si="125"/>
        <v/>
      </c>
      <c r="U568" s="192"/>
      <c r="V568" s="204"/>
      <c r="W568" s="141"/>
      <c r="X568" s="222"/>
      <c r="Y568" s="141"/>
      <c r="Z568" s="225" t="str">
        <f t="shared" si="123"/>
        <v/>
      </c>
      <c r="AA568" s="363"/>
      <c r="AB568" s="171"/>
      <c r="AC568" s="256"/>
    </row>
    <row r="569" spans="1:29" ht="16" thickBot="1">
      <c r="A569" s="122"/>
      <c r="B569" s="96"/>
      <c r="C569" s="97"/>
      <c r="D569" s="97"/>
      <c r="E569" s="97"/>
      <c r="F569" s="97"/>
      <c r="G569" s="97"/>
      <c r="H569" s="97"/>
      <c r="I569" s="97"/>
      <c r="J569" s="97"/>
      <c r="K569" s="97"/>
      <c r="L569" s="97"/>
      <c r="M569" s="97"/>
      <c r="N569" s="97"/>
      <c r="O569" s="97"/>
      <c r="P569" s="97"/>
      <c r="Q569" s="97"/>
      <c r="R569" s="173"/>
      <c r="S569" s="173"/>
      <c r="T569" s="126"/>
      <c r="U569" s="98"/>
      <c r="V569" s="205"/>
      <c r="W569" s="1"/>
      <c r="X569" s="242"/>
      <c r="Y569" s="1"/>
      <c r="Z569" s="42"/>
      <c r="AA569" s="42"/>
      <c r="AB569" s="42"/>
      <c r="AC569" s="242"/>
    </row>
    <row r="570" spans="1:29" ht="16" thickBot="1">
      <c r="A570" s="123"/>
      <c r="B570" s="99"/>
      <c r="C570" s="94"/>
      <c r="D570" s="94"/>
      <c r="E570" s="94"/>
      <c r="F570" s="94"/>
      <c r="G570" s="94"/>
      <c r="H570" s="94"/>
      <c r="I570" s="94"/>
      <c r="J570" s="94"/>
      <c r="K570" s="94"/>
      <c r="L570" s="94"/>
      <c r="M570" s="94"/>
      <c r="N570" s="94"/>
      <c r="O570" s="94"/>
      <c r="P570" s="94"/>
      <c r="Q570" s="94"/>
      <c r="R570" s="265"/>
      <c r="S570" s="265"/>
      <c r="T570" s="130">
        <f>SUM(T563:T568)</f>
        <v>0</v>
      </c>
      <c r="U570" s="100"/>
      <c r="V570" s="203"/>
      <c r="W570" s="12"/>
      <c r="X570" s="243"/>
      <c r="Y570" s="12"/>
      <c r="Z570" s="243"/>
      <c r="AA570" s="243"/>
      <c r="AB570" s="243"/>
      <c r="AC570" s="243"/>
    </row>
    <row r="571" spans="1:29">
      <c r="B571" s="197"/>
      <c r="C571" s="193"/>
      <c r="D571" s="193"/>
      <c r="E571" s="193"/>
      <c r="F571" s="193"/>
      <c r="G571" s="193"/>
      <c r="H571" s="193"/>
      <c r="I571" s="193"/>
      <c r="J571" s="193"/>
      <c r="K571" s="193"/>
      <c r="L571" s="193"/>
      <c r="M571" s="193"/>
      <c r="N571" s="193"/>
      <c r="O571" s="193"/>
      <c r="P571" s="193"/>
      <c r="Q571" s="193"/>
      <c r="R571" s="194"/>
      <c r="S571" s="194"/>
      <c r="T571" s="195"/>
      <c r="U571" s="196"/>
      <c r="V571" s="195"/>
    </row>
    <row r="572" spans="1:29" ht="16" thickBot="1">
      <c r="A572" s="122"/>
      <c r="B572" s="322" t="s">
        <v>45</v>
      </c>
      <c r="C572" s="323"/>
      <c r="D572" s="323"/>
      <c r="E572" s="323"/>
      <c r="F572" s="323"/>
      <c r="G572" s="324"/>
      <c r="H572" s="324"/>
      <c r="I572" s="324"/>
      <c r="J572" s="324"/>
      <c r="K572" s="324"/>
      <c r="L572" s="324"/>
      <c r="M572" s="324"/>
      <c r="N572" s="324"/>
      <c r="O572" s="324"/>
      <c r="P572" s="324"/>
      <c r="Q572" s="324"/>
      <c r="R572" s="324"/>
      <c r="S572" s="324"/>
      <c r="T572" s="324"/>
      <c r="U572" s="325"/>
      <c r="V572" s="201"/>
      <c r="W572" s="1"/>
      <c r="X572" s="42"/>
      <c r="Y572" s="1"/>
      <c r="Z572" s="42"/>
      <c r="AA572" s="42"/>
      <c r="AB572" s="42"/>
      <c r="AC572" s="42"/>
    </row>
    <row r="573" spans="1:29" ht="16.5" customHeight="1" thickBot="1">
      <c r="A573" s="122" t="str">
        <f>"G"&amp;E559</f>
        <v>G21</v>
      </c>
      <c r="B573" s="291" t="s">
        <v>97</v>
      </c>
      <c r="C573" s="292"/>
      <c r="D573" s="292"/>
      <c r="E573" s="292"/>
      <c r="F573" s="292"/>
      <c r="G573" s="326"/>
      <c r="H573" s="291" t="s">
        <v>100</v>
      </c>
      <c r="I573" s="292"/>
      <c r="J573" s="292"/>
      <c r="K573" s="292"/>
      <c r="L573" s="292"/>
      <c r="M573" s="292"/>
      <c r="N573" s="292"/>
      <c r="O573" s="189" t="s">
        <v>23</v>
      </c>
      <c r="P573" s="190"/>
      <c r="Q573" s="190"/>
      <c r="R573" s="190"/>
      <c r="S573" s="190"/>
      <c r="T573" s="190"/>
      <c r="U573" s="253"/>
      <c r="V573" s="201"/>
      <c r="W573" s="1"/>
      <c r="X573" s="239" t="s">
        <v>117</v>
      </c>
      <c r="Y573" s="1"/>
      <c r="Z573" s="355" t="s">
        <v>119</v>
      </c>
      <c r="AA573" s="345" t="s">
        <v>120</v>
      </c>
      <c r="AB573" s="345" t="s">
        <v>148</v>
      </c>
      <c r="AC573" s="359" t="s">
        <v>149</v>
      </c>
    </row>
    <row r="574" spans="1:29" ht="15.75" customHeight="1" thickBot="1">
      <c r="A574" s="122" t="str">
        <f>"H"&amp;E559</f>
        <v>H21</v>
      </c>
      <c r="B574" s="293" t="s">
        <v>132</v>
      </c>
      <c r="C574" s="294"/>
      <c r="D574" s="294"/>
      <c r="E574" s="294"/>
      <c r="F574" s="294"/>
      <c r="G574" s="327"/>
      <c r="H574" s="293" t="s">
        <v>17</v>
      </c>
      <c r="I574" s="294"/>
      <c r="J574" s="294"/>
      <c r="K574" s="294"/>
      <c r="L574" s="295"/>
      <c r="M574" s="183">
        <f>VLOOKUP(E559,PROPONENTES!$C$14:$E$37,3,0)</f>
        <v>1</v>
      </c>
      <c r="N574" s="296" t="s">
        <v>143</v>
      </c>
      <c r="O574" s="299"/>
      <c r="P574" s="300"/>
      <c r="Q574" s="300"/>
      <c r="R574" s="300"/>
      <c r="S574" s="300"/>
      <c r="T574" s="300"/>
      <c r="U574" s="301"/>
      <c r="V574" s="201"/>
      <c r="W574" s="1"/>
      <c r="X574" s="244" t="str">
        <f>IF(M574="","",IF(M574=1,"INDIVIDUAL","ESTRUCTURA PLURAL"))</f>
        <v>INDIVIDUAL</v>
      </c>
      <c r="Y574" s="1"/>
      <c r="Z574" s="356"/>
      <c r="AA574" s="358"/>
      <c r="AB574" s="358"/>
      <c r="AC574" s="360"/>
    </row>
    <row r="575" spans="1:29" ht="15.75" customHeight="1" thickBot="1">
      <c r="A575" s="122" t="str">
        <f>"I"&amp;E559</f>
        <v>I21</v>
      </c>
      <c r="B575" s="328" t="s">
        <v>131</v>
      </c>
      <c r="C575" s="329"/>
      <c r="D575" s="330"/>
      <c r="E575" s="308">
        <f>IF(AND(I563="SI",T563&gt;0),1,0)+IF(AND(I564="SI",T564&gt;0),1,0)+IF(AND(I565="SI",T565&gt;0),1,0)+IF(AND(I566="SI",T566&gt;0),1,0)+IF(AND(I567="SI",T567&gt;0),1,0)+IF(AND(I568="SI",T568&gt;0),1,0)</f>
        <v>0</v>
      </c>
      <c r="F575" s="310" t="s">
        <v>133</v>
      </c>
      <c r="G575" s="312" t="str">
        <f>IF(E575=0,"N/A",IF(AND(E575&gt;=1,E575&lt;=2),0.75,IF(AND(E575&gt;=3,E575&lt;=4),1.2,IF(AND(E575&gt;=5,E575&lt;=6),1.5,"REVISAR"))))</f>
        <v>N/A</v>
      </c>
      <c r="H575" s="334" t="s">
        <v>16</v>
      </c>
      <c r="I575" s="335"/>
      <c r="J575" s="314" t="s">
        <v>0</v>
      </c>
      <c r="K575" s="314" t="s">
        <v>140</v>
      </c>
      <c r="L575" s="314" t="s">
        <v>141</v>
      </c>
      <c r="M575" s="320" t="s">
        <v>142</v>
      </c>
      <c r="N575" s="297"/>
      <c r="O575" s="302"/>
      <c r="P575" s="303"/>
      <c r="Q575" s="303"/>
      <c r="R575" s="303"/>
      <c r="S575" s="303"/>
      <c r="T575" s="303"/>
      <c r="U575" s="304"/>
      <c r="V575" s="201"/>
      <c r="W575" s="38"/>
      <c r="X575" s="171"/>
      <c r="Y575" s="38"/>
      <c r="Z575" s="356"/>
      <c r="AA575" s="358"/>
      <c r="AB575" s="358"/>
      <c r="AC575" s="360"/>
    </row>
    <row r="576" spans="1:29" ht="16.5" customHeight="1" thickBot="1">
      <c r="A576" s="122" t="str">
        <f>"J"&amp;E559</f>
        <v>J21</v>
      </c>
      <c r="B576" s="331"/>
      <c r="C576" s="332"/>
      <c r="D576" s="333"/>
      <c r="E576" s="309"/>
      <c r="F576" s="311"/>
      <c r="G576" s="313"/>
      <c r="H576" s="336"/>
      <c r="I576" s="337"/>
      <c r="J576" s="314"/>
      <c r="K576" s="314"/>
      <c r="L576" s="314"/>
      <c r="M576" s="321"/>
      <c r="N576" s="298"/>
      <c r="O576" s="302"/>
      <c r="P576" s="303"/>
      <c r="Q576" s="303"/>
      <c r="R576" s="303"/>
      <c r="S576" s="303"/>
      <c r="T576" s="303"/>
      <c r="U576" s="304"/>
      <c r="V576" s="201"/>
      <c r="W576" s="38"/>
      <c r="X576" s="239" t="s">
        <v>118</v>
      </c>
      <c r="Y576" s="38"/>
      <c r="Z576" s="357"/>
      <c r="AA576" s="346"/>
      <c r="AB576" s="346"/>
      <c r="AC576" s="321"/>
    </row>
    <row r="577" spans="1:29" ht="16" thickBot="1">
      <c r="A577" s="125" t="str">
        <f>"K"&amp;E559</f>
        <v>K21</v>
      </c>
      <c r="B577" s="293" t="s">
        <v>98</v>
      </c>
      <c r="C577" s="294"/>
      <c r="D577" s="294"/>
      <c r="E577" s="294"/>
      <c r="F577" s="294"/>
      <c r="G577" s="294"/>
      <c r="H577" s="186">
        <v>1</v>
      </c>
      <c r="I577" s="92" t="str">
        <f>IF(AND(H577&lt;=M574,M574&gt;1),VLOOKUP(VALUE(E559&amp;","&amp;H577),INTEGRANTES!$B$15:$D$72,2,0),"")</f>
        <v/>
      </c>
      <c r="J577" s="187" t="str">
        <f>IF(I577&lt;&gt;"",VLOOKUP(VALUE(E559&amp;","&amp;H577),INTEGRANTES!$B$15:$D$72,3,0),"")</f>
        <v/>
      </c>
      <c r="K577" s="247" t="str">
        <f>IF($I577="","",IF(G575="N/A","",ROUND($G575*POSMMLV*PORPOM,2)))</f>
        <v/>
      </c>
      <c r="L577" s="247" t="str">
        <f>IF(I577="","",SUMIF($J563:$J568,I577,$T563:$T568))</f>
        <v/>
      </c>
      <c r="M577" s="93" t="str">
        <f t="shared" ref="M577:M582" si="126">IF($I577="","",IF($K577&gt;L577,"NO CUMPLE","CUMPLE"))</f>
        <v/>
      </c>
      <c r="N577" s="93" t="str">
        <f t="shared" ref="N577:N582" si="127">IF($I577="","",IF(M577="CUMPLE","CUMPLE","NO CUMPLE"))</f>
        <v/>
      </c>
      <c r="O577" s="302"/>
      <c r="P577" s="303"/>
      <c r="Q577" s="303"/>
      <c r="R577" s="303"/>
      <c r="S577" s="303"/>
      <c r="T577" s="303"/>
      <c r="U577" s="304"/>
      <c r="V577" s="201"/>
      <c r="W577" s="1"/>
      <c r="X577" s="244" t="str">
        <f>IF(X574="","",IF(X574="INDIVIDUAL","NO APLICA","VERIFICAR CUADRO"))</f>
        <v>NO APLICA</v>
      </c>
      <c r="Y577" s="1"/>
      <c r="Z577" s="262" t="str">
        <f>IF(AND(H577&lt;=M574,M574&gt;1),VLOOKUP(VALUE(E559&amp;","&amp;H577),INTEGRANTES!$B$15:$D$72,2,0),"")</f>
        <v/>
      </c>
      <c r="AA577" s="248" t="str">
        <f>IF(I577="","",SUMIF(J563:$J568,I577,$T563:$T568))</f>
        <v/>
      </c>
      <c r="AB577" s="232"/>
      <c r="AC577" s="250" t="str">
        <f>IF(OR(Z577="",AB577=""),"",IF(AND(AB577="X",AA577&gt;=X580),"CUMPLE","NO CUMPLE"))</f>
        <v/>
      </c>
    </row>
    <row r="578" spans="1:29" ht="15.75" customHeight="1" thickBot="1">
      <c r="A578" s="125" t="str">
        <f>"L"&amp;E559</f>
        <v>L21</v>
      </c>
      <c r="B578" s="328" t="s">
        <v>134</v>
      </c>
      <c r="C578" s="329"/>
      <c r="D578" s="330"/>
      <c r="E578" s="132" t="s">
        <v>135</v>
      </c>
      <c r="F578" s="132" t="s">
        <v>136</v>
      </c>
      <c r="G578" s="136" t="s">
        <v>99</v>
      </c>
      <c r="H578" s="186">
        <v>2</v>
      </c>
      <c r="I578" s="92" t="str">
        <f>IF(AND(H578&lt;=M574,M574&gt;1),VLOOKUP(VALUE(E559&amp;","&amp;H578),INTEGRANTES!$B$15:$D$72,2,0),"")</f>
        <v/>
      </c>
      <c r="J578" s="187" t="str">
        <f>IF(I578&lt;&gt;"",VLOOKUP(VALUE(E559&amp;","&amp;H578),INTEGRANTES!$B$15:$D$72,3,0),"")</f>
        <v/>
      </c>
      <c r="K578" s="247" t="str">
        <f>IF($I578="","",IF(G575="N/A","",ROUND($G575*POSMMLV*PORPOM,2)))</f>
        <v/>
      </c>
      <c r="L578" s="247" t="str">
        <f>IF(I578="","",SUMIF($J563:$J568,I578,$T563:$T568))</f>
        <v/>
      </c>
      <c r="M578" s="93" t="str">
        <f t="shared" si="126"/>
        <v/>
      </c>
      <c r="N578" s="93" t="str">
        <f t="shared" si="127"/>
        <v/>
      </c>
      <c r="O578" s="302"/>
      <c r="P578" s="303"/>
      <c r="Q578" s="303"/>
      <c r="R578" s="303"/>
      <c r="S578" s="303"/>
      <c r="T578" s="303"/>
      <c r="U578" s="304"/>
      <c r="V578" s="201"/>
      <c r="W578" s="1"/>
      <c r="X578" s="42"/>
      <c r="Y578" s="1"/>
      <c r="Z578" s="262" t="str">
        <f>IF(AND(H578&lt;=M574,M574&gt;1),VLOOKUP(VALUE(E559&amp;","&amp;H578),INTEGRANTES!$B$15:$D$72,2,0),"")</f>
        <v/>
      </c>
      <c r="AA578" s="248" t="str">
        <f>IF(I578="","",SUMIF(J563:$J568,I578,$T563:$T568))</f>
        <v/>
      </c>
      <c r="AB578" s="232"/>
      <c r="AC578" s="250" t="str">
        <f>IF(OR(Z578="",AB578=""),"",IF(AND(AB578="X",AA578&gt;=X580),"CUMPLE","NO CUMPLE"))</f>
        <v/>
      </c>
    </row>
    <row r="579" spans="1:29" ht="16" thickBot="1">
      <c r="A579" s="122" t="str">
        <f>"M"&amp;E559</f>
        <v>M21</v>
      </c>
      <c r="B579" s="331"/>
      <c r="C579" s="332"/>
      <c r="D579" s="333"/>
      <c r="E579" s="237" t="str">
        <f>IF(ISTEXT(G575),"NO APLICA",G575*POSMMLV)</f>
        <v>NO APLICA</v>
      </c>
      <c r="F579" s="238">
        <f>IF(E579="","",T570)</f>
        <v>0</v>
      </c>
      <c r="G579" s="221" t="str">
        <f>IF(E579="","",IF(E579="NO APLICA","NO CUMPLE",IF(F579&gt;=E579,"CUMPLE", "NO CUMPLE")))</f>
        <v>NO CUMPLE</v>
      </c>
      <c r="H579" s="186">
        <v>3</v>
      </c>
      <c r="I579" s="92" t="str">
        <f>IF(AND(H579&lt;=M574,M574&gt;1),VLOOKUP(VALUE(E559&amp;","&amp;H579),INTEGRANTES!$B$15:$D$72,2,0),"")</f>
        <v/>
      </c>
      <c r="J579" s="187" t="str">
        <f>IF(I579&lt;&gt;"",VLOOKUP(VALUE(E559&amp;","&amp;H579),INTEGRANTES!$B$15:$D$72,3,0),"")</f>
        <v/>
      </c>
      <c r="K579" s="247" t="str">
        <f>IF($I579="","",IF(G575="N/A","",ROUND($G575*POSMMLV*PORPOM,2)))</f>
        <v/>
      </c>
      <c r="L579" s="247" t="str">
        <f>IF(I579="","",SUMIF($J563:$J568,I579,$T563:$T568))</f>
        <v/>
      </c>
      <c r="M579" s="93" t="str">
        <f t="shared" si="126"/>
        <v/>
      </c>
      <c r="N579" s="93" t="str">
        <f t="shared" si="127"/>
        <v/>
      </c>
      <c r="O579" s="302"/>
      <c r="P579" s="303"/>
      <c r="Q579" s="303"/>
      <c r="R579" s="303"/>
      <c r="S579" s="303"/>
      <c r="T579" s="303"/>
      <c r="U579" s="304"/>
      <c r="V579" s="201"/>
      <c r="W579" s="1"/>
      <c r="X579" s="239" t="s">
        <v>145</v>
      </c>
      <c r="Y579" s="1"/>
      <c r="Z579" s="262" t="str">
        <f>IF(AND(H579&lt;=M574,M574&gt;1),VLOOKUP(VALUE(E559&amp;","&amp;H579),INTEGRANTES!$B$15:$D$72,2,0),"")</f>
        <v/>
      </c>
      <c r="AA579" s="248" t="str">
        <f>IF(I579="","",SUMIF(J563:$J568,I579,$T563:$T568))</f>
        <v/>
      </c>
      <c r="AB579" s="232"/>
      <c r="AC579" s="250" t="str">
        <f>IF(OR(Z579="",AB579=""),"",IF(AND(AB579="X",AA579&gt;=X580),"CUMPLE","NO CUMPLE"))</f>
        <v/>
      </c>
    </row>
    <row r="580" spans="1:29" ht="15.75" customHeight="1" thickBot="1">
      <c r="A580" s="122" t="str">
        <f>"N"&amp;E559</f>
        <v>N21</v>
      </c>
      <c r="B580" s="293" t="s">
        <v>107</v>
      </c>
      <c r="C580" s="294"/>
      <c r="D580" s="294"/>
      <c r="E580" s="294"/>
      <c r="F580" s="294"/>
      <c r="G580" s="294"/>
      <c r="H580" s="186">
        <v>4</v>
      </c>
      <c r="I580" s="92" t="str">
        <f>IF(AND(H580&lt;=M574,M574&gt;1),VLOOKUP(VALUE(E559&amp;","&amp;H580),INTEGRANTES!$B$15:$D$72,2,0),"")</f>
        <v/>
      </c>
      <c r="J580" s="187" t="str">
        <f>IF(I580&lt;&gt;"",VLOOKUP(VALUE(E559&amp;","&amp;H580),INTEGRANTES!$B$15:$D$72,3,0),"")</f>
        <v/>
      </c>
      <c r="K580" s="247" t="str">
        <f>IF($I580="","",IF(G575="N/A","",ROUND($G575*POSMMLV*PORPOM,2)))</f>
        <v/>
      </c>
      <c r="L580" s="247" t="str">
        <f>IF(I580="","",SUMIF($J563:$J568,I580,$T563:$T568))</f>
        <v/>
      </c>
      <c r="M580" s="93" t="str">
        <f t="shared" si="126"/>
        <v/>
      </c>
      <c r="N580" s="93" t="str">
        <f t="shared" si="127"/>
        <v/>
      </c>
      <c r="O580" s="302"/>
      <c r="P580" s="303"/>
      <c r="Q580" s="303"/>
      <c r="R580" s="303"/>
      <c r="S580" s="303"/>
      <c r="T580" s="303"/>
      <c r="U580" s="304"/>
      <c r="V580" s="201"/>
      <c r="W580" s="1"/>
      <c r="X580" s="251" t="str">
        <f>IF(G575="N/A","N/A",0.4*G575*POSMMLV)</f>
        <v>N/A</v>
      </c>
      <c r="Y580" s="1"/>
      <c r="Z580" s="262" t="str">
        <f>IF(AND(H580&lt;=M574,M574&gt;1),VLOOKUP(VALUE(E559&amp;","&amp;H580),INTEGRANTES!$B$15:$D$72,2,0),"")</f>
        <v/>
      </c>
      <c r="AA580" s="248" t="str">
        <f>IF(I580="","",SUMIF(J563:$J568,I580,$T563:$T568))</f>
        <v/>
      </c>
      <c r="AB580" s="232"/>
      <c r="AC580" s="250" t="str">
        <f>IF(OR(Z580="",AB580=""),"",IF(AND(AB580="X",AA580&gt;=X580),"CUMPLE","NO CUMPLE"))</f>
        <v/>
      </c>
    </row>
    <row r="581" spans="1:29" ht="33.75" customHeight="1" thickBot="1">
      <c r="A581" s="122" t="str">
        <f>"O"&amp;E559</f>
        <v>O21</v>
      </c>
      <c r="B581" s="328" t="s">
        <v>108</v>
      </c>
      <c r="C581" s="329"/>
      <c r="D581" s="329"/>
      <c r="E581" s="329"/>
      <c r="F581" s="329"/>
      <c r="G581" s="185" t="s">
        <v>99</v>
      </c>
      <c r="H581" s="186">
        <v>5</v>
      </c>
      <c r="I581" s="92" t="str">
        <f>IF(AND(H581&lt;=M574,M574&gt;1),VLOOKUP(VALUE(E559&amp;","&amp;H581),INTEGRANTES!$B$15:$D$72,2,0),"")</f>
        <v/>
      </c>
      <c r="J581" s="187" t="str">
        <f>IF(I581&lt;&gt;"",VLOOKUP(VALUE(E559&amp;","&amp;H581),INTEGRANTES!$B$15:$D$72,3,0),"")</f>
        <v/>
      </c>
      <c r="K581" s="247" t="str">
        <f>IF($I581="","",IF(G575="N/A","",ROUND($G575*POSMMLV*PORPOM,2)))</f>
        <v/>
      </c>
      <c r="L581" s="247" t="str">
        <f>IF(I581="","",SUMIF($J563:$J568,I581,$T563:$T568))</f>
        <v/>
      </c>
      <c r="M581" s="93" t="str">
        <f t="shared" si="126"/>
        <v/>
      </c>
      <c r="N581" s="93" t="str">
        <f t="shared" si="127"/>
        <v/>
      </c>
      <c r="O581" s="302"/>
      <c r="P581" s="303"/>
      <c r="Q581" s="303"/>
      <c r="R581" s="303"/>
      <c r="S581" s="303"/>
      <c r="T581" s="303"/>
      <c r="U581" s="304"/>
      <c r="V581" s="201"/>
      <c r="W581" s="1"/>
      <c r="X581" s="42"/>
      <c r="Y581" s="1"/>
      <c r="Z581" s="262" t="str">
        <f>IF(AND(H581&lt;=M574,M574&gt;1),VLOOKUP(VALUE(E559&amp;","&amp;H581),INTEGRANTES!$B$15:$D$72,2,0),"")</f>
        <v/>
      </c>
      <c r="AA581" s="248" t="str">
        <f>IF(I581="","",SUMIF(J563:$J568,I581,$T563:$T568))</f>
        <v/>
      </c>
      <c r="AB581" s="232"/>
      <c r="AC581" s="250" t="str">
        <f>IF(OR(Z581="",AB581=""),"",IF(AND(AB581="X",AA581&gt;=X580),"CUMPLE","NO CUMPLE"))</f>
        <v/>
      </c>
    </row>
    <row r="582" spans="1:29" ht="16" thickBot="1">
      <c r="A582" s="122" t="str">
        <f>"P"&amp;E559</f>
        <v>P21</v>
      </c>
      <c r="B582" s="353"/>
      <c r="C582" s="354"/>
      <c r="D582" s="354"/>
      <c r="E582" s="354"/>
      <c r="F582" s="354"/>
      <c r="G582" s="137" t="str">
        <f>IF(AND(COUNTIF(X563:X568,"")&gt;5,COUNTIF(Z563:Z568,"")&gt;5),"NO CUMPLE",IF(AND(COUNTIF(X563:X568,"SI")&gt;=$AF$17,COUNTIF(Z563:Z568,"SI")&gt;=$AF$17),"CUMPLE", "NO CUMPLE"))</f>
        <v>NO CUMPLE</v>
      </c>
      <c r="H582" s="257">
        <v>6</v>
      </c>
      <c r="I582" s="258" t="str">
        <f>IF(AND(H582&lt;=M574,M574&gt;1),VLOOKUP(VALUE(E559&amp;","&amp;H582),INTEGRANTES!$B$15:$D$72,2,0),"")</f>
        <v/>
      </c>
      <c r="J582" s="259" t="str">
        <f>IF(I582&lt;&gt;"",VLOOKUP(VALUE(E559&amp;","&amp;H582),INTEGRANTES!$B$15:$D$72,3,0),"")</f>
        <v/>
      </c>
      <c r="K582" s="260" t="str">
        <f>IF($I582="","",IF(G575="N/A","",ROUND($G575*POSMMLV*PORPOM,2)))</f>
        <v/>
      </c>
      <c r="L582" s="260" t="str">
        <f>IF(I582="","",SUMIF($J563:$J568,I582,$T563:$T568))</f>
        <v/>
      </c>
      <c r="M582" s="261" t="str">
        <f t="shared" si="126"/>
        <v/>
      </c>
      <c r="N582" s="93" t="str">
        <f t="shared" si="127"/>
        <v/>
      </c>
      <c r="O582" s="302"/>
      <c r="P582" s="303"/>
      <c r="Q582" s="303"/>
      <c r="R582" s="303"/>
      <c r="S582" s="303"/>
      <c r="T582" s="303"/>
      <c r="U582" s="304"/>
      <c r="V582" s="201"/>
      <c r="W582" s="1"/>
      <c r="X582" s="239" t="s">
        <v>122</v>
      </c>
      <c r="Y582" s="1"/>
      <c r="Z582" s="263" t="str">
        <f>IF(AND(H582&lt;=M574,M574&gt;1),VLOOKUP(VALUE(E559&amp;","&amp;H582),INTEGRANTES!$B$15:$D$72,2,0),"")</f>
        <v/>
      </c>
      <c r="AA582" s="249" t="str">
        <f>IF(I582="","",SUMIF(J563:$J568,I582,$T563:$T568))</f>
        <v/>
      </c>
      <c r="AB582" s="246"/>
      <c r="AC582" s="137" t="str">
        <f>IF(OR(Z582="",AB582=""),"",IF(AND(AB582="X",AA582&gt;=X580),"CUMPLE","NO CUMPLE"))</f>
        <v/>
      </c>
    </row>
    <row r="583" spans="1:29" ht="38.25" customHeight="1" thickBot="1">
      <c r="A583" s="122" t="str">
        <f>"Q"&amp;E559</f>
        <v>Q21</v>
      </c>
      <c r="B583" s="338"/>
      <c r="C583" s="339"/>
      <c r="D583" s="339"/>
      <c r="E583" s="339"/>
      <c r="F583" s="339"/>
      <c r="G583" s="340"/>
      <c r="H583" s="318" t="s">
        <v>138</v>
      </c>
      <c r="I583" s="341"/>
      <c r="J583" s="342"/>
      <c r="K583" s="318" t="s">
        <v>139</v>
      </c>
      <c r="L583" s="319"/>
      <c r="M583" s="188" t="str">
        <f>IF(OR($M574="",SUM(J577:J582)=0),"",IF(COUNTIF(M577:M582,"CUMPLE")&gt;=1,"CUMPLE","NO CUMPLE"))</f>
        <v/>
      </c>
      <c r="N583" s="188" t="str">
        <f>IF(OR($M574="",SUM(J577:J582)=0),"",IF(COUNTIF(N577:N582,"CUMPLE")&gt;=1,"CUMPLE","NO CUMPLE"))</f>
        <v/>
      </c>
      <c r="O583" s="305"/>
      <c r="P583" s="306"/>
      <c r="Q583" s="306"/>
      <c r="R583" s="306"/>
      <c r="S583" s="306"/>
      <c r="T583" s="306"/>
      <c r="U583" s="307"/>
      <c r="V583" s="201"/>
      <c r="W583" s="1"/>
      <c r="X583" s="254" t="str">
        <f>IF(X577="NO APLICA","NO APLICA",IF(COUNTIF(AC577:AC582,"CUMPLE")&gt;0,"CUMPLE","NO CUMPLE"))</f>
        <v>NO APLICA</v>
      </c>
      <c r="Y583" s="1"/>
      <c r="Z583" s="42"/>
      <c r="AA583" s="42"/>
      <c r="AB583" s="42"/>
      <c r="AC583" s="42"/>
    </row>
    <row r="584" spans="1:29">
      <c r="A584"/>
    </row>
    <row r="585" spans="1:29">
      <c r="A585"/>
    </row>
    <row r="586" spans="1:29" ht="23.5" thickBot="1">
      <c r="A586" s="167">
        <v>22</v>
      </c>
      <c r="B586" s="349" t="s">
        <v>1</v>
      </c>
      <c r="C586" s="349"/>
      <c r="D586" s="349"/>
      <c r="E586" s="105">
        <f>VLOOKUP(A586,PROPONENTES!$B$14:$D$37,2,FALSE)</f>
        <v>22</v>
      </c>
      <c r="F586" s="106" t="str">
        <f>VLOOKUP(E586,PROPONENTES!$C$14:$D$37,2,FALSE)</f>
        <v>UNION TEMPORAL VIAL PUERTO RICO 2019.</v>
      </c>
      <c r="G586" s="107"/>
      <c r="H586" s="107"/>
      <c r="I586" s="107"/>
      <c r="J586" s="106"/>
      <c r="K586" s="106"/>
      <c r="L586" s="105"/>
      <c r="M586" s="107"/>
      <c r="N586" s="107"/>
      <c r="O586" s="107"/>
      <c r="P586" s="107"/>
      <c r="Q586" s="107"/>
      <c r="R586" s="107"/>
      <c r="S586" s="107"/>
      <c r="T586" s="108"/>
      <c r="U586" s="109"/>
      <c r="V586" s="109"/>
      <c r="W586" s="11"/>
      <c r="X586" s="240"/>
      <c r="Y586" s="11"/>
      <c r="Z586" s="240"/>
      <c r="AA586" s="240"/>
      <c r="AB586" s="240"/>
      <c r="AC586" s="240"/>
    </row>
    <row r="587" spans="1:29" ht="48" customHeight="1">
      <c r="A587" s="131"/>
      <c r="B587" s="350" t="s">
        <v>88</v>
      </c>
      <c r="C587" s="345" t="s">
        <v>48</v>
      </c>
      <c r="D587" s="352" t="s">
        <v>130</v>
      </c>
      <c r="E587" s="295"/>
      <c r="F587" s="352" t="s">
        <v>93</v>
      </c>
      <c r="G587" s="295"/>
      <c r="H587" s="315" t="s">
        <v>89</v>
      </c>
      <c r="I587" s="315" t="s">
        <v>103</v>
      </c>
      <c r="J587" s="315" t="s">
        <v>2</v>
      </c>
      <c r="K587" s="315" t="s">
        <v>27</v>
      </c>
      <c r="L587" s="315" t="s">
        <v>28</v>
      </c>
      <c r="M587" s="316" t="s">
        <v>29</v>
      </c>
      <c r="N587" s="315" t="s">
        <v>104</v>
      </c>
      <c r="O587" s="343" t="s">
        <v>78</v>
      </c>
      <c r="P587" s="344"/>
      <c r="Q587" s="345" t="s">
        <v>144</v>
      </c>
      <c r="R587" s="345" t="s">
        <v>101</v>
      </c>
      <c r="S587" s="294" t="s">
        <v>3</v>
      </c>
      <c r="T587" s="295"/>
      <c r="U587" s="347" t="s">
        <v>18</v>
      </c>
      <c r="V587" s="366" t="s">
        <v>102</v>
      </c>
      <c r="W587" s="133"/>
      <c r="X587" s="361" t="s">
        <v>146</v>
      </c>
      <c r="Y587" s="133"/>
      <c r="Z587" s="133"/>
      <c r="AA587" s="133"/>
      <c r="AB587" s="245"/>
      <c r="AC587" s="361" t="s">
        <v>123</v>
      </c>
    </row>
    <row r="588" spans="1:29" ht="98.25" customHeight="1">
      <c r="A588" s="131"/>
      <c r="B588" s="351"/>
      <c r="C588" s="346"/>
      <c r="D588" s="134" t="s">
        <v>10</v>
      </c>
      <c r="E588" s="134" t="s">
        <v>4</v>
      </c>
      <c r="F588" s="134" t="s">
        <v>15</v>
      </c>
      <c r="G588" s="135" t="s">
        <v>90</v>
      </c>
      <c r="H588" s="314"/>
      <c r="I588" s="314"/>
      <c r="J588" s="314"/>
      <c r="K588" s="314"/>
      <c r="L588" s="314"/>
      <c r="M588" s="317"/>
      <c r="N588" s="314"/>
      <c r="O588" s="264" t="s">
        <v>76</v>
      </c>
      <c r="P588" s="264" t="str">
        <f>+P561</f>
        <v>¿EL CONTRATO SE ENCUENTRA CLASIFICADO EN ALGUNA DE LAS CLASIFICACIONES ESTABLECIDAS EN EL PLIEGO? (SI/NO) (721033 - 721410 - 721411 - 721416)</v>
      </c>
      <c r="Q588" s="346"/>
      <c r="R588" s="346"/>
      <c r="S588" s="264" t="s">
        <v>81</v>
      </c>
      <c r="T588" s="264" t="s">
        <v>77</v>
      </c>
      <c r="U588" s="348"/>
      <c r="V588" s="336"/>
      <c r="W588" s="133"/>
      <c r="X588" s="362"/>
      <c r="Y588" s="133"/>
      <c r="Z588" s="245"/>
      <c r="AA588" s="245"/>
      <c r="AB588" s="245"/>
      <c r="AC588" s="362"/>
    </row>
    <row r="589" spans="1:29" ht="16" thickBot="1">
      <c r="A589" s="122"/>
      <c r="B589" s="96"/>
      <c r="C589" s="97"/>
      <c r="D589" s="97"/>
      <c r="E589" s="97"/>
      <c r="F589" s="97"/>
      <c r="G589" s="97"/>
      <c r="H589" s="97"/>
      <c r="I589" s="97"/>
      <c r="J589" s="97"/>
      <c r="K589" s="97"/>
      <c r="L589" s="97"/>
      <c r="M589" s="97"/>
      <c r="N589" s="97"/>
      <c r="O589" s="97"/>
      <c r="P589" s="97"/>
      <c r="Q589" s="97"/>
      <c r="R589" s="173"/>
      <c r="S589" s="173"/>
      <c r="T589" s="97"/>
      <c r="U589" s="191"/>
      <c r="V589" s="202"/>
      <c r="W589" s="1"/>
      <c r="X589" s="241"/>
      <c r="Y589" s="1"/>
      <c r="Z589" s="42"/>
      <c r="AA589" s="42"/>
      <c r="AB589" s="42"/>
      <c r="AC589" s="241"/>
    </row>
    <row r="590" spans="1:29" ht="57.5" customHeight="1">
      <c r="A590" s="125" t="str">
        <f>"A"&amp;E586</f>
        <v>A22</v>
      </c>
      <c r="B590" s="140">
        <v>1</v>
      </c>
      <c r="C590" s="139" t="s">
        <v>318</v>
      </c>
      <c r="D590" s="139" t="s">
        <v>317</v>
      </c>
      <c r="E590" s="139" t="s">
        <v>319</v>
      </c>
      <c r="F590" s="139" t="s">
        <v>222</v>
      </c>
      <c r="G590" s="142">
        <v>0.5</v>
      </c>
      <c r="H590" s="142" t="s">
        <v>115</v>
      </c>
      <c r="I590" s="138" t="s">
        <v>50</v>
      </c>
      <c r="J590" s="378" t="str">
        <f>+I605</f>
        <v>SERVICIOS TECNICOS INDUSTRIALES PETROLEROS</v>
      </c>
      <c r="K590" s="127">
        <v>40065</v>
      </c>
      <c r="L590" s="127">
        <v>40640</v>
      </c>
      <c r="M590" s="128">
        <f>IF(OR(K590="",L590=""),"",IF(OR(K590&gt;$T$14,K590&lt;$S$14,L590&gt;$T$14,AND(K590&lt;$S$14,L590&lt;$S$14)),"FUERA DE RANGO",IF(K590&gt;=$S$14,ROUND(((L590-K590+1)/360*12),1),ROUND(((L590-$S$14+1)/360*12),1))))</f>
        <v>19.2</v>
      </c>
      <c r="N590" s="206">
        <v>8</v>
      </c>
      <c r="O590" s="138" t="s">
        <v>50</v>
      </c>
      <c r="P590" s="128" t="s">
        <v>50</v>
      </c>
      <c r="Q590" s="128" t="s">
        <v>110</v>
      </c>
      <c r="R590" s="95">
        <v>23450.71</v>
      </c>
      <c r="S590" s="95">
        <f t="shared" ref="S590:S595" si="128">IF(OR(G590="",R590=""),"",R590*G590)</f>
        <v>11725.355</v>
      </c>
      <c r="T590" s="129">
        <f>IF(OR(I590="NO",I590="",I590&lt;&gt;"SI",S590=""),"",IF(OR(L590&lt;$S$14,L590&gt;$T$14,L590=""),0,ROUND(S590,2)))</f>
        <v>11725.36</v>
      </c>
      <c r="U590" s="192" t="s">
        <v>428</v>
      </c>
      <c r="V590" s="204"/>
      <c r="W590" s="141"/>
      <c r="X590" s="222" t="s">
        <v>50</v>
      </c>
      <c r="Y590" s="141"/>
      <c r="Z590" s="223" t="str">
        <f t="shared" ref="Z590:Z595" si="129">IF(T590="","",IF(T590&gt;=PORCREQCTO*POSMMLV,"SI","NO"))</f>
        <v>SI</v>
      </c>
      <c r="AA590" s="296" t="str">
        <f>"VERIFICACIÓN CUMPLIMIENTO "&amp;PORCREQCTO*100&amp;"% DEL PO"</f>
        <v>VERIFICACIÓN CUMPLIMIENTO 50% DEL PO</v>
      </c>
      <c r="AB590" s="171"/>
      <c r="AC590" s="256"/>
    </row>
    <row r="591" spans="1:29">
      <c r="A591" s="125" t="str">
        <f>"B"&amp;E586</f>
        <v>B22</v>
      </c>
      <c r="B591" s="140"/>
      <c r="C591" s="139"/>
      <c r="D591" s="139"/>
      <c r="E591" s="139"/>
      <c r="F591" s="139"/>
      <c r="G591" s="142"/>
      <c r="H591" s="142"/>
      <c r="I591" s="138"/>
      <c r="J591" s="138"/>
      <c r="K591" s="127"/>
      <c r="L591" s="127"/>
      <c r="M591" s="128" t="str">
        <f t="shared" ref="M591:M595" si="130">IF(OR(K591="",L591=""),"",IF(OR(K591&gt;$T$14,K591&lt;$S$14,L591&gt;$T$14,AND(K591&lt;$S$14,L591&lt;$S$14)),"FUERA DE RANGO",IF(K591&gt;=$S$14,ROUND(((L591-K591+1)/360*12),1),ROUND(((L591-$S$14+1)/360*12),1))))</f>
        <v/>
      </c>
      <c r="N591" s="206"/>
      <c r="O591" s="138"/>
      <c r="P591" s="128"/>
      <c r="Q591" s="128"/>
      <c r="R591" s="95"/>
      <c r="S591" s="95" t="str">
        <f t="shared" si="128"/>
        <v/>
      </c>
      <c r="T591" s="129" t="str">
        <f t="shared" ref="T591:T595" si="131">IF(OR(I591="NO",I591="",I591&lt;&gt;"SI",S591=""),"",IF(OR(L591&lt;$S$14,L591&gt;$T$14,L591=""),0,ROUND(S591,2)))</f>
        <v/>
      </c>
      <c r="U591" s="192"/>
      <c r="V591" s="204"/>
      <c r="W591" s="141"/>
      <c r="X591" s="222"/>
      <c r="Y591" s="141"/>
      <c r="Z591" s="224" t="str">
        <f t="shared" si="129"/>
        <v/>
      </c>
      <c r="AA591" s="297"/>
      <c r="AB591" s="171"/>
      <c r="AC591" s="256"/>
    </row>
    <row r="592" spans="1:29">
      <c r="A592" s="125" t="str">
        <f>"C"&amp;E586</f>
        <v>C22</v>
      </c>
      <c r="B592" s="140"/>
      <c r="C592" s="139"/>
      <c r="D592" s="139"/>
      <c r="E592" s="139"/>
      <c r="F592" s="139"/>
      <c r="G592" s="142"/>
      <c r="H592" s="142"/>
      <c r="I592" s="138"/>
      <c r="J592" s="138"/>
      <c r="K592" s="127"/>
      <c r="L592" s="127"/>
      <c r="M592" s="128" t="str">
        <f t="shared" si="130"/>
        <v/>
      </c>
      <c r="N592" s="206"/>
      <c r="O592" s="138"/>
      <c r="P592" s="128"/>
      <c r="Q592" s="128"/>
      <c r="R592" s="95"/>
      <c r="S592" s="95" t="str">
        <f t="shared" si="128"/>
        <v/>
      </c>
      <c r="T592" s="129" t="str">
        <f t="shared" si="131"/>
        <v/>
      </c>
      <c r="U592" s="192"/>
      <c r="V592" s="204"/>
      <c r="W592" s="141"/>
      <c r="X592" s="222"/>
      <c r="Y592" s="141"/>
      <c r="Z592" s="224" t="str">
        <f t="shared" si="129"/>
        <v/>
      </c>
      <c r="AA592" s="297"/>
      <c r="AB592" s="171"/>
      <c r="AC592" s="256"/>
    </row>
    <row r="593" spans="1:29">
      <c r="A593" s="125" t="str">
        <f>"D"&amp;E586</f>
        <v>D22</v>
      </c>
      <c r="B593" s="140"/>
      <c r="C593" s="139"/>
      <c r="D593" s="139"/>
      <c r="E593" s="139"/>
      <c r="F593" s="139"/>
      <c r="G593" s="142"/>
      <c r="H593" s="142"/>
      <c r="I593" s="138"/>
      <c r="J593" s="138"/>
      <c r="K593" s="127"/>
      <c r="L593" s="127"/>
      <c r="M593" s="128" t="str">
        <f t="shared" si="130"/>
        <v/>
      </c>
      <c r="N593" s="206"/>
      <c r="O593" s="138"/>
      <c r="P593" s="128"/>
      <c r="Q593" s="128"/>
      <c r="R593" s="95"/>
      <c r="S593" s="95" t="str">
        <f t="shared" si="128"/>
        <v/>
      </c>
      <c r="T593" s="129" t="str">
        <f t="shared" si="131"/>
        <v/>
      </c>
      <c r="U593" s="192"/>
      <c r="V593" s="204"/>
      <c r="W593" s="141"/>
      <c r="X593" s="222"/>
      <c r="Y593" s="141"/>
      <c r="Z593" s="224" t="str">
        <f t="shared" si="129"/>
        <v/>
      </c>
      <c r="AA593" s="297"/>
      <c r="AB593" s="171"/>
      <c r="AC593" s="256"/>
    </row>
    <row r="594" spans="1:29">
      <c r="A594" s="125" t="str">
        <f>"E"&amp;E586</f>
        <v>E22</v>
      </c>
      <c r="B594" s="140"/>
      <c r="C594" s="139"/>
      <c r="D594" s="139"/>
      <c r="E594" s="139"/>
      <c r="F594" s="139"/>
      <c r="G594" s="142"/>
      <c r="H594" s="142"/>
      <c r="I594" s="138"/>
      <c r="J594" s="138"/>
      <c r="K594" s="127"/>
      <c r="L594" s="127"/>
      <c r="M594" s="128" t="str">
        <f t="shared" si="130"/>
        <v/>
      </c>
      <c r="N594" s="206"/>
      <c r="O594" s="138"/>
      <c r="P594" s="128"/>
      <c r="Q594" s="128"/>
      <c r="R594" s="95"/>
      <c r="S594" s="95" t="str">
        <f t="shared" si="128"/>
        <v/>
      </c>
      <c r="T594" s="129" t="str">
        <f t="shared" si="131"/>
        <v/>
      </c>
      <c r="U594" s="192"/>
      <c r="V594" s="204"/>
      <c r="W594" s="141"/>
      <c r="X594" s="222"/>
      <c r="Y594" s="141"/>
      <c r="Z594" s="224" t="str">
        <f t="shared" si="129"/>
        <v/>
      </c>
      <c r="AA594" s="297"/>
      <c r="AB594" s="171"/>
      <c r="AC594" s="256"/>
    </row>
    <row r="595" spans="1:29" ht="16" thickBot="1">
      <c r="A595" s="125" t="str">
        <f>"F"&amp;E586</f>
        <v>F22</v>
      </c>
      <c r="B595" s="140"/>
      <c r="C595" s="139"/>
      <c r="D595" s="139"/>
      <c r="E595" s="139"/>
      <c r="F595" s="139"/>
      <c r="G595" s="142"/>
      <c r="H595" s="142"/>
      <c r="I595" s="138"/>
      <c r="J595" s="138"/>
      <c r="K595" s="127"/>
      <c r="L595" s="127"/>
      <c r="M595" s="128" t="str">
        <f t="shared" si="130"/>
        <v/>
      </c>
      <c r="N595" s="206"/>
      <c r="O595" s="138"/>
      <c r="P595" s="128"/>
      <c r="Q595" s="128"/>
      <c r="R595" s="95"/>
      <c r="S595" s="95" t="str">
        <f t="shared" si="128"/>
        <v/>
      </c>
      <c r="T595" s="129" t="str">
        <f t="shared" si="131"/>
        <v/>
      </c>
      <c r="U595" s="192"/>
      <c r="V595" s="204"/>
      <c r="W595" s="141"/>
      <c r="X595" s="222"/>
      <c r="Y595" s="141"/>
      <c r="Z595" s="225" t="str">
        <f t="shared" si="129"/>
        <v/>
      </c>
      <c r="AA595" s="363"/>
      <c r="AB595" s="171"/>
      <c r="AC595" s="256"/>
    </row>
    <row r="596" spans="1:29" ht="16" thickBot="1">
      <c r="A596" s="122"/>
      <c r="B596" s="96"/>
      <c r="C596" s="97"/>
      <c r="D596" s="97"/>
      <c r="E596" s="97"/>
      <c r="F596" s="97"/>
      <c r="G596" s="97"/>
      <c r="H596" s="97"/>
      <c r="I596" s="97"/>
      <c r="J596" s="97"/>
      <c r="K596" s="97"/>
      <c r="L596" s="97"/>
      <c r="M596" s="97"/>
      <c r="N596" s="97"/>
      <c r="O596" s="97"/>
      <c r="P596" s="97"/>
      <c r="Q596" s="97"/>
      <c r="R596" s="173"/>
      <c r="S596" s="173"/>
      <c r="T596" s="126"/>
      <c r="U596" s="98"/>
      <c r="V596" s="205"/>
      <c r="W596" s="1"/>
      <c r="X596" s="242"/>
      <c r="Y596" s="1"/>
      <c r="Z596" s="42"/>
      <c r="AA596" s="42"/>
      <c r="AB596" s="42"/>
      <c r="AC596" s="242"/>
    </row>
    <row r="597" spans="1:29" ht="16" thickBot="1">
      <c r="A597" s="123"/>
      <c r="B597" s="99"/>
      <c r="C597" s="94"/>
      <c r="D597" s="94"/>
      <c r="E597" s="94"/>
      <c r="F597" s="94"/>
      <c r="G597" s="94"/>
      <c r="H597" s="94"/>
      <c r="I597" s="94"/>
      <c r="J597" s="94"/>
      <c r="K597" s="94"/>
      <c r="L597" s="94"/>
      <c r="M597" s="94"/>
      <c r="N597" s="94"/>
      <c r="O597" s="94"/>
      <c r="P597" s="94"/>
      <c r="Q597" s="94"/>
      <c r="R597" s="265"/>
      <c r="S597" s="265"/>
      <c r="T597" s="130">
        <f>SUM(T590:T595)</f>
        <v>11725.36</v>
      </c>
      <c r="U597" s="100"/>
      <c r="V597" s="203"/>
      <c r="W597" s="12"/>
      <c r="X597" s="243"/>
      <c r="Y597" s="12"/>
      <c r="Z597" s="243"/>
      <c r="AA597" s="243"/>
      <c r="AB597" s="243"/>
      <c r="AC597" s="243"/>
    </row>
    <row r="598" spans="1:29">
      <c r="B598" s="197"/>
      <c r="C598" s="193"/>
      <c r="D598" s="193"/>
      <c r="E598" s="193"/>
      <c r="F598" s="193"/>
      <c r="G598" s="193"/>
      <c r="H598" s="193"/>
      <c r="I598" s="193"/>
      <c r="J598" s="193"/>
      <c r="K598" s="193"/>
      <c r="L598" s="193"/>
      <c r="M598" s="193"/>
      <c r="N598" s="193"/>
      <c r="O598" s="193"/>
      <c r="P598" s="193"/>
      <c r="Q598" s="193"/>
      <c r="R598" s="194"/>
      <c r="S598" s="194"/>
      <c r="T598" s="195"/>
      <c r="U598" s="196"/>
      <c r="V598" s="195"/>
    </row>
    <row r="599" spans="1:29" ht="16" thickBot="1">
      <c r="A599" s="122"/>
      <c r="B599" s="322" t="s">
        <v>45</v>
      </c>
      <c r="C599" s="323"/>
      <c r="D599" s="323"/>
      <c r="E599" s="323"/>
      <c r="F599" s="323"/>
      <c r="G599" s="324"/>
      <c r="H599" s="324"/>
      <c r="I599" s="324"/>
      <c r="J599" s="324"/>
      <c r="K599" s="324"/>
      <c r="L599" s="324"/>
      <c r="M599" s="324"/>
      <c r="N599" s="324"/>
      <c r="O599" s="324"/>
      <c r="P599" s="324"/>
      <c r="Q599" s="324"/>
      <c r="R599" s="324"/>
      <c r="S599" s="324"/>
      <c r="T599" s="324"/>
      <c r="U599" s="325"/>
      <c r="V599" s="201"/>
      <c r="W599" s="1"/>
      <c r="X599" s="42"/>
      <c r="Y599" s="1"/>
      <c r="Z599" s="42"/>
      <c r="AA599" s="42"/>
      <c r="AB599" s="42"/>
      <c r="AC599" s="42"/>
    </row>
    <row r="600" spans="1:29" ht="16.5" customHeight="1" thickBot="1">
      <c r="A600" s="122" t="str">
        <f>"G"&amp;E586</f>
        <v>G22</v>
      </c>
      <c r="B600" s="291" t="s">
        <v>97</v>
      </c>
      <c r="C600" s="292"/>
      <c r="D600" s="292"/>
      <c r="E600" s="292"/>
      <c r="F600" s="292"/>
      <c r="G600" s="326"/>
      <c r="H600" s="291" t="s">
        <v>100</v>
      </c>
      <c r="I600" s="292"/>
      <c r="J600" s="292"/>
      <c r="K600" s="292"/>
      <c r="L600" s="292"/>
      <c r="M600" s="292"/>
      <c r="N600" s="292"/>
      <c r="O600" s="189" t="s">
        <v>23</v>
      </c>
      <c r="P600" s="190"/>
      <c r="Q600" s="190"/>
      <c r="R600" s="190"/>
      <c r="S600" s="190"/>
      <c r="T600" s="190"/>
      <c r="U600" s="253"/>
      <c r="V600" s="201"/>
      <c r="W600" s="1"/>
      <c r="X600" s="239" t="s">
        <v>117</v>
      </c>
      <c r="Y600" s="1"/>
      <c r="Z600" s="355" t="s">
        <v>119</v>
      </c>
      <c r="AA600" s="345" t="s">
        <v>120</v>
      </c>
      <c r="AB600" s="345" t="s">
        <v>148</v>
      </c>
      <c r="AC600" s="359" t="s">
        <v>149</v>
      </c>
    </row>
    <row r="601" spans="1:29" ht="15.75" customHeight="1" thickBot="1">
      <c r="A601" s="122" t="str">
        <f>"H"&amp;E586</f>
        <v>H22</v>
      </c>
      <c r="B601" s="293" t="s">
        <v>132</v>
      </c>
      <c r="C601" s="294"/>
      <c r="D601" s="294"/>
      <c r="E601" s="294"/>
      <c r="F601" s="294"/>
      <c r="G601" s="327"/>
      <c r="H601" s="293" t="s">
        <v>17</v>
      </c>
      <c r="I601" s="294"/>
      <c r="J601" s="294"/>
      <c r="K601" s="294"/>
      <c r="L601" s="295"/>
      <c r="M601" s="183">
        <f>VLOOKUP(E586,PROPONENTES!$C$14:$E$37,3,0)</f>
        <v>2</v>
      </c>
      <c r="N601" s="296" t="s">
        <v>143</v>
      </c>
      <c r="O601" s="299"/>
      <c r="P601" s="300"/>
      <c r="Q601" s="300"/>
      <c r="R601" s="300"/>
      <c r="S601" s="300"/>
      <c r="T601" s="300"/>
      <c r="U601" s="301"/>
      <c r="V601" s="201"/>
      <c r="W601" s="1"/>
      <c r="X601" s="244" t="str">
        <f>IF(M601="","",IF(M601=1,"INDIVIDUAL","ESTRUCTURA PLURAL"))</f>
        <v>ESTRUCTURA PLURAL</v>
      </c>
      <c r="Y601" s="1"/>
      <c r="Z601" s="356"/>
      <c r="AA601" s="358"/>
      <c r="AB601" s="358"/>
      <c r="AC601" s="360"/>
    </row>
    <row r="602" spans="1:29" ht="15.75" customHeight="1" thickBot="1">
      <c r="A602" s="122" t="str">
        <f>"I"&amp;E586</f>
        <v>I22</v>
      </c>
      <c r="B602" s="328" t="s">
        <v>131</v>
      </c>
      <c r="C602" s="329"/>
      <c r="D602" s="330"/>
      <c r="E602" s="308">
        <f>IF(AND(I590="SI",T590&gt;0),1,0)+IF(AND(I591="SI",T591&gt;0),1,0)+IF(AND(I592="SI",T592&gt;0),1,0)+IF(AND(I593="SI",T593&gt;0),1,0)+IF(AND(I594="SI",T594&gt;0),1,0)+IF(AND(I595="SI",T595&gt;0),1,0)</f>
        <v>1</v>
      </c>
      <c r="F602" s="310" t="s">
        <v>133</v>
      </c>
      <c r="G602" s="312">
        <f>IF(E602=0,"N/A",IF(AND(E602&gt;=1,E602&lt;=2),0.75,IF(AND(E602&gt;=3,E602&lt;=4),1.2,IF(AND(E602&gt;=5,E602&lt;=6),1.5,"REVISAR"))))</f>
        <v>0.75</v>
      </c>
      <c r="H602" s="334" t="s">
        <v>16</v>
      </c>
      <c r="I602" s="335"/>
      <c r="J602" s="314" t="s">
        <v>0</v>
      </c>
      <c r="K602" s="314" t="s">
        <v>140</v>
      </c>
      <c r="L602" s="314" t="s">
        <v>141</v>
      </c>
      <c r="M602" s="320" t="s">
        <v>142</v>
      </c>
      <c r="N602" s="297"/>
      <c r="O602" s="302"/>
      <c r="P602" s="303"/>
      <c r="Q602" s="303"/>
      <c r="R602" s="303"/>
      <c r="S602" s="303"/>
      <c r="T602" s="303"/>
      <c r="U602" s="304"/>
      <c r="V602" s="201"/>
      <c r="W602" s="38"/>
      <c r="X602" s="171"/>
      <c r="Y602" s="38"/>
      <c r="Z602" s="356"/>
      <c r="AA602" s="358"/>
      <c r="AB602" s="358"/>
      <c r="AC602" s="360"/>
    </row>
    <row r="603" spans="1:29" ht="16.5" customHeight="1" thickBot="1">
      <c r="A603" s="122" t="str">
        <f>"J"&amp;E586</f>
        <v>J22</v>
      </c>
      <c r="B603" s="331"/>
      <c r="C603" s="332"/>
      <c r="D603" s="333"/>
      <c r="E603" s="309"/>
      <c r="F603" s="311"/>
      <c r="G603" s="313"/>
      <c r="H603" s="336"/>
      <c r="I603" s="337"/>
      <c r="J603" s="314"/>
      <c r="K603" s="314"/>
      <c r="L603" s="314"/>
      <c r="M603" s="321"/>
      <c r="N603" s="298"/>
      <c r="O603" s="302"/>
      <c r="P603" s="303"/>
      <c r="Q603" s="303"/>
      <c r="R603" s="303"/>
      <c r="S603" s="303"/>
      <c r="T603" s="303"/>
      <c r="U603" s="304"/>
      <c r="V603" s="201"/>
      <c r="W603" s="38"/>
      <c r="X603" s="239" t="s">
        <v>118</v>
      </c>
      <c r="Y603" s="38"/>
      <c r="Z603" s="357"/>
      <c r="AA603" s="346"/>
      <c r="AB603" s="346"/>
      <c r="AC603" s="321"/>
    </row>
    <row r="604" spans="1:29" ht="16" thickBot="1">
      <c r="A604" s="125" t="str">
        <f>"K"&amp;E586</f>
        <v>K22</v>
      </c>
      <c r="B604" s="293" t="s">
        <v>98</v>
      </c>
      <c r="C604" s="294"/>
      <c r="D604" s="294"/>
      <c r="E604" s="294"/>
      <c r="F604" s="294"/>
      <c r="G604" s="294"/>
      <c r="H604" s="186">
        <v>1</v>
      </c>
      <c r="I604" s="92" t="str">
        <f>IF(AND(H604&lt;=M601,M601&gt;1),VLOOKUP(VALUE(E586&amp;","&amp;H604),INTEGRANTES!$B$15:$D$72,2,0),"")</f>
        <v>INGREPRON S.A.S.</v>
      </c>
      <c r="J604" s="187">
        <f>IF(I604&lt;&gt;"",VLOOKUP(VALUE(E586&amp;","&amp;H604),INTEGRANTES!$B$15:$D$72,3,0),"")</f>
        <v>0.5</v>
      </c>
      <c r="K604" s="247">
        <f>IF($I604="","",IF(G602="N/A","",ROUND($G602*POSMMLV*PORPOM,2)))</f>
        <v>697.02</v>
      </c>
      <c r="L604" s="247">
        <f>IF(I604="","",SUMIF($J590:$J595,I604,$T590:$T595))</f>
        <v>0</v>
      </c>
      <c r="M604" s="93" t="str">
        <f t="shared" ref="M604:M609" si="132">IF($I604="","",IF($K604&gt;L604,"NO CUMPLE","CUMPLE"))</f>
        <v>NO CUMPLE</v>
      </c>
      <c r="N604" s="93" t="str">
        <f t="shared" ref="N604:N609" si="133">IF($I604="","",IF(M604="CUMPLE","CUMPLE","NO CUMPLE"))</f>
        <v>NO CUMPLE</v>
      </c>
      <c r="O604" s="302"/>
      <c r="P604" s="303"/>
      <c r="Q604" s="303"/>
      <c r="R604" s="303"/>
      <c r="S604" s="303"/>
      <c r="T604" s="303"/>
      <c r="U604" s="304"/>
      <c r="V604" s="201"/>
      <c r="W604" s="1"/>
      <c r="X604" s="244" t="str">
        <f>IF(X601="","",IF(X601="INDIVIDUAL","NO APLICA","VERIFICAR CUADRO"))</f>
        <v>VERIFICAR CUADRO</v>
      </c>
      <c r="Y604" s="1"/>
      <c r="Z604" s="262" t="str">
        <f>IF(AND(H604&lt;=M601,M601&gt;1),VLOOKUP(VALUE(E586&amp;","&amp;H604),INTEGRANTES!$B$15:$D$72,2,0),"")</f>
        <v>INGREPRON S.A.S.</v>
      </c>
      <c r="AA604" s="248">
        <f>IF(I604="","",SUMIF(J590:$J595,I604,$T590:$T595))</f>
        <v>0</v>
      </c>
      <c r="AB604" s="232"/>
      <c r="AC604" s="250" t="str">
        <f>IF(OR(Z604="",AB604=""),"",IF(AND(AB604="X",AA604&gt;=X607),"CUMPLE","NO CUMPLE"))</f>
        <v/>
      </c>
    </row>
    <row r="605" spans="1:29" ht="15.75" customHeight="1" thickBot="1">
      <c r="A605" s="125" t="str">
        <f>"L"&amp;E586</f>
        <v>L22</v>
      </c>
      <c r="B605" s="328" t="s">
        <v>134</v>
      </c>
      <c r="C605" s="329"/>
      <c r="D605" s="330"/>
      <c r="E605" s="132" t="s">
        <v>135</v>
      </c>
      <c r="F605" s="132" t="s">
        <v>136</v>
      </c>
      <c r="G605" s="136" t="s">
        <v>99</v>
      </c>
      <c r="H605" s="186">
        <v>2</v>
      </c>
      <c r="I605" s="92" t="str">
        <f>IF(AND(H605&lt;=M601,M601&gt;1),VLOOKUP(VALUE(E586&amp;","&amp;H605),INTEGRANTES!$B$15:$D$72,2,0),"")</f>
        <v>SERVICIOS TECNICOS INDUSTRIALES PETROLEROS</v>
      </c>
      <c r="J605" s="187">
        <f>IF(I605&lt;&gt;"",VLOOKUP(VALUE(E586&amp;","&amp;H605),INTEGRANTES!$B$15:$D$72,3,0),"")</f>
        <v>0.5</v>
      </c>
      <c r="K605" s="247">
        <f>IF($I605="","",IF(G602="N/A","",ROUND($G602*POSMMLV*PORPOM,2)))</f>
        <v>697.02</v>
      </c>
      <c r="L605" s="247">
        <f>IF(I605="","",SUMIF($J590:$J595,I605,$T590:$T595))</f>
        <v>11725.36</v>
      </c>
      <c r="M605" s="93" t="str">
        <f t="shared" si="132"/>
        <v>CUMPLE</v>
      </c>
      <c r="N605" s="93" t="str">
        <f t="shared" si="133"/>
        <v>CUMPLE</v>
      </c>
      <c r="O605" s="302"/>
      <c r="P605" s="303"/>
      <c r="Q605" s="303"/>
      <c r="R605" s="303"/>
      <c r="S605" s="303"/>
      <c r="T605" s="303"/>
      <c r="U605" s="304"/>
      <c r="V605" s="201"/>
      <c r="W605" s="1"/>
      <c r="X605" s="42"/>
      <c r="Y605" s="1"/>
      <c r="Z605" s="262" t="str">
        <f>IF(AND(H605&lt;=M601,M601&gt;1),VLOOKUP(VALUE(E586&amp;","&amp;H605),INTEGRANTES!$B$15:$D$72,2,0),"")</f>
        <v>SERVICIOS TECNICOS INDUSTRIALES PETROLEROS</v>
      </c>
      <c r="AA605" s="248">
        <f>IF(I605="","",SUMIF(J590:$J595,I605,$T590:$T595))</f>
        <v>11725.36</v>
      </c>
      <c r="AB605" s="232"/>
      <c r="AC605" s="250" t="str">
        <f>IF(OR(Z605="",AB605=""),"",IF(AND(AB605="X",AA605&gt;=X607),"CUMPLE","NO CUMPLE"))</f>
        <v/>
      </c>
    </row>
    <row r="606" spans="1:29" ht="16" thickBot="1">
      <c r="A606" s="122" t="str">
        <f>"M"&amp;E586</f>
        <v>M22</v>
      </c>
      <c r="B606" s="331"/>
      <c r="C606" s="332"/>
      <c r="D606" s="333"/>
      <c r="E606" s="237">
        <f>IF(ISTEXT(G602),"NO APLICA",G602*POSMMLV)</f>
        <v>1394.0360281651363</v>
      </c>
      <c r="F606" s="238">
        <f>IF(E606="","",T597)</f>
        <v>11725.36</v>
      </c>
      <c r="G606" s="221" t="str">
        <f>IF(E606="","",IF(E606="NO APLICA","NO CUMPLE",IF(F606&gt;=E606,"CUMPLE", "NO CUMPLE")))</f>
        <v>CUMPLE</v>
      </c>
      <c r="H606" s="186">
        <v>3</v>
      </c>
      <c r="I606" s="92" t="str">
        <f>IF(AND(H606&lt;=M601,M601&gt;1),VLOOKUP(VALUE(E586&amp;","&amp;H606),INTEGRANTES!$B$15:$D$72,2,0),"")</f>
        <v/>
      </c>
      <c r="J606" s="187" t="str">
        <f>IF(I606&lt;&gt;"",VLOOKUP(VALUE(E586&amp;","&amp;H606),INTEGRANTES!$B$15:$D$72,3,0),"")</f>
        <v/>
      </c>
      <c r="K606" s="247" t="str">
        <f>IF($I606="","",IF(G602="N/A","",ROUND($G602*POSMMLV*PORPOM,2)))</f>
        <v/>
      </c>
      <c r="L606" s="247" t="str">
        <f>IF(I606="","",SUMIF($J590:$J595,I606,$T590:$T595))</f>
        <v/>
      </c>
      <c r="M606" s="93" t="str">
        <f t="shared" si="132"/>
        <v/>
      </c>
      <c r="N606" s="93" t="str">
        <f t="shared" si="133"/>
        <v/>
      </c>
      <c r="O606" s="302"/>
      <c r="P606" s="303"/>
      <c r="Q606" s="303"/>
      <c r="R606" s="303"/>
      <c r="S606" s="303"/>
      <c r="T606" s="303"/>
      <c r="U606" s="304"/>
      <c r="V606" s="201"/>
      <c r="W606" s="1"/>
      <c r="X606" s="239" t="s">
        <v>145</v>
      </c>
      <c r="Y606" s="1"/>
      <c r="Z606" s="262" t="str">
        <f>IF(AND(H606&lt;=M601,M601&gt;1),VLOOKUP(VALUE(E586&amp;","&amp;H606),INTEGRANTES!$B$15:$D$72,2,0),"")</f>
        <v/>
      </c>
      <c r="AA606" s="248" t="str">
        <f>IF(I606="","",SUMIF(J590:$J595,I606,$T590:$T595))</f>
        <v/>
      </c>
      <c r="AB606" s="232"/>
      <c r="AC606" s="250" t="str">
        <f>IF(OR(Z606="",AB606=""),"",IF(AND(AB606="X",AA606&gt;=X607),"CUMPLE","NO CUMPLE"))</f>
        <v/>
      </c>
    </row>
    <row r="607" spans="1:29" ht="15.75" customHeight="1" thickBot="1">
      <c r="A607" s="122" t="str">
        <f>"N"&amp;E586</f>
        <v>N22</v>
      </c>
      <c r="B607" s="293" t="s">
        <v>107</v>
      </c>
      <c r="C607" s="294"/>
      <c r="D607" s="294"/>
      <c r="E607" s="294"/>
      <c r="F607" s="294"/>
      <c r="G607" s="294"/>
      <c r="H607" s="186">
        <v>4</v>
      </c>
      <c r="I607" s="92" t="str">
        <f>IF(AND(H607&lt;=M601,M601&gt;1),VLOOKUP(VALUE(E586&amp;","&amp;H607),INTEGRANTES!$B$15:$D$72,2,0),"")</f>
        <v/>
      </c>
      <c r="J607" s="187" t="str">
        <f>IF(I607&lt;&gt;"",VLOOKUP(VALUE(E586&amp;","&amp;H607),INTEGRANTES!$B$15:$D$72,3,0),"")</f>
        <v/>
      </c>
      <c r="K607" s="247" t="str">
        <f>IF($I607="","",IF(G602="N/A","",ROUND($G602*POSMMLV*PORPOM,2)))</f>
        <v/>
      </c>
      <c r="L607" s="247" t="str">
        <f>IF(I607="","",SUMIF($J590:$J595,I607,$T590:$T595))</f>
        <v/>
      </c>
      <c r="M607" s="93" t="str">
        <f t="shared" si="132"/>
        <v/>
      </c>
      <c r="N607" s="93" t="str">
        <f t="shared" si="133"/>
        <v/>
      </c>
      <c r="O607" s="302"/>
      <c r="P607" s="303"/>
      <c r="Q607" s="303"/>
      <c r="R607" s="303"/>
      <c r="S607" s="303"/>
      <c r="T607" s="303"/>
      <c r="U607" s="304"/>
      <c r="V607" s="201"/>
      <c r="W607" s="1"/>
      <c r="X607" s="251">
        <f>IF(G602="N/A","N/A",0.4*G602*POSMMLV)</f>
        <v>557.61441126605462</v>
      </c>
      <c r="Y607" s="1"/>
      <c r="Z607" s="262" t="str">
        <f>IF(AND(H607&lt;=M601,M601&gt;1),VLOOKUP(VALUE(E586&amp;","&amp;H607),INTEGRANTES!$B$15:$D$72,2,0),"")</f>
        <v/>
      </c>
      <c r="AA607" s="248" t="str">
        <f>IF(I607="","",SUMIF(J590:$J595,I607,$T590:$T595))</f>
        <v/>
      </c>
      <c r="AB607" s="232"/>
      <c r="AC607" s="250" t="str">
        <f>IF(OR(Z607="",AB607=""),"",IF(AND(AB607="X",AA607&gt;=X607),"CUMPLE","NO CUMPLE"))</f>
        <v/>
      </c>
    </row>
    <row r="608" spans="1:29" ht="33.75" customHeight="1" thickBot="1">
      <c r="A608" s="122" t="str">
        <f>"O"&amp;E586</f>
        <v>O22</v>
      </c>
      <c r="B608" s="328" t="s">
        <v>108</v>
      </c>
      <c r="C608" s="329"/>
      <c r="D608" s="329"/>
      <c r="E608" s="329"/>
      <c r="F608" s="329"/>
      <c r="G608" s="185" t="s">
        <v>99</v>
      </c>
      <c r="H608" s="186">
        <v>5</v>
      </c>
      <c r="I608" s="92" t="str">
        <f>IF(AND(H608&lt;=M601,M601&gt;1),VLOOKUP(VALUE(E586&amp;","&amp;H608),INTEGRANTES!$B$15:$D$72,2,0),"")</f>
        <v/>
      </c>
      <c r="J608" s="187" t="str">
        <f>IF(I608&lt;&gt;"",VLOOKUP(VALUE(E586&amp;","&amp;H608),INTEGRANTES!$B$15:$D$72,3,0),"")</f>
        <v/>
      </c>
      <c r="K608" s="247" t="str">
        <f>IF($I608="","",IF(G602="N/A","",ROUND($G602*POSMMLV*PORPOM,2)))</f>
        <v/>
      </c>
      <c r="L608" s="247" t="str">
        <f>IF(I608="","",SUMIF($J590:$J595,I608,$T590:$T595))</f>
        <v/>
      </c>
      <c r="M608" s="93" t="str">
        <f t="shared" si="132"/>
        <v/>
      </c>
      <c r="N608" s="93" t="str">
        <f t="shared" si="133"/>
        <v/>
      </c>
      <c r="O608" s="302"/>
      <c r="P608" s="303"/>
      <c r="Q608" s="303"/>
      <c r="R608" s="303"/>
      <c r="S608" s="303"/>
      <c r="T608" s="303"/>
      <c r="U608" s="304"/>
      <c r="V608" s="201"/>
      <c r="W608" s="1"/>
      <c r="X608" s="42"/>
      <c r="Y608" s="1"/>
      <c r="Z608" s="262" t="str">
        <f>IF(AND(H608&lt;=M601,M601&gt;1),VLOOKUP(VALUE(E586&amp;","&amp;H608),INTEGRANTES!$B$15:$D$72,2,0),"")</f>
        <v/>
      </c>
      <c r="AA608" s="248" t="str">
        <f>IF(I608="","",SUMIF(J590:$J595,I608,$T590:$T595))</f>
        <v/>
      </c>
      <c r="AB608" s="232"/>
      <c r="AC608" s="250" t="str">
        <f>IF(OR(Z608="",AB608=""),"",IF(AND(AB608="X",AA608&gt;=X607),"CUMPLE","NO CUMPLE"))</f>
        <v/>
      </c>
    </row>
    <row r="609" spans="1:29" ht="16" thickBot="1">
      <c r="A609" s="122" t="str">
        <f>"P"&amp;E586</f>
        <v>P22</v>
      </c>
      <c r="B609" s="353"/>
      <c r="C609" s="354"/>
      <c r="D609" s="354"/>
      <c r="E609" s="354"/>
      <c r="F609" s="354"/>
      <c r="G609" s="137" t="str">
        <f>IF(AND(COUNTIF(X590:X595,"")&gt;5,COUNTIF(Z590:Z595,"")&gt;5),"NO CUMPLE",IF(AND(COUNTIF(X590:X595,"SI")&gt;=$AF$17,COUNTIF(Z590:Z595,"SI")&gt;=$AF$17),"CUMPLE", "NO CUMPLE"))</f>
        <v>CUMPLE</v>
      </c>
      <c r="H609" s="257">
        <v>6</v>
      </c>
      <c r="I609" s="258" t="str">
        <f>IF(AND(H609&lt;=M601,M601&gt;1),VLOOKUP(VALUE(E586&amp;","&amp;H609),INTEGRANTES!$B$15:$D$72,2,0),"")</f>
        <v/>
      </c>
      <c r="J609" s="259" t="str">
        <f>IF(I609&lt;&gt;"",VLOOKUP(VALUE(E586&amp;","&amp;H609),INTEGRANTES!$B$15:$D$72,3,0),"")</f>
        <v/>
      </c>
      <c r="K609" s="260" t="str">
        <f>IF($I609="","",IF(G602="N/A","",ROUND($G602*POSMMLV*PORPOM,2)))</f>
        <v/>
      </c>
      <c r="L609" s="260" t="str">
        <f>IF(I609="","",SUMIF($J590:$J595,I609,$T590:$T595))</f>
        <v/>
      </c>
      <c r="M609" s="261" t="str">
        <f t="shared" si="132"/>
        <v/>
      </c>
      <c r="N609" s="93" t="str">
        <f t="shared" si="133"/>
        <v/>
      </c>
      <c r="O609" s="302"/>
      <c r="P609" s="303"/>
      <c r="Q609" s="303"/>
      <c r="R609" s="303"/>
      <c r="S609" s="303"/>
      <c r="T609" s="303"/>
      <c r="U609" s="304"/>
      <c r="V609" s="201"/>
      <c r="W609" s="1"/>
      <c r="X609" s="239" t="s">
        <v>122</v>
      </c>
      <c r="Y609" s="1"/>
      <c r="Z609" s="263" t="str">
        <f>IF(AND(H609&lt;=M601,M601&gt;1),VLOOKUP(VALUE(E586&amp;","&amp;H609),INTEGRANTES!$B$15:$D$72,2,0),"")</f>
        <v/>
      </c>
      <c r="AA609" s="249" t="str">
        <f>IF(I609="","",SUMIF(J590:$J595,I609,$T590:$T595))</f>
        <v/>
      </c>
      <c r="AB609" s="246"/>
      <c r="AC609" s="137" t="str">
        <f>IF(OR(Z609="",AB609=""),"",IF(AND(AB609="X",AA609&gt;=X607),"CUMPLE","NO CUMPLE"))</f>
        <v/>
      </c>
    </row>
    <row r="610" spans="1:29" ht="38.25" customHeight="1" thickBot="1">
      <c r="A610" s="122" t="str">
        <f>"Q"&amp;E586</f>
        <v>Q22</v>
      </c>
      <c r="B610" s="338"/>
      <c r="C610" s="339"/>
      <c r="D610" s="339"/>
      <c r="E610" s="339"/>
      <c r="F610" s="339"/>
      <c r="G610" s="340"/>
      <c r="H610" s="318" t="s">
        <v>138</v>
      </c>
      <c r="I610" s="341"/>
      <c r="J610" s="342"/>
      <c r="K610" s="318" t="s">
        <v>139</v>
      </c>
      <c r="L610" s="319"/>
      <c r="M610" s="188" t="str">
        <f>IF(OR($M601="",SUM(J604:J609)=0),"",IF(COUNTIF(M604:M609,"CUMPLE")&gt;=1,"CUMPLE","NO CUMPLE"))</f>
        <v>CUMPLE</v>
      </c>
      <c r="N610" s="188" t="str">
        <f>IF(OR($M601="",SUM(J604:J609)=0),"",IF(COUNTIF(N604:N609,"CUMPLE")&gt;=1,"CUMPLE","NO CUMPLE"))</f>
        <v>CUMPLE</v>
      </c>
      <c r="O610" s="305"/>
      <c r="P610" s="306"/>
      <c r="Q610" s="306"/>
      <c r="R610" s="306"/>
      <c r="S610" s="306"/>
      <c r="T610" s="306"/>
      <c r="U610" s="307"/>
      <c r="V610" s="201"/>
      <c r="W610" s="1"/>
      <c r="X610" s="254" t="str">
        <f>IF(X604="NO APLICA","NO APLICA",IF(COUNTIF(AC604:AC609,"CUMPLE")&gt;0,"CUMPLE","NO CUMPLE"))</f>
        <v>NO CUMPLE</v>
      </c>
      <c r="Y610" s="1"/>
      <c r="Z610" s="42"/>
      <c r="AA610" s="42"/>
      <c r="AB610" s="42"/>
      <c r="AC610" s="42"/>
    </row>
    <row r="611" spans="1:29">
      <c r="A611"/>
    </row>
    <row r="612" spans="1:29">
      <c r="A612"/>
    </row>
    <row r="613" spans="1:29" ht="23.5" thickBot="1">
      <c r="A613" s="167">
        <v>23</v>
      </c>
      <c r="B613" s="349" t="s">
        <v>1</v>
      </c>
      <c r="C613" s="349"/>
      <c r="D613" s="349"/>
      <c r="E613" s="105">
        <f>VLOOKUP(A613,PROPONENTES!$B$14:$D$37,2,FALSE)</f>
        <v>23</v>
      </c>
      <c r="F613" s="106" t="str">
        <f>VLOOKUP(E613,PROPONENTES!$C$14:$D$37,2,FALSE)</f>
        <v>CONSORCIO CAQUETÁ S&amp;S.</v>
      </c>
      <c r="G613" s="107"/>
      <c r="H613" s="107"/>
      <c r="I613" s="107"/>
      <c r="J613" s="106"/>
      <c r="K613" s="106"/>
      <c r="L613" s="105"/>
      <c r="M613" s="107"/>
      <c r="N613" s="107"/>
      <c r="O613" s="107"/>
      <c r="P613" s="107"/>
      <c r="Q613" s="107"/>
      <c r="R613" s="107"/>
      <c r="S613" s="107"/>
      <c r="T613" s="108"/>
      <c r="U613" s="109"/>
      <c r="V613" s="109"/>
      <c r="W613" s="11"/>
      <c r="X613" s="240"/>
      <c r="Y613" s="11"/>
      <c r="Z613" s="240"/>
      <c r="AA613" s="240"/>
      <c r="AB613" s="240"/>
      <c r="AC613" s="240"/>
    </row>
    <row r="614" spans="1:29" ht="48" customHeight="1">
      <c r="A614" s="131"/>
      <c r="B614" s="350" t="s">
        <v>88</v>
      </c>
      <c r="C614" s="345" t="s">
        <v>48</v>
      </c>
      <c r="D614" s="352" t="s">
        <v>130</v>
      </c>
      <c r="E614" s="295"/>
      <c r="F614" s="352" t="s">
        <v>93</v>
      </c>
      <c r="G614" s="295"/>
      <c r="H614" s="315" t="s">
        <v>89</v>
      </c>
      <c r="I614" s="315" t="s">
        <v>103</v>
      </c>
      <c r="J614" s="315" t="s">
        <v>2</v>
      </c>
      <c r="K614" s="315" t="s">
        <v>27</v>
      </c>
      <c r="L614" s="315" t="s">
        <v>28</v>
      </c>
      <c r="M614" s="316" t="s">
        <v>29</v>
      </c>
      <c r="N614" s="315" t="s">
        <v>104</v>
      </c>
      <c r="O614" s="343" t="s">
        <v>78</v>
      </c>
      <c r="P614" s="344"/>
      <c r="Q614" s="345" t="s">
        <v>144</v>
      </c>
      <c r="R614" s="345" t="s">
        <v>101</v>
      </c>
      <c r="S614" s="294" t="s">
        <v>3</v>
      </c>
      <c r="T614" s="295"/>
      <c r="U614" s="347" t="s">
        <v>18</v>
      </c>
      <c r="V614" s="366" t="s">
        <v>102</v>
      </c>
      <c r="W614" s="133"/>
      <c r="X614" s="361" t="s">
        <v>146</v>
      </c>
      <c r="Y614" s="133"/>
      <c r="Z614" s="133"/>
      <c r="AA614" s="133"/>
      <c r="AB614" s="245"/>
      <c r="AC614" s="361" t="s">
        <v>123</v>
      </c>
    </row>
    <row r="615" spans="1:29" ht="98.25" customHeight="1">
      <c r="A615" s="131"/>
      <c r="B615" s="351"/>
      <c r="C615" s="346"/>
      <c r="D615" s="134" t="s">
        <v>10</v>
      </c>
      <c r="E615" s="134" t="s">
        <v>4</v>
      </c>
      <c r="F615" s="134" t="s">
        <v>15</v>
      </c>
      <c r="G615" s="135" t="s">
        <v>90</v>
      </c>
      <c r="H615" s="314"/>
      <c r="I615" s="314"/>
      <c r="J615" s="314"/>
      <c r="K615" s="314"/>
      <c r="L615" s="314"/>
      <c r="M615" s="317"/>
      <c r="N615" s="314"/>
      <c r="O615" s="264" t="s">
        <v>76</v>
      </c>
      <c r="P615" s="264" t="s">
        <v>105</v>
      </c>
      <c r="Q615" s="346"/>
      <c r="R615" s="346"/>
      <c r="S615" s="264" t="s">
        <v>81</v>
      </c>
      <c r="T615" s="264" t="s">
        <v>77</v>
      </c>
      <c r="U615" s="348"/>
      <c r="V615" s="336"/>
      <c r="W615" s="133"/>
      <c r="X615" s="362"/>
      <c r="Y615" s="133"/>
      <c r="Z615" s="245"/>
      <c r="AA615" s="245"/>
      <c r="AB615" s="245"/>
      <c r="AC615" s="362"/>
    </row>
    <row r="616" spans="1:29" ht="16" thickBot="1">
      <c r="A616" s="122"/>
      <c r="B616" s="96"/>
      <c r="C616" s="97"/>
      <c r="D616" s="97"/>
      <c r="E616" s="97"/>
      <c r="F616" s="97"/>
      <c r="G616" s="97"/>
      <c r="H616" s="97"/>
      <c r="I616" s="97"/>
      <c r="J616" s="97"/>
      <c r="K616" s="97"/>
      <c r="L616" s="97"/>
      <c r="M616" s="97"/>
      <c r="N616" s="97"/>
      <c r="O616" s="97"/>
      <c r="P616" s="97"/>
      <c r="Q616" s="97"/>
      <c r="R616" s="173"/>
      <c r="S616" s="173"/>
      <c r="T616" s="97"/>
      <c r="U616" s="191"/>
      <c r="V616" s="202"/>
      <c r="W616" s="1"/>
      <c r="X616" s="241"/>
      <c r="Y616" s="1"/>
      <c r="Z616" s="42"/>
      <c r="AA616" s="42"/>
      <c r="AB616" s="42"/>
      <c r="AC616" s="241"/>
    </row>
    <row r="617" spans="1:29" ht="67.5" customHeight="1">
      <c r="A617" s="125" t="str">
        <f>"A"&amp;E613</f>
        <v>A23</v>
      </c>
      <c r="B617" s="386">
        <v>1</v>
      </c>
      <c r="C617" s="400" t="s">
        <v>321</v>
      </c>
      <c r="D617" s="380" t="s">
        <v>323</v>
      </c>
      <c r="E617" s="380" t="s">
        <v>325</v>
      </c>
      <c r="F617" s="380" t="s">
        <v>222</v>
      </c>
      <c r="G617" s="142">
        <v>0.5</v>
      </c>
      <c r="H617" s="142" t="s">
        <v>115</v>
      </c>
      <c r="I617" s="398" t="s">
        <v>50</v>
      </c>
      <c r="J617" s="402" t="str">
        <f>+I631</f>
        <v>S&amp;S INGENIERÍA CIVIL SA</v>
      </c>
      <c r="K617" s="382">
        <v>42234</v>
      </c>
      <c r="L617" s="382">
        <v>42856</v>
      </c>
      <c r="M617" s="384">
        <f>IF(OR(K617="",L617=""),"",IF(OR(K617&gt;$T$14,K617&lt;$S$14,L617&gt;$T$14,AND(K617&lt;$S$14,L617&lt;$S$14)),"FUERA DE RANGO",IF(K617&gt;=$S$14,ROUND(((L617-K617+1)/360*12),1),ROUND(((L617-$S$14+1)/360*12),1))))</f>
        <v>20.8</v>
      </c>
      <c r="N617" s="206">
        <v>81</v>
      </c>
      <c r="O617" s="138" t="s">
        <v>50</v>
      </c>
      <c r="P617" s="128" t="s">
        <v>50</v>
      </c>
      <c r="Q617" s="128" t="s">
        <v>111</v>
      </c>
      <c r="R617" s="95">
        <v>9048.19</v>
      </c>
      <c r="S617" s="95">
        <f t="shared" ref="S617:S622" si="134">IF(OR(G617="",R617=""),"",R617*G617)</f>
        <v>4524.0950000000003</v>
      </c>
      <c r="T617" s="129">
        <f>IF(OR(I617="NO",I617="",I617&lt;&gt;"SI",S617=""),"",IF(OR(L617&lt;$S$14,L617&gt;$T$14,L617=""),0,ROUND(S617,2)))</f>
        <v>4524.1000000000004</v>
      </c>
      <c r="U617" s="192" t="s">
        <v>429</v>
      </c>
      <c r="V617" s="204"/>
      <c r="W617" s="141"/>
      <c r="X617" s="222" t="s">
        <v>50</v>
      </c>
      <c r="Y617" s="141"/>
      <c r="Z617" s="223" t="str">
        <f t="shared" ref="Z617:Z622" si="135">IF(T617="","",IF(T617&gt;=PORCREQCTO*POSMMLV,"SI","NO"))</f>
        <v>SI</v>
      </c>
      <c r="AA617" s="296" t="str">
        <f>"VERIFICACIÓN CUMPLIMIENTO "&amp;PORCREQCTO*100&amp;"% DEL PO"</f>
        <v>VERIFICACIÓN CUMPLIMIENTO 50% DEL PO</v>
      </c>
      <c r="AB617" s="171"/>
      <c r="AC617" s="256"/>
    </row>
    <row r="618" spans="1:29" ht="73.5" customHeight="1">
      <c r="A618" s="125" t="str">
        <f>"B"&amp;E613</f>
        <v>B23</v>
      </c>
      <c r="B618" s="387"/>
      <c r="C618" s="401"/>
      <c r="D618" s="381"/>
      <c r="E618" s="381"/>
      <c r="F618" s="381"/>
      <c r="G618" s="142">
        <v>0.2</v>
      </c>
      <c r="H618" s="142" t="s">
        <v>115</v>
      </c>
      <c r="I618" s="399"/>
      <c r="J618" s="402" t="str">
        <f>+I632</f>
        <v>INFRAESTRUCTURA CAR Y CIA SAS</v>
      </c>
      <c r="K618" s="383"/>
      <c r="L618" s="383"/>
      <c r="M618" s="385"/>
      <c r="N618" s="206">
        <v>84</v>
      </c>
      <c r="O618" s="138" t="s">
        <v>50</v>
      </c>
      <c r="P618" s="128" t="s">
        <v>50</v>
      </c>
      <c r="Q618" s="128" t="s">
        <v>111</v>
      </c>
      <c r="R618" s="95">
        <v>9048.18</v>
      </c>
      <c r="S618" s="95">
        <f t="shared" si="134"/>
        <v>1809.6360000000002</v>
      </c>
      <c r="T618" s="129">
        <f>IF(OR(I617="NO",I617="",I617&lt;&gt;"SI",S618=""),"",IF(OR(L617&lt;$S$14,L617&gt;$T$14,L617=""),0,ROUND(S618,2)))</f>
        <v>1809.64</v>
      </c>
      <c r="U618" s="192" t="s">
        <v>430</v>
      </c>
      <c r="V618" s="204"/>
      <c r="W618" s="141"/>
      <c r="X618" s="222"/>
      <c r="Y618" s="141"/>
      <c r="Z618" s="224" t="str">
        <f t="shared" si="135"/>
        <v>SI</v>
      </c>
      <c r="AA618" s="297"/>
      <c r="AB618" s="171"/>
      <c r="AC618" s="256"/>
    </row>
    <row r="619" spans="1:29" ht="52.5">
      <c r="A619" s="125" t="str">
        <f>"C"&amp;E613</f>
        <v>C23</v>
      </c>
      <c r="B619" s="140">
        <v>2</v>
      </c>
      <c r="C619" s="139" t="s">
        <v>322</v>
      </c>
      <c r="D619" s="139" t="s">
        <v>324</v>
      </c>
      <c r="E619" s="139" t="s">
        <v>326</v>
      </c>
      <c r="F619" s="139" t="s">
        <v>207</v>
      </c>
      <c r="G619" s="142">
        <v>0.95</v>
      </c>
      <c r="H619" s="142" t="s">
        <v>115</v>
      </c>
      <c r="I619" s="138" t="s">
        <v>50</v>
      </c>
      <c r="J619" s="378" t="str">
        <f>+I632</f>
        <v>INFRAESTRUCTURA CAR Y CIA SAS</v>
      </c>
      <c r="K619" s="127">
        <v>42100</v>
      </c>
      <c r="L619" s="127">
        <v>42328</v>
      </c>
      <c r="M619" s="128">
        <f t="shared" ref="M618:M622" si="136">IF(OR(K619="",L619=""),"",IF(OR(K619&gt;$T$14,K619&lt;$S$14,L619&gt;$T$14,AND(K619&lt;$S$14,L619&lt;$S$14)),"FUERA DE RANGO",IF(K619&gt;=$S$14,ROUND(((L619-K619+1)/360*12),1),ROUND(((L619-$S$14+1)/360*12),1))))</f>
        <v>7.6</v>
      </c>
      <c r="N619" s="206">
        <v>91</v>
      </c>
      <c r="O619" s="138" t="s">
        <v>50</v>
      </c>
      <c r="P619" s="128" t="s">
        <v>50</v>
      </c>
      <c r="Q619" s="128" t="s">
        <v>111</v>
      </c>
      <c r="R619" s="95">
        <v>3367.15</v>
      </c>
      <c r="S619" s="95">
        <f t="shared" si="134"/>
        <v>3198.7925</v>
      </c>
      <c r="T619" s="129">
        <f t="shared" ref="T618:T622" si="137">IF(OR(I619="NO",I619="",I619&lt;&gt;"SI",S619=""),"",IF(OR(L619&lt;$S$14,L619&gt;$T$14,L619=""),0,ROUND(S619,2)))</f>
        <v>3198.79</v>
      </c>
      <c r="U619" s="192" t="s">
        <v>431</v>
      </c>
      <c r="V619" s="204"/>
      <c r="W619" s="141"/>
      <c r="X619" s="222"/>
      <c r="Y619" s="141"/>
      <c r="Z619" s="224" t="str">
        <f t="shared" si="135"/>
        <v>SI</v>
      </c>
      <c r="AA619" s="297"/>
      <c r="AB619" s="171"/>
      <c r="AC619" s="256"/>
    </row>
    <row r="620" spans="1:29">
      <c r="A620" s="125" t="str">
        <f>"D"&amp;E613</f>
        <v>D23</v>
      </c>
      <c r="B620" s="140"/>
      <c r="C620" s="139"/>
      <c r="D620" s="139"/>
      <c r="E620" s="139"/>
      <c r="F620" s="139"/>
      <c r="G620" s="142"/>
      <c r="H620" s="142"/>
      <c r="I620" s="138"/>
      <c r="J620" s="138"/>
      <c r="K620" s="127"/>
      <c r="L620" s="127"/>
      <c r="M620" s="128" t="str">
        <f t="shared" si="136"/>
        <v/>
      </c>
      <c r="N620" s="206"/>
      <c r="O620" s="138"/>
      <c r="P620" s="128"/>
      <c r="Q620" s="128"/>
      <c r="R620" s="95"/>
      <c r="S620" s="95" t="str">
        <f t="shared" si="134"/>
        <v/>
      </c>
      <c r="T620" s="129" t="str">
        <f t="shared" si="137"/>
        <v/>
      </c>
      <c r="U620" s="192"/>
      <c r="V620" s="204"/>
      <c r="W620" s="141"/>
      <c r="X620" s="222"/>
      <c r="Y620" s="141"/>
      <c r="Z620" s="224" t="str">
        <f t="shared" si="135"/>
        <v/>
      </c>
      <c r="AA620" s="297"/>
      <c r="AB620" s="171"/>
      <c r="AC620" s="256"/>
    </row>
    <row r="621" spans="1:29">
      <c r="A621" s="125" t="str">
        <f>"E"&amp;E613</f>
        <v>E23</v>
      </c>
      <c r="B621" s="140"/>
      <c r="C621" s="139"/>
      <c r="D621" s="139"/>
      <c r="E621" s="139"/>
      <c r="F621" s="139"/>
      <c r="G621" s="142"/>
      <c r="H621" s="142"/>
      <c r="I621" s="138"/>
      <c r="J621" s="138"/>
      <c r="K621" s="127"/>
      <c r="L621" s="127"/>
      <c r="M621" s="128" t="str">
        <f t="shared" si="136"/>
        <v/>
      </c>
      <c r="N621" s="206"/>
      <c r="O621" s="138"/>
      <c r="P621" s="128"/>
      <c r="Q621" s="128"/>
      <c r="R621" s="95"/>
      <c r="S621" s="95" t="str">
        <f t="shared" si="134"/>
        <v/>
      </c>
      <c r="T621" s="129" t="str">
        <f t="shared" si="137"/>
        <v/>
      </c>
      <c r="U621" s="192"/>
      <c r="V621" s="204"/>
      <c r="W621" s="141"/>
      <c r="X621" s="222"/>
      <c r="Y621" s="141"/>
      <c r="Z621" s="224" t="str">
        <f t="shared" si="135"/>
        <v/>
      </c>
      <c r="AA621" s="297"/>
      <c r="AB621" s="171"/>
      <c r="AC621" s="256"/>
    </row>
    <row r="622" spans="1:29" ht="16" thickBot="1">
      <c r="A622" s="125" t="str">
        <f>"F"&amp;E613</f>
        <v>F23</v>
      </c>
      <c r="B622" s="140"/>
      <c r="C622" s="139"/>
      <c r="D622" s="139"/>
      <c r="E622" s="139"/>
      <c r="F622" s="139"/>
      <c r="G622" s="142"/>
      <c r="H622" s="142"/>
      <c r="I622" s="138"/>
      <c r="J622" s="138"/>
      <c r="K622" s="127"/>
      <c r="L622" s="127"/>
      <c r="M622" s="128" t="str">
        <f t="shared" si="136"/>
        <v/>
      </c>
      <c r="N622" s="206"/>
      <c r="O622" s="138"/>
      <c r="P622" s="128"/>
      <c r="Q622" s="128"/>
      <c r="R622" s="95"/>
      <c r="S622" s="95" t="str">
        <f t="shared" si="134"/>
        <v/>
      </c>
      <c r="T622" s="129" t="str">
        <f t="shared" si="137"/>
        <v/>
      </c>
      <c r="U622" s="192"/>
      <c r="V622" s="204"/>
      <c r="W622" s="141"/>
      <c r="X622" s="222"/>
      <c r="Y622" s="141"/>
      <c r="Z622" s="225" t="str">
        <f t="shared" si="135"/>
        <v/>
      </c>
      <c r="AA622" s="363"/>
      <c r="AB622" s="171"/>
      <c r="AC622" s="256"/>
    </row>
    <row r="623" spans="1:29" ht="16" thickBot="1">
      <c r="A623" s="122"/>
      <c r="B623" s="96"/>
      <c r="C623" s="97"/>
      <c r="D623" s="97"/>
      <c r="E623" s="97"/>
      <c r="F623" s="97"/>
      <c r="G623" s="97"/>
      <c r="H623" s="97"/>
      <c r="I623" s="97"/>
      <c r="J623" s="97"/>
      <c r="K623" s="97"/>
      <c r="L623" s="97"/>
      <c r="M623" s="97"/>
      <c r="N623" s="97"/>
      <c r="O623" s="97"/>
      <c r="P623" s="97"/>
      <c r="Q623" s="97"/>
      <c r="R623" s="173"/>
      <c r="S623" s="173"/>
      <c r="T623" s="126"/>
      <c r="U623" s="98"/>
      <c r="V623" s="205"/>
      <c r="W623" s="1"/>
      <c r="X623" s="242"/>
      <c r="Y623" s="1"/>
      <c r="Z623" s="42"/>
      <c r="AA623" s="42"/>
      <c r="AB623" s="42"/>
      <c r="AC623" s="242"/>
    </row>
    <row r="624" spans="1:29" ht="16" thickBot="1">
      <c r="A624" s="123"/>
      <c r="B624" s="99"/>
      <c r="C624" s="94"/>
      <c r="D624" s="94"/>
      <c r="E624" s="94"/>
      <c r="F624" s="94"/>
      <c r="G624" s="94"/>
      <c r="H624" s="94"/>
      <c r="I624" s="94"/>
      <c r="J624" s="94"/>
      <c r="K624" s="94"/>
      <c r="L624" s="94"/>
      <c r="M624" s="94"/>
      <c r="N624" s="94"/>
      <c r="O624" s="94"/>
      <c r="P624" s="94"/>
      <c r="Q624" s="94"/>
      <c r="R624" s="265"/>
      <c r="S624" s="265"/>
      <c r="T624" s="130">
        <f>SUM(T617:T622)</f>
        <v>9532.5300000000007</v>
      </c>
      <c r="U624" s="100"/>
      <c r="V624" s="203"/>
      <c r="W624" s="12"/>
      <c r="X624" s="243"/>
      <c r="Y624" s="12"/>
      <c r="Z624" s="243"/>
      <c r="AA624" s="243"/>
      <c r="AB624" s="243"/>
      <c r="AC624" s="243"/>
    </row>
    <row r="625" spans="1:29">
      <c r="B625" s="197"/>
      <c r="C625" s="193"/>
      <c r="D625" s="193"/>
      <c r="E625" s="193"/>
      <c r="F625" s="193"/>
      <c r="G625" s="193"/>
      <c r="H625" s="193"/>
      <c r="I625" s="193"/>
      <c r="J625" s="193"/>
      <c r="K625" s="193"/>
      <c r="L625" s="193"/>
      <c r="M625" s="193"/>
      <c r="N625" s="193"/>
      <c r="O625" s="193"/>
      <c r="P625" s="193"/>
      <c r="Q625" s="193"/>
      <c r="R625" s="194"/>
      <c r="S625" s="194"/>
      <c r="T625" s="195"/>
      <c r="U625" s="196"/>
      <c r="V625" s="195"/>
    </row>
    <row r="626" spans="1:29" ht="16" thickBot="1">
      <c r="A626" s="122"/>
      <c r="B626" s="322" t="s">
        <v>45</v>
      </c>
      <c r="C626" s="323"/>
      <c r="D626" s="323"/>
      <c r="E626" s="323"/>
      <c r="F626" s="323"/>
      <c r="G626" s="324"/>
      <c r="H626" s="324"/>
      <c r="I626" s="324"/>
      <c r="J626" s="324"/>
      <c r="K626" s="324"/>
      <c r="L626" s="324"/>
      <c r="M626" s="324"/>
      <c r="N626" s="324"/>
      <c r="O626" s="324"/>
      <c r="P626" s="324"/>
      <c r="Q626" s="324"/>
      <c r="R626" s="324"/>
      <c r="S626" s="324"/>
      <c r="T626" s="324"/>
      <c r="U626" s="325"/>
      <c r="V626" s="201"/>
      <c r="W626" s="1"/>
      <c r="X626" s="42"/>
      <c r="Y626" s="1"/>
      <c r="Z626" s="42"/>
      <c r="AA626" s="42"/>
      <c r="AB626" s="42"/>
      <c r="AC626" s="42"/>
    </row>
    <row r="627" spans="1:29" ht="16.5" customHeight="1" thickBot="1">
      <c r="A627" s="122" t="str">
        <f>"G"&amp;E613</f>
        <v>G23</v>
      </c>
      <c r="B627" s="291" t="s">
        <v>97</v>
      </c>
      <c r="C627" s="292"/>
      <c r="D627" s="292"/>
      <c r="E627" s="292"/>
      <c r="F627" s="292"/>
      <c r="G627" s="326"/>
      <c r="H627" s="291" t="s">
        <v>100</v>
      </c>
      <c r="I627" s="292"/>
      <c r="J627" s="292"/>
      <c r="K627" s="292"/>
      <c r="L627" s="292"/>
      <c r="M627" s="292"/>
      <c r="N627" s="292"/>
      <c r="O627" s="189" t="s">
        <v>23</v>
      </c>
      <c r="P627" s="190"/>
      <c r="Q627" s="190"/>
      <c r="R627" s="190"/>
      <c r="S627" s="190"/>
      <c r="T627" s="190"/>
      <c r="U627" s="253"/>
      <c r="V627" s="201"/>
      <c r="W627" s="1"/>
      <c r="X627" s="239" t="s">
        <v>117</v>
      </c>
      <c r="Y627" s="1"/>
      <c r="Z627" s="355" t="s">
        <v>119</v>
      </c>
      <c r="AA627" s="345" t="s">
        <v>120</v>
      </c>
      <c r="AB627" s="345" t="s">
        <v>148</v>
      </c>
      <c r="AC627" s="359" t="s">
        <v>149</v>
      </c>
    </row>
    <row r="628" spans="1:29" ht="15.75" customHeight="1" thickBot="1">
      <c r="A628" s="122" t="str">
        <f>"H"&amp;E613</f>
        <v>H23</v>
      </c>
      <c r="B628" s="293" t="s">
        <v>132</v>
      </c>
      <c r="C628" s="294"/>
      <c r="D628" s="294"/>
      <c r="E628" s="294"/>
      <c r="F628" s="294"/>
      <c r="G628" s="327"/>
      <c r="H628" s="293" t="s">
        <v>17</v>
      </c>
      <c r="I628" s="294"/>
      <c r="J628" s="294"/>
      <c r="K628" s="294"/>
      <c r="L628" s="295"/>
      <c r="M628" s="183">
        <f>VLOOKUP(E613,PROPONENTES!$C$14:$E$37,3,0)</f>
        <v>2</v>
      </c>
      <c r="N628" s="296" t="s">
        <v>143</v>
      </c>
      <c r="O628" s="299"/>
      <c r="P628" s="300"/>
      <c r="Q628" s="300"/>
      <c r="R628" s="300"/>
      <c r="S628" s="300"/>
      <c r="T628" s="300"/>
      <c r="U628" s="301"/>
      <c r="V628" s="201"/>
      <c r="W628" s="1"/>
      <c r="X628" s="244" t="str">
        <f>IF(M628="","",IF(M628=1,"INDIVIDUAL","ESTRUCTURA PLURAL"))</f>
        <v>ESTRUCTURA PLURAL</v>
      </c>
      <c r="Y628" s="1"/>
      <c r="Z628" s="356"/>
      <c r="AA628" s="358"/>
      <c r="AB628" s="358"/>
      <c r="AC628" s="360"/>
    </row>
    <row r="629" spans="1:29" ht="15.75" customHeight="1" thickBot="1">
      <c r="A629" s="122" t="str">
        <f>"I"&amp;E613</f>
        <v>I23</v>
      </c>
      <c r="B629" s="328" t="s">
        <v>131</v>
      </c>
      <c r="C629" s="329"/>
      <c r="D629" s="330"/>
      <c r="E629" s="308">
        <f>IF(AND(I617="SI",T617&gt;0),1,0)+IF(AND(I618="SI",T618&gt;0),1,0)+IF(AND(I619="SI",T619&gt;0),1,0)+IF(AND(I620="SI",T620&gt;0),1,0)+IF(AND(I621="SI",T621&gt;0),1,0)+IF(AND(I622="SI",T622&gt;0),1,0)</f>
        <v>2</v>
      </c>
      <c r="F629" s="310" t="s">
        <v>133</v>
      </c>
      <c r="G629" s="312">
        <f>IF(E629=0,"N/A",IF(AND(E629&gt;=1,E629&lt;=2),0.75,IF(AND(E629&gt;=3,E629&lt;=4),1.2,IF(AND(E629&gt;=5,E629&lt;=6),1.5,"REVISAR"))))</f>
        <v>0.75</v>
      </c>
      <c r="H629" s="334" t="s">
        <v>16</v>
      </c>
      <c r="I629" s="335"/>
      <c r="J629" s="314" t="s">
        <v>0</v>
      </c>
      <c r="K629" s="314" t="s">
        <v>140</v>
      </c>
      <c r="L629" s="314" t="s">
        <v>141</v>
      </c>
      <c r="M629" s="320" t="s">
        <v>142</v>
      </c>
      <c r="N629" s="297"/>
      <c r="O629" s="302"/>
      <c r="P629" s="303"/>
      <c r="Q629" s="303"/>
      <c r="R629" s="303"/>
      <c r="S629" s="303"/>
      <c r="T629" s="303"/>
      <c r="U629" s="304"/>
      <c r="V629" s="201"/>
      <c r="W629" s="38"/>
      <c r="X629" s="171"/>
      <c r="Y629" s="38"/>
      <c r="Z629" s="356"/>
      <c r="AA629" s="358"/>
      <c r="AB629" s="358"/>
      <c r="AC629" s="360"/>
    </row>
    <row r="630" spans="1:29" ht="16.5" customHeight="1" thickBot="1">
      <c r="A630" s="122" t="str">
        <f>"J"&amp;E613</f>
        <v>J23</v>
      </c>
      <c r="B630" s="331"/>
      <c r="C630" s="332"/>
      <c r="D630" s="333"/>
      <c r="E630" s="309"/>
      <c r="F630" s="311"/>
      <c r="G630" s="313"/>
      <c r="H630" s="336"/>
      <c r="I630" s="337"/>
      <c r="J630" s="314"/>
      <c r="K630" s="314"/>
      <c r="L630" s="314"/>
      <c r="M630" s="321"/>
      <c r="N630" s="298"/>
      <c r="O630" s="302"/>
      <c r="P630" s="303"/>
      <c r="Q630" s="303"/>
      <c r="R630" s="303"/>
      <c r="S630" s="303"/>
      <c r="T630" s="303"/>
      <c r="U630" s="304"/>
      <c r="V630" s="201"/>
      <c r="W630" s="38"/>
      <c r="X630" s="239" t="s">
        <v>118</v>
      </c>
      <c r="Y630" s="38"/>
      <c r="Z630" s="357"/>
      <c r="AA630" s="346"/>
      <c r="AB630" s="346"/>
      <c r="AC630" s="321"/>
    </row>
    <row r="631" spans="1:29" ht="16" thickBot="1">
      <c r="A631" s="125" t="str">
        <f>"K"&amp;E613</f>
        <v>K23</v>
      </c>
      <c r="B631" s="293" t="s">
        <v>98</v>
      </c>
      <c r="C631" s="294"/>
      <c r="D631" s="294"/>
      <c r="E631" s="294"/>
      <c r="F631" s="294"/>
      <c r="G631" s="294"/>
      <c r="H631" s="186">
        <v>1</v>
      </c>
      <c r="I631" s="92" t="str">
        <f>IF(AND(H631&lt;=M628,M628&gt;1),VLOOKUP(VALUE(E613&amp;","&amp;H631),INTEGRANTES!$B$15:$D$72,2,0),"")</f>
        <v>S&amp;S INGENIERÍA CIVIL SA</v>
      </c>
      <c r="J631" s="187">
        <f>IF(I631&lt;&gt;"",VLOOKUP(VALUE(E613&amp;","&amp;H631),INTEGRANTES!$B$15:$D$72,3,0),"")</f>
        <v>0.6</v>
      </c>
      <c r="K631" s="247">
        <f>IF($I631="","",IF(G629="N/A","",ROUND($G629*POSMMLV*PORPOM,2)))</f>
        <v>697.02</v>
      </c>
      <c r="L631" s="247">
        <f>IF(I631="","",SUMIF($J617:$J622,I631,$T617:$T622))</f>
        <v>4524.1000000000004</v>
      </c>
      <c r="M631" s="93" t="str">
        <f t="shared" ref="M631:M636" si="138">IF($I631="","",IF($K631&gt;L631,"NO CUMPLE","CUMPLE"))</f>
        <v>CUMPLE</v>
      </c>
      <c r="N631" s="93" t="str">
        <f t="shared" ref="N631:N636" si="139">IF($I631="","",IF(M631="CUMPLE","CUMPLE","NO CUMPLE"))</f>
        <v>CUMPLE</v>
      </c>
      <c r="O631" s="302"/>
      <c r="P631" s="303"/>
      <c r="Q631" s="303"/>
      <c r="R631" s="303"/>
      <c r="S631" s="303"/>
      <c r="T631" s="303"/>
      <c r="U631" s="304"/>
      <c r="V631" s="201"/>
      <c r="W631" s="1"/>
      <c r="X631" s="244" t="str">
        <f>IF(X628="","",IF(X628="INDIVIDUAL","NO APLICA","VERIFICAR CUADRO"))</f>
        <v>VERIFICAR CUADRO</v>
      </c>
      <c r="Y631" s="1"/>
      <c r="Z631" s="262" t="str">
        <f>IF(AND(H631&lt;=M628,M628&gt;1),VLOOKUP(VALUE(E613&amp;","&amp;H631),INTEGRANTES!$B$15:$D$72,2,0),"")</f>
        <v>S&amp;S INGENIERÍA CIVIL SA</v>
      </c>
      <c r="AA631" s="248">
        <f>IF(I631="","",SUMIF(J617:$J622,I631,$T617:$T622))</f>
        <v>4524.1000000000004</v>
      </c>
      <c r="AB631" s="232"/>
      <c r="AC631" s="250" t="str">
        <f>IF(OR(Z631="",AB631=""),"",IF(AND(AB631="X",AA631&gt;=X634),"CUMPLE","NO CUMPLE"))</f>
        <v/>
      </c>
    </row>
    <row r="632" spans="1:29" ht="15.75" customHeight="1" thickBot="1">
      <c r="A632" s="125" t="str">
        <f>"L"&amp;E613</f>
        <v>L23</v>
      </c>
      <c r="B632" s="328" t="s">
        <v>134</v>
      </c>
      <c r="C632" s="329"/>
      <c r="D632" s="330"/>
      <c r="E632" s="132" t="s">
        <v>135</v>
      </c>
      <c r="F632" s="132" t="s">
        <v>136</v>
      </c>
      <c r="G632" s="136" t="s">
        <v>99</v>
      </c>
      <c r="H632" s="186">
        <v>2</v>
      </c>
      <c r="I632" s="92" t="str">
        <f>IF(AND(H632&lt;=M628,M628&gt;1),VLOOKUP(VALUE(E613&amp;","&amp;H632),INTEGRANTES!$B$15:$D$72,2,0),"")</f>
        <v>INFRAESTRUCTURA CAR Y CIA SAS</v>
      </c>
      <c r="J632" s="187">
        <f>IF(I632&lt;&gt;"",VLOOKUP(VALUE(E613&amp;","&amp;H632),INTEGRANTES!$B$15:$D$72,3,0),"")</f>
        <v>0.4</v>
      </c>
      <c r="K632" s="247">
        <f>IF($I632="","",IF(G629="N/A","",ROUND($G629*POSMMLV*PORPOM,2)))</f>
        <v>697.02</v>
      </c>
      <c r="L632" s="247">
        <f>IF(I632="","",SUMIF($J617:$J622,I632,$T617:$T622))</f>
        <v>5008.43</v>
      </c>
      <c r="M632" s="93" t="str">
        <f t="shared" si="138"/>
        <v>CUMPLE</v>
      </c>
      <c r="N632" s="93" t="str">
        <f t="shared" si="139"/>
        <v>CUMPLE</v>
      </c>
      <c r="O632" s="302"/>
      <c r="P632" s="303"/>
      <c r="Q632" s="303"/>
      <c r="R632" s="303"/>
      <c r="S632" s="303"/>
      <c r="T632" s="303"/>
      <c r="U632" s="304"/>
      <c r="V632" s="201"/>
      <c r="W632" s="1"/>
      <c r="X632" s="42"/>
      <c r="Y632" s="1"/>
      <c r="Z632" s="262" t="str">
        <f>IF(AND(H632&lt;=M628,M628&gt;1),VLOOKUP(VALUE(E613&amp;","&amp;H632),INTEGRANTES!$B$15:$D$72,2,0),"")</f>
        <v>INFRAESTRUCTURA CAR Y CIA SAS</v>
      </c>
      <c r="AA632" s="248">
        <f>IF(I632="","",SUMIF(J617:$J622,I632,$T617:$T622))</f>
        <v>5008.43</v>
      </c>
      <c r="AB632" s="232"/>
      <c r="AC632" s="250" t="str">
        <f>IF(OR(Z632="",AB632=""),"",IF(AND(AB632="X",AA632&gt;=X634),"CUMPLE","NO CUMPLE"))</f>
        <v/>
      </c>
    </row>
    <row r="633" spans="1:29" ht="16" thickBot="1">
      <c r="A633" s="122" t="str">
        <f>"M"&amp;E613</f>
        <v>M23</v>
      </c>
      <c r="B633" s="331"/>
      <c r="C633" s="332"/>
      <c r="D633" s="333"/>
      <c r="E633" s="237">
        <f>IF(ISTEXT(G629),"NO APLICA",G629*POSMMLV)</f>
        <v>1394.0360281651363</v>
      </c>
      <c r="F633" s="238">
        <f>IF(E633="","",T624)</f>
        <v>9532.5300000000007</v>
      </c>
      <c r="G633" s="221" t="str">
        <f>IF(E633="","",IF(E633="NO APLICA","NO CUMPLE",IF(F633&gt;=E633,"CUMPLE", "NO CUMPLE")))</f>
        <v>CUMPLE</v>
      </c>
      <c r="H633" s="186">
        <v>3</v>
      </c>
      <c r="I633" s="92" t="str">
        <f>IF(AND(H633&lt;=M628,M628&gt;1),VLOOKUP(VALUE(E613&amp;","&amp;H633),INTEGRANTES!$B$15:$D$72,2,0),"")</f>
        <v/>
      </c>
      <c r="J633" s="187" t="str">
        <f>IF(I633&lt;&gt;"",VLOOKUP(VALUE(E613&amp;","&amp;H633),INTEGRANTES!$B$15:$D$72,3,0),"")</f>
        <v/>
      </c>
      <c r="K633" s="247" t="str">
        <f>IF($I633="","",IF(G629="N/A","",ROUND($G629*POSMMLV*PORPOM,2)))</f>
        <v/>
      </c>
      <c r="L633" s="247" t="str">
        <f>IF(I633="","",SUMIF($J617:$J622,I633,$T617:$T622))</f>
        <v/>
      </c>
      <c r="M633" s="93" t="str">
        <f t="shared" si="138"/>
        <v/>
      </c>
      <c r="N633" s="93" t="str">
        <f t="shared" si="139"/>
        <v/>
      </c>
      <c r="O633" s="302"/>
      <c r="P633" s="303"/>
      <c r="Q633" s="303"/>
      <c r="R633" s="303"/>
      <c r="S633" s="303"/>
      <c r="T633" s="303"/>
      <c r="U633" s="304"/>
      <c r="V633" s="201"/>
      <c r="W633" s="1"/>
      <c r="X633" s="239" t="s">
        <v>145</v>
      </c>
      <c r="Y633" s="1"/>
      <c r="Z633" s="262" t="str">
        <f>IF(AND(H633&lt;=M628,M628&gt;1),VLOOKUP(VALUE(E613&amp;","&amp;H633),INTEGRANTES!$B$15:$D$72,2,0),"")</f>
        <v/>
      </c>
      <c r="AA633" s="248" t="str">
        <f>IF(I633="","",SUMIF(J617:$J622,I633,$T617:$T622))</f>
        <v/>
      </c>
      <c r="AB633" s="232"/>
      <c r="AC633" s="250" t="str">
        <f>IF(OR(Z633="",AB633=""),"",IF(AND(AB633="X",AA633&gt;=X634),"CUMPLE","NO CUMPLE"))</f>
        <v/>
      </c>
    </row>
    <row r="634" spans="1:29" ht="15.75" customHeight="1" thickBot="1">
      <c r="A634" s="122" t="str">
        <f>"N"&amp;E613</f>
        <v>N23</v>
      </c>
      <c r="B634" s="293" t="s">
        <v>107</v>
      </c>
      <c r="C634" s="294"/>
      <c r="D634" s="294"/>
      <c r="E634" s="294"/>
      <c r="F634" s="294"/>
      <c r="G634" s="294"/>
      <c r="H634" s="186">
        <v>4</v>
      </c>
      <c r="I634" s="92" t="str">
        <f>IF(AND(H634&lt;=M628,M628&gt;1),VLOOKUP(VALUE(E613&amp;","&amp;H634),INTEGRANTES!$B$15:$D$72,2,0),"")</f>
        <v/>
      </c>
      <c r="J634" s="187" t="str">
        <f>IF(I634&lt;&gt;"",VLOOKUP(VALUE(E613&amp;","&amp;H634),INTEGRANTES!$B$15:$D$72,3,0),"")</f>
        <v/>
      </c>
      <c r="K634" s="247" t="str">
        <f>IF($I634="","",IF(G629="N/A","",ROUND($G629*POSMMLV*PORPOM,2)))</f>
        <v/>
      </c>
      <c r="L634" s="247" t="str">
        <f>IF(I634="","",SUMIF($J617:$J622,I634,$T617:$T622))</f>
        <v/>
      </c>
      <c r="M634" s="93" t="str">
        <f t="shared" si="138"/>
        <v/>
      </c>
      <c r="N634" s="93" t="str">
        <f t="shared" si="139"/>
        <v/>
      </c>
      <c r="O634" s="302"/>
      <c r="P634" s="303"/>
      <c r="Q634" s="303"/>
      <c r="R634" s="303"/>
      <c r="S634" s="303"/>
      <c r="T634" s="303"/>
      <c r="U634" s="304"/>
      <c r="V634" s="201"/>
      <c r="W634" s="1"/>
      <c r="X634" s="251">
        <f>IF(G629="N/A","N/A",0.4*G629*POSMMLV)</f>
        <v>557.61441126605462</v>
      </c>
      <c r="Y634" s="1"/>
      <c r="Z634" s="262" t="str">
        <f>IF(AND(H634&lt;=M628,M628&gt;1),VLOOKUP(VALUE(E613&amp;","&amp;H634),INTEGRANTES!$B$15:$D$72,2,0),"")</f>
        <v/>
      </c>
      <c r="AA634" s="248" t="str">
        <f>IF(I634="","",SUMIF(J617:$J622,I634,$T617:$T622))</f>
        <v/>
      </c>
      <c r="AB634" s="232"/>
      <c r="AC634" s="250" t="str">
        <f>IF(OR(Z634="",AB634=""),"",IF(AND(AB634="X",AA634&gt;=X634),"CUMPLE","NO CUMPLE"))</f>
        <v/>
      </c>
    </row>
    <row r="635" spans="1:29" ht="33.75" customHeight="1" thickBot="1">
      <c r="A635" s="122" t="str">
        <f>"O"&amp;E613</f>
        <v>O23</v>
      </c>
      <c r="B635" s="328" t="s">
        <v>108</v>
      </c>
      <c r="C635" s="329"/>
      <c r="D635" s="329"/>
      <c r="E635" s="329"/>
      <c r="F635" s="329"/>
      <c r="G635" s="185" t="s">
        <v>99</v>
      </c>
      <c r="H635" s="186">
        <v>5</v>
      </c>
      <c r="I635" s="92" t="str">
        <f>IF(AND(H635&lt;=M628,M628&gt;1),VLOOKUP(VALUE(E613&amp;","&amp;H635),INTEGRANTES!$B$15:$D$72,2,0),"")</f>
        <v/>
      </c>
      <c r="J635" s="187" t="str">
        <f>IF(I635&lt;&gt;"",VLOOKUP(VALUE(E613&amp;","&amp;H635),INTEGRANTES!$B$15:$D$72,3,0),"")</f>
        <v/>
      </c>
      <c r="K635" s="247" t="str">
        <f>IF($I635="","",IF(G629="N/A","",ROUND($G629*POSMMLV*PORPOM,2)))</f>
        <v/>
      </c>
      <c r="L635" s="247" t="str">
        <f>IF(I635="","",SUMIF($J617:$J622,I635,$T617:$T622))</f>
        <v/>
      </c>
      <c r="M635" s="93" t="str">
        <f t="shared" si="138"/>
        <v/>
      </c>
      <c r="N635" s="93" t="str">
        <f t="shared" si="139"/>
        <v/>
      </c>
      <c r="O635" s="302"/>
      <c r="P635" s="303"/>
      <c r="Q635" s="303"/>
      <c r="R635" s="303"/>
      <c r="S635" s="303"/>
      <c r="T635" s="303"/>
      <c r="U635" s="304"/>
      <c r="V635" s="201"/>
      <c r="W635" s="1"/>
      <c r="X635" s="42"/>
      <c r="Y635" s="1"/>
      <c r="Z635" s="262" t="str">
        <f>IF(AND(H635&lt;=M628,M628&gt;1),VLOOKUP(VALUE(E613&amp;","&amp;H635),INTEGRANTES!$B$15:$D$72,2,0),"")</f>
        <v/>
      </c>
      <c r="AA635" s="248" t="str">
        <f>IF(I635="","",SUMIF(J617:$J622,I635,$T617:$T622))</f>
        <v/>
      </c>
      <c r="AB635" s="232"/>
      <c r="AC635" s="250" t="str">
        <f>IF(OR(Z635="",AB635=""),"",IF(AND(AB635="X",AA635&gt;=X634),"CUMPLE","NO CUMPLE"))</f>
        <v/>
      </c>
    </row>
    <row r="636" spans="1:29" ht="16" thickBot="1">
      <c r="A636" s="122" t="str">
        <f>"P"&amp;E613</f>
        <v>P23</v>
      </c>
      <c r="B636" s="353"/>
      <c r="C636" s="354"/>
      <c r="D636" s="354"/>
      <c r="E636" s="354"/>
      <c r="F636" s="354"/>
      <c r="G636" s="137" t="str">
        <f>IF(AND(COUNTIF(X617:X622,"")&gt;5,COUNTIF(Z617:Z622,"")&gt;5),"NO CUMPLE",IF(AND(COUNTIF(X617:X622,"SI")&gt;=$AF$17,COUNTIF(Z617:Z622,"SI")&gt;=$AF$17),"CUMPLE", "NO CUMPLE"))</f>
        <v>CUMPLE</v>
      </c>
      <c r="H636" s="257">
        <v>6</v>
      </c>
      <c r="I636" s="258" t="str">
        <f>IF(AND(H636&lt;=M628,M628&gt;1),VLOOKUP(VALUE(E613&amp;","&amp;H636),INTEGRANTES!$B$15:$D$72,2,0),"")</f>
        <v/>
      </c>
      <c r="J636" s="259" t="str">
        <f>IF(I636&lt;&gt;"",VLOOKUP(VALUE(E613&amp;","&amp;H636),INTEGRANTES!$B$15:$D$72,3,0),"")</f>
        <v/>
      </c>
      <c r="K636" s="260" t="str">
        <f>IF($I636="","",IF(G629="N/A","",ROUND($G629*POSMMLV*PORPOM,2)))</f>
        <v/>
      </c>
      <c r="L636" s="260" t="str">
        <f>IF(I636="","",SUMIF($J617:$J622,I636,$T617:$T622))</f>
        <v/>
      </c>
      <c r="M636" s="261" t="str">
        <f t="shared" si="138"/>
        <v/>
      </c>
      <c r="N636" s="93" t="str">
        <f t="shared" si="139"/>
        <v/>
      </c>
      <c r="O636" s="302"/>
      <c r="P636" s="303"/>
      <c r="Q636" s="303"/>
      <c r="R636" s="303"/>
      <c r="S636" s="303"/>
      <c r="T636" s="303"/>
      <c r="U636" s="304"/>
      <c r="V636" s="201"/>
      <c r="W636" s="1"/>
      <c r="X636" s="239" t="s">
        <v>122</v>
      </c>
      <c r="Y636" s="1"/>
      <c r="Z636" s="263" t="str">
        <f>IF(AND(H636&lt;=M628,M628&gt;1),VLOOKUP(VALUE(E613&amp;","&amp;H636),INTEGRANTES!$B$15:$D$72,2,0),"")</f>
        <v/>
      </c>
      <c r="AA636" s="249" t="str">
        <f>IF(I636="","",SUMIF(J617:$J622,I636,$T617:$T622))</f>
        <v/>
      </c>
      <c r="AB636" s="246"/>
      <c r="AC636" s="137" t="str">
        <f>IF(OR(Z636="",AB636=""),"",IF(AND(AB636="X",AA636&gt;=X634),"CUMPLE","NO CUMPLE"))</f>
        <v/>
      </c>
    </row>
    <row r="637" spans="1:29" ht="38.25" customHeight="1" thickBot="1">
      <c r="A637" s="122" t="str">
        <f>"Q"&amp;E613</f>
        <v>Q23</v>
      </c>
      <c r="B637" s="338"/>
      <c r="C637" s="339"/>
      <c r="D637" s="339"/>
      <c r="E637" s="339"/>
      <c r="F637" s="339"/>
      <c r="G637" s="340"/>
      <c r="H637" s="318" t="s">
        <v>138</v>
      </c>
      <c r="I637" s="341"/>
      <c r="J637" s="342"/>
      <c r="K637" s="318" t="s">
        <v>139</v>
      </c>
      <c r="L637" s="319"/>
      <c r="M637" s="188" t="str">
        <f>IF(OR($M628="",SUM(J631:J636)=0),"",IF(COUNTIF(M631:M636,"CUMPLE")&gt;=1,"CUMPLE","NO CUMPLE"))</f>
        <v>CUMPLE</v>
      </c>
      <c r="N637" s="188" t="str">
        <f>IF(OR($M628="",SUM(J631:J636)=0),"",IF(COUNTIF(N631:N636,"CUMPLE")&gt;=1,"CUMPLE","NO CUMPLE"))</f>
        <v>CUMPLE</v>
      </c>
      <c r="O637" s="305"/>
      <c r="P637" s="306"/>
      <c r="Q637" s="306"/>
      <c r="R637" s="306"/>
      <c r="S637" s="306"/>
      <c r="T637" s="306"/>
      <c r="U637" s="307"/>
      <c r="V637" s="201"/>
      <c r="W637" s="1"/>
      <c r="X637" s="254" t="str">
        <f>IF(X631="NO APLICA","NO APLICA",IF(COUNTIF(AC631:AC636,"CUMPLE")&gt;0,"CUMPLE","NO CUMPLE"))</f>
        <v>NO CUMPLE</v>
      </c>
      <c r="Y637" s="1"/>
      <c r="Z637" s="42"/>
      <c r="AA637" s="42"/>
      <c r="AB637" s="42"/>
      <c r="AC637" s="42"/>
    </row>
    <row r="638" spans="1:29">
      <c r="A638"/>
    </row>
    <row r="639" spans="1:29">
      <c r="A639"/>
    </row>
    <row r="640" spans="1:29" ht="23.5" thickBot="1">
      <c r="A640" s="167">
        <v>24</v>
      </c>
      <c r="B640" s="349" t="s">
        <v>1</v>
      </c>
      <c r="C640" s="349"/>
      <c r="D640" s="349"/>
      <c r="E640" s="105">
        <f>VLOOKUP(A640,PROPONENTES!$B$14:$D$37,2,FALSE)</f>
        <v>24</v>
      </c>
      <c r="F640" s="106" t="str">
        <f>VLOOKUP(E640,PROPONENTES!$C$14:$D$37,2,FALSE)</f>
        <v>CONSORCIO VIAL 2019</v>
      </c>
      <c r="G640" s="107"/>
      <c r="H640" s="107"/>
      <c r="I640" s="107"/>
      <c r="J640" s="106"/>
      <c r="K640" s="106"/>
      <c r="L640" s="105"/>
      <c r="M640" s="107"/>
      <c r="N640" s="107"/>
      <c r="O640" s="107"/>
      <c r="P640" s="107"/>
      <c r="Q640" s="107"/>
      <c r="R640" s="107"/>
      <c r="S640" s="107"/>
      <c r="T640" s="108"/>
      <c r="U640" s="109"/>
      <c r="V640" s="109"/>
      <c r="W640" s="11"/>
      <c r="X640" s="240"/>
      <c r="Y640" s="11"/>
      <c r="Z640" s="240"/>
      <c r="AA640" s="240"/>
      <c r="AB640" s="240"/>
      <c r="AC640" s="240"/>
    </row>
    <row r="641" spans="1:29" ht="48" customHeight="1">
      <c r="A641" s="131"/>
      <c r="B641" s="350" t="s">
        <v>88</v>
      </c>
      <c r="C641" s="345" t="s">
        <v>48</v>
      </c>
      <c r="D641" s="352" t="s">
        <v>130</v>
      </c>
      <c r="E641" s="295"/>
      <c r="F641" s="352" t="s">
        <v>93</v>
      </c>
      <c r="G641" s="295"/>
      <c r="H641" s="315" t="s">
        <v>89</v>
      </c>
      <c r="I641" s="315" t="s">
        <v>103</v>
      </c>
      <c r="J641" s="315" t="s">
        <v>2</v>
      </c>
      <c r="K641" s="315" t="s">
        <v>27</v>
      </c>
      <c r="L641" s="315" t="s">
        <v>28</v>
      </c>
      <c r="M641" s="316" t="s">
        <v>29</v>
      </c>
      <c r="N641" s="315" t="s">
        <v>104</v>
      </c>
      <c r="O641" s="343" t="s">
        <v>78</v>
      </c>
      <c r="P641" s="344"/>
      <c r="Q641" s="345" t="s">
        <v>144</v>
      </c>
      <c r="R641" s="345" t="s">
        <v>101</v>
      </c>
      <c r="S641" s="294" t="s">
        <v>3</v>
      </c>
      <c r="T641" s="295"/>
      <c r="U641" s="347" t="s">
        <v>18</v>
      </c>
      <c r="V641" s="366" t="s">
        <v>102</v>
      </c>
      <c r="W641" s="133"/>
      <c r="X641" s="361" t="s">
        <v>146</v>
      </c>
      <c r="Y641" s="133"/>
      <c r="Z641" s="133"/>
      <c r="AA641" s="133"/>
      <c r="AB641" s="245"/>
      <c r="AC641" s="361" t="s">
        <v>123</v>
      </c>
    </row>
    <row r="642" spans="1:29" ht="98.25" customHeight="1">
      <c r="A642" s="131"/>
      <c r="B642" s="351"/>
      <c r="C642" s="346"/>
      <c r="D642" s="134" t="s">
        <v>10</v>
      </c>
      <c r="E642" s="134" t="s">
        <v>4</v>
      </c>
      <c r="F642" s="134" t="s">
        <v>15</v>
      </c>
      <c r="G642" s="135" t="s">
        <v>90</v>
      </c>
      <c r="H642" s="314"/>
      <c r="I642" s="314"/>
      <c r="J642" s="314"/>
      <c r="K642" s="314"/>
      <c r="L642" s="314"/>
      <c r="M642" s="317"/>
      <c r="N642" s="314"/>
      <c r="O642" s="264" t="s">
        <v>76</v>
      </c>
      <c r="P642" s="264" t="str">
        <f>+P588</f>
        <v>¿EL CONTRATO SE ENCUENTRA CLASIFICADO EN ALGUNA DE LAS CLASIFICACIONES ESTABLECIDAS EN EL PLIEGO? (SI/NO) (721033 - 721410 - 721411 - 721416)</v>
      </c>
      <c r="Q642" s="346"/>
      <c r="R642" s="346"/>
      <c r="S642" s="264" t="s">
        <v>81</v>
      </c>
      <c r="T642" s="264" t="s">
        <v>77</v>
      </c>
      <c r="U642" s="348"/>
      <c r="V642" s="336"/>
      <c r="W642" s="133"/>
      <c r="X642" s="362"/>
      <c r="Y642" s="133"/>
      <c r="Z642" s="245"/>
      <c r="AA642" s="245"/>
      <c r="AB642" s="245"/>
      <c r="AC642" s="362"/>
    </row>
    <row r="643" spans="1:29" ht="16" thickBot="1">
      <c r="A643" s="122"/>
      <c r="B643" s="96"/>
      <c r="C643" s="97"/>
      <c r="D643" s="97"/>
      <c r="E643" s="97"/>
      <c r="F643" s="97"/>
      <c r="G643" s="97"/>
      <c r="H643" s="97"/>
      <c r="I643" s="97"/>
      <c r="J643" s="97"/>
      <c r="K643" s="97"/>
      <c r="L643" s="97"/>
      <c r="M643" s="97"/>
      <c r="N643" s="97"/>
      <c r="O643" s="97"/>
      <c r="P643" s="97"/>
      <c r="Q643" s="97"/>
      <c r="R643" s="173"/>
      <c r="S643" s="173"/>
      <c r="T643" s="97"/>
      <c r="U643" s="191"/>
      <c r="V643" s="202"/>
      <c r="W643" s="1"/>
      <c r="X643" s="241"/>
      <c r="Y643" s="1"/>
      <c r="Z643" s="42"/>
      <c r="AA643" s="42"/>
      <c r="AB643" s="42"/>
      <c r="AC643" s="241"/>
    </row>
    <row r="644" spans="1:29" ht="46" customHeight="1">
      <c r="A644" s="125" t="str">
        <f>"A"&amp;E640</f>
        <v>A24</v>
      </c>
      <c r="B644" s="140">
        <v>1</v>
      </c>
      <c r="C644" s="139" t="s">
        <v>327</v>
      </c>
      <c r="D644" s="139" t="s">
        <v>328</v>
      </c>
      <c r="E644" s="139" t="s">
        <v>329</v>
      </c>
      <c r="F644" s="139" t="s">
        <v>222</v>
      </c>
      <c r="G644" s="142">
        <v>0.99</v>
      </c>
      <c r="H644" s="142" t="s">
        <v>115</v>
      </c>
      <c r="I644" s="138" t="s">
        <v>50</v>
      </c>
      <c r="J644" s="378" t="str">
        <f>+I659</f>
        <v>MR GROUP COL S.A.S</v>
      </c>
      <c r="K644" s="127">
        <v>41460</v>
      </c>
      <c r="L644" s="127">
        <v>41598</v>
      </c>
      <c r="M644" s="128">
        <f>IF(OR(K644="",L644=""),"",IF(OR(K644&gt;$T$14,K644&lt;$S$14,L644&gt;$T$14,AND(K644&lt;$S$14,L644&lt;$S$14)),"FUERA DE RANGO",IF(K644&gt;=$S$14,ROUND(((L644-K644+1)/360*12),1),ROUND(((L644-$S$14+1)/360*12),1))))</f>
        <v>4.5999999999999996</v>
      </c>
      <c r="N644" s="206">
        <v>12</v>
      </c>
      <c r="O644" s="138" t="s">
        <v>50</v>
      </c>
      <c r="P644" s="128" t="s">
        <v>50</v>
      </c>
      <c r="Q644" s="128" t="s">
        <v>112</v>
      </c>
      <c r="R644" s="95">
        <v>8695.4599999999991</v>
      </c>
      <c r="S644" s="95">
        <f t="shared" ref="S644:S649" si="140">IF(OR(G644="",R644=""),"",R644*G644)</f>
        <v>8608.5053999999982</v>
      </c>
      <c r="T644" s="129">
        <f>IF(OR(I644="NO",I644="",I644&lt;&gt;"SI",S644=""),"",IF(OR(L644&lt;$S$14,L644&gt;$T$14,L644=""),0,ROUND(S644,2)))</f>
        <v>8608.51</v>
      </c>
      <c r="U644" s="192" t="s">
        <v>432</v>
      </c>
      <c r="V644" s="204"/>
      <c r="W644" s="141"/>
      <c r="X644" s="222" t="s">
        <v>50</v>
      </c>
      <c r="Y644" s="141"/>
      <c r="Z644" s="223" t="str">
        <f t="shared" ref="Z644:Z649" si="141">IF(T644="","",IF(T644&gt;=PORCREQCTO*POSMMLV,"SI","NO"))</f>
        <v>SI</v>
      </c>
      <c r="AA644" s="296" t="str">
        <f>"VERIFICACIÓN CUMPLIMIENTO "&amp;PORCREQCTO*100&amp;"% DEL PO"</f>
        <v>VERIFICACIÓN CUMPLIMIENTO 50% DEL PO</v>
      </c>
      <c r="AB644" s="171"/>
      <c r="AC644" s="256"/>
    </row>
    <row r="645" spans="1:29" ht="31.5">
      <c r="A645" s="125" t="str">
        <f>"B"&amp;E640</f>
        <v>B24</v>
      </c>
      <c r="B645" s="140">
        <v>2</v>
      </c>
      <c r="C645" s="139" t="s">
        <v>327</v>
      </c>
      <c r="D645" s="139" t="s">
        <v>330</v>
      </c>
      <c r="E645" s="139" t="s">
        <v>331</v>
      </c>
      <c r="F645" s="139" t="s">
        <v>222</v>
      </c>
      <c r="G645" s="142">
        <v>0.99</v>
      </c>
      <c r="H645" s="142" t="s">
        <v>115</v>
      </c>
      <c r="I645" s="138" t="s">
        <v>50</v>
      </c>
      <c r="J645" s="378" t="str">
        <f>+J644</f>
        <v>MR GROUP COL S.A.S</v>
      </c>
      <c r="K645" s="127">
        <v>41618</v>
      </c>
      <c r="L645" s="127">
        <v>41971</v>
      </c>
      <c r="M645" s="128">
        <f t="shared" ref="M645:M649" si="142">IF(OR(K645="",L645=""),"",IF(OR(K645&gt;$T$14,K645&lt;$S$14,L645&gt;$T$14,AND(K645&lt;$S$14,L645&lt;$S$14)),"FUERA DE RANGO",IF(K645&gt;=$S$14,ROUND(((L645-K645+1)/360*12),1),ROUND(((L645-$S$14+1)/360*12),1))))</f>
        <v>11.8</v>
      </c>
      <c r="N645" s="206">
        <v>15</v>
      </c>
      <c r="O645" s="138" t="s">
        <v>50</v>
      </c>
      <c r="P645" s="128" t="s">
        <v>50</v>
      </c>
      <c r="Q645" s="128" t="s">
        <v>112</v>
      </c>
      <c r="R645" s="95">
        <v>14689.06</v>
      </c>
      <c r="S645" s="95">
        <f t="shared" si="140"/>
        <v>14542.169399999999</v>
      </c>
      <c r="T645" s="129">
        <f t="shared" ref="T645:T649" si="143">IF(OR(I645="NO",I645="",I645&lt;&gt;"SI",S645=""),"",IF(OR(L645&lt;$S$14,L645&gt;$T$14,L645=""),0,ROUND(S645,2)))</f>
        <v>14542.17</v>
      </c>
      <c r="U645" s="192" t="s">
        <v>433</v>
      </c>
      <c r="V645" s="204"/>
      <c r="W645" s="141"/>
      <c r="X645" s="222"/>
      <c r="Y645" s="141"/>
      <c r="Z645" s="224" t="str">
        <f t="shared" si="141"/>
        <v>SI</v>
      </c>
      <c r="AA645" s="297"/>
      <c r="AB645" s="171"/>
      <c r="AC645" s="256"/>
    </row>
    <row r="646" spans="1:29" ht="31.5">
      <c r="A646" s="125" t="str">
        <f>"C"&amp;E640</f>
        <v>C24</v>
      </c>
      <c r="B646" s="140">
        <v>3</v>
      </c>
      <c r="C646" s="139" t="s">
        <v>327</v>
      </c>
      <c r="D646" s="139" t="s">
        <v>332</v>
      </c>
      <c r="E646" s="139" t="s">
        <v>333</v>
      </c>
      <c r="F646" s="139" t="s">
        <v>222</v>
      </c>
      <c r="G646" s="142">
        <v>0.99</v>
      </c>
      <c r="H646" s="142" t="s">
        <v>115</v>
      </c>
      <c r="I646" s="138" t="s">
        <v>50</v>
      </c>
      <c r="J646" s="378" t="str">
        <f>+J645</f>
        <v>MR GROUP COL S.A.S</v>
      </c>
      <c r="K646" s="127">
        <v>41988</v>
      </c>
      <c r="L646" s="127">
        <v>42185</v>
      </c>
      <c r="M646" s="128">
        <f t="shared" si="142"/>
        <v>6.6</v>
      </c>
      <c r="N646" s="206">
        <v>38</v>
      </c>
      <c r="O646" s="138" t="s">
        <v>50</v>
      </c>
      <c r="P646" s="128" t="s">
        <v>50</v>
      </c>
      <c r="Q646" s="128" t="s">
        <v>112</v>
      </c>
      <c r="R646" s="95">
        <v>7379.25</v>
      </c>
      <c r="S646" s="95">
        <f t="shared" si="140"/>
        <v>7305.4574999999995</v>
      </c>
      <c r="T646" s="129">
        <f t="shared" si="143"/>
        <v>7305.46</v>
      </c>
      <c r="U646" s="192" t="s">
        <v>434</v>
      </c>
      <c r="V646" s="204"/>
      <c r="W646" s="141"/>
      <c r="X646" s="222"/>
      <c r="Y646" s="141"/>
      <c r="Z646" s="224" t="str">
        <f t="shared" si="141"/>
        <v>SI</v>
      </c>
      <c r="AA646" s="297"/>
      <c r="AB646" s="171"/>
      <c r="AC646" s="256"/>
    </row>
    <row r="647" spans="1:29">
      <c r="A647" s="125" t="str">
        <f>"D"&amp;E640</f>
        <v>D24</v>
      </c>
      <c r="B647" s="140"/>
      <c r="C647" s="139"/>
      <c r="D647" s="139"/>
      <c r="E647" s="139"/>
      <c r="F647" s="139"/>
      <c r="G647" s="142"/>
      <c r="H647" s="142"/>
      <c r="I647" s="138"/>
      <c r="J647" s="138"/>
      <c r="K647" s="127"/>
      <c r="L647" s="127"/>
      <c r="M647" s="206" t="str">
        <f t="shared" si="142"/>
        <v/>
      </c>
      <c r="N647" s="206"/>
      <c r="O647" s="138"/>
      <c r="P647" s="128"/>
      <c r="Q647" s="128"/>
      <c r="R647" s="95"/>
      <c r="S647" s="95" t="str">
        <f t="shared" si="140"/>
        <v/>
      </c>
      <c r="T647" s="129" t="str">
        <f t="shared" si="143"/>
        <v/>
      </c>
      <c r="U647" s="192"/>
      <c r="V647" s="204"/>
      <c r="W647" s="141"/>
      <c r="X647" s="222"/>
      <c r="Y647" s="141"/>
      <c r="Z647" s="224" t="str">
        <f t="shared" si="141"/>
        <v/>
      </c>
      <c r="AA647" s="297"/>
      <c r="AB647" s="171"/>
      <c r="AC647" s="256"/>
    </row>
    <row r="648" spans="1:29">
      <c r="A648" s="125" t="str">
        <f>"E"&amp;E640</f>
        <v>E24</v>
      </c>
      <c r="B648" s="140"/>
      <c r="C648" s="139"/>
      <c r="D648" s="139"/>
      <c r="E648" s="139"/>
      <c r="F648" s="139"/>
      <c r="G648" s="142"/>
      <c r="H648" s="142"/>
      <c r="I648" s="138"/>
      <c r="J648" s="138"/>
      <c r="K648" s="127"/>
      <c r="L648" s="127"/>
      <c r="M648" s="206" t="str">
        <f t="shared" si="142"/>
        <v/>
      </c>
      <c r="N648" s="206"/>
      <c r="O648" s="138"/>
      <c r="P648" s="128"/>
      <c r="Q648" s="128"/>
      <c r="R648" s="95"/>
      <c r="S648" s="95" t="str">
        <f t="shared" si="140"/>
        <v/>
      </c>
      <c r="T648" s="129" t="str">
        <f t="shared" si="143"/>
        <v/>
      </c>
      <c r="U648" s="192"/>
      <c r="V648" s="204"/>
      <c r="W648" s="141"/>
      <c r="X648" s="222"/>
      <c r="Y648" s="141"/>
      <c r="Z648" s="224" t="str">
        <f t="shared" si="141"/>
        <v/>
      </c>
      <c r="AA648" s="297"/>
      <c r="AB648" s="171"/>
      <c r="AC648" s="256"/>
    </row>
    <row r="649" spans="1:29" ht="16" thickBot="1">
      <c r="A649" s="125" t="str">
        <f>"F"&amp;E640</f>
        <v>F24</v>
      </c>
      <c r="B649" s="140"/>
      <c r="C649" s="139"/>
      <c r="D649" s="139"/>
      <c r="E649" s="139"/>
      <c r="F649" s="139"/>
      <c r="G649" s="142"/>
      <c r="H649" s="142"/>
      <c r="I649" s="138"/>
      <c r="J649" s="138"/>
      <c r="K649" s="127"/>
      <c r="L649" s="127"/>
      <c r="M649" s="206" t="str">
        <f t="shared" si="142"/>
        <v/>
      </c>
      <c r="N649" s="206"/>
      <c r="O649" s="138"/>
      <c r="P649" s="128"/>
      <c r="Q649" s="128"/>
      <c r="R649" s="95"/>
      <c r="S649" s="95" t="str">
        <f t="shared" si="140"/>
        <v/>
      </c>
      <c r="T649" s="129" t="str">
        <f t="shared" si="143"/>
        <v/>
      </c>
      <c r="U649" s="192"/>
      <c r="V649" s="204"/>
      <c r="W649" s="141"/>
      <c r="X649" s="222"/>
      <c r="Y649" s="141"/>
      <c r="Z649" s="225" t="str">
        <f t="shared" si="141"/>
        <v/>
      </c>
      <c r="AA649" s="363"/>
      <c r="AB649" s="171"/>
      <c r="AC649" s="256"/>
    </row>
    <row r="650" spans="1:29" ht="16" thickBot="1">
      <c r="A650" s="122"/>
      <c r="B650" s="96"/>
      <c r="C650" s="97"/>
      <c r="D650" s="97"/>
      <c r="E650" s="97"/>
      <c r="F650" s="97"/>
      <c r="G650" s="97"/>
      <c r="H650" s="97"/>
      <c r="I650" s="97"/>
      <c r="J650" s="97"/>
      <c r="K650" s="97"/>
      <c r="L650" s="97"/>
      <c r="M650" s="97"/>
      <c r="N650" s="97"/>
      <c r="O650" s="97"/>
      <c r="P650" s="97"/>
      <c r="Q650" s="97"/>
      <c r="R650" s="173"/>
      <c r="S650" s="173"/>
      <c r="T650" s="126"/>
      <c r="U650" s="98"/>
      <c r="V650" s="205"/>
      <c r="W650" s="1"/>
      <c r="X650" s="242"/>
      <c r="Y650" s="1"/>
      <c r="Z650" s="42"/>
      <c r="AA650" s="42"/>
      <c r="AB650" s="42"/>
      <c r="AC650" s="242"/>
    </row>
    <row r="651" spans="1:29" ht="16" thickBot="1">
      <c r="A651" s="123"/>
      <c r="B651" s="99"/>
      <c r="C651" s="94"/>
      <c r="D651" s="94"/>
      <c r="E651" s="94"/>
      <c r="F651" s="94"/>
      <c r="G651" s="94"/>
      <c r="H651" s="94"/>
      <c r="I651" s="94"/>
      <c r="J651" s="94"/>
      <c r="K651" s="94"/>
      <c r="L651" s="94"/>
      <c r="M651" s="94"/>
      <c r="N651" s="94"/>
      <c r="O651" s="94"/>
      <c r="P651" s="94"/>
      <c r="Q651" s="94"/>
      <c r="R651" s="265"/>
      <c r="S651" s="265"/>
      <c r="T651" s="130">
        <f>SUM(T644:T649)</f>
        <v>30456.14</v>
      </c>
      <c r="U651" s="100"/>
      <c r="V651" s="203"/>
      <c r="W651" s="12"/>
      <c r="X651" s="243"/>
      <c r="Y651" s="12"/>
      <c r="Z651" s="243"/>
      <c r="AA651" s="243"/>
      <c r="AB651" s="243"/>
      <c r="AC651" s="243"/>
    </row>
    <row r="652" spans="1:29">
      <c r="B652" s="197"/>
      <c r="C652" s="193"/>
      <c r="D652" s="193"/>
      <c r="E652" s="193"/>
      <c r="F652" s="193"/>
      <c r="G652" s="193"/>
      <c r="H652" s="193"/>
      <c r="I652" s="193"/>
      <c r="J652" s="193"/>
      <c r="K652" s="193"/>
      <c r="L652" s="193"/>
      <c r="M652" s="193"/>
      <c r="N652" s="193"/>
      <c r="O652" s="193"/>
      <c r="P652" s="193"/>
      <c r="Q652" s="193"/>
      <c r="R652" s="194"/>
      <c r="S652" s="194"/>
      <c r="T652" s="195"/>
      <c r="U652" s="196"/>
      <c r="V652" s="195"/>
    </row>
    <row r="653" spans="1:29" ht="16" thickBot="1">
      <c r="A653" s="122"/>
      <c r="B653" s="322" t="s">
        <v>45</v>
      </c>
      <c r="C653" s="323"/>
      <c r="D653" s="323"/>
      <c r="E653" s="323"/>
      <c r="F653" s="323"/>
      <c r="G653" s="324"/>
      <c r="H653" s="324"/>
      <c r="I653" s="324"/>
      <c r="J653" s="324"/>
      <c r="K653" s="324"/>
      <c r="L653" s="324"/>
      <c r="M653" s="324"/>
      <c r="N653" s="324"/>
      <c r="O653" s="324"/>
      <c r="P653" s="324"/>
      <c r="Q653" s="324"/>
      <c r="R653" s="324"/>
      <c r="S653" s="324"/>
      <c r="T653" s="324"/>
      <c r="U653" s="325"/>
      <c r="V653" s="201"/>
      <c r="W653" s="1"/>
      <c r="X653" s="42"/>
      <c r="Y653" s="1"/>
      <c r="Z653" s="42"/>
      <c r="AA653" s="42"/>
      <c r="AB653" s="42"/>
      <c r="AC653" s="42"/>
    </row>
    <row r="654" spans="1:29" ht="16.5" customHeight="1" thickBot="1">
      <c r="A654" s="122" t="str">
        <f>"G"&amp;E640</f>
        <v>G24</v>
      </c>
      <c r="B654" s="291" t="s">
        <v>97</v>
      </c>
      <c r="C654" s="292"/>
      <c r="D654" s="292"/>
      <c r="E654" s="292"/>
      <c r="F654" s="292"/>
      <c r="G654" s="326"/>
      <c r="H654" s="291" t="s">
        <v>100</v>
      </c>
      <c r="I654" s="292"/>
      <c r="J654" s="292"/>
      <c r="K654" s="292"/>
      <c r="L654" s="292"/>
      <c r="M654" s="292"/>
      <c r="N654" s="292"/>
      <c r="O654" s="189" t="s">
        <v>23</v>
      </c>
      <c r="P654" s="190"/>
      <c r="Q654" s="190"/>
      <c r="R654" s="190"/>
      <c r="S654" s="190"/>
      <c r="T654" s="190"/>
      <c r="U654" s="253"/>
      <c r="V654" s="201"/>
      <c r="W654" s="1"/>
      <c r="X654" s="239" t="s">
        <v>117</v>
      </c>
      <c r="Y654" s="1"/>
      <c r="Z654" s="355" t="s">
        <v>119</v>
      </c>
      <c r="AA654" s="345" t="s">
        <v>120</v>
      </c>
      <c r="AB654" s="345" t="s">
        <v>148</v>
      </c>
      <c r="AC654" s="359" t="s">
        <v>149</v>
      </c>
    </row>
    <row r="655" spans="1:29" ht="15.75" customHeight="1" thickBot="1">
      <c r="A655" s="122" t="str">
        <f>"H"&amp;E640</f>
        <v>H24</v>
      </c>
      <c r="B655" s="293" t="s">
        <v>132</v>
      </c>
      <c r="C655" s="294"/>
      <c r="D655" s="294"/>
      <c r="E655" s="294"/>
      <c r="F655" s="294"/>
      <c r="G655" s="327"/>
      <c r="H655" s="293" t="s">
        <v>17</v>
      </c>
      <c r="I655" s="294"/>
      <c r="J655" s="294"/>
      <c r="K655" s="294"/>
      <c r="L655" s="295"/>
      <c r="M655" s="183">
        <f>VLOOKUP(E640,PROPONENTES!$C$14:$E$37,3,0)</f>
        <v>2</v>
      </c>
      <c r="N655" s="296" t="s">
        <v>143</v>
      </c>
      <c r="O655" s="299"/>
      <c r="P655" s="300"/>
      <c r="Q655" s="300"/>
      <c r="R655" s="300"/>
      <c r="S655" s="300"/>
      <c r="T655" s="300"/>
      <c r="U655" s="301"/>
      <c r="V655" s="201"/>
      <c r="W655" s="1"/>
      <c r="X655" s="244" t="str">
        <f>IF(M655="","",IF(M655=1,"INDIVIDUAL","ESTRUCTURA PLURAL"))</f>
        <v>ESTRUCTURA PLURAL</v>
      </c>
      <c r="Y655" s="1"/>
      <c r="Z655" s="356"/>
      <c r="AA655" s="358"/>
      <c r="AB655" s="358"/>
      <c r="AC655" s="360"/>
    </row>
    <row r="656" spans="1:29" ht="15.75" customHeight="1" thickBot="1">
      <c r="A656" s="122" t="str">
        <f>"I"&amp;E640</f>
        <v>I24</v>
      </c>
      <c r="B656" s="328" t="s">
        <v>131</v>
      </c>
      <c r="C656" s="329"/>
      <c r="D656" s="330"/>
      <c r="E656" s="308">
        <f>IF(AND(I644="SI",T644&gt;0),1,0)+IF(AND(I645="SI",T645&gt;0),1,0)+IF(AND(I646="SI",T646&gt;0),1,0)+IF(AND(I647="SI",T647&gt;0),1,0)+IF(AND(I648="SI",T648&gt;0),1,0)+IF(AND(I649="SI",T649&gt;0),1,0)</f>
        <v>3</v>
      </c>
      <c r="F656" s="310" t="s">
        <v>133</v>
      </c>
      <c r="G656" s="312">
        <f>IF(E656=0,"N/A",IF(AND(E656&gt;=1,E656&lt;=2),0.75,IF(AND(E656&gt;=3,E656&lt;=4),1.2,IF(AND(E656&gt;=5,E656&lt;=6),1.5,"REVISAR"))))</f>
        <v>1.2</v>
      </c>
      <c r="H656" s="334" t="s">
        <v>16</v>
      </c>
      <c r="I656" s="335"/>
      <c r="J656" s="314" t="s">
        <v>0</v>
      </c>
      <c r="K656" s="314" t="s">
        <v>140</v>
      </c>
      <c r="L656" s="314" t="s">
        <v>141</v>
      </c>
      <c r="M656" s="320" t="s">
        <v>142</v>
      </c>
      <c r="N656" s="297"/>
      <c r="O656" s="302"/>
      <c r="P656" s="303"/>
      <c r="Q656" s="303"/>
      <c r="R656" s="303"/>
      <c r="S656" s="303"/>
      <c r="T656" s="303"/>
      <c r="U656" s="304"/>
      <c r="V656" s="201"/>
      <c r="W656" s="38"/>
      <c r="X656" s="171"/>
      <c r="Y656" s="38"/>
      <c r="Z656" s="356"/>
      <c r="AA656" s="358"/>
      <c r="AB656" s="358"/>
      <c r="AC656" s="360"/>
    </row>
    <row r="657" spans="1:29" ht="16.5" customHeight="1" thickBot="1">
      <c r="A657" s="122" t="str">
        <f>"J"&amp;E640</f>
        <v>J24</v>
      </c>
      <c r="B657" s="331"/>
      <c r="C657" s="332"/>
      <c r="D657" s="333"/>
      <c r="E657" s="309"/>
      <c r="F657" s="311"/>
      <c r="G657" s="313"/>
      <c r="H657" s="336"/>
      <c r="I657" s="337"/>
      <c r="J657" s="314"/>
      <c r="K657" s="314"/>
      <c r="L657" s="314"/>
      <c r="M657" s="321"/>
      <c r="N657" s="298"/>
      <c r="O657" s="302"/>
      <c r="P657" s="303"/>
      <c r="Q657" s="303"/>
      <c r="R657" s="303"/>
      <c r="S657" s="303"/>
      <c r="T657" s="303"/>
      <c r="U657" s="304"/>
      <c r="V657" s="201"/>
      <c r="W657" s="38"/>
      <c r="X657" s="239" t="s">
        <v>118</v>
      </c>
      <c r="Y657" s="38"/>
      <c r="Z657" s="357"/>
      <c r="AA657" s="346"/>
      <c r="AB657" s="346"/>
      <c r="AC657" s="321"/>
    </row>
    <row r="658" spans="1:29" ht="16" thickBot="1">
      <c r="A658" s="125" t="str">
        <f>"K"&amp;E640</f>
        <v>K24</v>
      </c>
      <c r="B658" s="293" t="s">
        <v>98</v>
      </c>
      <c r="C658" s="294"/>
      <c r="D658" s="294"/>
      <c r="E658" s="294"/>
      <c r="F658" s="294"/>
      <c r="G658" s="294"/>
      <c r="H658" s="186">
        <v>1</v>
      </c>
      <c r="I658" s="92" t="str">
        <f>IF(AND(H658&lt;=M655,M655&gt;1),VLOOKUP(VALUE(E640&amp;","&amp;H658),INTEGRANTES!$B$15:$D$72,2,0),"")</f>
        <v>GRUPO TITANIUM SAS</v>
      </c>
      <c r="J658" s="187">
        <f>IF(I658&lt;&gt;"",VLOOKUP(VALUE(E640&amp;","&amp;H658),INTEGRANTES!$B$15:$D$72,3,0),"")</f>
        <v>0.49</v>
      </c>
      <c r="K658" s="247">
        <f>IF($I658="","",IF(G656="N/A","",ROUND($G656*POSMMLV*PORPOM,2)))</f>
        <v>1115.23</v>
      </c>
      <c r="L658" s="247">
        <f>IF(I658="","",SUMIF($J644:$J649,I658,$T644:$T649))</f>
        <v>0</v>
      </c>
      <c r="M658" s="93" t="str">
        <f t="shared" ref="M658:M663" si="144">IF($I658="","",IF($K658&gt;L658,"NO CUMPLE","CUMPLE"))</f>
        <v>NO CUMPLE</v>
      </c>
      <c r="N658" s="93" t="str">
        <f t="shared" ref="N658:N663" si="145">IF($I658="","",IF(M658="CUMPLE","CUMPLE","NO CUMPLE"))</f>
        <v>NO CUMPLE</v>
      </c>
      <c r="O658" s="302"/>
      <c r="P658" s="303"/>
      <c r="Q658" s="303"/>
      <c r="R658" s="303"/>
      <c r="S658" s="303"/>
      <c r="T658" s="303"/>
      <c r="U658" s="304"/>
      <c r="V658" s="201"/>
      <c r="W658" s="1"/>
      <c r="X658" s="244" t="str">
        <f>IF(X655="","",IF(X655="INDIVIDUAL","NO APLICA","VERIFICAR CUADRO"))</f>
        <v>VERIFICAR CUADRO</v>
      </c>
      <c r="Y658" s="1"/>
      <c r="Z658" s="262" t="str">
        <f>IF(AND(H658&lt;=M655,M655&gt;1),VLOOKUP(VALUE(E640&amp;","&amp;H658),INTEGRANTES!$B$15:$D$72,2,0),"")</f>
        <v>GRUPO TITANIUM SAS</v>
      </c>
      <c r="AA658" s="248">
        <f>IF(I658="","",SUMIF(J644:$J649,I658,$T644:$T649))</f>
        <v>0</v>
      </c>
      <c r="AB658" s="232"/>
      <c r="AC658" s="250" t="str">
        <f>IF(OR(Z658="",AB658=""),"",IF(AND(AB658="X",AA658&gt;=X661),"CUMPLE","NO CUMPLE"))</f>
        <v/>
      </c>
    </row>
    <row r="659" spans="1:29" ht="15.75" customHeight="1" thickBot="1">
      <c r="A659" s="125" t="str">
        <f>"L"&amp;E640</f>
        <v>L24</v>
      </c>
      <c r="B659" s="328" t="s">
        <v>134</v>
      </c>
      <c r="C659" s="329"/>
      <c r="D659" s="330"/>
      <c r="E659" s="132" t="s">
        <v>135</v>
      </c>
      <c r="F659" s="132" t="s">
        <v>136</v>
      </c>
      <c r="G659" s="136" t="s">
        <v>99</v>
      </c>
      <c r="H659" s="186">
        <v>2</v>
      </c>
      <c r="I659" s="92" t="str">
        <f>IF(AND(H659&lt;=M655,M655&gt;1),VLOOKUP(VALUE(E640&amp;","&amp;H659),INTEGRANTES!$B$15:$D$72,2,0),"")</f>
        <v>MR GROUP COL S.A.S</v>
      </c>
      <c r="J659" s="187">
        <f>IF(I659&lt;&gt;"",VLOOKUP(VALUE(E640&amp;","&amp;H659),INTEGRANTES!$B$15:$D$72,3,0),"")</f>
        <v>0.51</v>
      </c>
      <c r="K659" s="247">
        <f>IF($I659="","",IF(G656="N/A","",ROUND($G656*POSMMLV*PORPOM,2)))</f>
        <v>1115.23</v>
      </c>
      <c r="L659" s="247">
        <f>IF(I659="","",SUMIF($J644:$J649,I659,$T644:$T649))</f>
        <v>30456.14</v>
      </c>
      <c r="M659" s="93" t="str">
        <f t="shared" si="144"/>
        <v>CUMPLE</v>
      </c>
      <c r="N659" s="93" t="str">
        <f t="shared" si="145"/>
        <v>CUMPLE</v>
      </c>
      <c r="O659" s="302"/>
      <c r="P659" s="303"/>
      <c r="Q659" s="303"/>
      <c r="R659" s="303"/>
      <c r="S659" s="303"/>
      <c r="T659" s="303"/>
      <c r="U659" s="304"/>
      <c r="V659" s="201"/>
      <c r="W659" s="1"/>
      <c r="X659" s="42"/>
      <c r="Y659" s="1"/>
      <c r="Z659" s="262" t="str">
        <f>IF(AND(H659&lt;=M655,M655&gt;1),VLOOKUP(VALUE(E640&amp;","&amp;H659),INTEGRANTES!$B$15:$D$72,2,0),"")</f>
        <v>MR GROUP COL S.A.S</v>
      </c>
      <c r="AA659" s="248">
        <f>IF(I659="","",SUMIF(J644:$J649,I659,$T644:$T649))</f>
        <v>30456.14</v>
      </c>
      <c r="AB659" s="232"/>
      <c r="AC659" s="250" t="str">
        <f>IF(OR(Z659="",AB659=""),"",IF(AND(AB659="X",AA659&gt;=X661),"CUMPLE","NO CUMPLE"))</f>
        <v/>
      </c>
    </row>
    <row r="660" spans="1:29" ht="16" thickBot="1">
      <c r="A660" s="122" t="str">
        <f>"M"&amp;E640</f>
        <v>M24</v>
      </c>
      <c r="B660" s="331"/>
      <c r="C660" s="332"/>
      <c r="D660" s="333"/>
      <c r="E660" s="237">
        <f>IF(ISTEXT(G656),"NO APLICA",G656*POSMMLV)</f>
        <v>2230.457645064218</v>
      </c>
      <c r="F660" s="238">
        <f>IF(E660="","",T651)</f>
        <v>30456.14</v>
      </c>
      <c r="G660" s="221" t="str">
        <f>IF(E660="","",IF(E660="NO APLICA","NO CUMPLE",IF(F660&gt;=E660,"CUMPLE", "NO CUMPLE")))</f>
        <v>CUMPLE</v>
      </c>
      <c r="H660" s="186">
        <v>3</v>
      </c>
      <c r="I660" s="92" t="str">
        <f>IF(AND(H660&lt;=M655,M655&gt;1),VLOOKUP(VALUE(E640&amp;","&amp;H660),INTEGRANTES!$B$15:$D$72,2,0),"")</f>
        <v/>
      </c>
      <c r="J660" s="187" t="str">
        <f>IF(I660&lt;&gt;"",VLOOKUP(VALUE(E640&amp;","&amp;H660),INTEGRANTES!$B$15:$D$72,3,0),"")</f>
        <v/>
      </c>
      <c r="K660" s="247" t="str">
        <f>IF($I660="","",IF(G656="N/A","",ROUND($G656*POSMMLV*PORPOM,2)))</f>
        <v/>
      </c>
      <c r="L660" s="247" t="str">
        <f>IF(I660="","",SUMIF($J644:$J649,I660,$T644:$T649))</f>
        <v/>
      </c>
      <c r="M660" s="93" t="str">
        <f t="shared" si="144"/>
        <v/>
      </c>
      <c r="N660" s="93" t="str">
        <f t="shared" si="145"/>
        <v/>
      </c>
      <c r="O660" s="302"/>
      <c r="P660" s="303"/>
      <c r="Q660" s="303"/>
      <c r="R660" s="303"/>
      <c r="S660" s="303"/>
      <c r="T660" s="303"/>
      <c r="U660" s="304"/>
      <c r="V660" s="201"/>
      <c r="W660" s="1"/>
      <c r="X660" s="239" t="s">
        <v>145</v>
      </c>
      <c r="Y660" s="1"/>
      <c r="Z660" s="262" t="str">
        <f>IF(AND(H660&lt;=M655,M655&gt;1),VLOOKUP(VALUE(E640&amp;","&amp;H660),INTEGRANTES!$B$15:$D$72,2,0),"")</f>
        <v/>
      </c>
      <c r="AA660" s="248" t="str">
        <f>IF(I660="","",SUMIF(J644:$J649,I660,$T644:$T649))</f>
        <v/>
      </c>
      <c r="AB660" s="232"/>
      <c r="AC660" s="250" t="str">
        <f>IF(OR(Z660="",AB660=""),"",IF(AND(AB660="X",AA660&gt;=X661),"CUMPLE","NO CUMPLE"))</f>
        <v/>
      </c>
    </row>
    <row r="661" spans="1:29" ht="15.75" customHeight="1" thickBot="1">
      <c r="A661" s="122" t="str">
        <f>"N"&amp;E640</f>
        <v>N24</v>
      </c>
      <c r="B661" s="293" t="s">
        <v>107</v>
      </c>
      <c r="C661" s="294"/>
      <c r="D661" s="294"/>
      <c r="E661" s="294"/>
      <c r="F661" s="294"/>
      <c r="G661" s="294"/>
      <c r="H661" s="186">
        <v>4</v>
      </c>
      <c r="I661" s="92" t="str">
        <f>IF(AND(H661&lt;=M655,M655&gt;1),VLOOKUP(VALUE(E640&amp;","&amp;H661),INTEGRANTES!$B$15:$D$72,2,0),"")</f>
        <v/>
      </c>
      <c r="J661" s="187" t="str">
        <f>IF(I661&lt;&gt;"",VLOOKUP(VALUE(E640&amp;","&amp;H661),INTEGRANTES!$B$15:$D$72,3,0),"")</f>
        <v/>
      </c>
      <c r="K661" s="247" t="str">
        <f>IF($I661="","",IF(G656="N/A","",ROUND($G656*POSMMLV*PORPOM,2)))</f>
        <v/>
      </c>
      <c r="L661" s="247" t="str">
        <f>IF(I661="","",SUMIF($J644:$J649,I661,$T644:$T649))</f>
        <v/>
      </c>
      <c r="M661" s="93" t="str">
        <f t="shared" si="144"/>
        <v/>
      </c>
      <c r="N661" s="93" t="str">
        <f t="shared" si="145"/>
        <v/>
      </c>
      <c r="O661" s="302"/>
      <c r="P661" s="303"/>
      <c r="Q661" s="303"/>
      <c r="R661" s="303"/>
      <c r="S661" s="303"/>
      <c r="T661" s="303"/>
      <c r="U661" s="304"/>
      <c r="V661" s="201"/>
      <c r="W661" s="1"/>
      <c r="X661" s="251">
        <f>IF(G656="N/A","N/A",0.4*G656*POSMMLV)</f>
        <v>892.18305802568716</v>
      </c>
      <c r="Y661" s="1"/>
      <c r="Z661" s="262" t="str">
        <f>IF(AND(H661&lt;=M655,M655&gt;1),VLOOKUP(VALUE(E640&amp;","&amp;H661),INTEGRANTES!$B$15:$D$72,2,0),"")</f>
        <v/>
      </c>
      <c r="AA661" s="248" t="str">
        <f>IF(I661="","",SUMIF(J644:$J649,I661,$T644:$T649))</f>
        <v/>
      </c>
      <c r="AB661" s="232"/>
      <c r="AC661" s="250" t="str">
        <f>IF(OR(Z661="",AB661=""),"",IF(AND(AB661="X",AA661&gt;=X661),"CUMPLE","NO CUMPLE"))</f>
        <v/>
      </c>
    </row>
    <row r="662" spans="1:29" ht="33.75" customHeight="1" thickBot="1">
      <c r="A662" s="122" t="str">
        <f>"O"&amp;E640</f>
        <v>O24</v>
      </c>
      <c r="B662" s="328" t="s">
        <v>108</v>
      </c>
      <c r="C662" s="329"/>
      <c r="D662" s="329"/>
      <c r="E662" s="329"/>
      <c r="F662" s="329"/>
      <c r="G662" s="185" t="s">
        <v>99</v>
      </c>
      <c r="H662" s="186">
        <v>5</v>
      </c>
      <c r="I662" s="92" t="str">
        <f>IF(AND(H662&lt;=M655,M655&gt;1),VLOOKUP(VALUE(E640&amp;","&amp;H662),INTEGRANTES!$B$15:$D$72,2,0),"")</f>
        <v/>
      </c>
      <c r="J662" s="187" t="str">
        <f>IF(I662&lt;&gt;"",VLOOKUP(VALUE(E640&amp;","&amp;H662),INTEGRANTES!$B$15:$D$72,3,0),"")</f>
        <v/>
      </c>
      <c r="K662" s="247" t="str">
        <f>IF($I662="","",IF(G656="N/A","",ROUND($G656*POSMMLV*PORPOM,2)))</f>
        <v/>
      </c>
      <c r="L662" s="247" t="str">
        <f>IF(I662="","",SUMIF($J644:$J649,I662,$T644:$T649))</f>
        <v/>
      </c>
      <c r="M662" s="93" t="str">
        <f t="shared" si="144"/>
        <v/>
      </c>
      <c r="N662" s="93" t="str">
        <f t="shared" si="145"/>
        <v/>
      </c>
      <c r="O662" s="302"/>
      <c r="P662" s="303"/>
      <c r="Q662" s="303"/>
      <c r="R662" s="303"/>
      <c r="S662" s="303"/>
      <c r="T662" s="303"/>
      <c r="U662" s="304"/>
      <c r="V662" s="201"/>
      <c r="W662" s="1"/>
      <c r="X662" s="42"/>
      <c r="Y662" s="1"/>
      <c r="Z662" s="262" t="str">
        <f>IF(AND(H662&lt;=M655,M655&gt;1),VLOOKUP(VALUE(E640&amp;","&amp;H662),INTEGRANTES!$B$15:$D$72,2,0),"")</f>
        <v/>
      </c>
      <c r="AA662" s="248" t="str">
        <f>IF(I662="","",SUMIF(J644:$J649,I662,$T644:$T649))</f>
        <v/>
      </c>
      <c r="AB662" s="232"/>
      <c r="AC662" s="250" t="str">
        <f>IF(OR(Z662="",AB662=""),"",IF(AND(AB662="X",AA662&gt;=X661),"CUMPLE","NO CUMPLE"))</f>
        <v/>
      </c>
    </row>
    <row r="663" spans="1:29" ht="16" thickBot="1">
      <c r="A663" s="122" t="str">
        <f>"P"&amp;E640</f>
        <v>P24</v>
      </c>
      <c r="B663" s="353"/>
      <c r="C663" s="354"/>
      <c r="D663" s="354"/>
      <c r="E663" s="354"/>
      <c r="F663" s="354"/>
      <c r="G663" s="137" t="str">
        <f>IF(AND(COUNTIF(X644:X649,"")&gt;5,COUNTIF(Z644:Z649,"")&gt;5),"NO CUMPLE",IF(AND(COUNTIF(X644:X649,"SI")&gt;=$AF$17,COUNTIF(Z644:Z649,"SI")&gt;=$AF$17),"CUMPLE", "NO CUMPLE"))</f>
        <v>CUMPLE</v>
      </c>
      <c r="H663" s="257">
        <v>6</v>
      </c>
      <c r="I663" s="258" t="str">
        <f>IF(AND(H663&lt;=M655,M655&gt;1),VLOOKUP(VALUE(E640&amp;","&amp;H663),INTEGRANTES!$B$15:$D$72,2,0),"")</f>
        <v/>
      </c>
      <c r="J663" s="259" t="str">
        <f>IF(I663&lt;&gt;"",VLOOKUP(VALUE(E640&amp;","&amp;H663),INTEGRANTES!$B$15:$D$72,3,0),"")</f>
        <v/>
      </c>
      <c r="K663" s="260" t="str">
        <f>IF($I663="","",IF(G656="N/A","",ROUND($G656*POSMMLV*PORPOM,2)))</f>
        <v/>
      </c>
      <c r="L663" s="260" t="str">
        <f>IF(I663="","",SUMIF($J644:$J649,I663,$T644:$T649))</f>
        <v/>
      </c>
      <c r="M663" s="261" t="str">
        <f t="shared" si="144"/>
        <v/>
      </c>
      <c r="N663" s="93" t="str">
        <f t="shared" si="145"/>
        <v/>
      </c>
      <c r="O663" s="302"/>
      <c r="P663" s="303"/>
      <c r="Q663" s="303"/>
      <c r="R663" s="303"/>
      <c r="S663" s="303"/>
      <c r="T663" s="303"/>
      <c r="U663" s="304"/>
      <c r="V663" s="201"/>
      <c r="W663" s="1"/>
      <c r="X663" s="239" t="s">
        <v>122</v>
      </c>
      <c r="Y663" s="1"/>
      <c r="Z663" s="263" t="str">
        <f>IF(AND(H663&lt;=M655,M655&gt;1),VLOOKUP(VALUE(E640&amp;","&amp;H663),INTEGRANTES!$B$15:$D$72,2,0),"")</f>
        <v/>
      </c>
      <c r="AA663" s="249" t="str">
        <f>IF(I663="","",SUMIF(J644:$J649,I663,$T644:$T649))</f>
        <v/>
      </c>
      <c r="AB663" s="246"/>
      <c r="AC663" s="137" t="str">
        <f>IF(OR(Z663="",AB663=""),"",IF(AND(AB663="X",AA663&gt;=X661),"CUMPLE","NO CUMPLE"))</f>
        <v/>
      </c>
    </row>
    <row r="664" spans="1:29" ht="38.25" customHeight="1" thickBot="1">
      <c r="A664" s="122" t="str">
        <f>"Q"&amp;E640</f>
        <v>Q24</v>
      </c>
      <c r="B664" s="338"/>
      <c r="C664" s="339"/>
      <c r="D664" s="339"/>
      <c r="E664" s="339"/>
      <c r="F664" s="339"/>
      <c r="G664" s="340"/>
      <c r="H664" s="318" t="s">
        <v>138</v>
      </c>
      <c r="I664" s="341"/>
      <c r="J664" s="342"/>
      <c r="K664" s="318" t="s">
        <v>139</v>
      </c>
      <c r="L664" s="319"/>
      <c r="M664" s="188" t="str">
        <f>IF(OR($M655="",SUM(J658:J663)=0),"",IF(COUNTIF(M658:M663,"CUMPLE")&gt;=1,"CUMPLE","NO CUMPLE"))</f>
        <v>CUMPLE</v>
      </c>
      <c r="N664" s="188" t="str">
        <f>IF(OR($M655="",SUM(J658:J663)=0),"",IF(COUNTIF(N658:N663,"CUMPLE")&gt;=1,"CUMPLE","NO CUMPLE"))</f>
        <v>CUMPLE</v>
      </c>
      <c r="O664" s="305"/>
      <c r="P664" s="306"/>
      <c r="Q664" s="306"/>
      <c r="R664" s="306"/>
      <c r="S664" s="306"/>
      <c r="T664" s="306"/>
      <c r="U664" s="307"/>
      <c r="V664" s="201"/>
      <c r="W664" s="1"/>
      <c r="X664" s="254" t="str">
        <f>IF(X658="NO APLICA","NO APLICA",IF(COUNTIF(AC658:AC663,"CUMPLE")&gt;0,"CUMPLE","NO CUMPLE"))</f>
        <v>NO CUMPLE</v>
      </c>
      <c r="Y664" s="1"/>
      <c r="Z664" s="42"/>
      <c r="AA664" s="42"/>
      <c r="AB664" s="42"/>
      <c r="AC664" s="42"/>
    </row>
    <row r="665" spans="1:29">
      <c r="A665"/>
    </row>
    <row r="666" spans="1:29">
      <c r="A666"/>
    </row>
    <row r="668" spans="1:29" ht="38.25" customHeight="1"/>
  </sheetData>
  <customSheetViews>
    <customSheetView guid="{9F94E489-9692-4C63-A554-7FBA98A324C0}" scale="75" topLeftCell="A1319">
      <selection activeCell="J1330" sqref="J1330"/>
      <rowBreaks count="145" manualBreakCount="145">
        <brk id="21" max="16383" man="1"/>
        <brk id="34" max="16383" man="1"/>
        <brk id="36" max="16383" man="1"/>
        <brk id="46" max="16383" man="1"/>
        <brk id="59" max="16383" man="1"/>
        <brk id="61" min="1" max="18" man="1"/>
        <brk id="71" max="16383" man="1"/>
        <brk id="77" max="16383" man="1"/>
        <brk id="93" max="16383" man="1"/>
        <brk id="102" max="16383" man="1"/>
        <brk id="103" min="1" max="18" man="1"/>
        <brk id="106" max="16383" man="1"/>
        <brk id="123" max="16383" man="1"/>
        <brk id="134" min="1" max="18" man="1"/>
        <brk id="144" max="16383" man="1"/>
        <brk id="155" max="16383" man="1"/>
        <brk id="156" max="16383" man="1"/>
        <brk id="163" max="16383" man="1"/>
        <brk id="169" max="16383" man="1"/>
        <brk id="185" max="16383" man="1"/>
        <brk id="186" max="16383" man="1"/>
        <brk id="190" min="1" max="18" man="1"/>
        <brk id="199" max="16383" man="1"/>
        <brk id="217" max="16383" man="1"/>
        <brk id="218" max="16383" man="1"/>
        <brk id="227" min="1" max="18" man="1"/>
        <brk id="234" max="16383" man="1"/>
        <brk id="255" max="16383" man="1"/>
        <brk id="272" max="16383" man="1"/>
        <brk id="276" max="16383" man="1"/>
        <brk id="291" max="16383" man="1"/>
        <brk id="305" max="16383" man="1"/>
        <brk id="311" max="16383" man="1"/>
        <brk id="327" max="16383" man="1"/>
        <brk id="338" max="16383" man="1"/>
        <brk id="343" max="16383" man="1"/>
        <brk id="347" max="16383" man="1"/>
        <brk id="362" max="16383" man="1"/>
        <brk id="363" max="16383" man="1"/>
        <brk id="374" max="16383" man="1"/>
        <brk id="376" max="16383" man="1"/>
        <brk id="391" max="16383" man="1"/>
        <brk id="402" max="16383" man="1"/>
        <brk id="417" max="16383" man="1"/>
        <brk id="425" max="16383" man="1"/>
        <brk id="443" max="16383" man="1"/>
        <brk id="447" max="16383" man="1"/>
        <brk id="459" max="16383" man="1"/>
        <brk id="477" max="16383" man="1"/>
        <brk id="496" max="16383" man="1"/>
        <brk id="512" max="16383" man="1"/>
        <brk id="527" max="16383" man="1"/>
        <brk id="544" max="16383" man="1"/>
        <brk id="550" max="16383" man="1"/>
        <brk id="569" max="16383" man="1"/>
        <brk id="587" max="16383" man="1"/>
        <brk id="589" max="16383" man="1"/>
        <brk id="599" max="16383" man="1"/>
        <brk id="616" max="16383" man="1"/>
        <brk id="620" max="16383" man="1"/>
        <brk id="636" max="16383" man="1"/>
        <brk id="653" max="16383" man="1"/>
        <brk id="654" max="16383" man="1"/>
        <brk id="671" max="16383" man="1"/>
        <brk id="687" max="16383" man="1"/>
        <brk id="688" max="16383" man="1"/>
        <brk id="704" max="16383" man="1"/>
        <brk id="719" max="16383" man="1"/>
        <brk id="725" max="16383" man="1"/>
        <brk id="726" max="16383" man="1"/>
        <brk id="742" max="16383" man="1"/>
        <brk id="748" max="16383" man="1"/>
        <brk id="767" max="16383" man="1"/>
        <brk id="769" max="16383" man="1"/>
        <brk id="782" max="16383" man="1"/>
        <brk id="806" max="16383" man="1"/>
        <brk id="807" max="16383" man="1"/>
        <brk id="823" max="16383" man="1"/>
        <brk id="841" max="16383" man="1"/>
        <brk id="842" max="16383" man="1"/>
        <brk id="843" max="16383" man="1"/>
        <brk id="852" max="16383" man="1"/>
        <brk id="875" max="16383" man="1"/>
        <brk id="879" max="16383" man="1"/>
        <brk id="890" max="16383" man="1"/>
        <brk id="912" max="16383" man="1"/>
        <brk id="924" max="16383" man="1"/>
        <brk id="955" max="16383" man="1"/>
        <brk id="956" max="16383" man="1"/>
        <brk id="974" max="16383" man="1"/>
        <brk id="990" max="16383" man="1"/>
        <brk id="995" max="16383" man="1"/>
        <brk id="1023" max="16383" man="1"/>
        <brk id="1048" max="16383" man="1"/>
        <brk id="1066" max="16383" man="1"/>
        <brk id="1099" max="16383" man="1"/>
        <brk id="1118" max="16383" man="1"/>
        <brk id="1137" max="16383" man="1"/>
        <brk id="1154" max="16383" man="1"/>
        <brk id="1169" max="16383" man="1"/>
        <brk id="1177" max="16383" man="1"/>
        <brk id="1194" max="16383" man="1"/>
        <brk id="1208" max="16383" man="1"/>
        <brk id="1230" max="16383" man="1"/>
        <brk id="1247" max="16383" man="1"/>
        <brk id="1262" max="16383" man="1"/>
        <brk id="1277" max="16383" man="1"/>
        <brk id="1279" max="16383" man="1"/>
        <brk id="1291" max="16383" man="1"/>
        <brk id="1317" max="16383" man="1"/>
        <brk id="1338" max="16383" man="1"/>
        <brk id="1350" max="16383" man="1"/>
        <brk id="1371" max="16383" man="1"/>
        <brk id="1391" max="16383" man="1"/>
        <brk id="1409" max="16383" man="1"/>
        <brk id="1421" max="16383" man="1"/>
        <brk id="1428" max="16383" man="1"/>
        <brk id="1444" max="16383" man="1"/>
        <brk id="1461" max="16383" man="1"/>
        <brk id="1477" max="16383" man="1"/>
        <brk id="1481" max="16383" man="1"/>
        <brk id="1484" max="16383" man="1"/>
        <brk id="1506" max="16383" man="1"/>
        <brk id="1509" max="16383" man="1"/>
        <brk id="1529" max="16383" man="1"/>
        <brk id="1535" max="16383" man="1"/>
        <brk id="1549" max="16383" man="1"/>
        <brk id="1550" max="16383" man="1"/>
        <brk id="1552" max="16383" man="1"/>
        <brk id="1565" max="16383" man="1"/>
        <brk id="1583" max="16383" man="1"/>
        <brk id="1605" max="16383" man="1"/>
        <brk id="1618" max="16383" man="1"/>
        <brk id="1638" max="16383" man="1"/>
        <brk id="1639" max="16383" man="1"/>
        <brk id="1655" max="16383" man="1"/>
        <brk id="1656" max="16383" man="1"/>
        <brk id="1658" max="16383" man="1"/>
        <brk id="1676" max="16383" man="1"/>
        <brk id="1694" max="16383" man="1"/>
        <brk id="1698" max="16383" man="1"/>
        <brk id="1727" max="16383" man="1"/>
        <brk id="1747" max="16383" man="1"/>
        <brk id="1748" max="16383" man="1"/>
        <brk id="1779" max="16383" man="1"/>
      </rowBreaks>
      <pageMargins left="0.39370078740157483" right="0.39370078740157483" top="0.19685039370078741" bottom="0.15748031496062992" header="0.15748031496062992" footer="0.15748031496062992"/>
      <printOptions horizontalCentered="1" verticalCentered="1"/>
      <pageSetup orientation="landscape" horizontalDpi="1200" verticalDpi="1200" r:id="rId1"/>
      <headerFooter alignWithMargins="0"/>
    </customSheetView>
    <customSheetView guid="{0CBEA09E-24B8-4CE5-A052-7237E9208379}" scale="75" showRuler="0" topLeftCell="H741">
      <selection activeCell="R745" sqref="R745"/>
      <pageMargins left="0.75" right="0.75" top="1" bottom="1" header="0" footer="0"/>
      <headerFooter alignWithMargins="0"/>
    </customSheetView>
    <customSheetView guid="{6E71BEFB-61B2-401E-9961-32884E4CD56C}" scale="70" showRuler="0" topLeftCell="A1384">
      <selection activeCell="C1396" sqref="C1396:F1399"/>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2"/>
      <headerFooter alignWithMargins="0"/>
    </customSheetView>
    <customSheetView guid="{74BDB053-C30B-49CC-8134-2CE4C1966D2C}" scale="75" showPageBreaks="1" showRuler="0" topLeftCell="A1078">
      <selection activeCell="J1089" sqref="J1089"/>
      <rowBreaks count="70" manualBreakCount="70">
        <brk id="33" min="2" max="18" man="1"/>
        <brk id="51" min="2" max="18" man="1"/>
        <brk id="59" max="16383" man="1"/>
        <brk id="61" max="18" man="1"/>
        <brk id="71" max="16383" man="1"/>
        <brk id="94" max="16383" man="1"/>
        <brk id="96" min="2" max="18" man="1"/>
        <brk id="102" max="16383" man="1"/>
        <brk id="103" max="18" man="1"/>
        <brk id="106" max="16383" man="1"/>
        <brk id="130" min="2" max="18" man="1"/>
        <brk id="134" max="18" man="1"/>
        <brk id="144" max="16383" man="1"/>
        <brk id="163" max="16383" man="1"/>
        <brk id="185" max="16383" man="1"/>
        <brk id="186" min="2" max="18" man="1"/>
        <brk id="190" max="18" man="1"/>
        <brk id="199" max="16383" man="1"/>
        <brk id="222" min="2" max="18" man="1"/>
        <brk id="227" max="18" man="1"/>
        <brk id="234" max="16383" man="1"/>
        <brk id="254" min="2" max="18" man="1"/>
        <brk id="272" min="2" max="18" man="1"/>
        <brk id="294" min="2" max="18" man="1"/>
        <brk id="299" min="2" max="18" man="1"/>
        <brk id="326" min="2" max="18" man="1"/>
        <brk id="327" min="2" max="18" man="1"/>
        <brk id="351" min="2" max="18" man="1"/>
        <brk id="355" min="2" max="18" man="1"/>
        <brk id="380" min="2" max="18" man="1"/>
        <brk id="381" min="2" max="18" man="1"/>
        <brk id="412" min="2" max="18" man="1"/>
        <brk id="430" min="2" max="18" man="1"/>
        <brk id="457" min="2" max="18" man="1"/>
        <brk id="484" min="2" max="18" man="1"/>
        <brk id="507" min="2" max="18" man="1"/>
        <brk id="526" min="2" max="18" man="1"/>
        <brk id="527" min="2" max="18" man="1"/>
        <brk id="555" min="2" max="18" man="1"/>
        <brk id="560" min="2" max="18" man="1"/>
        <brk id="588" min="2" max="18" man="1"/>
        <brk id="591" min="2" max="18" man="1"/>
        <brk id="618" min="2" max="18" man="1"/>
        <brk id="622" min="2" max="18" man="1"/>
        <brk id="653" min="2" max="18" man="1"/>
        <brk id="654" min="2" max="18" man="1"/>
        <brk id="688" max="16383" man="1"/>
        <brk id="689" min="2" max="18" man="1"/>
        <brk id="723" min="2" max="18" man="1"/>
        <brk id="724" min="2" max="18" man="1"/>
        <brk id="757" min="2" max="18" man="1"/>
        <brk id="758" min="2" max="18" man="1"/>
        <brk id="788" min="2" max="18" man="1"/>
        <brk id="791" min="2" max="18" man="1"/>
        <brk id="829" min="2" max="18" man="1"/>
        <brk id="859" max="16383" man="1"/>
        <brk id="860" max="16383" man="1"/>
        <brk id="865" max="16383" man="1"/>
        <brk id="869" min="2" max="18" man="1"/>
        <brk id="905" min="2" max="18" man="1"/>
        <brk id="940" min="2" max="18" man="1"/>
        <brk id="974" min="2" max="18" man="1"/>
        <brk id="1005" max="16383" man="1"/>
        <brk id="1011" min="2" max="18" man="1"/>
        <brk id="1045" min="2" max="18" man="1"/>
        <brk id="1081" min="2" max="18" man="1"/>
        <brk id="1115" min="2" max="18" man="1"/>
        <brk id="1149" min="2" max="18" man="1"/>
        <brk id="1181" min="2" max="18" man="1"/>
        <brk id="1182" min="2" max="18" man="1"/>
      </rowBreaks>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3"/>
      <headerFooter alignWithMargins="0"/>
    </customSheetView>
    <customSheetView guid="{40B815EE-4446-47D1-839D-2EFF5F5EF0E5}" showRuler="0" topLeftCell="B43">
      <selection activeCell="B50" sqref="B50:G50"/>
      <rowBreaks count="42" manualBreakCount="42">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46" max="16383" man="1"/>
        <brk id="581" max="16383" man="1"/>
        <brk id="618" max="16383" man="1"/>
        <brk id="654" max="16383" man="1"/>
        <brk id="698" max="16383" man="1"/>
        <brk id="699" max="16383" man="1"/>
        <brk id="737" max="16383" man="1"/>
        <brk id="793" max="16383" man="1"/>
        <brk id="842" max="16383" man="1"/>
        <brk id="843" max="16383" man="1"/>
        <brk id="888" max="16383" man="1"/>
        <brk id="908" max="16383" man="1"/>
        <brk id="911" max="16383" man="1"/>
        <brk id="951" max="16383" man="1"/>
        <brk id="957" max="16383" man="1"/>
        <brk id="1009" max="16383" man="1"/>
        <brk id="1059" max="16383" man="1"/>
        <brk id="1102"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4"/>
      <headerFooter alignWithMargins="0"/>
    </customSheetView>
    <customSheetView guid="{52F59514-34F3-4352-A05C-5BB41CEA0827}" scale="85" showRuler="0" topLeftCell="A1394">
      <selection activeCell="A170" sqref="A170:IV170"/>
      <rowBreaks count="41" manualBreakCount="41">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38" max="16383" man="1"/>
        <brk id="546" max="16383" man="1"/>
        <brk id="581" max="16383" man="1"/>
        <brk id="618" max="16383" man="1"/>
        <brk id="654" max="16383" man="1"/>
        <brk id="698" max="16383" man="1"/>
        <brk id="699" max="16383" man="1"/>
        <brk id="737" max="16383" man="1"/>
        <brk id="777" max="16383" man="1"/>
        <brk id="793" max="16383" man="1"/>
        <brk id="842" max="16383" man="1"/>
        <brk id="843" max="16383" man="1"/>
        <brk id="908" max="16383" man="1"/>
        <brk id="911" max="16383" man="1"/>
        <brk id="957" max="16383" man="1"/>
        <brk id="1009" max="16383" man="1"/>
        <brk id="1059"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5"/>
      <headerFooter alignWithMargins="0"/>
    </customSheetView>
  </customSheetViews>
  <mergeCells count="1247">
    <mergeCell ref="I239:I240"/>
    <mergeCell ref="I49:I50"/>
    <mergeCell ref="I47:I48"/>
    <mergeCell ref="I51:I52"/>
    <mergeCell ref="I53:I54"/>
    <mergeCell ref="I348:I349"/>
    <mergeCell ref="K375:K376"/>
    <mergeCell ref="L375:L376"/>
    <mergeCell ref="B375:B376"/>
    <mergeCell ref="C375:C376"/>
    <mergeCell ref="D375:D376"/>
    <mergeCell ref="E375:E376"/>
    <mergeCell ref="F375:F376"/>
    <mergeCell ref="I375:I376"/>
    <mergeCell ref="I428:I430"/>
    <mergeCell ref="I431:I433"/>
    <mergeCell ref="K47:K48"/>
    <mergeCell ref="L47:L48"/>
    <mergeCell ref="K49:K50"/>
    <mergeCell ref="L49:L50"/>
    <mergeCell ref="K51:K52"/>
    <mergeCell ref="L51:L52"/>
    <mergeCell ref="K53:K54"/>
    <mergeCell ref="L53:L54"/>
    <mergeCell ref="M47:M48"/>
    <mergeCell ref="M49:M50"/>
    <mergeCell ref="M53:M54"/>
    <mergeCell ref="M51:M52"/>
    <mergeCell ref="B239:B240"/>
    <mergeCell ref="C239:C240"/>
    <mergeCell ref="D239:D240"/>
    <mergeCell ref="E239:E240"/>
    <mergeCell ref="F239:F240"/>
    <mergeCell ref="K239:K240"/>
    <mergeCell ref="L239:L240"/>
    <mergeCell ref="M239:M240"/>
    <mergeCell ref="C47:C48"/>
    <mergeCell ref="D47:D48"/>
    <mergeCell ref="E47:E48"/>
    <mergeCell ref="F47:F48"/>
    <mergeCell ref="F49:F50"/>
    <mergeCell ref="C49:C50"/>
    <mergeCell ref="D49:D50"/>
    <mergeCell ref="E49:E50"/>
    <mergeCell ref="C51:C52"/>
    <mergeCell ref="D51:D52"/>
    <mergeCell ref="E51:E52"/>
    <mergeCell ref="F51:F52"/>
    <mergeCell ref="F53:F54"/>
    <mergeCell ref="E53:E54"/>
    <mergeCell ref="D53:D54"/>
    <mergeCell ref="C53:C54"/>
    <mergeCell ref="B47:B48"/>
    <mergeCell ref="B49:B50"/>
    <mergeCell ref="B51:B52"/>
    <mergeCell ref="B53:B54"/>
    <mergeCell ref="C348:C349"/>
    <mergeCell ref="D348:D349"/>
    <mergeCell ref="E348:E349"/>
    <mergeCell ref="F348:F349"/>
    <mergeCell ref="K348:K349"/>
    <mergeCell ref="L348:L349"/>
    <mergeCell ref="M348:M349"/>
    <mergeCell ref="B348:B349"/>
    <mergeCell ref="C428:C430"/>
    <mergeCell ref="E428:E430"/>
    <mergeCell ref="D428:D430"/>
    <mergeCell ref="K428:K430"/>
    <mergeCell ref="L428:L430"/>
    <mergeCell ref="M428:M430"/>
    <mergeCell ref="B428:B430"/>
    <mergeCell ref="K431:K433"/>
    <mergeCell ref="L431:L433"/>
    <mergeCell ref="M431:M433"/>
    <mergeCell ref="B431:B433"/>
    <mergeCell ref="C431:C433"/>
    <mergeCell ref="D431:D433"/>
    <mergeCell ref="E431:E433"/>
    <mergeCell ref="AC17:AC18"/>
    <mergeCell ref="AC44:AC45"/>
    <mergeCell ref="AC73:AC74"/>
    <mergeCell ref="AC100:AC101"/>
    <mergeCell ref="AC127:AC128"/>
    <mergeCell ref="AC154:AC155"/>
    <mergeCell ref="AC181:AC182"/>
    <mergeCell ref="AC208:AC209"/>
    <mergeCell ref="AC235:AC236"/>
    <mergeCell ref="AC262:AC263"/>
    <mergeCell ref="AC289:AC290"/>
    <mergeCell ref="AC316:AC317"/>
    <mergeCell ref="AC343:AC344"/>
    <mergeCell ref="AC371:AC372"/>
    <mergeCell ref="AC398:AC399"/>
    <mergeCell ref="AC425:AC426"/>
    <mergeCell ref="AC452:AC453"/>
    <mergeCell ref="AC113:AC116"/>
    <mergeCell ref="AC560:AC561"/>
    <mergeCell ref="AC587:AC588"/>
    <mergeCell ref="AC614:AC615"/>
    <mergeCell ref="AC641:AC642"/>
    <mergeCell ref="AA47:AA54"/>
    <mergeCell ref="AA76:AA81"/>
    <mergeCell ref="AA103:AA108"/>
    <mergeCell ref="AA130:AA135"/>
    <mergeCell ref="AA157:AA162"/>
    <mergeCell ref="AA184:AA189"/>
    <mergeCell ref="AA428:AA433"/>
    <mergeCell ref="AA455:AA460"/>
    <mergeCell ref="AA482:AA487"/>
    <mergeCell ref="AA509:AA514"/>
    <mergeCell ref="AA211:AA216"/>
    <mergeCell ref="AA238:AA243"/>
    <mergeCell ref="AA265:AA270"/>
    <mergeCell ref="AA292:AA297"/>
    <mergeCell ref="AA319:AA324"/>
    <mergeCell ref="AA346:AA352"/>
    <mergeCell ref="AA536:AA541"/>
    <mergeCell ref="AA563:AA568"/>
    <mergeCell ref="AA590:AA595"/>
    <mergeCell ref="AA617:AA622"/>
    <mergeCell ref="X587:X588"/>
    <mergeCell ref="O614:P614"/>
    <mergeCell ref="V587:V588"/>
    <mergeCell ref="B599:U599"/>
    <mergeCell ref="B600:G600"/>
    <mergeCell ref="B601:G601"/>
    <mergeCell ref="B602:D603"/>
    <mergeCell ref="M602:M603"/>
    <mergeCell ref="H602:I603"/>
    <mergeCell ref="J602:J603"/>
    <mergeCell ref="K602:K603"/>
    <mergeCell ref="L602:L603"/>
    <mergeCell ref="B610:G610"/>
    <mergeCell ref="H610:J610"/>
    <mergeCell ref="K610:L610"/>
    <mergeCell ref="B604:G604"/>
    <mergeCell ref="B637:G637"/>
    <mergeCell ref="V560:V561"/>
    <mergeCell ref="N560:N561"/>
    <mergeCell ref="S560:T560"/>
    <mergeCell ref="B502:G502"/>
    <mergeCell ref="H502:J502"/>
    <mergeCell ref="B370:D370"/>
    <mergeCell ref="O371:P371"/>
    <mergeCell ref="V371:V372"/>
    <mergeCell ref="Q641:Q642"/>
    <mergeCell ref="X641:X642"/>
    <mergeCell ref="B661:G661"/>
    <mergeCell ref="B662:F663"/>
    <mergeCell ref="B607:G607"/>
    <mergeCell ref="B608:F609"/>
    <mergeCell ref="Q614:Q615"/>
    <mergeCell ref="X614:X615"/>
    <mergeCell ref="B634:G634"/>
    <mergeCell ref="B635:F636"/>
    <mergeCell ref="F614:G614"/>
    <mergeCell ref="M629:M630"/>
    <mergeCell ref="H629:I630"/>
    <mergeCell ref="B631:G631"/>
    <mergeCell ref="B632:D633"/>
    <mergeCell ref="K629:K630"/>
    <mergeCell ref="B626:U626"/>
    <mergeCell ref="B627:G627"/>
    <mergeCell ref="Q560:Q561"/>
    <mergeCell ref="X560:X561"/>
    <mergeCell ref="V452:V453"/>
    <mergeCell ref="N452:N453"/>
    <mergeCell ref="S452:T452"/>
    <mergeCell ref="B451:D451"/>
    <mergeCell ref="B452:B453"/>
    <mergeCell ref="C452:C453"/>
    <mergeCell ref="D452:E452"/>
    <mergeCell ref="F452:G452"/>
    <mergeCell ref="O452:P452"/>
    <mergeCell ref="X398:X399"/>
    <mergeCell ref="B418:G418"/>
    <mergeCell ref="B419:F420"/>
    <mergeCell ref="Q425:Q426"/>
    <mergeCell ref="X425:X426"/>
    <mergeCell ref="B445:G445"/>
    <mergeCell ref="V398:V399"/>
    <mergeCell ref="N398:N399"/>
    <mergeCell ref="S398:T398"/>
    <mergeCell ref="B398:B399"/>
    <mergeCell ref="C398:C399"/>
    <mergeCell ref="D398:E398"/>
    <mergeCell ref="F398:G398"/>
    <mergeCell ref="O398:P398"/>
    <mergeCell ref="U398:U399"/>
    <mergeCell ref="H452:H453"/>
    <mergeCell ref="I452:I453"/>
    <mergeCell ref="J452:J453"/>
    <mergeCell ref="K452:K453"/>
    <mergeCell ref="L452:L453"/>
    <mergeCell ref="K502:L502"/>
    <mergeCell ref="B496:G496"/>
    <mergeCell ref="B497:D498"/>
    <mergeCell ref="B499:G499"/>
    <mergeCell ref="B500:F501"/>
    <mergeCell ref="U452:U453"/>
    <mergeCell ref="L467:L468"/>
    <mergeCell ref="B201:G201"/>
    <mergeCell ref="B202:F203"/>
    <mergeCell ref="B193:U193"/>
    <mergeCell ref="B194:G194"/>
    <mergeCell ref="X506:X507"/>
    <mergeCell ref="B526:G526"/>
    <mergeCell ref="B527:F528"/>
    <mergeCell ref="Q533:Q534"/>
    <mergeCell ref="X533:X534"/>
    <mergeCell ref="B553:G553"/>
    <mergeCell ref="B446:F447"/>
    <mergeCell ref="Q452:Q453"/>
    <mergeCell ref="X452:X453"/>
    <mergeCell ref="B472:G472"/>
    <mergeCell ref="B473:F474"/>
    <mergeCell ref="Q479:Q480"/>
    <mergeCell ref="X479:X480"/>
    <mergeCell ref="Q343:Q344"/>
    <mergeCell ref="X343:X344"/>
    <mergeCell ref="B364:G364"/>
    <mergeCell ref="B365:F366"/>
    <mergeCell ref="Q371:Q372"/>
    <mergeCell ref="X371:X372"/>
    <mergeCell ref="H386:I387"/>
    <mergeCell ref="J386:J387"/>
    <mergeCell ref="I371:I372"/>
    <mergeCell ref="J371:J372"/>
    <mergeCell ref="B371:B372"/>
    <mergeCell ref="B397:D397"/>
    <mergeCell ref="L371:L372"/>
    <mergeCell ref="B367:G367"/>
    <mergeCell ref="H367:J367"/>
    <mergeCell ref="X154:X155"/>
    <mergeCell ref="B174:G174"/>
    <mergeCell ref="B175:F176"/>
    <mergeCell ref="Q181:Q182"/>
    <mergeCell ref="X181:X182"/>
    <mergeCell ref="B167:G167"/>
    <mergeCell ref="B168:G168"/>
    <mergeCell ref="B169:D170"/>
    <mergeCell ref="K169:K170"/>
    <mergeCell ref="L169:L170"/>
    <mergeCell ref="M169:M170"/>
    <mergeCell ref="J169:J170"/>
    <mergeCell ref="H169:I170"/>
    <mergeCell ref="M154:M155"/>
    <mergeCell ref="B154:B155"/>
    <mergeCell ref="C154:C155"/>
    <mergeCell ref="D154:E154"/>
    <mergeCell ref="F154:G154"/>
    <mergeCell ref="S181:T181"/>
    <mergeCell ref="R181:R182"/>
    <mergeCell ref="H168:L168"/>
    <mergeCell ref="N168:N170"/>
    <mergeCell ref="O168:U177"/>
    <mergeCell ref="G169:G170"/>
    <mergeCell ref="K339:L339"/>
    <mergeCell ref="B605:D606"/>
    <mergeCell ref="X100:X101"/>
    <mergeCell ref="B120:G120"/>
    <mergeCell ref="B121:F122"/>
    <mergeCell ref="Q127:Q128"/>
    <mergeCell ref="X127:X128"/>
    <mergeCell ref="B147:G147"/>
    <mergeCell ref="U560:U561"/>
    <mergeCell ref="M575:M576"/>
    <mergeCell ref="H575:I576"/>
    <mergeCell ref="B580:G580"/>
    <mergeCell ref="B581:F582"/>
    <mergeCell ref="Q587:Q588"/>
    <mergeCell ref="B309:G309"/>
    <mergeCell ref="B310:F311"/>
    <mergeCell ref="I235:I236"/>
    <mergeCell ref="J235:J236"/>
    <mergeCell ref="K235:K236"/>
    <mergeCell ref="L235:L236"/>
    <mergeCell ref="Q316:Q317"/>
    <mergeCell ref="B336:G336"/>
    <mergeCell ref="B337:F338"/>
    <mergeCell ref="I316:I317"/>
    <mergeCell ref="J316:J317"/>
    <mergeCell ref="B316:B317"/>
    <mergeCell ref="C316:C317"/>
    <mergeCell ref="D316:E316"/>
    <mergeCell ref="B333:G333"/>
    <mergeCell ref="Q44:Q45"/>
    <mergeCell ref="X44:X45"/>
    <mergeCell ref="B66:G66"/>
    <mergeCell ref="B67:F68"/>
    <mergeCell ref="Q73:Q74"/>
    <mergeCell ref="X73:X74"/>
    <mergeCell ref="X316:X317"/>
    <mergeCell ref="B334:D335"/>
    <mergeCell ref="V343:V344"/>
    <mergeCell ref="X262:X263"/>
    <mergeCell ref="B282:G282"/>
    <mergeCell ref="B283:F284"/>
    <mergeCell ref="Q289:Q290"/>
    <mergeCell ref="X289:X290"/>
    <mergeCell ref="X208:X209"/>
    <mergeCell ref="B228:G228"/>
    <mergeCell ref="B229:F230"/>
    <mergeCell ref="Q235:Q236"/>
    <mergeCell ref="X235:X236"/>
    <mergeCell ref="B255:G255"/>
    <mergeCell ref="V208:V209"/>
    <mergeCell ref="N208:N209"/>
    <mergeCell ref="R208:R209"/>
    <mergeCell ref="K208:K209"/>
    <mergeCell ref="B221:G221"/>
    <mergeCell ref="B222:G222"/>
    <mergeCell ref="B223:D224"/>
    <mergeCell ref="H235:H236"/>
    <mergeCell ref="B285:G285"/>
    <mergeCell ref="H285:J285"/>
    <mergeCell ref="K285:L285"/>
    <mergeCell ref="B279:G279"/>
    <mergeCell ref="B280:D281"/>
    <mergeCell ref="F277:F278"/>
    <mergeCell ref="H142:I143"/>
    <mergeCell ref="J142:J143"/>
    <mergeCell ref="R127:R128"/>
    <mergeCell ref="O127:P127"/>
    <mergeCell ref="V44:V45"/>
    <mergeCell ref="V73:V74"/>
    <mergeCell ref="V100:V101"/>
    <mergeCell ref="V127:V128"/>
    <mergeCell ref="V154:V155"/>
    <mergeCell ref="V181:V182"/>
    <mergeCell ref="J154:J155"/>
    <mergeCell ref="R154:R155"/>
    <mergeCell ref="I154:I155"/>
    <mergeCell ref="H154:H155"/>
    <mergeCell ref="K154:K155"/>
    <mergeCell ref="L154:L155"/>
    <mergeCell ref="N154:N155"/>
    <mergeCell ref="Q154:Q155"/>
    <mergeCell ref="U73:U74"/>
    <mergeCell ref="B85:U85"/>
    <mergeCell ref="B86:G86"/>
    <mergeCell ref="B87:G87"/>
    <mergeCell ref="B88:D89"/>
    <mergeCell ref="M88:M89"/>
    <mergeCell ref="H88:I89"/>
    <mergeCell ref="J88:J89"/>
    <mergeCell ref="B30:G30"/>
    <mergeCell ref="B31:G31"/>
    <mergeCell ref="B32:D33"/>
    <mergeCell ref="B34:G34"/>
    <mergeCell ref="J32:J33"/>
    <mergeCell ref="M32:M33"/>
    <mergeCell ref="B35:D36"/>
    <mergeCell ref="B58:U58"/>
    <mergeCell ref="I44:I45"/>
    <mergeCell ref="J44:J45"/>
    <mergeCell ref="K44:K45"/>
    <mergeCell ref="M44:M45"/>
    <mergeCell ref="N44:N45"/>
    <mergeCell ref="B43:D43"/>
    <mergeCell ref="B63:G63"/>
    <mergeCell ref="B64:D65"/>
    <mergeCell ref="B59:G59"/>
    <mergeCell ref="B60:G60"/>
    <mergeCell ref="B61:D62"/>
    <mergeCell ref="R44:R45"/>
    <mergeCell ref="S44:T44"/>
    <mergeCell ref="L61:L62"/>
    <mergeCell ref="M61:M62"/>
    <mergeCell ref="H40:J40"/>
    <mergeCell ref="H44:H45"/>
    <mergeCell ref="K40:L40"/>
    <mergeCell ref="L44:L45"/>
    <mergeCell ref="U44:U45"/>
    <mergeCell ref="B44:B45"/>
    <mergeCell ref="C44:C45"/>
    <mergeCell ref="D44:E44"/>
    <mergeCell ref="F44:G44"/>
    <mergeCell ref="S73:T73"/>
    <mergeCell ref="K96:L96"/>
    <mergeCell ref="B93:G93"/>
    <mergeCell ref="B94:F95"/>
    <mergeCell ref="B99:D99"/>
    <mergeCell ref="B112:U112"/>
    <mergeCell ref="O100:P100"/>
    <mergeCell ref="S100:T100"/>
    <mergeCell ref="U100:U101"/>
    <mergeCell ref="J100:J101"/>
    <mergeCell ref="L100:L101"/>
    <mergeCell ref="N100:N101"/>
    <mergeCell ref="I73:I74"/>
    <mergeCell ref="J73:J74"/>
    <mergeCell ref="K73:K74"/>
    <mergeCell ref="N73:N74"/>
    <mergeCell ref="B96:G96"/>
    <mergeCell ref="H96:J96"/>
    <mergeCell ref="K88:K89"/>
    <mergeCell ref="L88:L89"/>
    <mergeCell ref="B90:G90"/>
    <mergeCell ref="B91:D92"/>
    <mergeCell ref="H61:I62"/>
    <mergeCell ref="J61:J62"/>
    <mergeCell ref="B113:G113"/>
    <mergeCell ref="B114:G114"/>
    <mergeCell ref="B115:D116"/>
    <mergeCell ref="B100:B101"/>
    <mergeCell ref="C100:C101"/>
    <mergeCell ref="D100:E100"/>
    <mergeCell ref="F100:G100"/>
    <mergeCell ref="H115:I116"/>
    <mergeCell ref="J115:J116"/>
    <mergeCell ref="M100:M101"/>
    <mergeCell ref="R100:R101"/>
    <mergeCell ref="I100:I101"/>
    <mergeCell ref="H100:H101"/>
    <mergeCell ref="K100:K101"/>
    <mergeCell ref="K115:K116"/>
    <mergeCell ref="L115:L116"/>
    <mergeCell ref="M115:M116"/>
    <mergeCell ref="Q100:Q101"/>
    <mergeCell ref="D73:E73"/>
    <mergeCell ref="R73:R74"/>
    <mergeCell ref="K196:K197"/>
    <mergeCell ref="B139:U139"/>
    <mergeCell ref="S127:T127"/>
    <mergeCell ref="B144:G144"/>
    <mergeCell ref="B145:D146"/>
    <mergeCell ref="K142:K143"/>
    <mergeCell ref="L142:L143"/>
    <mergeCell ref="B140:G140"/>
    <mergeCell ref="B141:G141"/>
    <mergeCell ref="B142:D143"/>
    <mergeCell ref="M142:M143"/>
    <mergeCell ref="B150:G150"/>
    <mergeCell ref="H150:J150"/>
    <mergeCell ref="K150:L150"/>
    <mergeCell ref="B153:D153"/>
    <mergeCell ref="B166:U166"/>
    <mergeCell ref="O154:P154"/>
    <mergeCell ref="S154:T154"/>
    <mergeCell ref="U154:U155"/>
    <mergeCell ref="O181:P181"/>
    <mergeCell ref="U181:U182"/>
    <mergeCell ref="B177:G177"/>
    <mergeCell ref="H177:J177"/>
    <mergeCell ref="K177:L177"/>
    <mergeCell ref="B171:G171"/>
    <mergeCell ref="B172:D173"/>
    <mergeCell ref="N181:N182"/>
    <mergeCell ref="B180:D180"/>
    <mergeCell ref="B181:B182"/>
    <mergeCell ref="C181:C182"/>
    <mergeCell ref="H194:N194"/>
    <mergeCell ref="H195:L195"/>
    <mergeCell ref="B208:B209"/>
    <mergeCell ref="C208:C209"/>
    <mergeCell ref="L208:L209"/>
    <mergeCell ref="D235:E235"/>
    <mergeCell ref="F235:G235"/>
    <mergeCell ref="O235:P235"/>
    <mergeCell ref="B126:D126"/>
    <mergeCell ref="B127:B128"/>
    <mergeCell ref="C127:C128"/>
    <mergeCell ref="D127:E127"/>
    <mergeCell ref="F127:G127"/>
    <mergeCell ref="H127:H128"/>
    <mergeCell ref="I127:I128"/>
    <mergeCell ref="J127:J128"/>
    <mergeCell ref="K127:K128"/>
    <mergeCell ref="L127:L128"/>
    <mergeCell ref="N127:N128"/>
    <mergeCell ref="M127:M128"/>
    <mergeCell ref="K181:K182"/>
    <mergeCell ref="L181:L182"/>
    <mergeCell ref="M196:M197"/>
    <mergeCell ref="M181:M182"/>
    <mergeCell ref="D181:E181"/>
    <mergeCell ref="F181:G181"/>
    <mergeCell ref="L196:L197"/>
    <mergeCell ref="H181:H182"/>
    <mergeCell ref="I181:I182"/>
    <mergeCell ref="J181:J182"/>
    <mergeCell ref="M208:M209"/>
    <mergeCell ref="B220:U220"/>
    <mergeCell ref="B148:F149"/>
    <mergeCell ref="B207:D207"/>
    <mergeCell ref="G277:G278"/>
    <mergeCell ref="B195:G195"/>
    <mergeCell ref="B196:D197"/>
    <mergeCell ref="H196:I197"/>
    <mergeCell ref="J196:J197"/>
    <mergeCell ref="B204:G204"/>
    <mergeCell ref="H204:J204"/>
    <mergeCell ref="K204:L204"/>
    <mergeCell ref="V235:V236"/>
    <mergeCell ref="N235:N236"/>
    <mergeCell ref="S235:T235"/>
    <mergeCell ref="B234:D234"/>
    <mergeCell ref="B235:B236"/>
    <mergeCell ref="C235:C236"/>
    <mergeCell ref="M235:M236"/>
    <mergeCell ref="R235:R236"/>
    <mergeCell ref="D208:E208"/>
    <mergeCell ref="F208:G208"/>
    <mergeCell ref="B231:G231"/>
    <mergeCell ref="H231:J231"/>
    <mergeCell ref="K231:L231"/>
    <mergeCell ref="B225:G225"/>
    <mergeCell ref="B226:D227"/>
    <mergeCell ref="H208:H209"/>
    <mergeCell ref="M223:M224"/>
    <mergeCell ref="H223:I224"/>
    <mergeCell ref="M262:M263"/>
    <mergeCell ref="U262:U263"/>
    <mergeCell ref="S262:T262"/>
    <mergeCell ref="B274:U274"/>
    <mergeCell ref="B275:G275"/>
    <mergeCell ref="B276:G276"/>
    <mergeCell ref="B277:D278"/>
    <mergeCell ref="H262:H263"/>
    <mergeCell ref="M277:M278"/>
    <mergeCell ref="H277:I278"/>
    <mergeCell ref="J277:J278"/>
    <mergeCell ref="I262:I263"/>
    <mergeCell ref="J262:J263"/>
    <mergeCell ref="B262:B263"/>
    <mergeCell ref="C262:C263"/>
    <mergeCell ref="D262:E262"/>
    <mergeCell ref="F262:G262"/>
    <mergeCell ref="K262:K263"/>
    <mergeCell ref="K277:K278"/>
    <mergeCell ref="L277:L278"/>
    <mergeCell ref="V316:V317"/>
    <mergeCell ref="N316:N317"/>
    <mergeCell ref="R316:R317"/>
    <mergeCell ref="H302:N302"/>
    <mergeCell ref="H303:L303"/>
    <mergeCell ref="N303:N305"/>
    <mergeCell ref="O303:U312"/>
    <mergeCell ref="E304:E305"/>
    <mergeCell ref="F304:F305"/>
    <mergeCell ref="G304:G305"/>
    <mergeCell ref="V289:V290"/>
    <mergeCell ref="N289:N290"/>
    <mergeCell ref="S289:T289"/>
    <mergeCell ref="B288:D288"/>
    <mergeCell ref="B289:B290"/>
    <mergeCell ref="C289:C290"/>
    <mergeCell ref="D289:E289"/>
    <mergeCell ref="F289:G289"/>
    <mergeCell ref="L250:L251"/>
    <mergeCell ref="B247:U247"/>
    <mergeCell ref="B248:G248"/>
    <mergeCell ref="B249:G249"/>
    <mergeCell ref="B250:D251"/>
    <mergeCell ref="L262:L263"/>
    <mergeCell ref="B258:G258"/>
    <mergeCell ref="H258:J258"/>
    <mergeCell ref="K258:L258"/>
    <mergeCell ref="B261:D261"/>
    <mergeCell ref="O262:P262"/>
    <mergeCell ref="V262:V263"/>
    <mergeCell ref="N262:N263"/>
    <mergeCell ref="R262:R263"/>
    <mergeCell ref="B256:F257"/>
    <mergeCell ref="Q262:Q263"/>
    <mergeCell ref="M250:M251"/>
    <mergeCell ref="H250:I251"/>
    <mergeCell ref="J250:J251"/>
    <mergeCell ref="O289:P289"/>
    <mergeCell ref="U289:U290"/>
    <mergeCell ref="L304:L305"/>
    <mergeCell ref="H289:H290"/>
    <mergeCell ref="I289:I290"/>
    <mergeCell ref="J289:J290"/>
    <mergeCell ref="K289:K290"/>
    <mergeCell ref="L289:L290"/>
    <mergeCell ref="M304:M305"/>
    <mergeCell ref="J304:J305"/>
    <mergeCell ref="M289:M290"/>
    <mergeCell ref="R289:R290"/>
    <mergeCell ref="K304:K305"/>
    <mergeCell ref="B301:U301"/>
    <mergeCell ref="B302:G302"/>
    <mergeCell ref="B303:G303"/>
    <mergeCell ref="B304:D305"/>
    <mergeCell ref="H304:I305"/>
    <mergeCell ref="L316:L317"/>
    <mergeCell ref="B312:G312"/>
    <mergeCell ref="H312:J312"/>
    <mergeCell ref="K312:L312"/>
    <mergeCell ref="B315:D315"/>
    <mergeCell ref="N343:N344"/>
    <mergeCell ref="S343:T343"/>
    <mergeCell ref="B342:D342"/>
    <mergeCell ref="B343:B344"/>
    <mergeCell ref="C343:C344"/>
    <mergeCell ref="D343:E343"/>
    <mergeCell ref="F343:G343"/>
    <mergeCell ref="O343:P343"/>
    <mergeCell ref="U343:U344"/>
    <mergeCell ref="H343:H344"/>
    <mergeCell ref="I343:I344"/>
    <mergeCell ref="J343:J344"/>
    <mergeCell ref="K343:K344"/>
    <mergeCell ref="L343:L344"/>
    <mergeCell ref="M343:M344"/>
    <mergeCell ref="R343:R344"/>
    <mergeCell ref="H329:N329"/>
    <mergeCell ref="H330:L330"/>
    <mergeCell ref="N330:N332"/>
    <mergeCell ref="O330:U339"/>
    <mergeCell ref="E331:E332"/>
    <mergeCell ref="F331:F332"/>
    <mergeCell ref="G331:G332"/>
    <mergeCell ref="F316:G316"/>
    <mergeCell ref="K316:K317"/>
    <mergeCell ref="B339:G339"/>
    <mergeCell ref="H339:J339"/>
    <mergeCell ref="B306:G306"/>
    <mergeCell ref="B307:D308"/>
    <mergeCell ref="B389:D390"/>
    <mergeCell ref="B391:G391"/>
    <mergeCell ref="B392:F393"/>
    <mergeCell ref="B386:D387"/>
    <mergeCell ref="H371:H372"/>
    <mergeCell ref="M386:M387"/>
    <mergeCell ref="M316:M317"/>
    <mergeCell ref="U316:U317"/>
    <mergeCell ref="S316:T316"/>
    <mergeCell ref="B328:U328"/>
    <mergeCell ref="B329:G329"/>
    <mergeCell ref="B330:G330"/>
    <mergeCell ref="B331:D332"/>
    <mergeCell ref="H316:H317"/>
    <mergeCell ref="M331:M332"/>
    <mergeCell ref="H331:I332"/>
    <mergeCell ref="J331:J332"/>
    <mergeCell ref="K331:K332"/>
    <mergeCell ref="L331:L332"/>
    <mergeCell ref="O316:P316"/>
    <mergeCell ref="B361:G361"/>
    <mergeCell ref="B362:D363"/>
    <mergeCell ref="K359:K360"/>
    <mergeCell ref="L359:L360"/>
    <mergeCell ref="B356:U356"/>
    <mergeCell ref="B357:G357"/>
    <mergeCell ref="M359:M360"/>
    <mergeCell ref="H359:I360"/>
    <mergeCell ref="J359:J360"/>
    <mergeCell ref="B358:G358"/>
    <mergeCell ref="B359:D360"/>
    <mergeCell ref="K367:L367"/>
    <mergeCell ref="H448:J448"/>
    <mergeCell ref="K448:L448"/>
    <mergeCell ref="B442:G442"/>
    <mergeCell ref="B443:D444"/>
    <mergeCell ref="N371:N372"/>
    <mergeCell ref="R371:R372"/>
    <mergeCell ref="M371:M372"/>
    <mergeCell ref="U371:U372"/>
    <mergeCell ref="S371:T371"/>
    <mergeCell ref="B383:U383"/>
    <mergeCell ref="B384:G384"/>
    <mergeCell ref="B385:G385"/>
    <mergeCell ref="H398:H399"/>
    <mergeCell ref="I398:I399"/>
    <mergeCell ref="J398:J399"/>
    <mergeCell ref="K398:K399"/>
    <mergeCell ref="L398:L399"/>
    <mergeCell ref="M413:M414"/>
    <mergeCell ref="J413:J414"/>
    <mergeCell ref="M398:M399"/>
    <mergeCell ref="R398:R399"/>
    <mergeCell ref="Q398:Q399"/>
    <mergeCell ref="C371:C372"/>
    <mergeCell ref="D371:E371"/>
    <mergeCell ref="F371:G371"/>
    <mergeCell ref="K371:K372"/>
    <mergeCell ref="K386:K387"/>
    <mergeCell ref="L386:L387"/>
    <mergeCell ref="B394:G394"/>
    <mergeCell ref="H394:J394"/>
    <mergeCell ref="K394:L394"/>
    <mergeCell ref="B388:G388"/>
    <mergeCell ref="V425:V426"/>
    <mergeCell ref="N425:N426"/>
    <mergeCell ref="R425:R426"/>
    <mergeCell ref="M425:M426"/>
    <mergeCell ref="U425:U426"/>
    <mergeCell ref="S425:T425"/>
    <mergeCell ref="B437:U437"/>
    <mergeCell ref="B438:G438"/>
    <mergeCell ref="B439:G439"/>
    <mergeCell ref="B440:D441"/>
    <mergeCell ref="H425:H426"/>
    <mergeCell ref="M440:M441"/>
    <mergeCell ref="H440:I441"/>
    <mergeCell ref="J440:J441"/>
    <mergeCell ref="K440:K441"/>
    <mergeCell ref="L440:L441"/>
    <mergeCell ref="O425:P425"/>
    <mergeCell ref="I425:I426"/>
    <mergeCell ref="J425:J426"/>
    <mergeCell ref="B425:B426"/>
    <mergeCell ref="C425:C426"/>
    <mergeCell ref="D425:E425"/>
    <mergeCell ref="F425:G425"/>
    <mergeCell ref="K425:K426"/>
    <mergeCell ref="E440:E441"/>
    <mergeCell ref="F440:F441"/>
    <mergeCell ref="G440:G441"/>
    <mergeCell ref="B415:G415"/>
    <mergeCell ref="B416:D417"/>
    <mergeCell ref="K413:K414"/>
    <mergeCell ref="M467:M468"/>
    <mergeCell ref="H467:I468"/>
    <mergeCell ref="J467:J468"/>
    <mergeCell ref="M452:M453"/>
    <mergeCell ref="R452:R453"/>
    <mergeCell ref="B469:G469"/>
    <mergeCell ref="B470:D471"/>
    <mergeCell ref="K467:K468"/>
    <mergeCell ref="B464:U464"/>
    <mergeCell ref="B465:G465"/>
    <mergeCell ref="B466:G466"/>
    <mergeCell ref="B467:D468"/>
    <mergeCell ref="L479:L480"/>
    <mergeCell ref="B475:G475"/>
    <mergeCell ref="H475:J475"/>
    <mergeCell ref="K475:L475"/>
    <mergeCell ref="B478:D478"/>
    <mergeCell ref="O479:P479"/>
    <mergeCell ref="V479:V480"/>
    <mergeCell ref="N479:N480"/>
    <mergeCell ref="R479:R480"/>
    <mergeCell ref="M479:M480"/>
    <mergeCell ref="U479:U480"/>
    <mergeCell ref="S479:T479"/>
    <mergeCell ref="B491:U491"/>
    <mergeCell ref="B492:G492"/>
    <mergeCell ref="B493:G493"/>
    <mergeCell ref="B494:D495"/>
    <mergeCell ref="H479:H480"/>
    <mergeCell ref="M494:M495"/>
    <mergeCell ref="H494:I495"/>
    <mergeCell ref="J494:J495"/>
    <mergeCell ref="I479:I480"/>
    <mergeCell ref="J479:J480"/>
    <mergeCell ref="B479:B480"/>
    <mergeCell ref="C479:C480"/>
    <mergeCell ref="D479:E479"/>
    <mergeCell ref="F479:G479"/>
    <mergeCell ref="K479:K480"/>
    <mergeCell ref="K494:K495"/>
    <mergeCell ref="L494:L495"/>
    <mergeCell ref="V506:V507"/>
    <mergeCell ref="N506:N507"/>
    <mergeCell ref="S506:T506"/>
    <mergeCell ref="B505:D505"/>
    <mergeCell ref="B506:B507"/>
    <mergeCell ref="C506:C507"/>
    <mergeCell ref="D506:E506"/>
    <mergeCell ref="F506:G506"/>
    <mergeCell ref="O506:P506"/>
    <mergeCell ref="U506:U507"/>
    <mergeCell ref="L521:L522"/>
    <mergeCell ref="H506:H507"/>
    <mergeCell ref="I506:I507"/>
    <mergeCell ref="J506:J507"/>
    <mergeCell ref="K506:K507"/>
    <mergeCell ref="L506:L507"/>
    <mergeCell ref="M521:M522"/>
    <mergeCell ref="J521:J522"/>
    <mergeCell ref="M506:M507"/>
    <mergeCell ref="R506:R507"/>
    <mergeCell ref="Q506:Q507"/>
    <mergeCell ref="K521:K522"/>
    <mergeCell ref="B518:U518"/>
    <mergeCell ref="B519:G519"/>
    <mergeCell ref="B520:G520"/>
    <mergeCell ref="B521:D522"/>
    <mergeCell ref="H521:I522"/>
    <mergeCell ref="N520:N522"/>
    <mergeCell ref="B556:G556"/>
    <mergeCell ref="H556:J556"/>
    <mergeCell ref="K556:L556"/>
    <mergeCell ref="B550:G550"/>
    <mergeCell ref="B551:D552"/>
    <mergeCell ref="B554:F555"/>
    <mergeCell ref="O520:U529"/>
    <mergeCell ref="E521:E522"/>
    <mergeCell ref="F521:F522"/>
    <mergeCell ref="G521:G522"/>
    <mergeCell ref="H546:N546"/>
    <mergeCell ref="H547:L547"/>
    <mergeCell ref="N547:N549"/>
    <mergeCell ref="O547:U556"/>
    <mergeCell ref="E548:E549"/>
    <mergeCell ref="F548:F549"/>
    <mergeCell ref="G548:G549"/>
    <mergeCell ref="B523:G523"/>
    <mergeCell ref="B524:D525"/>
    <mergeCell ref="L533:L534"/>
    <mergeCell ref="B529:G529"/>
    <mergeCell ref="H529:J529"/>
    <mergeCell ref="K529:L529"/>
    <mergeCell ref="B532:D532"/>
    <mergeCell ref="V533:V534"/>
    <mergeCell ref="N533:N534"/>
    <mergeCell ref="R533:R534"/>
    <mergeCell ref="M533:M534"/>
    <mergeCell ref="U533:U534"/>
    <mergeCell ref="S533:T533"/>
    <mergeCell ref="B545:U545"/>
    <mergeCell ref="B546:G546"/>
    <mergeCell ref="B547:G547"/>
    <mergeCell ref="B548:D549"/>
    <mergeCell ref="H533:H534"/>
    <mergeCell ref="M548:M549"/>
    <mergeCell ref="H548:I549"/>
    <mergeCell ref="J548:J549"/>
    <mergeCell ref="K548:K549"/>
    <mergeCell ref="L548:L549"/>
    <mergeCell ref="O533:P533"/>
    <mergeCell ref="I533:I534"/>
    <mergeCell ref="J533:J534"/>
    <mergeCell ref="B533:B534"/>
    <mergeCell ref="C533:C534"/>
    <mergeCell ref="D533:E533"/>
    <mergeCell ref="F533:G533"/>
    <mergeCell ref="K533:K534"/>
    <mergeCell ref="K583:L583"/>
    <mergeCell ref="B586:D586"/>
    <mergeCell ref="N587:N588"/>
    <mergeCell ref="R587:R588"/>
    <mergeCell ref="M587:M588"/>
    <mergeCell ref="U587:U588"/>
    <mergeCell ref="S587:T587"/>
    <mergeCell ref="H587:H588"/>
    <mergeCell ref="O587:P587"/>
    <mergeCell ref="I587:I588"/>
    <mergeCell ref="J587:J588"/>
    <mergeCell ref="B587:B588"/>
    <mergeCell ref="C587:C588"/>
    <mergeCell ref="D587:E587"/>
    <mergeCell ref="F587:G587"/>
    <mergeCell ref="K587:K588"/>
    <mergeCell ref="H573:N573"/>
    <mergeCell ref="H574:L574"/>
    <mergeCell ref="N574:N576"/>
    <mergeCell ref="O574:U583"/>
    <mergeCell ref="E575:E576"/>
    <mergeCell ref="F575:F576"/>
    <mergeCell ref="G575:G576"/>
    <mergeCell ref="H637:J637"/>
    <mergeCell ref="K637:L637"/>
    <mergeCell ref="B640:D640"/>
    <mergeCell ref="V641:V642"/>
    <mergeCell ref="N641:N642"/>
    <mergeCell ref="R641:R642"/>
    <mergeCell ref="B559:D559"/>
    <mergeCell ref="B560:B561"/>
    <mergeCell ref="H560:H561"/>
    <mergeCell ref="I560:I561"/>
    <mergeCell ref="J560:J561"/>
    <mergeCell ref="K560:K561"/>
    <mergeCell ref="O560:P560"/>
    <mergeCell ref="M560:M561"/>
    <mergeCell ref="L560:L561"/>
    <mergeCell ref="R560:R561"/>
    <mergeCell ref="C560:C561"/>
    <mergeCell ref="D560:E560"/>
    <mergeCell ref="F560:G560"/>
    <mergeCell ref="B577:G577"/>
    <mergeCell ref="B578:D579"/>
    <mergeCell ref="K575:K576"/>
    <mergeCell ref="L575:L576"/>
    <mergeCell ref="B572:U572"/>
    <mergeCell ref="B573:G573"/>
    <mergeCell ref="B574:G574"/>
    <mergeCell ref="B575:D576"/>
    <mergeCell ref="J575:J576"/>
    <mergeCell ref="L587:L588"/>
    <mergeCell ref="B583:G583"/>
    <mergeCell ref="H583:J583"/>
    <mergeCell ref="V614:V615"/>
    <mergeCell ref="N614:N615"/>
    <mergeCell ref="S614:T614"/>
    <mergeCell ref="B613:D613"/>
    <mergeCell ref="B614:B615"/>
    <mergeCell ref="U614:U615"/>
    <mergeCell ref="L629:L630"/>
    <mergeCell ref="H614:H615"/>
    <mergeCell ref="I614:I615"/>
    <mergeCell ref="J614:J615"/>
    <mergeCell ref="K614:K615"/>
    <mergeCell ref="M614:M615"/>
    <mergeCell ref="R614:R615"/>
    <mergeCell ref="C614:C615"/>
    <mergeCell ref="D614:E614"/>
    <mergeCell ref="B628:G628"/>
    <mergeCell ref="B629:D630"/>
    <mergeCell ref="J629:J630"/>
    <mergeCell ref="L614:L615"/>
    <mergeCell ref="G629:G630"/>
    <mergeCell ref="C617:C618"/>
    <mergeCell ref="D617:D618"/>
    <mergeCell ref="E617:E618"/>
    <mergeCell ref="F617:F618"/>
    <mergeCell ref="B617:B618"/>
    <mergeCell ref="K617:K618"/>
    <mergeCell ref="L617:L618"/>
    <mergeCell ref="M617:M618"/>
    <mergeCell ref="I617:I618"/>
    <mergeCell ref="K656:K657"/>
    <mergeCell ref="L656:L657"/>
    <mergeCell ref="O641:P641"/>
    <mergeCell ref="I641:I642"/>
    <mergeCell ref="J641:J642"/>
    <mergeCell ref="B641:B642"/>
    <mergeCell ref="C641:C642"/>
    <mergeCell ref="D641:E641"/>
    <mergeCell ref="F641:G641"/>
    <mergeCell ref="K641:K642"/>
    <mergeCell ref="B658:G658"/>
    <mergeCell ref="B659:D660"/>
    <mergeCell ref="B664:G664"/>
    <mergeCell ref="H664:J664"/>
    <mergeCell ref="K664:L664"/>
    <mergeCell ref="L641:L642"/>
    <mergeCell ref="H654:N654"/>
    <mergeCell ref="H655:L655"/>
    <mergeCell ref="N655:N657"/>
    <mergeCell ref="O655:U664"/>
    <mergeCell ref="E656:E657"/>
    <mergeCell ref="F656:F657"/>
    <mergeCell ref="G656:G657"/>
    <mergeCell ref="M641:M642"/>
    <mergeCell ref="O208:P208"/>
    <mergeCell ref="H465:N465"/>
    <mergeCell ref="H466:L466"/>
    <mergeCell ref="N466:N468"/>
    <mergeCell ref="O466:U475"/>
    <mergeCell ref="E467:E468"/>
    <mergeCell ref="F467:F468"/>
    <mergeCell ref="G467:G468"/>
    <mergeCell ref="H492:N492"/>
    <mergeCell ref="H493:L493"/>
    <mergeCell ref="N493:N495"/>
    <mergeCell ref="O493:U502"/>
    <mergeCell ref="E494:E495"/>
    <mergeCell ref="F494:F495"/>
    <mergeCell ref="G494:G495"/>
    <mergeCell ref="H519:N519"/>
    <mergeCell ref="H520:L520"/>
    <mergeCell ref="H627:N627"/>
    <mergeCell ref="H628:L628"/>
    <mergeCell ref="N628:N630"/>
    <mergeCell ref="O628:U637"/>
    <mergeCell ref="E629:E630"/>
    <mergeCell ref="F629:F630"/>
    <mergeCell ref="H275:N275"/>
    <mergeCell ref="H276:L276"/>
    <mergeCell ref="N276:N278"/>
    <mergeCell ref="O276:U285"/>
    <mergeCell ref="E277:E278"/>
    <mergeCell ref="O195:U204"/>
    <mergeCell ref="E196:E197"/>
    <mergeCell ref="F196:F197"/>
    <mergeCell ref="G196:G197"/>
    <mergeCell ref="H221:N221"/>
    <mergeCell ref="H222:L222"/>
    <mergeCell ref="N222:N224"/>
    <mergeCell ref="O222:U231"/>
    <mergeCell ref="E223:E224"/>
    <mergeCell ref="F223:F224"/>
    <mergeCell ref="G223:G224"/>
    <mergeCell ref="H248:N248"/>
    <mergeCell ref="H249:L249"/>
    <mergeCell ref="N249:N251"/>
    <mergeCell ref="O249:U258"/>
    <mergeCell ref="E250:E251"/>
    <mergeCell ref="F250:F251"/>
    <mergeCell ref="G250:G251"/>
    <mergeCell ref="J223:J224"/>
    <mergeCell ref="K223:K224"/>
    <mergeCell ref="L223:L224"/>
    <mergeCell ref="I208:I209"/>
    <mergeCell ref="J208:J209"/>
    <mergeCell ref="Q208:Q209"/>
    <mergeCell ref="U235:U236"/>
    <mergeCell ref="U208:U209"/>
    <mergeCell ref="S208:T208"/>
    <mergeCell ref="B198:G198"/>
    <mergeCell ref="B199:D200"/>
    <mergeCell ref="B252:G252"/>
    <mergeCell ref="B253:D254"/>
    <mergeCell ref="K250:K251"/>
    <mergeCell ref="S17:T17"/>
    <mergeCell ref="B17:B18"/>
    <mergeCell ref="J17:J18"/>
    <mergeCell ref="I17:I18"/>
    <mergeCell ref="R17:R18"/>
    <mergeCell ref="K32:K33"/>
    <mergeCell ref="H32:I33"/>
    <mergeCell ref="L32:L33"/>
    <mergeCell ref="N17:N18"/>
    <mergeCell ref="O17:P17"/>
    <mergeCell ref="H114:L114"/>
    <mergeCell ref="N114:N116"/>
    <mergeCell ref="O114:U123"/>
    <mergeCell ref="E115:E116"/>
    <mergeCell ref="F115:F116"/>
    <mergeCell ref="G115:G116"/>
    <mergeCell ref="H140:N140"/>
    <mergeCell ref="H141:L141"/>
    <mergeCell ref="N141:N143"/>
    <mergeCell ref="O141:U150"/>
    <mergeCell ref="E142:E143"/>
    <mergeCell ref="F142:F143"/>
    <mergeCell ref="G142:G143"/>
    <mergeCell ref="H167:N167"/>
    <mergeCell ref="N195:N197"/>
    <mergeCell ref="U17:U18"/>
    <mergeCell ref="B29:U29"/>
    <mergeCell ref="X17:X18"/>
    <mergeCell ref="B37:G37"/>
    <mergeCell ref="B38:F39"/>
    <mergeCell ref="E169:E170"/>
    <mergeCell ref="F169:F170"/>
    <mergeCell ref="Q17:Q18"/>
    <mergeCell ref="B1:U1"/>
    <mergeCell ref="B2:U2"/>
    <mergeCell ref="B3:U3"/>
    <mergeCell ref="B4:U4"/>
    <mergeCell ref="B5:U5"/>
    <mergeCell ref="B8:U8"/>
    <mergeCell ref="B16:D16"/>
    <mergeCell ref="M17:M18"/>
    <mergeCell ref="K17:K18"/>
    <mergeCell ref="H17:H18"/>
    <mergeCell ref="F17:G17"/>
    <mergeCell ref="D17:E17"/>
    <mergeCell ref="L17:L18"/>
    <mergeCell ref="C17:C18"/>
    <mergeCell ref="B6:U6"/>
    <mergeCell ref="V17:V18"/>
    <mergeCell ref="B9:U9"/>
    <mergeCell ref="H113:N113"/>
    <mergeCell ref="Z275:Z278"/>
    <mergeCell ref="AA275:AA278"/>
    <mergeCell ref="AB275:AB278"/>
    <mergeCell ref="AC275:AC278"/>
    <mergeCell ref="Z302:Z305"/>
    <mergeCell ref="AA302:AA305"/>
    <mergeCell ref="AB302:AB305"/>
    <mergeCell ref="AC302:AC305"/>
    <mergeCell ref="Z329:Z332"/>
    <mergeCell ref="AA329:AA332"/>
    <mergeCell ref="AB329:AB332"/>
    <mergeCell ref="AC329:AC332"/>
    <mergeCell ref="Z357:Z360"/>
    <mergeCell ref="AA357:AA360"/>
    <mergeCell ref="AB357:AB360"/>
    <mergeCell ref="AC357:AC360"/>
    <mergeCell ref="AA20:AA25"/>
    <mergeCell ref="AB30:AB33"/>
    <mergeCell ref="Z30:Z33"/>
    <mergeCell ref="AA30:AA33"/>
    <mergeCell ref="AC30:AC33"/>
    <mergeCell ref="Z59:Z62"/>
    <mergeCell ref="AA59:AA62"/>
    <mergeCell ref="AB59:AB62"/>
    <mergeCell ref="AC59:AC62"/>
    <mergeCell ref="Z86:Z89"/>
    <mergeCell ref="AA86:AA89"/>
    <mergeCell ref="AB86:AB89"/>
    <mergeCell ref="AC86:AC89"/>
    <mergeCell ref="Z113:Z116"/>
    <mergeCell ref="AA113:AA116"/>
    <mergeCell ref="AB113:AB116"/>
    <mergeCell ref="Z140:Z143"/>
    <mergeCell ref="AA140:AA143"/>
    <mergeCell ref="AB140:AB143"/>
    <mergeCell ref="AC140:AC143"/>
    <mergeCell ref="Z167:Z170"/>
    <mergeCell ref="AA167:AA170"/>
    <mergeCell ref="AB167:AB170"/>
    <mergeCell ref="AC167:AC170"/>
    <mergeCell ref="Z194:Z197"/>
    <mergeCell ref="AA194:AA197"/>
    <mergeCell ref="AB194:AB197"/>
    <mergeCell ref="AC194:AC197"/>
    <mergeCell ref="Z221:Z224"/>
    <mergeCell ref="AA221:AA224"/>
    <mergeCell ref="AB221:AB224"/>
    <mergeCell ref="AC221:AC224"/>
    <mergeCell ref="Z248:Z251"/>
    <mergeCell ref="AA248:AA251"/>
    <mergeCell ref="AB248:AB251"/>
    <mergeCell ref="AC248:AC251"/>
    <mergeCell ref="AA374:AA379"/>
    <mergeCell ref="AA401:AA406"/>
    <mergeCell ref="Z438:Z441"/>
    <mergeCell ref="AA438:AA441"/>
    <mergeCell ref="AB438:AB441"/>
    <mergeCell ref="AC438:AC441"/>
    <mergeCell ref="Z465:Z468"/>
    <mergeCell ref="AA465:AA468"/>
    <mergeCell ref="AB465:AB468"/>
    <mergeCell ref="AC465:AC468"/>
    <mergeCell ref="Z492:Z495"/>
    <mergeCell ref="AA492:AA495"/>
    <mergeCell ref="AB492:AB495"/>
    <mergeCell ref="AC492:AC495"/>
    <mergeCell ref="Z519:Z522"/>
    <mergeCell ref="AA519:AA522"/>
    <mergeCell ref="AB519:AB522"/>
    <mergeCell ref="AC519:AC522"/>
    <mergeCell ref="AC479:AC480"/>
    <mergeCell ref="AC506:AC507"/>
    <mergeCell ref="Z384:Z387"/>
    <mergeCell ref="AA384:AA387"/>
    <mergeCell ref="AB384:AB387"/>
    <mergeCell ref="AC384:AC387"/>
    <mergeCell ref="Z411:Z414"/>
    <mergeCell ref="AA411:AA414"/>
    <mergeCell ref="AB411:AB414"/>
    <mergeCell ref="AC411:AC414"/>
    <mergeCell ref="Z546:Z549"/>
    <mergeCell ref="AA546:AA549"/>
    <mergeCell ref="AB546:AB549"/>
    <mergeCell ref="AC546:AC549"/>
    <mergeCell ref="AC533:AC534"/>
    <mergeCell ref="AA644:AA649"/>
    <mergeCell ref="Z573:Z576"/>
    <mergeCell ref="AA573:AA576"/>
    <mergeCell ref="AB573:AB576"/>
    <mergeCell ref="AC573:AC576"/>
    <mergeCell ref="Z600:Z603"/>
    <mergeCell ref="AA600:AA603"/>
    <mergeCell ref="AB600:AB603"/>
    <mergeCell ref="AC600:AC603"/>
    <mergeCell ref="Z627:Z630"/>
    <mergeCell ref="AA627:AA630"/>
    <mergeCell ref="AB627:AB630"/>
    <mergeCell ref="AC627:AC630"/>
    <mergeCell ref="Z654:Z657"/>
    <mergeCell ref="AA654:AA657"/>
    <mergeCell ref="AB654:AB657"/>
    <mergeCell ref="AC654:AC657"/>
    <mergeCell ref="H31:L31"/>
    <mergeCell ref="N31:N33"/>
    <mergeCell ref="H30:N30"/>
    <mergeCell ref="O31:U40"/>
    <mergeCell ref="H59:N59"/>
    <mergeCell ref="H60:L60"/>
    <mergeCell ref="N60:N62"/>
    <mergeCell ref="O60:U69"/>
    <mergeCell ref="E61:E62"/>
    <mergeCell ref="F61:F62"/>
    <mergeCell ref="G61:G62"/>
    <mergeCell ref="H86:N86"/>
    <mergeCell ref="H87:L87"/>
    <mergeCell ref="N87:N89"/>
    <mergeCell ref="O87:U96"/>
    <mergeCell ref="E88:E89"/>
    <mergeCell ref="F88:F89"/>
    <mergeCell ref="G88:G89"/>
    <mergeCell ref="F73:G73"/>
    <mergeCell ref="L73:L74"/>
    <mergeCell ref="H73:H74"/>
    <mergeCell ref="O73:P73"/>
    <mergeCell ref="M73:M74"/>
    <mergeCell ref="B40:G40"/>
    <mergeCell ref="K61:K62"/>
    <mergeCell ref="O44:P44"/>
    <mergeCell ref="B69:G69"/>
    <mergeCell ref="H69:J69"/>
    <mergeCell ref="K69:L69"/>
    <mergeCell ref="B72:D72"/>
    <mergeCell ref="B73:B74"/>
    <mergeCell ref="C73:C74"/>
    <mergeCell ref="B123:G123"/>
    <mergeCell ref="H123:J123"/>
    <mergeCell ref="K123:L123"/>
    <mergeCell ref="B117:G117"/>
    <mergeCell ref="B118:D119"/>
    <mergeCell ref="U127:U128"/>
    <mergeCell ref="E32:E33"/>
    <mergeCell ref="F32:F33"/>
    <mergeCell ref="G32:G33"/>
    <mergeCell ref="H357:N357"/>
    <mergeCell ref="H358:L358"/>
    <mergeCell ref="N358:N360"/>
    <mergeCell ref="O358:U367"/>
    <mergeCell ref="E359:E360"/>
    <mergeCell ref="F359:F360"/>
    <mergeCell ref="G359:G360"/>
    <mergeCell ref="H384:N384"/>
    <mergeCell ref="H385:L385"/>
    <mergeCell ref="N385:N387"/>
    <mergeCell ref="O385:U394"/>
    <mergeCell ref="B448:G448"/>
    <mergeCell ref="H600:N600"/>
    <mergeCell ref="H601:L601"/>
    <mergeCell ref="N601:N603"/>
    <mergeCell ref="O601:U610"/>
    <mergeCell ref="E602:E603"/>
    <mergeCell ref="F602:F603"/>
    <mergeCell ref="G602:G603"/>
    <mergeCell ref="E386:E387"/>
    <mergeCell ref="F386:F387"/>
    <mergeCell ref="G386:G387"/>
    <mergeCell ref="H411:N411"/>
    <mergeCell ref="H412:L412"/>
    <mergeCell ref="N412:N414"/>
    <mergeCell ref="O412:U421"/>
    <mergeCell ref="E413:E414"/>
    <mergeCell ref="F413:F414"/>
    <mergeCell ref="G413:G414"/>
    <mergeCell ref="H438:N438"/>
    <mergeCell ref="H439:L439"/>
    <mergeCell ref="N439:N441"/>
    <mergeCell ref="O439:U448"/>
    <mergeCell ref="L413:L414"/>
    <mergeCell ref="B410:U410"/>
    <mergeCell ref="B411:G411"/>
    <mergeCell ref="B412:G412"/>
    <mergeCell ref="B413:D414"/>
    <mergeCell ref="H413:I414"/>
    <mergeCell ref="L425:L426"/>
    <mergeCell ref="B421:G421"/>
    <mergeCell ref="H421:J421"/>
    <mergeCell ref="K421:L421"/>
    <mergeCell ref="B424:D424"/>
    <mergeCell ref="U641:U642"/>
    <mergeCell ref="S641:T641"/>
    <mergeCell ref="B653:U653"/>
    <mergeCell ref="B654:G654"/>
    <mergeCell ref="B655:G655"/>
    <mergeCell ref="B656:D657"/>
    <mergeCell ref="H641:H642"/>
    <mergeCell ref="M656:M657"/>
    <mergeCell ref="H656:I657"/>
    <mergeCell ref="J656:J657"/>
  </mergeCells>
  <phoneticPr fontId="4" type="noConversion"/>
  <conditionalFormatting sqref="M20:N25 P20:R25 N52:N53">
    <cfRule type="cellIs" dxfId="2124" priority="275672" stopIfTrue="1" operator="lessThan">
      <formula>0</formula>
    </cfRule>
  </conditionalFormatting>
  <conditionalFormatting sqref="U21 P20:R25 T21:T25 B20:N25 T20:U20 B351:C352 G349:H349 N349 D350:N352 N52 J349 T509 U510">
    <cfRule type="cellIs" dxfId="2123" priority="251854" stopIfTrue="1" operator="greaterThan">
      <formula>0</formula>
    </cfRule>
  </conditionalFormatting>
  <conditionalFormatting sqref="R21:R25">
    <cfRule type="cellIs" dxfId="2122" priority="299710" stopIfTrue="1" operator="lessThan">
      <formula>0</formula>
    </cfRule>
  </conditionalFormatting>
  <conditionalFormatting sqref="O20:O25">
    <cfRule type="cellIs" dxfId="2121" priority="300907" stopIfTrue="1" operator="greaterThan">
      <formula>0</formula>
    </cfRule>
  </conditionalFormatting>
  <conditionalFormatting sqref="U22">
    <cfRule type="cellIs" dxfId="2120" priority="300906" stopIfTrue="1" operator="greaterThan">
      <formula>0</formula>
    </cfRule>
  </conditionalFormatting>
  <conditionalFormatting sqref="U23">
    <cfRule type="cellIs" dxfId="2119" priority="300905" stopIfTrue="1" operator="greaterThan">
      <formula>0</formula>
    </cfRule>
  </conditionalFormatting>
  <conditionalFormatting sqref="U24">
    <cfRule type="cellIs" dxfId="2118" priority="300904" stopIfTrue="1" operator="greaterThan">
      <formula>0</formula>
    </cfRule>
  </conditionalFormatting>
  <conditionalFormatting sqref="U25">
    <cfRule type="cellIs" dxfId="2117" priority="300903" stopIfTrue="1" operator="greaterThan">
      <formula>0</formula>
    </cfRule>
  </conditionalFormatting>
  <conditionalFormatting sqref="S21:S25">
    <cfRule type="cellIs" dxfId="2116" priority="300895" stopIfTrue="1" operator="lessThan">
      <formula>0</formula>
    </cfRule>
  </conditionalFormatting>
  <conditionalFormatting sqref="S20:S25">
    <cfRule type="cellIs" dxfId="2115" priority="300897" stopIfTrue="1" operator="greaterThan">
      <formula>0</formula>
    </cfRule>
  </conditionalFormatting>
  <conditionalFormatting sqref="S20:S25">
    <cfRule type="cellIs" dxfId="2114" priority="300896" stopIfTrue="1" operator="lessThan">
      <formula>0</formula>
    </cfRule>
  </conditionalFormatting>
  <conditionalFormatting sqref="B30">
    <cfRule type="cellIs" dxfId="2113" priority="300893" stopIfTrue="1" operator="equal">
      <formula>"cumple"</formula>
    </cfRule>
    <cfRule type="containsText" dxfId="2112" priority="300894" stopIfTrue="1" operator="containsText" text="NO CUMPLE">
      <formula>NOT(ISERROR(SEARCH("NO CUMPLE",B30)))</formula>
    </cfRule>
  </conditionalFormatting>
  <conditionalFormatting sqref="B31">
    <cfRule type="cellIs" dxfId="2111" priority="300891" stopIfTrue="1" operator="equal">
      <formula>"cumple"</formula>
    </cfRule>
    <cfRule type="containsText" dxfId="2110" priority="300892" stopIfTrue="1" operator="containsText" text="NO CUMPLE">
      <formula>NOT(ISERROR(SEARCH("NO CUMPLE",B31)))</formula>
    </cfRule>
  </conditionalFormatting>
  <conditionalFormatting sqref="B32">
    <cfRule type="cellIs" dxfId="2109" priority="300889" stopIfTrue="1" operator="equal">
      <formula>"cumple"</formula>
    </cfRule>
    <cfRule type="containsText" dxfId="2108" priority="300890" stopIfTrue="1" operator="containsText" text="NO CUMPLE">
      <formula>NOT(ISERROR(SEARCH("NO CUMPLE",B32)))</formula>
    </cfRule>
  </conditionalFormatting>
  <conditionalFormatting sqref="B34">
    <cfRule type="cellIs" dxfId="2107" priority="300887" stopIfTrue="1" operator="equal">
      <formula>"cumple"</formula>
    </cfRule>
    <cfRule type="containsText" dxfId="2106" priority="300888" stopIfTrue="1" operator="containsText" text="NO CUMPLE">
      <formula>NOT(ISERROR(SEARCH("NO CUMPLE",B34)))</formula>
    </cfRule>
  </conditionalFormatting>
  <conditionalFormatting sqref="B35">
    <cfRule type="cellIs" dxfId="2105" priority="300885" stopIfTrue="1" operator="equal">
      <formula>"cumple"</formula>
    </cfRule>
    <cfRule type="containsText" dxfId="2104" priority="300886" stopIfTrue="1" operator="containsText" text="NO CUMPLE">
      <formula>NOT(ISERROR(SEARCH("NO CUMPLE",B35)))</formula>
    </cfRule>
  </conditionalFormatting>
  <conditionalFormatting sqref="F32">
    <cfRule type="cellIs" dxfId="2103" priority="300883" stopIfTrue="1" operator="equal">
      <formula>"cumple"</formula>
    </cfRule>
    <cfRule type="containsText" dxfId="2102" priority="300884" stopIfTrue="1" operator="containsText" text="NO CUMPLE">
      <formula>NOT(ISERROR(SEARCH("NO CUMPLE",F32)))</formula>
    </cfRule>
  </conditionalFormatting>
  <conditionalFormatting sqref="E35:F35">
    <cfRule type="cellIs" dxfId="2101" priority="300881" stopIfTrue="1" operator="equal">
      <formula>"cumple"</formula>
    </cfRule>
    <cfRule type="containsText" dxfId="2100" priority="300882" stopIfTrue="1" operator="containsText" text="NO CUMPLE">
      <formula>NOT(ISERROR(SEARCH("NO CUMPLE",E35)))</formula>
    </cfRule>
  </conditionalFormatting>
  <conditionalFormatting sqref="G35">
    <cfRule type="cellIs" dxfId="2099" priority="300879" stopIfTrue="1" operator="equal">
      <formula>"cumple"</formula>
    </cfRule>
    <cfRule type="containsText" dxfId="2098" priority="300880" stopIfTrue="1" operator="containsText" text="NO CUMPLE">
      <formula>NOT(ISERROR(SEARCH("NO CUMPLE",G35)))</formula>
    </cfRule>
  </conditionalFormatting>
  <conditionalFormatting sqref="G36">
    <cfRule type="cellIs" dxfId="2097" priority="300875" stopIfTrue="1" operator="equal">
      <formula>"cumple"</formula>
    </cfRule>
    <cfRule type="containsText" dxfId="2096" priority="300876" stopIfTrue="1" operator="containsText" text="NO CUMPLE">
      <formula>NOT(ISERROR(SEARCH("NO CUMPLE",G36)))</formula>
    </cfRule>
  </conditionalFormatting>
  <conditionalFormatting sqref="H30">
    <cfRule type="cellIs" dxfId="2095" priority="300873" stopIfTrue="1" operator="equal">
      <formula>"cumple"</formula>
    </cfRule>
    <cfRule type="containsText" dxfId="2094" priority="300874" stopIfTrue="1" operator="containsText" text="NO CUMPLE">
      <formula>NOT(ISERROR(SEARCH("NO CUMPLE",H30)))</formula>
    </cfRule>
  </conditionalFormatting>
  <conditionalFormatting sqref="M31">
    <cfRule type="cellIs" dxfId="2093" priority="300871" stopIfTrue="1" operator="equal">
      <formula>"cumple"</formula>
    </cfRule>
    <cfRule type="containsText" dxfId="2092" priority="300872" stopIfTrue="1" operator="containsText" text="NO CUMPLE">
      <formula>NOT(ISERROR(SEARCH("NO CUMPLE",M31)))</formula>
    </cfRule>
  </conditionalFormatting>
  <conditionalFormatting sqref="J32:J33">
    <cfRule type="cellIs" dxfId="2091" priority="300865" stopIfTrue="1" operator="equal">
      <formula>"cumple"</formula>
    </cfRule>
    <cfRule type="containsText" dxfId="2090" priority="300866" stopIfTrue="1" operator="containsText" text="NO CUMPLE">
      <formula>NOT(ISERROR(SEARCH("NO CUMPLE",J32)))</formula>
    </cfRule>
  </conditionalFormatting>
  <conditionalFormatting sqref="K32:K33">
    <cfRule type="cellIs" dxfId="2089" priority="300863" stopIfTrue="1" operator="equal">
      <formula>"cumple"</formula>
    </cfRule>
    <cfRule type="containsText" dxfId="2088" priority="300864" stopIfTrue="1" operator="containsText" text="NO CUMPLE">
      <formula>NOT(ISERROR(SEARCH("NO CUMPLE",K32)))</formula>
    </cfRule>
  </conditionalFormatting>
  <conditionalFormatting sqref="L32:L33">
    <cfRule type="cellIs" dxfId="2087" priority="300861" stopIfTrue="1" operator="equal">
      <formula>"cumple"</formula>
    </cfRule>
    <cfRule type="containsText" dxfId="2086" priority="300862" stopIfTrue="1" operator="containsText" text="NO CUMPLE">
      <formula>NOT(ISERROR(SEARCH("NO CUMPLE",L32)))</formula>
    </cfRule>
  </conditionalFormatting>
  <conditionalFormatting sqref="L34:L39">
    <cfRule type="cellIs" dxfId="2085" priority="300859" stopIfTrue="1" operator="equal">
      <formula>"cumple"</formula>
    </cfRule>
    <cfRule type="containsText" dxfId="2084" priority="300860" stopIfTrue="1" operator="containsText" text="NO CUMPLE">
      <formula>NOT(ISERROR(SEARCH("NO CUMPLE",L34)))</formula>
    </cfRule>
  </conditionalFormatting>
  <conditionalFormatting sqref="M34">
    <cfRule type="cellIs" dxfId="2083" priority="300857" stopIfTrue="1" operator="equal">
      <formula>"cumple"</formula>
    </cfRule>
    <cfRule type="containsText" dxfId="2082" priority="300858" stopIfTrue="1" operator="containsText" text="NO CUMPLE">
      <formula>NOT(ISERROR(SEARCH("NO CUMPLE",M34)))</formula>
    </cfRule>
  </conditionalFormatting>
  <conditionalFormatting sqref="M35:M39">
    <cfRule type="cellIs" dxfId="2081" priority="300855" stopIfTrue="1" operator="equal">
      <formula>"cumple"</formula>
    </cfRule>
    <cfRule type="containsText" dxfId="2080" priority="300856" stopIfTrue="1" operator="containsText" text="NO CUMPLE">
      <formula>NOT(ISERROR(SEARCH("NO CUMPLE",M35)))</formula>
    </cfRule>
  </conditionalFormatting>
  <conditionalFormatting sqref="M40">
    <cfRule type="cellIs" dxfId="2079" priority="300851" stopIfTrue="1" operator="equal">
      <formula>"cumple"</formula>
    </cfRule>
    <cfRule type="containsText" dxfId="2078" priority="300852" stopIfTrue="1" operator="containsText" text="NO CUMPLE">
      <formula>NOT(ISERROR(SEARCH("NO CUMPLE",M40)))</formula>
    </cfRule>
  </conditionalFormatting>
  <conditionalFormatting sqref="H40">
    <cfRule type="cellIs" dxfId="2077" priority="300833" stopIfTrue="1" operator="equal">
      <formula>"cumple"</formula>
    </cfRule>
    <cfRule type="containsText" dxfId="2076" priority="300834" stopIfTrue="1" operator="containsText" text="NO CUMPLE">
      <formula>NOT(ISERROR(SEARCH("NO CUMPLE",H40)))</formula>
    </cfRule>
  </conditionalFormatting>
  <conditionalFormatting sqref="V20:V21">
    <cfRule type="cellIs" dxfId="2075" priority="292397" stopIfTrue="1" operator="greaterThan">
      <formula>0</formula>
    </cfRule>
  </conditionalFormatting>
  <conditionalFormatting sqref="V22">
    <cfRule type="cellIs" dxfId="2074" priority="292396" stopIfTrue="1" operator="greaterThan">
      <formula>0</formula>
    </cfRule>
  </conditionalFormatting>
  <conditionalFormatting sqref="V23">
    <cfRule type="cellIs" dxfId="2073" priority="292395" stopIfTrue="1" operator="greaterThan">
      <formula>0</formula>
    </cfRule>
  </conditionalFormatting>
  <conditionalFormatting sqref="V24">
    <cfRule type="cellIs" dxfId="2072" priority="292394" stopIfTrue="1" operator="greaterThan">
      <formula>0</formula>
    </cfRule>
  </conditionalFormatting>
  <conditionalFormatting sqref="V25">
    <cfRule type="cellIs" dxfId="2071" priority="292393" stopIfTrue="1" operator="greaterThan">
      <formula>0</formula>
    </cfRule>
  </conditionalFormatting>
  <conditionalFormatting sqref="O31">
    <cfRule type="cellIs" dxfId="2070" priority="298328" stopIfTrue="1" operator="equal">
      <formula>"cumple"</formula>
    </cfRule>
    <cfRule type="containsText" dxfId="2069" priority="298329" stopIfTrue="1" operator="containsText" text="NO CUMPLE">
      <formula>NOT(ISERROR(SEARCH("NO CUMPLE",O31)))</formula>
    </cfRule>
  </conditionalFormatting>
  <conditionalFormatting sqref="X20:X25">
    <cfRule type="cellIs" dxfId="2068" priority="236458" stopIfTrue="1" operator="equal">
      <formula>"NO"</formula>
    </cfRule>
    <cfRule type="cellIs" dxfId="2067" priority="236459" stopIfTrue="1" operator="equal">
      <formula>"SI"</formula>
    </cfRule>
  </conditionalFormatting>
  <conditionalFormatting sqref="B37">
    <cfRule type="cellIs" dxfId="2066" priority="236456" stopIfTrue="1" operator="equal">
      <formula>"cumple"</formula>
    </cfRule>
    <cfRule type="containsText" dxfId="2065" priority="236457" stopIfTrue="1" operator="containsText" text="NO CUMPLE">
      <formula>NOT(ISERROR(SEARCH("NO CUMPLE",B37)))</formula>
    </cfRule>
  </conditionalFormatting>
  <conditionalFormatting sqref="B38">
    <cfRule type="cellIs" dxfId="2064" priority="236454" stopIfTrue="1" operator="equal">
      <formula>"cumple"</formula>
    </cfRule>
    <cfRule type="containsText" dxfId="2063" priority="236455" stopIfTrue="1" operator="containsText" text="NO CUMPLE">
      <formula>NOT(ISERROR(SEARCH("NO CUMPLE",B38)))</formula>
    </cfRule>
  </conditionalFormatting>
  <conditionalFormatting sqref="G38">
    <cfRule type="cellIs" dxfId="2062" priority="236452" stopIfTrue="1" operator="equal">
      <formula>"cumple"</formula>
    </cfRule>
    <cfRule type="containsText" dxfId="2061" priority="236453" stopIfTrue="1" operator="containsText" text="NO CUMPLE">
      <formula>NOT(ISERROR(SEARCH("NO CUMPLE",G38)))</formula>
    </cfRule>
  </conditionalFormatting>
  <conditionalFormatting sqref="G39">
    <cfRule type="cellIs" dxfId="2060" priority="236450" stopIfTrue="1" operator="equal">
      <formula>"cumple"</formula>
    </cfRule>
    <cfRule type="containsText" dxfId="2059" priority="236451" stopIfTrue="1" operator="containsText" text="NO CUMPLE">
      <formula>NOT(ISERROR(SEARCH("NO CUMPLE",G39)))</formula>
    </cfRule>
  </conditionalFormatting>
  <conditionalFormatting sqref="X34">
    <cfRule type="cellIs" dxfId="2058" priority="183913" operator="equal">
      <formula>"VERIFICAR CUADRO"</formula>
    </cfRule>
  </conditionalFormatting>
  <conditionalFormatting sqref="AC34">
    <cfRule type="cellIs" dxfId="2057" priority="183911" stopIfTrue="1" operator="equal">
      <formula>"cumple"</formula>
    </cfRule>
    <cfRule type="containsText" dxfId="2056" priority="183912" stopIfTrue="1" operator="containsText" text="NO CUMPLE">
      <formula>NOT(ISERROR(SEARCH("NO CUMPLE",AC34)))</formula>
    </cfRule>
  </conditionalFormatting>
  <conditionalFormatting sqref="AC35:AC39">
    <cfRule type="cellIs" dxfId="2055" priority="183909" stopIfTrue="1" operator="equal">
      <formula>"cumple"</formula>
    </cfRule>
    <cfRule type="containsText" dxfId="2054" priority="183910" stopIfTrue="1" operator="containsText" text="NO CUMPLE">
      <formula>NOT(ISERROR(SEARCH("NO CUMPLE",AC35)))</formula>
    </cfRule>
  </conditionalFormatting>
  <conditionalFormatting sqref="X40">
    <cfRule type="cellIs" dxfId="2053" priority="146893" stopIfTrue="1" operator="equal">
      <formula>"cumple"</formula>
    </cfRule>
    <cfRule type="containsText" dxfId="2052" priority="146894" stopIfTrue="1" operator="containsText" text="NO CUMPLE">
      <formula>NOT(ISERROR(SEARCH("NO CUMPLE",X40)))</formula>
    </cfRule>
  </conditionalFormatting>
  <conditionalFormatting sqref="AC20:AC25">
    <cfRule type="cellIs" dxfId="2051" priority="109080" operator="equal">
      <formula>"NO ACREDITA"</formula>
    </cfRule>
    <cfRule type="cellIs" dxfId="2050" priority="109081" stopIfTrue="1" operator="equal">
      <formula>"NO"</formula>
    </cfRule>
    <cfRule type="cellIs" dxfId="2049" priority="109082" stopIfTrue="1" operator="equal">
      <formula>"SI"</formula>
    </cfRule>
  </conditionalFormatting>
  <conditionalFormatting sqref="E32:E33">
    <cfRule type="cellIs" dxfId="2048" priority="70060" operator="greaterThan">
      <formula>0</formula>
    </cfRule>
    <cfRule type="cellIs" dxfId="2047" priority="70071" operator="equal">
      <formula>0</formula>
    </cfRule>
  </conditionalFormatting>
  <conditionalFormatting sqref="G32">
    <cfRule type="cellIs" dxfId="2046" priority="70070" stopIfTrue="1" operator="notBetween">
      <formula>"N/A"</formula>
      <formula>"REVISAR"</formula>
    </cfRule>
  </conditionalFormatting>
  <conditionalFormatting sqref="G32:G33">
    <cfRule type="cellIs" dxfId="2045" priority="70069" operator="equal">
      <formula>"REVISAR"</formula>
    </cfRule>
  </conditionalFormatting>
  <conditionalFormatting sqref="E36">
    <cfRule type="cellIs" dxfId="2044" priority="70067" operator="equal">
      <formula>"NO APLICA"</formula>
    </cfRule>
  </conditionalFormatting>
  <conditionalFormatting sqref="N31">
    <cfRule type="cellIs" dxfId="2043" priority="70065" stopIfTrue="1" operator="equal">
      <formula>"cumple"</formula>
    </cfRule>
    <cfRule type="containsText" dxfId="2042" priority="70066" stopIfTrue="1" operator="containsText" text="NO CUMPLE">
      <formula>NOT(ISERROR(SEARCH("NO CUMPLE",N31)))</formula>
    </cfRule>
  </conditionalFormatting>
  <conditionalFormatting sqref="N34:N39">
    <cfRule type="cellIs" dxfId="2041" priority="70063" stopIfTrue="1" operator="equal">
      <formula>"cumple"</formula>
    </cfRule>
    <cfRule type="containsText" dxfId="2040" priority="70064" stopIfTrue="1" operator="containsText" text="NO CUMPLE">
      <formula>NOT(ISERROR(SEARCH("NO CUMPLE",N34)))</formula>
    </cfRule>
  </conditionalFormatting>
  <conditionalFormatting sqref="N40">
    <cfRule type="cellIs" dxfId="2039" priority="70061" stopIfTrue="1" operator="equal">
      <formula>"cumple"</formula>
    </cfRule>
    <cfRule type="containsText" dxfId="2038" priority="70062" stopIfTrue="1" operator="containsText" text="NO CUMPLE">
      <formula>NOT(ISERROR(SEARCH("NO CUMPLE",N40)))</formula>
    </cfRule>
  </conditionalFormatting>
  <conditionalFormatting sqref="M47:N47 N54 N48:N51 M49 M51 M53 P47:R54">
    <cfRule type="cellIs" dxfId="2037" priority="17523" stopIfTrue="1" operator="lessThan">
      <formula>0</formula>
    </cfRule>
  </conditionalFormatting>
  <conditionalFormatting sqref="B47:N47 T47:U47 G48:H48 G50:H50 G52:H52 G54:H54 N53:N54 N48:N51 B49:M49 B51:M51 B53:M53 P47:R54 U48 T48:T54 J50 J48 J52 J54">
    <cfRule type="cellIs" dxfId="2036" priority="17522" stopIfTrue="1" operator="greaterThan">
      <formula>0</formula>
    </cfRule>
  </conditionalFormatting>
  <conditionalFormatting sqref="R48:R54">
    <cfRule type="cellIs" dxfId="2035" priority="17521" stopIfTrue="1" operator="lessThan">
      <formula>0</formula>
    </cfRule>
  </conditionalFormatting>
  <conditionalFormatting sqref="O47:O54">
    <cfRule type="cellIs" dxfId="2034" priority="17520" stopIfTrue="1" operator="greaterThan">
      <formula>0</formula>
    </cfRule>
  </conditionalFormatting>
  <conditionalFormatting sqref="U49:U51">
    <cfRule type="cellIs" dxfId="2033" priority="17519" stopIfTrue="1" operator="greaterThan">
      <formula>0</formula>
    </cfRule>
  </conditionalFormatting>
  <conditionalFormatting sqref="U52">
    <cfRule type="cellIs" dxfId="2032" priority="17518" stopIfTrue="1" operator="greaterThan">
      <formula>0</formula>
    </cfRule>
  </conditionalFormatting>
  <conditionalFormatting sqref="U53">
    <cfRule type="cellIs" dxfId="2031" priority="17517" stopIfTrue="1" operator="greaterThan">
      <formula>0</formula>
    </cfRule>
  </conditionalFormatting>
  <conditionalFormatting sqref="U54">
    <cfRule type="cellIs" dxfId="2030" priority="17516" stopIfTrue="1" operator="greaterThan">
      <formula>0</formula>
    </cfRule>
  </conditionalFormatting>
  <conditionalFormatting sqref="S48:S54">
    <cfRule type="cellIs" dxfId="2029" priority="17515" stopIfTrue="1" operator="lessThan">
      <formula>0</formula>
    </cfRule>
  </conditionalFormatting>
  <conditionalFormatting sqref="S47:S54">
    <cfRule type="cellIs" dxfId="2028" priority="17514" stopIfTrue="1" operator="greaterThan">
      <formula>0</formula>
    </cfRule>
  </conditionalFormatting>
  <conditionalFormatting sqref="S47:S54">
    <cfRule type="cellIs" dxfId="2027" priority="17513" stopIfTrue="1" operator="lessThan">
      <formula>0</formula>
    </cfRule>
  </conditionalFormatting>
  <conditionalFormatting sqref="B59">
    <cfRule type="cellIs" dxfId="2026" priority="17511" stopIfTrue="1" operator="equal">
      <formula>"cumple"</formula>
    </cfRule>
    <cfRule type="containsText" dxfId="2025" priority="17512" stopIfTrue="1" operator="containsText" text="NO CUMPLE">
      <formula>NOT(ISERROR(SEARCH("NO CUMPLE",B59)))</formula>
    </cfRule>
  </conditionalFormatting>
  <conditionalFormatting sqref="B60">
    <cfRule type="cellIs" dxfId="2024" priority="17509" stopIfTrue="1" operator="equal">
      <formula>"cumple"</formula>
    </cfRule>
    <cfRule type="containsText" dxfId="2023" priority="17510" stopIfTrue="1" operator="containsText" text="NO CUMPLE">
      <formula>NOT(ISERROR(SEARCH("NO CUMPLE",B60)))</formula>
    </cfRule>
  </conditionalFormatting>
  <conditionalFormatting sqref="B61">
    <cfRule type="cellIs" dxfId="2022" priority="17507" stopIfTrue="1" operator="equal">
      <formula>"cumple"</formula>
    </cfRule>
    <cfRule type="containsText" dxfId="2021" priority="17508" stopIfTrue="1" operator="containsText" text="NO CUMPLE">
      <formula>NOT(ISERROR(SEARCH("NO CUMPLE",B61)))</formula>
    </cfRule>
  </conditionalFormatting>
  <conditionalFormatting sqref="B63">
    <cfRule type="cellIs" dxfId="2020" priority="17505" stopIfTrue="1" operator="equal">
      <formula>"cumple"</formula>
    </cfRule>
    <cfRule type="containsText" dxfId="2019" priority="17506" stopIfTrue="1" operator="containsText" text="NO CUMPLE">
      <formula>NOT(ISERROR(SEARCH("NO CUMPLE",B63)))</formula>
    </cfRule>
  </conditionalFormatting>
  <conditionalFormatting sqref="B64">
    <cfRule type="cellIs" dxfId="2018" priority="17503" stopIfTrue="1" operator="equal">
      <formula>"cumple"</formula>
    </cfRule>
    <cfRule type="containsText" dxfId="2017" priority="17504" stopIfTrue="1" operator="containsText" text="NO CUMPLE">
      <formula>NOT(ISERROR(SEARCH("NO CUMPLE",B64)))</formula>
    </cfRule>
  </conditionalFormatting>
  <conditionalFormatting sqref="F61">
    <cfRule type="cellIs" dxfId="2016" priority="17501" stopIfTrue="1" operator="equal">
      <formula>"cumple"</formula>
    </cfRule>
    <cfRule type="containsText" dxfId="2015" priority="17502" stopIfTrue="1" operator="containsText" text="NO CUMPLE">
      <formula>NOT(ISERROR(SEARCH("NO CUMPLE",F61)))</formula>
    </cfRule>
  </conditionalFormatting>
  <conditionalFormatting sqref="E64:F64">
    <cfRule type="cellIs" dxfId="2014" priority="17499" stopIfTrue="1" operator="equal">
      <formula>"cumple"</formula>
    </cfRule>
    <cfRule type="containsText" dxfId="2013" priority="17500" stopIfTrue="1" operator="containsText" text="NO CUMPLE">
      <formula>NOT(ISERROR(SEARCH("NO CUMPLE",E64)))</formula>
    </cfRule>
  </conditionalFormatting>
  <conditionalFormatting sqref="G64">
    <cfRule type="cellIs" dxfId="2012" priority="17497" stopIfTrue="1" operator="equal">
      <formula>"cumple"</formula>
    </cfRule>
    <cfRule type="containsText" dxfId="2011" priority="17498" stopIfTrue="1" operator="containsText" text="NO CUMPLE">
      <formula>NOT(ISERROR(SEARCH("NO CUMPLE",G64)))</formula>
    </cfRule>
  </conditionalFormatting>
  <conditionalFormatting sqref="G65">
    <cfRule type="cellIs" dxfId="2010" priority="17495" stopIfTrue="1" operator="equal">
      <formula>"cumple"</formula>
    </cfRule>
    <cfRule type="containsText" dxfId="2009" priority="17496" stopIfTrue="1" operator="containsText" text="NO CUMPLE">
      <formula>NOT(ISERROR(SEARCH("NO CUMPLE",G65)))</formula>
    </cfRule>
  </conditionalFormatting>
  <conditionalFormatting sqref="H59">
    <cfRule type="cellIs" dxfId="2008" priority="17493" stopIfTrue="1" operator="equal">
      <formula>"cumple"</formula>
    </cfRule>
    <cfRule type="containsText" dxfId="2007" priority="17494" stopIfTrue="1" operator="containsText" text="NO CUMPLE">
      <formula>NOT(ISERROR(SEARCH("NO CUMPLE",H59)))</formula>
    </cfRule>
  </conditionalFormatting>
  <conditionalFormatting sqref="M60">
    <cfRule type="cellIs" dxfId="2006" priority="17491" stopIfTrue="1" operator="equal">
      <formula>"cumple"</formula>
    </cfRule>
    <cfRule type="containsText" dxfId="2005" priority="17492" stopIfTrue="1" operator="containsText" text="NO CUMPLE">
      <formula>NOT(ISERROR(SEARCH("NO CUMPLE",M60)))</formula>
    </cfRule>
  </conditionalFormatting>
  <conditionalFormatting sqref="J61:J62">
    <cfRule type="cellIs" dxfId="2004" priority="17489" stopIfTrue="1" operator="equal">
      <formula>"cumple"</formula>
    </cfRule>
    <cfRule type="containsText" dxfId="2003" priority="17490" stopIfTrue="1" operator="containsText" text="NO CUMPLE">
      <formula>NOT(ISERROR(SEARCH("NO CUMPLE",J61)))</formula>
    </cfRule>
  </conditionalFormatting>
  <conditionalFormatting sqref="K61:K62">
    <cfRule type="cellIs" dxfId="2002" priority="17487" stopIfTrue="1" operator="equal">
      <formula>"cumple"</formula>
    </cfRule>
    <cfRule type="containsText" dxfId="2001" priority="17488" stopIfTrue="1" operator="containsText" text="NO CUMPLE">
      <formula>NOT(ISERROR(SEARCH("NO CUMPLE",K61)))</formula>
    </cfRule>
  </conditionalFormatting>
  <conditionalFormatting sqref="L61:L62">
    <cfRule type="cellIs" dxfId="2000" priority="17485" stopIfTrue="1" operator="equal">
      <formula>"cumple"</formula>
    </cfRule>
    <cfRule type="containsText" dxfId="1999" priority="17486" stopIfTrue="1" operator="containsText" text="NO CUMPLE">
      <formula>NOT(ISERROR(SEARCH("NO CUMPLE",L61)))</formula>
    </cfRule>
  </conditionalFormatting>
  <conditionalFormatting sqref="L63:L68">
    <cfRule type="cellIs" dxfId="1998" priority="17483" stopIfTrue="1" operator="equal">
      <formula>"cumple"</formula>
    </cfRule>
    <cfRule type="containsText" dxfId="1997" priority="17484" stopIfTrue="1" operator="containsText" text="NO CUMPLE">
      <formula>NOT(ISERROR(SEARCH("NO CUMPLE",L63)))</formula>
    </cfRule>
  </conditionalFormatting>
  <conditionalFormatting sqref="M63">
    <cfRule type="cellIs" dxfId="1996" priority="17481" stopIfTrue="1" operator="equal">
      <formula>"cumple"</formula>
    </cfRule>
    <cfRule type="containsText" dxfId="1995" priority="17482" stopIfTrue="1" operator="containsText" text="NO CUMPLE">
      <formula>NOT(ISERROR(SEARCH("NO CUMPLE",M63)))</formula>
    </cfRule>
  </conditionalFormatting>
  <conditionalFormatting sqref="M64:M68">
    <cfRule type="cellIs" dxfId="1994" priority="17479" stopIfTrue="1" operator="equal">
      <formula>"cumple"</formula>
    </cfRule>
    <cfRule type="containsText" dxfId="1993" priority="17480" stopIfTrue="1" operator="containsText" text="NO CUMPLE">
      <formula>NOT(ISERROR(SEARCH("NO CUMPLE",M64)))</formula>
    </cfRule>
  </conditionalFormatting>
  <conditionalFormatting sqref="M69">
    <cfRule type="cellIs" dxfId="1992" priority="17477" stopIfTrue="1" operator="equal">
      <formula>"cumple"</formula>
    </cfRule>
    <cfRule type="containsText" dxfId="1991" priority="17478" stopIfTrue="1" operator="containsText" text="NO CUMPLE">
      <formula>NOT(ISERROR(SEARCH("NO CUMPLE",M69)))</formula>
    </cfRule>
  </conditionalFormatting>
  <conditionalFormatting sqref="H69">
    <cfRule type="cellIs" dxfId="1990" priority="17475" stopIfTrue="1" operator="equal">
      <formula>"cumple"</formula>
    </cfRule>
    <cfRule type="containsText" dxfId="1989" priority="17476" stopIfTrue="1" operator="containsText" text="NO CUMPLE">
      <formula>NOT(ISERROR(SEARCH("NO CUMPLE",H69)))</formula>
    </cfRule>
  </conditionalFormatting>
  <conditionalFormatting sqref="V47:V48">
    <cfRule type="cellIs" dxfId="1988" priority="17474" stopIfTrue="1" operator="greaterThan">
      <formula>0</formula>
    </cfRule>
  </conditionalFormatting>
  <conditionalFormatting sqref="V49:V51">
    <cfRule type="cellIs" dxfId="1987" priority="17473" stopIfTrue="1" operator="greaterThan">
      <formula>0</formula>
    </cfRule>
  </conditionalFormatting>
  <conditionalFormatting sqref="V52">
    <cfRule type="cellIs" dxfId="1986" priority="17472" stopIfTrue="1" operator="greaterThan">
      <formula>0</formula>
    </cfRule>
  </conditionalFormatting>
  <conditionalFormatting sqref="V53">
    <cfRule type="cellIs" dxfId="1985" priority="17471" stopIfTrue="1" operator="greaterThan">
      <formula>0</formula>
    </cfRule>
  </conditionalFormatting>
  <conditionalFormatting sqref="V54">
    <cfRule type="cellIs" dxfId="1984" priority="17470" stopIfTrue="1" operator="greaterThan">
      <formula>0</formula>
    </cfRule>
  </conditionalFormatting>
  <conditionalFormatting sqref="O60">
    <cfRule type="cellIs" dxfId="1983" priority="17468" stopIfTrue="1" operator="equal">
      <formula>"cumple"</formula>
    </cfRule>
    <cfRule type="containsText" dxfId="1982" priority="17469" stopIfTrue="1" operator="containsText" text="NO CUMPLE">
      <formula>NOT(ISERROR(SEARCH("NO CUMPLE",O60)))</formula>
    </cfRule>
  </conditionalFormatting>
  <conditionalFormatting sqref="X47:X54">
    <cfRule type="cellIs" dxfId="1981" priority="17466" stopIfTrue="1" operator="equal">
      <formula>"NO"</formula>
    </cfRule>
    <cfRule type="cellIs" dxfId="1980" priority="17467" stopIfTrue="1" operator="equal">
      <formula>"SI"</formula>
    </cfRule>
  </conditionalFormatting>
  <conditionalFormatting sqref="B66">
    <cfRule type="cellIs" dxfId="1979" priority="17464" stopIfTrue="1" operator="equal">
      <formula>"cumple"</formula>
    </cfRule>
    <cfRule type="containsText" dxfId="1978" priority="17465" stopIfTrue="1" operator="containsText" text="NO CUMPLE">
      <formula>NOT(ISERROR(SEARCH("NO CUMPLE",B66)))</formula>
    </cfRule>
  </conditionalFormatting>
  <conditionalFormatting sqref="B67">
    <cfRule type="cellIs" dxfId="1977" priority="17462" stopIfTrue="1" operator="equal">
      <formula>"cumple"</formula>
    </cfRule>
    <cfRule type="containsText" dxfId="1976" priority="17463" stopIfTrue="1" operator="containsText" text="NO CUMPLE">
      <formula>NOT(ISERROR(SEARCH("NO CUMPLE",B67)))</formula>
    </cfRule>
  </conditionalFormatting>
  <conditionalFormatting sqref="G67">
    <cfRule type="cellIs" dxfId="1975" priority="17460" stopIfTrue="1" operator="equal">
      <formula>"cumple"</formula>
    </cfRule>
    <cfRule type="containsText" dxfId="1974" priority="17461" stopIfTrue="1" operator="containsText" text="NO CUMPLE">
      <formula>NOT(ISERROR(SEARCH("NO CUMPLE",G67)))</formula>
    </cfRule>
  </conditionalFormatting>
  <conditionalFormatting sqref="G68">
    <cfRule type="cellIs" dxfId="1973" priority="17458" stopIfTrue="1" operator="equal">
      <formula>"cumple"</formula>
    </cfRule>
    <cfRule type="containsText" dxfId="1972" priority="17459" stopIfTrue="1" operator="containsText" text="NO CUMPLE">
      <formula>NOT(ISERROR(SEARCH("NO CUMPLE",G68)))</formula>
    </cfRule>
  </conditionalFormatting>
  <conditionalFormatting sqref="X63">
    <cfRule type="cellIs" dxfId="1971" priority="17457" operator="equal">
      <formula>"VERIFICAR CUADRO"</formula>
    </cfRule>
  </conditionalFormatting>
  <conditionalFormatting sqref="AC63">
    <cfRule type="cellIs" dxfId="1970" priority="17455" stopIfTrue="1" operator="equal">
      <formula>"cumple"</formula>
    </cfRule>
    <cfRule type="containsText" dxfId="1969" priority="17456" stopIfTrue="1" operator="containsText" text="NO CUMPLE">
      <formula>NOT(ISERROR(SEARCH("NO CUMPLE",AC63)))</formula>
    </cfRule>
  </conditionalFormatting>
  <conditionalFormatting sqref="AC64:AC68">
    <cfRule type="cellIs" dxfId="1968" priority="17453" stopIfTrue="1" operator="equal">
      <formula>"cumple"</formula>
    </cfRule>
    <cfRule type="containsText" dxfId="1967" priority="17454" stopIfTrue="1" operator="containsText" text="NO CUMPLE">
      <formula>NOT(ISERROR(SEARCH("NO CUMPLE",AC64)))</formula>
    </cfRule>
  </conditionalFormatting>
  <conditionalFormatting sqref="X69">
    <cfRule type="cellIs" dxfId="1966" priority="17451" stopIfTrue="1" operator="equal">
      <formula>"cumple"</formula>
    </cfRule>
    <cfRule type="containsText" dxfId="1965" priority="17452" stopIfTrue="1" operator="containsText" text="NO CUMPLE">
      <formula>NOT(ISERROR(SEARCH("NO CUMPLE",X69)))</formula>
    </cfRule>
  </conditionalFormatting>
  <conditionalFormatting sqref="AC47:AC54">
    <cfRule type="cellIs" dxfId="1964" priority="17448" operator="equal">
      <formula>"NO ACREDITA"</formula>
    </cfRule>
    <cfRule type="cellIs" dxfId="1963" priority="17449" stopIfTrue="1" operator="equal">
      <formula>"NO"</formula>
    </cfRule>
    <cfRule type="cellIs" dxfId="1962" priority="17450" stopIfTrue="1" operator="equal">
      <formula>"SI"</formula>
    </cfRule>
  </conditionalFormatting>
  <conditionalFormatting sqref="E61:E62">
    <cfRule type="cellIs" dxfId="1961" priority="17446" operator="greaterThan">
      <formula>0</formula>
    </cfRule>
    <cfRule type="cellIs" dxfId="1960" priority="17447" operator="equal">
      <formula>0</formula>
    </cfRule>
  </conditionalFormatting>
  <conditionalFormatting sqref="G61">
    <cfRule type="cellIs" dxfId="1959" priority="17445" stopIfTrue="1" operator="notBetween">
      <formula>"N/A"</formula>
      <formula>"REVISAR"</formula>
    </cfRule>
  </conditionalFormatting>
  <conditionalFormatting sqref="G61:G62">
    <cfRule type="cellIs" dxfId="1958" priority="17444" operator="equal">
      <formula>"REVISAR"</formula>
    </cfRule>
  </conditionalFormatting>
  <conditionalFormatting sqref="E65">
    <cfRule type="cellIs" dxfId="1957" priority="17443" operator="equal">
      <formula>"NO APLICA"</formula>
    </cfRule>
  </conditionalFormatting>
  <conditionalFormatting sqref="N60">
    <cfRule type="cellIs" dxfId="1956" priority="17441" stopIfTrue="1" operator="equal">
      <formula>"cumple"</formula>
    </cfRule>
    <cfRule type="containsText" dxfId="1955" priority="17442" stopIfTrue="1" operator="containsText" text="NO CUMPLE">
      <formula>NOT(ISERROR(SEARCH("NO CUMPLE",N60)))</formula>
    </cfRule>
  </conditionalFormatting>
  <conditionalFormatting sqref="N63:N68">
    <cfRule type="cellIs" dxfId="1954" priority="17439" stopIfTrue="1" operator="equal">
      <formula>"cumple"</formula>
    </cfRule>
    <cfRule type="containsText" dxfId="1953" priority="17440" stopIfTrue="1" operator="containsText" text="NO CUMPLE">
      <formula>NOT(ISERROR(SEARCH("NO CUMPLE",N63)))</formula>
    </cfRule>
  </conditionalFormatting>
  <conditionalFormatting sqref="N69">
    <cfRule type="cellIs" dxfId="1952" priority="17437" stopIfTrue="1" operator="equal">
      <formula>"cumple"</formula>
    </cfRule>
    <cfRule type="containsText" dxfId="1951" priority="17438" stopIfTrue="1" operator="containsText" text="NO CUMPLE">
      <formula>NOT(ISERROR(SEARCH("NO CUMPLE",N69)))</formula>
    </cfRule>
  </conditionalFormatting>
  <conditionalFormatting sqref="M76:N81 P76:R81">
    <cfRule type="cellIs" dxfId="1950" priority="17435" stopIfTrue="1" operator="lessThan">
      <formula>0</formula>
    </cfRule>
  </conditionalFormatting>
  <conditionalFormatting sqref="U77 P76:R81 T77:T81 B76:N81 T76:U76">
    <cfRule type="cellIs" dxfId="1949" priority="17434" stopIfTrue="1" operator="greaterThan">
      <formula>0</formula>
    </cfRule>
  </conditionalFormatting>
  <conditionalFormatting sqref="R77:R81">
    <cfRule type="cellIs" dxfId="1948" priority="17433" stopIfTrue="1" operator="lessThan">
      <formula>0</formula>
    </cfRule>
  </conditionalFormatting>
  <conditionalFormatting sqref="O76:O81">
    <cfRule type="cellIs" dxfId="1947" priority="17432" stopIfTrue="1" operator="greaterThan">
      <formula>0</formula>
    </cfRule>
  </conditionalFormatting>
  <conditionalFormatting sqref="U78">
    <cfRule type="cellIs" dxfId="1946" priority="17431" stopIfTrue="1" operator="greaterThan">
      <formula>0</formula>
    </cfRule>
  </conditionalFormatting>
  <conditionalFormatting sqref="U79">
    <cfRule type="cellIs" dxfId="1945" priority="17430" stopIfTrue="1" operator="greaterThan">
      <formula>0</formula>
    </cfRule>
  </conditionalFormatting>
  <conditionalFormatting sqref="U80">
    <cfRule type="cellIs" dxfId="1944" priority="17429" stopIfTrue="1" operator="greaterThan">
      <formula>0</formula>
    </cfRule>
  </conditionalFormatting>
  <conditionalFormatting sqref="U81">
    <cfRule type="cellIs" dxfId="1943" priority="17428" stopIfTrue="1" operator="greaterThan">
      <formula>0</formula>
    </cfRule>
  </conditionalFormatting>
  <conditionalFormatting sqref="S77:S81">
    <cfRule type="cellIs" dxfId="1942" priority="17427" stopIfTrue="1" operator="lessThan">
      <formula>0</formula>
    </cfRule>
  </conditionalFormatting>
  <conditionalFormatting sqref="S76:S81">
    <cfRule type="cellIs" dxfId="1941" priority="17426" stopIfTrue="1" operator="greaterThan">
      <formula>0</formula>
    </cfRule>
  </conditionalFormatting>
  <conditionalFormatting sqref="S76:S81">
    <cfRule type="cellIs" dxfId="1940" priority="17425" stopIfTrue="1" operator="lessThan">
      <formula>0</formula>
    </cfRule>
  </conditionalFormatting>
  <conditionalFormatting sqref="B86">
    <cfRule type="cellIs" dxfId="1939" priority="17423" stopIfTrue="1" operator="equal">
      <formula>"cumple"</formula>
    </cfRule>
    <cfRule type="containsText" dxfId="1938" priority="17424" stopIfTrue="1" operator="containsText" text="NO CUMPLE">
      <formula>NOT(ISERROR(SEARCH("NO CUMPLE",B86)))</formula>
    </cfRule>
  </conditionalFormatting>
  <conditionalFormatting sqref="B87">
    <cfRule type="cellIs" dxfId="1937" priority="17421" stopIfTrue="1" operator="equal">
      <formula>"cumple"</formula>
    </cfRule>
    <cfRule type="containsText" dxfId="1936" priority="17422" stopIfTrue="1" operator="containsText" text="NO CUMPLE">
      <formula>NOT(ISERROR(SEARCH("NO CUMPLE",B87)))</formula>
    </cfRule>
  </conditionalFormatting>
  <conditionalFormatting sqref="B88">
    <cfRule type="cellIs" dxfId="1935" priority="17419" stopIfTrue="1" operator="equal">
      <formula>"cumple"</formula>
    </cfRule>
    <cfRule type="containsText" dxfId="1934" priority="17420" stopIfTrue="1" operator="containsText" text="NO CUMPLE">
      <formula>NOT(ISERROR(SEARCH("NO CUMPLE",B88)))</formula>
    </cfRule>
  </conditionalFormatting>
  <conditionalFormatting sqref="B90">
    <cfRule type="cellIs" dxfId="1933" priority="17417" stopIfTrue="1" operator="equal">
      <formula>"cumple"</formula>
    </cfRule>
    <cfRule type="containsText" dxfId="1932" priority="17418" stopIfTrue="1" operator="containsText" text="NO CUMPLE">
      <formula>NOT(ISERROR(SEARCH("NO CUMPLE",B90)))</formula>
    </cfRule>
  </conditionalFormatting>
  <conditionalFormatting sqref="B91">
    <cfRule type="cellIs" dxfId="1931" priority="17415" stopIfTrue="1" operator="equal">
      <formula>"cumple"</formula>
    </cfRule>
    <cfRule type="containsText" dxfId="1930" priority="17416" stopIfTrue="1" operator="containsText" text="NO CUMPLE">
      <formula>NOT(ISERROR(SEARCH("NO CUMPLE",B91)))</formula>
    </cfRule>
  </conditionalFormatting>
  <conditionalFormatting sqref="F88">
    <cfRule type="cellIs" dxfId="1929" priority="17413" stopIfTrue="1" operator="equal">
      <formula>"cumple"</formula>
    </cfRule>
    <cfRule type="containsText" dxfId="1928" priority="17414" stopIfTrue="1" operator="containsText" text="NO CUMPLE">
      <formula>NOT(ISERROR(SEARCH("NO CUMPLE",F88)))</formula>
    </cfRule>
  </conditionalFormatting>
  <conditionalFormatting sqref="E91:F91">
    <cfRule type="cellIs" dxfId="1927" priority="17411" stopIfTrue="1" operator="equal">
      <formula>"cumple"</formula>
    </cfRule>
    <cfRule type="containsText" dxfId="1926" priority="17412" stopIfTrue="1" operator="containsText" text="NO CUMPLE">
      <formula>NOT(ISERROR(SEARCH("NO CUMPLE",E91)))</formula>
    </cfRule>
  </conditionalFormatting>
  <conditionalFormatting sqref="G91">
    <cfRule type="cellIs" dxfId="1925" priority="17409" stopIfTrue="1" operator="equal">
      <formula>"cumple"</formula>
    </cfRule>
    <cfRule type="containsText" dxfId="1924" priority="17410" stopIfTrue="1" operator="containsText" text="NO CUMPLE">
      <formula>NOT(ISERROR(SEARCH("NO CUMPLE",G91)))</formula>
    </cfRule>
  </conditionalFormatting>
  <conditionalFormatting sqref="G92">
    <cfRule type="cellIs" dxfId="1923" priority="17407" stopIfTrue="1" operator="equal">
      <formula>"cumple"</formula>
    </cfRule>
    <cfRule type="containsText" dxfId="1922" priority="17408" stopIfTrue="1" operator="containsText" text="NO CUMPLE">
      <formula>NOT(ISERROR(SEARCH("NO CUMPLE",G92)))</formula>
    </cfRule>
  </conditionalFormatting>
  <conditionalFormatting sqref="H86">
    <cfRule type="cellIs" dxfId="1921" priority="17405" stopIfTrue="1" operator="equal">
      <formula>"cumple"</formula>
    </cfRule>
    <cfRule type="containsText" dxfId="1920" priority="17406" stopIfTrue="1" operator="containsText" text="NO CUMPLE">
      <formula>NOT(ISERROR(SEARCH("NO CUMPLE",H86)))</formula>
    </cfRule>
  </conditionalFormatting>
  <conditionalFormatting sqref="M87">
    <cfRule type="cellIs" dxfId="1919" priority="17403" stopIfTrue="1" operator="equal">
      <formula>"cumple"</formula>
    </cfRule>
    <cfRule type="containsText" dxfId="1918" priority="17404" stopIfTrue="1" operator="containsText" text="NO CUMPLE">
      <formula>NOT(ISERROR(SEARCH("NO CUMPLE",M87)))</formula>
    </cfRule>
  </conditionalFormatting>
  <conditionalFormatting sqref="J88:J89">
    <cfRule type="cellIs" dxfId="1917" priority="17401" stopIfTrue="1" operator="equal">
      <formula>"cumple"</formula>
    </cfRule>
    <cfRule type="containsText" dxfId="1916" priority="17402" stopIfTrue="1" operator="containsText" text="NO CUMPLE">
      <formula>NOT(ISERROR(SEARCH("NO CUMPLE",J88)))</formula>
    </cfRule>
  </conditionalFormatting>
  <conditionalFormatting sqref="K88:K89">
    <cfRule type="cellIs" dxfId="1915" priority="17399" stopIfTrue="1" operator="equal">
      <formula>"cumple"</formula>
    </cfRule>
    <cfRule type="containsText" dxfId="1914" priority="17400" stopIfTrue="1" operator="containsText" text="NO CUMPLE">
      <formula>NOT(ISERROR(SEARCH("NO CUMPLE",K88)))</formula>
    </cfRule>
  </conditionalFormatting>
  <conditionalFormatting sqref="L88:L89">
    <cfRule type="cellIs" dxfId="1913" priority="17397" stopIfTrue="1" operator="equal">
      <formula>"cumple"</formula>
    </cfRule>
    <cfRule type="containsText" dxfId="1912" priority="17398" stopIfTrue="1" operator="containsText" text="NO CUMPLE">
      <formula>NOT(ISERROR(SEARCH("NO CUMPLE",L88)))</formula>
    </cfRule>
  </conditionalFormatting>
  <conditionalFormatting sqref="L90:L95">
    <cfRule type="cellIs" dxfId="1911" priority="17395" stopIfTrue="1" operator="equal">
      <formula>"cumple"</formula>
    </cfRule>
    <cfRule type="containsText" dxfId="1910" priority="17396" stopIfTrue="1" operator="containsText" text="NO CUMPLE">
      <formula>NOT(ISERROR(SEARCH("NO CUMPLE",L90)))</formula>
    </cfRule>
  </conditionalFormatting>
  <conditionalFormatting sqref="M90">
    <cfRule type="cellIs" dxfId="1909" priority="17393" stopIfTrue="1" operator="equal">
      <formula>"cumple"</formula>
    </cfRule>
    <cfRule type="containsText" dxfId="1908" priority="17394" stopIfTrue="1" operator="containsText" text="NO CUMPLE">
      <formula>NOT(ISERROR(SEARCH("NO CUMPLE",M90)))</formula>
    </cfRule>
  </conditionalFormatting>
  <conditionalFormatting sqref="M91:M95">
    <cfRule type="cellIs" dxfId="1907" priority="17391" stopIfTrue="1" operator="equal">
      <formula>"cumple"</formula>
    </cfRule>
    <cfRule type="containsText" dxfId="1906" priority="17392" stopIfTrue="1" operator="containsText" text="NO CUMPLE">
      <formula>NOT(ISERROR(SEARCH("NO CUMPLE",M91)))</formula>
    </cfRule>
  </conditionalFormatting>
  <conditionalFormatting sqref="M96">
    <cfRule type="cellIs" dxfId="1905" priority="17389" stopIfTrue="1" operator="equal">
      <formula>"cumple"</formula>
    </cfRule>
    <cfRule type="containsText" dxfId="1904" priority="17390" stopIfTrue="1" operator="containsText" text="NO CUMPLE">
      <formula>NOT(ISERROR(SEARCH("NO CUMPLE",M96)))</formula>
    </cfRule>
  </conditionalFormatting>
  <conditionalFormatting sqref="H96">
    <cfRule type="cellIs" dxfId="1903" priority="17387" stopIfTrue="1" operator="equal">
      <formula>"cumple"</formula>
    </cfRule>
    <cfRule type="containsText" dxfId="1902" priority="17388" stopIfTrue="1" operator="containsText" text="NO CUMPLE">
      <formula>NOT(ISERROR(SEARCH("NO CUMPLE",H96)))</formula>
    </cfRule>
  </conditionalFormatting>
  <conditionalFormatting sqref="V76:V77">
    <cfRule type="cellIs" dxfId="1901" priority="17386" stopIfTrue="1" operator="greaterThan">
      <formula>0</formula>
    </cfRule>
  </conditionalFormatting>
  <conditionalFormatting sqref="V78">
    <cfRule type="cellIs" dxfId="1900" priority="17385" stopIfTrue="1" operator="greaterThan">
      <formula>0</formula>
    </cfRule>
  </conditionalFormatting>
  <conditionalFormatting sqref="V79">
    <cfRule type="cellIs" dxfId="1899" priority="17384" stopIfTrue="1" operator="greaterThan">
      <formula>0</formula>
    </cfRule>
  </conditionalFormatting>
  <conditionalFormatting sqref="V80">
    <cfRule type="cellIs" dxfId="1898" priority="17383" stopIfTrue="1" operator="greaterThan">
      <formula>0</formula>
    </cfRule>
  </conditionalFormatting>
  <conditionalFormatting sqref="V81">
    <cfRule type="cellIs" dxfId="1897" priority="17382" stopIfTrue="1" operator="greaterThan">
      <formula>0</formula>
    </cfRule>
  </conditionalFormatting>
  <conditionalFormatting sqref="O87">
    <cfRule type="cellIs" dxfId="1896" priority="17380" stopIfTrue="1" operator="equal">
      <formula>"cumple"</formula>
    </cfRule>
    <cfRule type="containsText" dxfId="1895" priority="17381" stopIfTrue="1" operator="containsText" text="NO CUMPLE">
      <formula>NOT(ISERROR(SEARCH("NO CUMPLE",O87)))</formula>
    </cfRule>
  </conditionalFormatting>
  <conditionalFormatting sqref="X76:X81">
    <cfRule type="cellIs" dxfId="1894" priority="17378" stopIfTrue="1" operator="equal">
      <formula>"NO"</formula>
    </cfRule>
    <cfRule type="cellIs" dxfId="1893" priority="17379" stopIfTrue="1" operator="equal">
      <formula>"SI"</formula>
    </cfRule>
  </conditionalFormatting>
  <conditionalFormatting sqref="B93">
    <cfRule type="cellIs" dxfId="1892" priority="17376" stopIfTrue="1" operator="equal">
      <formula>"cumple"</formula>
    </cfRule>
    <cfRule type="containsText" dxfId="1891" priority="17377" stopIfTrue="1" operator="containsText" text="NO CUMPLE">
      <formula>NOT(ISERROR(SEARCH("NO CUMPLE",B93)))</formula>
    </cfRule>
  </conditionalFormatting>
  <conditionalFormatting sqref="B94">
    <cfRule type="cellIs" dxfId="1890" priority="17374" stopIfTrue="1" operator="equal">
      <formula>"cumple"</formula>
    </cfRule>
    <cfRule type="containsText" dxfId="1889" priority="17375" stopIfTrue="1" operator="containsText" text="NO CUMPLE">
      <formula>NOT(ISERROR(SEARCH("NO CUMPLE",B94)))</formula>
    </cfRule>
  </conditionalFormatting>
  <conditionalFormatting sqref="G94">
    <cfRule type="cellIs" dxfId="1888" priority="17372" stopIfTrue="1" operator="equal">
      <formula>"cumple"</formula>
    </cfRule>
    <cfRule type="containsText" dxfId="1887" priority="17373" stopIfTrue="1" operator="containsText" text="NO CUMPLE">
      <formula>NOT(ISERROR(SEARCH("NO CUMPLE",G94)))</formula>
    </cfRule>
  </conditionalFormatting>
  <conditionalFormatting sqref="G95">
    <cfRule type="cellIs" dxfId="1886" priority="17370" stopIfTrue="1" operator="equal">
      <formula>"cumple"</formula>
    </cfRule>
    <cfRule type="containsText" dxfId="1885" priority="17371" stopIfTrue="1" operator="containsText" text="NO CUMPLE">
      <formula>NOT(ISERROR(SEARCH("NO CUMPLE",G95)))</formula>
    </cfRule>
  </conditionalFormatting>
  <conditionalFormatting sqref="X90">
    <cfRule type="cellIs" dxfId="1884" priority="17369" operator="equal">
      <formula>"VERIFICAR CUADRO"</formula>
    </cfRule>
  </conditionalFormatting>
  <conditionalFormatting sqref="AC90">
    <cfRule type="cellIs" dxfId="1883" priority="17367" stopIfTrue="1" operator="equal">
      <formula>"cumple"</formula>
    </cfRule>
    <cfRule type="containsText" dxfId="1882" priority="17368" stopIfTrue="1" operator="containsText" text="NO CUMPLE">
      <formula>NOT(ISERROR(SEARCH("NO CUMPLE",AC90)))</formula>
    </cfRule>
  </conditionalFormatting>
  <conditionalFormatting sqref="AC91:AC95">
    <cfRule type="cellIs" dxfId="1881" priority="17365" stopIfTrue="1" operator="equal">
      <formula>"cumple"</formula>
    </cfRule>
    <cfRule type="containsText" dxfId="1880" priority="17366" stopIfTrue="1" operator="containsText" text="NO CUMPLE">
      <formula>NOT(ISERROR(SEARCH("NO CUMPLE",AC91)))</formula>
    </cfRule>
  </conditionalFormatting>
  <conditionalFormatting sqref="X96">
    <cfRule type="cellIs" dxfId="1879" priority="17363" stopIfTrue="1" operator="equal">
      <formula>"cumple"</formula>
    </cfRule>
    <cfRule type="containsText" dxfId="1878" priority="17364" stopIfTrue="1" operator="containsText" text="NO CUMPLE">
      <formula>NOT(ISERROR(SEARCH("NO CUMPLE",X96)))</formula>
    </cfRule>
  </conditionalFormatting>
  <conditionalFormatting sqref="AC76:AC81">
    <cfRule type="cellIs" dxfId="1877" priority="17360" operator="equal">
      <formula>"NO ACREDITA"</formula>
    </cfRule>
    <cfRule type="cellIs" dxfId="1876" priority="17361" stopIfTrue="1" operator="equal">
      <formula>"NO"</formula>
    </cfRule>
    <cfRule type="cellIs" dxfId="1875" priority="17362" stopIfTrue="1" operator="equal">
      <formula>"SI"</formula>
    </cfRule>
  </conditionalFormatting>
  <conditionalFormatting sqref="E88:E89">
    <cfRule type="cellIs" dxfId="1874" priority="17358" operator="greaterThan">
      <formula>0</formula>
    </cfRule>
    <cfRule type="cellIs" dxfId="1873" priority="17359" operator="equal">
      <formula>0</formula>
    </cfRule>
  </conditionalFormatting>
  <conditionalFormatting sqref="G88">
    <cfRule type="cellIs" dxfId="1872" priority="17357" stopIfTrue="1" operator="notBetween">
      <formula>"N/A"</formula>
      <formula>"REVISAR"</formula>
    </cfRule>
  </conditionalFormatting>
  <conditionalFormatting sqref="G88:G89">
    <cfRule type="cellIs" dxfId="1871" priority="17356" operator="equal">
      <formula>"REVISAR"</formula>
    </cfRule>
  </conditionalFormatting>
  <conditionalFormatting sqref="E92">
    <cfRule type="cellIs" dxfId="1870" priority="17355" operator="equal">
      <formula>"NO APLICA"</formula>
    </cfRule>
  </conditionalFormatting>
  <conditionalFormatting sqref="N87">
    <cfRule type="cellIs" dxfId="1869" priority="17353" stopIfTrue="1" operator="equal">
      <formula>"cumple"</formula>
    </cfRule>
    <cfRule type="containsText" dxfId="1868" priority="17354" stopIfTrue="1" operator="containsText" text="NO CUMPLE">
      <formula>NOT(ISERROR(SEARCH("NO CUMPLE",N87)))</formula>
    </cfRule>
  </conditionalFormatting>
  <conditionalFormatting sqref="N90:N95">
    <cfRule type="cellIs" dxfId="1867" priority="17351" stopIfTrue="1" operator="equal">
      <formula>"cumple"</formula>
    </cfRule>
    <cfRule type="containsText" dxfId="1866" priority="17352" stopIfTrue="1" operator="containsText" text="NO CUMPLE">
      <formula>NOT(ISERROR(SEARCH("NO CUMPLE",N90)))</formula>
    </cfRule>
  </conditionalFormatting>
  <conditionalFormatting sqref="N96">
    <cfRule type="cellIs" dxfId="1865" priority="17349" stopIfTrue="1" operator="equal">
      <formula>"cumple"</formula>
    </cfRule>
    <cfRule type="containsText" dxfId="1864" priority="17350" stopIfTrue="1" operator="containsText" text="NO CUMPLE">
      <formula>NOT(ISERROR(SEARCH("NO CUMPLE",N96)))</formula>
    </cfRule>
  </conditionalFormatting>
  <conditionalFormatting sqref="M103:N108 P103:R108">
    <cfRule type="cellIs" dxfId="1863" priority="17347" stopIfTrue="1" operator="lessThan">
      <formula>0</formula>
    </cfRule>
  </conditionalFormatting>
  <conditionalFormatting sqref="U104 P103:R108 T104:T108 B103:N108 T103:U103">
    <cfRule type="cellIs" dxfId="1862" priority="17346" stopIfTrue="1" operator="greaterThan">
      <formula>0</formula>
    </cfRule>
  </conditionalFormatting>
  <conditionalFormatting sqref="R104:R108">
    <cfRule type="cellIs" dxfId="1861" priority="17345" stopIfTrue="1" operator="lessThan">
      <formula>0</formula>
    </cfRule>
  </conditionalFormatting>
  <conditionalFormatting sqref="O103:O108">
    <cfRule type="cellIs" dxfId="1860" priority="17344" stopIfTrue="1" operator="greaterThan">
      <formula>0</formula>
    </cfRule>
  </conditionalFormatting>
  <conditionalFormatting sqref="U105">
    <cfRule type="cellIs" dxfId="1859" priority="17343" stopIfTrue="1" operator="greaterThan">
      <formula>0</formula>
    </cfRule>
  </conditionalFormatting>
  <conditionalFormatting sqref="U106">
    <cfRule type="cellIs" dxfId="1858" priority="17342" stopIfTrue="1" operator="greaterThan">
      <formula>0</formula>
    </cfRule>
  </conditionalFormatting>
  <conditionalFormatting sqref="U107">
    <cfRule type="cellIs" dxfId="1857" priority="17341" stopIfTrue="1" operator="greaterThan">
      <formula>0</formula>
    </cfRule>
  </conditionalFormatting>
  <conditionalFormatting sqref="U108">
    <cfRule type="cellIs" dxfId="1856" priority="17340" stopIfTrue="1" operator="greaterThan">
      <formula>0</formula>
    </cfRule>
  </conditionalFormatting>
  <conditionalFormatting sqref="S104:S108">
    <cfRule type="cellIs" dxfId="1855" priority="17339" stopIfTrue="1" operator="lessThan">
      <formula>0</formula>
    </cfRule>
  </conditionalFormatting>
  <conditionalFormatting sqref="S103:S108">
    <cfRule type="cellIs" dxfId="1854" priority="17338" stopIfTrue="1" operator="greaterThan">
      <formula>0</formula>
    </cfRule>
  </conditionalFormatting>
  <conditionalFormatting sqref="S103:S108">
    <cfRule type="cellIs" dxfId="1853" priority="17337" stopIfTrue="1" operator="lessThan">
      <formula>0</formula>
    </cfRule>
  </conditionalFormatting>
  <conditionalFormatting sqref="B113">
    <cfRule type="cellIs" dxfId="1852" priority="17335" stopIfTrue="1" operator="equal">
      <formula>"cumple"</formula>
    </cfRule>
    <cfRule type="containsText" dxfId="1851" priority="17336" stopIfTrue="1" operator="containsText" text="NO CUMPLE">
      <formula>NOT(ISERROR(SEARCH("NO CUMPLE",B113)))</formula>
    </cfRule>
  </conditionalFormatting>
  <conditionalFormatting sqref="B114">
    <cfRule type="cellIs" dxfId="1850" priority="17333" stopIfTrue="1" operator="equal">
      <formula>"cumple"</formula>
    </cfRule>
    <cfRule type="containsText" dxfId="1849" priority="17334" stopIfTrue="1" operator="containsText" text="NO CUMPLE">
      <formula>NOT(ISERROR(SEARCH("NO CUMPLE",B114)))</formula>
    </cfRule>
  </conditionalFormatting>
  <conditionalFormatting sqref="B115">
    <cfRule type="cellIs" dxfId="1848" priority="17331" stopIfTrue="1" operator="equal">
      <formula>"cumple"</formula>
    </cfRule>
    <cfRule type="containsText" dxfId="1847" priority="17332" stopIfTrue="1" operator="containsText" text="NO CUMPLE">
      <formula>NOT(ISERROR(SEARCH("NO CUMPLE",B115)))</formula>
    </cfRule>
  </conditionalFormatting>
  <conditionalFormatting sqref="B117">
    <cfRule type="cellIs" dxfId="1846" priority="17329" stopIfTrue="1" operator="equal">
      <formula>"cumple"</formula>
    </cfRule>
    <cfRule type="containsText" dxfId="1845" priority="17330" stopIfTrue="1" operator="containsText" text="NO CUMPLE">
      <formula>NOT(ISERROR(SEARCH("NO CUMPLE",B117)))</formula>
    </cfRule>
  </conditionalFormatting>
  <conditionalFormatting sqref="B118">
    <cfRule type="cellIs" dxfId="1844" priority="17327" stopIfTrue="1" operator="equal">
      <formula>"cumple"</formula>
    </cfRule>
    <cfRule type="containsText" dxfId="1843" priority="17328" stopIfTrue="1" operator="containsText" text="NO CUMPLE">
      <formula>NOT(ISERROR(SEARCH("NO CUMPLE",B118)))</formula>
    </cfRule>
  </conditionalFormatting>
  <conditionalFormatting sqref="F115">
    <cfRule type="cellIs" dxfId="1842" priority="17325" stopIfTrue="1" operator="equal">
      <formula>"cumple"</formula>
    </cfRule>
    <cfRule type="containsText" dxfId="1841" priority="17326" stopIfTrue="1" operator="containsText" text="NO CUMPLE">
      <formula>NOT(ISERROR(SEARCH("NO CUMPLE",F115)))</formula>
    </cfRule>
  </conditionalFormatting>
  <conditionalFormatting sqref="E118:F118">
    <cfRule type="cellIs" dxfId="1840" priority="17323" stopIfTrue="1" operator="equal">
      <formula>"cumple"</formula>
    </cfRule>
    <cfRule type="containsText" dxfId="1839" priority="17324" stopIfTrue="1" operator="containsText" text="NO CUMPLE">
      <formula>NOT(ISERROR(SEARCH("NO CUMPLE",E118)))</formula>
    </cfRule>
  </conditionalFormatting>
  <conditionalFormatting sqref="G118">
    <cfRule type="cellIs" dxfId="1838" priority="17321" stopIfTrue="1" operator="equal">
      <formula>"cumple"</formula>
    </cfRule>
    <cfRule type="containsText" dxfId="1837" priority="17322" stopIfTrue="1" operator="containsText" text="NO CUMPLE">
      <formula>NOT(ISERROR(SEARCH("NO CUMPLE",G118)))</formula>
    </cfRule>
  </conditionalFormatting>
  <conditionalFormatting sqref="G119">
    <cfRule type="cellIs" dxfId="1836" priority="17319" stopIfTrue="1" operator="equal">
      <formula>"cumple"</formula>
    </cfRule>
    <cfRule type="containsText" dxfId="1835" priority="17320" stopIfTrue="1" operator="containsText" text="NO CUMPLE">
      <formula>NOT(ISERROR(SEARCH("NO CUMPLE",G119)))</formula>
    </cfRule>
  </conditionalFormatting>
  <conditionalFormatting sqref="H113">
    <cfRule type="cellIs" dxfId="1834" priority="17317" stopIfTrue="1" operator="equal">
      <formula>"cumple"</formula>
    </cfRule>
    <cfRule type="containsText" dxfId="1833" priority="17318" stopIfTrue="1" operator="containsText" text="NO CUMPLE">
      <formula>NOT(ISERROR(SEARCH("NO CUMPLE",H113)))</formula>
    </cfRule>
  </conditionalFormatting>
  <conditionalFormatting sqref="M114">
    <cfRule type="cellIs" dxfId="1832" priority="17315" stopIfTrue="1" operator="equal">
      <formula>"cumple"</formula>
    </cfRule>
    <cfRule type="containsText" dxfId="1831" priority="17316" stopIfTrue="1" operator="containsText" text="NO CUMPLE">
      <formula>NOT(ISERROR(SEARCH("NO CUMPLE",M114)))</formula>
    </cfRule>
  </conditionalFormatting>
  <conditionalFormatting sqref="J115:J116">
    <cfRule type="cellIs" dxfId="1830" priority="17313" stopIfTrue="1" operator="equal">
      <formula>"cumple"</formula>
    </cfRule>
    <cfRule type="containsText" dxfId="1829" priority="17314" stopIfTrue="1" operator="containsText" text="NO CUMPLE">
      <formula>NOT(ISERROR(SEARCH("NO CUMPLE",J115)))</formula>
    </cfRule>
  </conditionalFormatting>
  <conditionalFormatting sqref="K115:K116">
    <cfRule type="cellIs" dxfId="1828" priority="17311" stopIfTrue="1" operator="equal">
      <formula>"cumple"</formula>
    </cfRule>
    <cfRule type="containsText" dxfId="1827" priority="17312" stopIfTrue="1" operator="containsText" text="NO CUMPLE">
      <formula>NOT(ISERROR(SEARCH("NO CUMPLE",K115)))</formula>
    </cfRule>
  </conditionalFormatting>
  <conditionalFormatting sqref="L115:L116">
    <cfRule type="cellIs" dxfId="1826" priority="17309" stopIfTrue="1" operator="equal">
      <formula>"cumple"</formula>
    </cfRule>
    <cfRule type="containsText" dxfId="1825" priority="17310" stopIfTrue="1" operator="containsText" text="NO CUMPLE">
      <formula>NOT(ISERROR(SEARCH("NO CUMPLE",L115)))</formula>
    </cfRule>
  </conditionalFormatting>
  <conditionalFormatting sqref="L117:L122">
    <cfRule type="cellIs" dxfId="1824" priority="17307" stopIfTrue="1" operator="equal">
      <formula>"cumple"</formula>
    </cfRule>
    <cfRule type="containsText" dxfId="1823" priority="17308" stopIfTrue="1" operator="containsText" text="NO CUMPLE">
      <formula>NOT(ISERROR(SEARCH("NO CUMPLE",L117)))</formula>
    </cfRule>
  </conditionalFormatting>
  <conditionalFormatting sqref="M117">
    <cfRule type="cellIs" dxfId="1822" priority="17305" stopIfTrue="1" operator="equal">
      <formula>"cumple"</formula>
    </cfRule>
    <cfRule type="containsText" dxfId="1821" priority="17306" stopIfTrue="1" operator="containsText" text="NO CUMPLE">
      <formula>NOT(ISERROR(SEARCH("NO CUMPLE",M117)))</formula>
    </cfRule>
  </conditionalFormatting>
  <conditionalFormatting sqref="M118:M122">
    <cfRule type="cellIs" dxfId="1820" priority="17303" stopIfTrue="1" operator="equal">
      <formula>"cumple"</formula>
    </cfRule>
    <cfRule type="containsText" dxfId="1819" priority="17304" stopIfTrue="1" operator="containsText" text="NO CUMPLE">
      <formula>NOT(ISERROR(SEARCH("NO CUMPLE",M118)))</formula>
    </cfRule>
  </conditionalFormatting>
  <conditionalFormatting sqref="M123">
    <cfRule type="cellIs" dxfId="1818" priority="17301" stopIfTrue="1" operator="equal">
      <formula>"cumple"</formula>
    </cfRule>
    <cfRule type="containsText" dxfId="1817" priority="17302" stopIfTrue="1" operator="containsText" text="NO CUMPLE">
      <formula>NOT(ISERROR(SEARCH("NO CUMPLE",M123)))</formula>
    </cfRule>
  </conditionalFormatting>
  <conditionalFormatting sqref="H123">
    <cfRule type="cellIs" dxfId="1816" priority="17299" stopIfTrue="1" operator="equal">
      <formula>"cumple"</formula>
    </cfRule>
    <cfRule type="containsText" dxfId="1815" priority="17300" stopIfTrue="1" operator="containsText" text="NO CUMPLE">
      <formula>NOT(ISERROR(SEARCH("NO CUMPLE",H123)))</formula>
    </cfRule>
  </conditionalFormatting>
  <conditionalFormatting sqref="V103:V104">
    <cfRule type="cellIs" dxfId="1814" priority="17298" stopIfTrue="1" operator="greaterThan">
      <formula>0</formula>
    </cfRule>
  </conditionalFormatting>
  <conditionalFormatting sqref="V105">
    <cfRule type="cellIs" dxfId="1813" priority="17297" stopIfTrue="1" operator="greaterThan">
      <formula>0</formula>
    </cfRule>
  </conditionalFormatting>
  <conditionalFormatting sqref="V106">
    <cfRule type="cellIs" dxfId="1812" priority="17296" stopIfTrue="1" operator="greaterThan">
      <formula>0</formula>
    </cfRule>
  </conditionalFormatting>
  <conditionalFormatting sqref="V107">
    <cfRule type="cellIs" dxfId="1811" priority="17295" stopIfTrue="1" operator="greaterThan">
      <formula>0</formula>
    </cfRule>
  </conditionalFormatting>
  <conditionalFormatting sqref="V108">
    <cfRule type="cellIs" dxfId="1810" priority="17294" stopIfTrue="1" operator="greaterThan">
      <formula>0</formula>
    </cfRule>
  </conditionalFormatting>
  <conditionalFormatting sqref="O114">
    <cfRule type="cellIs" dxfId="1809" priority="17292" stopIfTrue="1" operator="equal">
      <formula>"cumple"</formula>
    </cfRule>
    <cfRule type="containsText" dxfId="1808" priority="17293" stopIfTrue="1" operator="containsText" text="NO CUMPLE">
      <formula>NOT(ISERROR(SEARCH("NO CUMPLE",O114)))</formula>
    </cfRule>
  </conditionalFormatting>
  <conditionalFormatting sqref="X103:X108">
    <cfRule type="cellIs" dxfId="1807" priority="17290" stopIfTrue="1" operator="equal">
      <formula>"NO"</formula>
    </cfRule>
    <cfRule type="cellIs" dxfId="1806" priority="17291" stopIfTrue="1" operator="equal">
      <formula>"SI"</formula>
    </cfRule>
  </conditionalFormatting>
  <conditionalFormatting sqref="B120">
    <cfRule type="cellIs" dxfId="1805" priority="17288" stopIfTrue="1" operator="equal">
      <formula>"cumple"</formula>
    </cfRule>
    <cfRule type="containsText" dxfId="1804" priority="17289" stopIfTrue="1" operator="containsText" text="NO CUMPLE">
      <formula>NOT(ISERROR(SEARCH("NO CUMPLE",B120)))</formula>
    </cfRule>
  </conditionalFormatting>
  <conditionalFormatting sqref="B121">
    <cfRule type="cellIs" dxfId="1803" priority="17286" stopIfTrue="1" operator="equal">
      <formula>"cumple"</formula>
    </cfRule>
    <cfRule type="containsText" dxfId="1802" priority="17287" stopIfTrue="1" operator="containsText" text="NO CUMPLE">
      <formula>NOT(ISERROR(SEARCH("NO CUMPLE",B121)))</formula>
    </cfRule>
  </conditionalFormatting>
  <conditionalFormatting sqref="G121">
    <cfRule type="cellIs" dxfId="1801" priority="17284" stopIfTrue="1" operator="equal">
      <formula>"cumple"</formula>
    </cfRule>
    <cfRule type="containsText" dxfId="1800" priority="17285" stopIfTrue="1" operator="containsText" text="NO CUMPLE">
      <formula>NOT(ISERROR(SEARCH("NO CUMPLE",G121)))</formula>
    </cfRule>
  </conditionalFormatting>
  <conditionalFormatting sqref="G122">
    <cfRule type="cellIs" dxfId="1799" priority="17282" stopIfTrue="1" operator="equal">
      <formula>"cumple"</formula>
    </cfRule>
    <cfRule type="containsText" dxfId="1798" priority="17283" stopIfTrue="1" operator="containsText" text="NO CUMPLE">
      <formula>NOT(ISERROR(SEARCH("NO CUMPLE",G122)))</formula>
    </cfRule>
  </conditionalFormatting>
  <conditionalFormatting sqref="X117">
    <cfRule type="cellIs" dxfId="1797" priority="17281" operator="equal">
      <formula>"VERIFICAR CUADRO"</formula>
    </cfRule>
  </conditionalFormatting>
  <conditionalFormatting sqref="AC117">
    <cfRule type="cellIs" dxfId="1796" priority="17279" stopIfTrue="1" operator="equal">
      <formula>"cumple"</formula>
    </cfRule>
    <cfRule type="containsText" dxfId="1795" priority="17280" stopIfTrue="1" operator="containsText" text="NO CUMPLE">
      <formula>NOT(ISERROR(SEARCH("NO CUMPLE",AC117)))</formula>
    </cfRule>
  </conditionalFormatting>
  <conditionalFormatting sqref="AC118:AC122">
    <cfRule type="cellIs" dxfId="1794" priority="17277" stopIfTrue="1" operator="equal">
      <formula>"cumple"</formula>
    </cfRule>
    <cfRule type="containsText" dxfId="1793" priority="17278" stopIfTrue="1" operator="containsText" text="NO CUMPLE">
      <formula>NOT(ISERROR(SEARCH("NO CUMPLE",AC118)))</formula>
    </cfRule>
  </conditionalFormatting>
  <conditionalFormatting sqref="X123">
    <cfRule type="cellIs" dxfId="1792" priority="17275" stopIfTrue="1" operator="equal">
      <formula>"cumple"</formula>
    </cfRule>
    <cfRule type="containsText" dxfId="1791" priority="17276" stopIfTrue="1" operator="containsText" text="NO CUMPLE">
      <formula>NOT(ISERROR(SEARCH("NO CUMPLE",X123)))</formula>
    </cfRule>
  </conditionalFormatting>
  <conditionalFormatting sqref="AC103:AC108">
    <cfRule type="cellIs" dxfId="1790" priority="17272" operator="equal">
      <formula>"NO ACREDITA"</formula>
    </cfRule>
    <cfRule type="cellIs" dxfId="1789" priority="17273" stopIfTrue="1" operator="equal">
      <formula>"NO"</formula>
    </cfRule>
    <cfRule type="cellIs" dxfId="1788" priority="17274" stopIfTrue="1" operator="equal">
      <formula>"SI"</formula>
    </cfRule>
  </conditionalFormatting>
  <conditionalFormatting sqref="E115:E116">
    <cfRule type="cellIs" dxfId="1787" priority="17270" operator="greaterThan">
      <formula>0</formula>
    </cfRule>
    <cfRule type="cellIs" dxfId="1786" priority="17271" operator="equal">
      <formula>0</formula>
    </cfRule>
  </conditionalFormatting>
  <conditionalFormatting sqref="G115">
    <cfRule type="cellIs" dxfId="1785" priority="17269" stopIfTrue="1" operator="notBetween">
      <formula>"N/A"</formula>
      <formula>"REVISAR"</formula>
    </cfRule>
  </conditionalFormatting>
  <conditionalFormatting sqref="G115:G116">
    <cfRule type="cellIs" dxfId="1784" priority="17268" operator="equal">
      <formula>"REVISAR"</formula>
    </cfRule>
  </conditionalFormatting>
  <conditionalFormatting sqref="E119">
    <cfRule type="cellIs" dxfId="1783" priority="17267" operator="equal">
      <formula>"NO APLICA"</formula>
    </cfRule>
  </conditionalFormatting>
  <conditionalFormatting sqref="N114">
    <cfRule type="cellIs" dxfId="1782" priority="17265" stopIfTrue="1" operator="equal">
      <formula>"cumple"</formula>
    </cfRule>
    <cfRule type="containsText" dxfId="1781" priority="17266" stopIfTrue="1" operator="containsText" text="NO CUMPLE">
      <formula>NOT(ISERROR(SEARCH("NO CUMPLE",N114)))</formula>
    </cfRule>
  </conditionalFormatting>
  <conditionalFormatting sqref="N117:N122">
    <cfRule type="cellIs" dxfId="1780" priority="17263" stopIfTrue="1" operator="equal">
      <formula>"cumple"</formula>
    </cfRule>
    <cfRule type="containsText" dxfId="1779" priority="17264" stopIfTrue="1" operator="containsText" text="NO CUMPLE">
      <formula>NOT(ISERROR(SEARCH("NO CUMPLE",N117)))</formula>
    </cfRule>
  </conditionalFormatting>
  <conditionalFormatting sqref="N123">
    <cfRule type="cellIs" dxfId="1778" priority="17261" stopIfTrue="1" operator="equal">
      <formula>"cumple"</formula>
    </cfRule>
    <cfRule type="containsText" dxfId="1777" priority="17262" stopIfTrue="1" operator="containsText" text="NO CUMPLE">
      <formula>NOT(ISERROR(SEARCH("NO CUMPLE",N123)))</formula>
    </cfRule>
  </conditionalFormatting>
  <conditionalFormatting sqref="M130:N135 P130:R135">
    <cfRule type="cellIs" dxfId="1776" priority="17259" stopIfTrue="1" operator="lessThan">
      <formula>0</formula>
    </cfRule>
  </conditionalFormatting>
  <conditionalFormatting sqref="U131 P130:R135 T131:T135 B130:N135 T130:U130">
    <cfRule type="cellIs" dxfId="1775" priority="17258" stopIfTrue="1" operator="greaterThan">
      <formula>0</formula>
    </cfRule>
  </conditionalFormatting>
  <conditionalFormatting sqref="R131:R135">
    <cfRule type="cellIs" dxfId="1774" priority="17257" stopIfTrue="1" operator="lessThan">
      <formula>0</formula>
    </cfRule>
  </conditionalFormatting>
  <conditionalFormatting sqref="O130:O135">
    <cfRule type="cellIs" dxfId="1773" priority="17256" stopIfTrue="1" operator="greaterThan">
      <formula>0</formula>
    </cfRule>
  </conditionalFormatting>
  <conditionalFormatting sqref="U132">
    <cfRule type="cellIs" dxfId="1772" priority="17255" stopIfTrue="1" operator="greaterThan">
      <formula>0</formula>
    </cfRule>
  </conditionalFormatting>
  <conditionalFormatting sqref="U133">
    <cfRule type="cellIs" dxfId="1771" priority="17254" stopIfTrue="1" operator="greaterThan">
      <formula>0</formula>
    </cfRule>
  </conditionalFormatting>
  <conditionalFormatting sqref="U134">
    <cfRule type="cellIs" dxfId="1770" priority="17253" stopIfTrue="1" operator="greaterThan">
      <formula>0</formula>
    </cfRule>
  </conditionalFormatting>
  <conditionalFormatting sqref="U135">
    <cfRule type="cellIs" dxfId="1769" priority="17252" stopIfTrue="1" operator="greaterThan">
      <formula>0</formula>
    </cfRule>
  </conditionalFormatting>
  <conditionalFormatting sqref="S131:S135">
    <cfRule type="cellIs" dxfId="1768" priority="17251" stopIfTrue="1" operator="lessThan">
      <formula>0</formula>
    </cfRule>
  </conditionalFormatting>
  <conditionalFormatting sqref="S130:S135">
    <cfRule type="cellIs" dxfId="1767" priority="17250" stopIfTrue="1" operator="greaterThan">
      <formula>0</formula>
    </cfRule>
  </conditionalFormatting>
  <conditionalFormatting sqref="S130:S135">
    <cfRule type="cellIs" dxfId="1766" priority="17249" stopIfTrue="1" operator="lessThan">
      <formula>0</formula>
    </cfRule>
  </conditionalFormatting>
  <conditionalFormatting sqref="B140">
    <cfRule type="cellIs" dxfId="1765" priority="17247" stopIfTrue="1" operator="equal">
      <formula>"cumple"</formula>
    </cfRule>
    <cfRule type="containsText" dxfId="1764" priority="17248" stopIfTrue="1" operator="containsText" text="NO CUMPLE">
      <formula>NOT(ISERROR(SEARCH("NO CUMPLE",B140)))</formula>
    </cfRule>
  </conditionalFormatting>
  <conditionalFormatting sqref="B141">
    <cfRule type="cellIs" dxfId="1763" priority="17245" stopIfTrue="1" operator="equal">
      <formula>"cumple"</formula>
    </cfRule>
    <cfRule type="containsText" dxfId="1762" priority="17246" stopIfTrue="1" operator="containsText" text="NO CUMPLE">
      <formula>NOT(ISERROR(SEARCH("NO CUMPLE",B141)))</formula>
    </cfRule>
  </conditionalFormatting>
  <conditionalFormatting sqref="B142">
    <cfRule type="cellIs" dxfId="1761" priority="17243" stopIfTrue="1" operator="equal">
      <formula>"cumple"</formula>
    </cfRule>
    <cfRule type="containsText" dxfId="1760" priority="17244" stopIfTrue="1" operator="containsText" text="NO CUMPLE">
      <formula>NOT(ISERROR(SEARCH("NO CUMPLE",B142)))</formula>
    </cfRule>
  </conditionalFormatting>
  <conditionalFormatting sqref="B144">
    <cfRule type="cellIs" dxfId="1759" priority="17241" stopIfTrue="1" operator="equal">
      <formula>"cumple"</formula>
    </cfRule>
    <cfRule type="containsText" dxfId="1758" priority="17242" stopIfTrue="1" operator="containsText" text="NO CUMPLE">
      <formula>NOT(ISERROR(SEARCH("NO CUMPLE",B144)))</formula>
    </cfRule>
  </conditionalFormatting>
  <conditionalFormatting sqref="B145">
    <cfRule type="cellIs" dxfId="1757" priority="17239" stopIfTrue="1" operator="equal">
      <formula>"cumple"</formula>
    </cfRule>
    <cfRule type="containsText" dxfId="1756" priority="17240" stopIfTrue="1" operator="containsText" text="NO CUMPLE">
      <formula>NOT(ISERROR(SEARCH("NO CUMPLE",B145)))</formula>
    </cfRule>
  </conditionalFormatting>
  <conditionalFormatting sqref="F142">
    <cfRule type="cellIs" dxfId="1755" priority="17237" stopIfTrue="1" operator="equal">
      <formula>"cumple"</formula>
    </cfRule>
    <cfRule type="containsText" dxfId="1754" priority="17238" stopIfTrue="1" operator="containsText" text="NO CUMPLE">
      <formula>NOT(ISERROR(SEARCH("NO CUMPLE",F142)))</formula>
    </cfRule>
  </conditionalFormatting>
  <conditionalFormatting sqref="E145:F145">
    <cfRule type="cellIs" dxfId="1753" priority="17235" stopIfTrue="1" operator="equal">
      <formula>"cumple"</formula>
    </cfRule>
    <cfRule type="containsText" dxfId="1752" priority="17236" stopIfTrue="1" operator="containsText" text="NO CUMPLE">
      <formula>NOT(ISERROR(SEARCH("NO CUMPLE",E145)))</formula>
    </cfRule>
  </conditionalFormatting>
  <conditionalFormatting sqref="G145">
    <cfRule type="cellIs" dxfId="1751" priority="17233" stopIfTrue="1" operator="equal">
      <formula>"cumple"</formula>
    </cfRule>
    <cfRule type="containsText" dxfId="1750" priority="17234" stopIfTrue="1" operator="containsText" text="NO CUMPLE">
      <formula>NOT(ISERROR(SEARCH("NO CUMPLE",G145)))</formula>
    </cfRule>
  </conditionalFormatting>
  <conditionalFormatting sqref="G146">
    <cfRule type="cellIs" dxfId="1749" priority="17231" stopIfTrue="1" operator="equal">
      <formula>"cumple"</formula>
    </cfRule>
    <cfRule type="containsText" dxfId="1748" priority="17232" stopIfTrue="1" operator="containsText" text="NO CUMPLE">
      <formula>NOT(ISERROR(SEARCH("NO CUMPLE",G146)))</formula>
    </cfRule>
  </conditionalFormatting>
  <conditionalFormatting sqref="H140">
    <cfRule type="cellIs" dxfId="1747" priority="17229" stopIfTrue="1" operator="equal">
      <formula>"cumple"</formula>
    </cfRule>
    <cfRule type="containsText" dxfId="1746" priority="17230" stopIfTrue="1" operator="containsText" text="NO CUMPLE">
      <formula>NOT(ISERROR(SEARCH("NO CUMPLE",H140)))</formula>
    </cfRule>
  </conditionalFormatting>
  <conditionalFormatting sqref="M141">
    <cfRule type="cellIs" dxfId="1745" priority="17227" stopIfTrue="1" operator="equal">
      <formula>"cumple"</formula>
    </cfRule>
    <cfRule type="containsText" dxfId="1744" priority="17228" stopIfTrue="1" operator="containsText" text="NO CUMPLE">
      <formula>NOT(ISERROR(SEARCH("NO CUMPLE",M141)))</formula>
    </cfRule>
  </conditionalFormatting>
  <conditionalFormatting sqref="J142:J143">
    <cfRule type="cellIs" dxfId="1743" priority="17225" stopIfTrue="1" operator="equal">
      <formula>"cumple"</formula>
    </cfRule>
    <cfRule type="containsText" dxfId="1742" priority="17226" stopIfTrue="1" operator="containsText" text="NO CUMPLE">
      <formula>NOT(ISERROR(SEARCH("NO CUMPLE",J142)))</formula>
    </cfRule>
  </conditionalFormatting>
  <conditionalFormatting sqref="K142:K143">
    <cfRule type="cellIs" dxfId="1741" priority="17223" stopIfTrue="1" operator="equal">
      <formula>"cumple"</formula>
    </cfRule>
    <cfRule type="containsText" dxfId="1740" priority="17224" stopIfTrue="1" operator="containsText" text="NO CUMPLE">
      <formula>NOT(ISERROR(SEARCH("NO CUMPLE",K142)))</formula>
    </cfRule>
  </conditionalFormatting>
  <conditionalFormatting sqref="L142:L143">
    <cfRule type="cellIs" dxfId="1739" priority="17221" stopIfTrue="1" operator="equal">
      <formula>"cumple"</formula>
    </cfRule>
    <cfRule type="containsText" dxfId="1738" priority="17222" stopIfTrue="1" operator="containsText" text="NO CUMPLE">
      <formula>NOT(ISERROR(SEARCH("NO CUMPLE",L142)))</formula>
    </cfRule>
  </conditionalFormatting>
  <conditionalFormatting sqref="L144:L149">
    <cfRule type="cellIs" dxfId="1737" priority="17219" stopIfTrue="1" operator="equal">
      <formula>"cumple"</formula>
    </cfRule>
    <cfRule type="containsText" dxfId="1736" priority="17220" stopIfTrue="1" operator="containsText" text="NO CUMPLE">
      <formula>NOT(ISERROR(SEARCH("NO CUMPLE",L144)))</formula>
    </cfRule>
  </conditionalFormatting>
  <conditionalFormatting sqref="M144">
    <cfRule type="cellIs" dxfId="1735" priority="17217" stopIfTrue="1" operator="equal">
      <formula>"cumple"</formula>
    </cfRule>
    <cfRule type="containsText" dxfId="1734" priority="17218" stopIfTrue="1" operator="containsText" text="NO CUMPLE">
      <formula>NOT(ISERROR(SEARCH("NO CUMPLE",M144)))</formula>
    </cfRule>
  </conditionalFormatting>
  <conditionalFormatting sqref="M145:M149">
    <cfRule type="cellIs" dxfId="1733" priority="17215" stopIfTrue="1" operator="equal">
      <formula>"cumple"</formula>
    </cfRule>
    <cfRule type="containsText" dxfId="1732" priority="17216" stopIfTrue="1" operator="containsText" text="NO CUMPLE">
      <formula>NOT(ISERROR(SEARCH("NO CUMPLE",M145)))</formula>
    </cfRule>
  </conditionalFormatting>
  <conditionalFormatting sqref="M150">
    <cfRule type="cellIs" dxfId="1731" priority="17213" stopIfTrue="1" operator="equal">
      <formula>"cumple"</formula>
    </cfRule>
    <cfRule type="containsText" dxfId="1730" priority="17214" stopIfTrue="1" operator="containsText" text="NO CUMPLE">
      <formula>NOT(ISERROR(SEARCH("NO CUMPLE",M150)))</formula>
    </cfRule>
  </conditionalFormatting>
  <conditionalFormatting sqref="H150">
    <cfRule type="cellIs" dxfId="1729" priority="17211" stopIfTrue="1" operator="equal">
      <formula>"cumple"</formula>
    </cfRule>
    <cfRule type="containsText" dxfId="1728" priority="17212" stopIfTrue="1" operator="containsText" text="NO CUMPLE">
      <formula>NOT(ISERROR(SEARCH("NO CUMPLE",H150)))</formula>
    </cfRule>
  </conditionalFormatting>
  <conditionalFormatting sqref="V130:V131">
    <cfRule type="cellIs" dxfId="1727" priority="17210" stopIfTrue="1" operator="greaterThan">
      <formula>0</formula>
    </cfRule>
  </conditionalFormatting>
  <conditionalFormatting sqref="V132">
    <cfRule type="cellIs" dxfId="1726" priority="17209" stopIfTrue="1" operator="greaterThan">
      <formula>0</formula>
    </cfRule>
  </conditionalFormatting>
  <conditionalFormatting sqref="V133">
    <cfRule type="cellIs" dxfId="1725" priority="17208" stopIfTrue="1" operator="greaterThan">
      <formula>0</formula>
    </cfRule>
  </conditionalFormatting>
  <conditionalFormatting sqref="V134">
    <cfRule type="cellIs" dxfId="1724" priority="17207" stopIfTrue="1" operator="greaterThan">
      <formula>0</formula>
    </cfRule>
  </conditionalFormatting>
  <conditionalFormatting sqref="V135">
    <cfRule type="cellIs" dxfId="1723" priority="17206" stopIfTrue="1" operator="greaterThan">
      <formula>0</formula>
    </cfRule>
  </conditionalFormatting>
  <conditionalFormatting sqref="O141">
    <cfRule type="cellIs" dxfId="1722" priority="17204" stopIfTrue="1" operator="equal">
      <formula>"cumple"</formula>
    </cfRule>
    <cfRule type="containsText" dxfId="1721" priority="17205" stopIfTrue="1" operator="containsText" text="NO CUMPLE">
      <formula>NOT(ISERROR(SEARCH("NO CUMPLE",O141)))</formula>
    </cfRule>
  </conditionalFormatting>
  <conditionalFormatting sqref="X130:X135">
    <cfRule type="cellIs" dxfId="1720" priority="17202" stopIfTrue="1" operator="equal">
      <formula>"NO"</formula>
    </cfRule>
    <cfRule type="cellIs" dxfId="1719" priority="17203" stopIfTrue="1" operator="equal">
      <formula>"SI"</formula>
    </cfRule>
  </conditionalFormatting>
  <conditionalFormatting sqref="B147">
    <cfRule type="cellIs" dxfId="1718" priority="17200" stopIfTrue="1" operator="equal">
      <formula>"cumple"</formula>
    </cfRule>
    <cfRule type="containsText" dxfId="1717" priority="17201" stopIfTrue="1" operator="containsText" text="NO CUMPLE">
      <formula>NOT(ISERROR(SEARCH("NO CUMPLE",B147)))</formula>
    </cfRule>
  </conditionalFormatting>
  <conditionalFormatting sqref="B148">
    <cfRule type="cellIs" dxfId="1716" priority="17198" stopIfTrue="1" operator="equal">
      <formula>"cumple"</formula>
    </cfRule>
    <cfRule type="containsText" dxfId="1715" priority="17199" stopIfTrue="1" operator="containsText" text="NO CUMPLE">
      <formula>NOT(ISERROR(SEARCH("NO CUMPLE",B148)))</formula>
    </cfRule>
  </conditionalFormatting>
  <conditionalFormatting sqref="G148">
    <cfRule type="cellIs" dxfId="1714" priority="17196" stopIfTrue="1" operator="equal">
      <formula>"cumple"</formula>
    </cfRule>
    <cfRule type="containsText" dxfId="1713" priority="17197" stopIfTrue="1" operator="containsText" text="NO CUMPLE">
      <formula>NOT(ISERROR(SEARCH("NO CUMPLE",G148)))</formula>
    </cfRule>
  </conditionalFormatting>
  <conditionalFormatting sqref="G149">
    <cfRule type="cellIs" dxfId="1712" priority="17194" stopIfTrue="1" operator="equal">
      <formula>"cumple"</formula>
    </cfRule>
    <cfRule type="containsText" dxfId="1711" priority="17195" stopIfTrue="1" operator="containsText" text="NO CUMPLE">
      <formula>NOT(ISERROR(SEARCH("NO CUMPLE",G149)))</formula>
    </cfRule>
  </conditionalFormatting>
  <conditionalFormatting sqref="X144">
    <cfRule type="cellIs" dxfId="1710" priority="17193" operator="equal">
      <formula>"VERIFICAR CUADRO"</formula>
    </cfRule>
  </conditionalFormatting>
  <conditionalFormatting sqref="AC144">
    <cfRule type="cellIs" dxfId="1709" priority="17191" stopIfTrue="1" operator="equal">
      <formula>"cumple"</formula>
    </cfRule>
    <cfRule type="containsText" dxfId="1708" priority="17192" stopIfTrue="1" operator="containsText" text="NO CUMPLE">
      <formula>NOT(ISERROR(SEARCH("NO CUMPLE",AC144)))</formula>
    </cfRule>
  </conditionalFormatting>
  <conditionalFormatting sqref="AC145:AC149">
    <cfRule type="cellIs" dxfId="1707" priority="17189" stopIfTrue="1" operator="equal">
      <formula>"cumple"</formula>
    </cfRule>
    <cfRule type="containsText" dxfId="1706" priority="17190" stopIfTrue="1" operator="containsText" text="NO CUMPLE">
      <formula>NOT(ISERROR(SEARCH("NO CUMPLE",AC145)))</formula>
    </cfRule>
  </conditionalFormatting>
  <conditionalFormatting sqref="X150">
    <cfRule type="cellIs" dxfId="1705" priority="17187" stopIfTrue="1" operator="equal">
      <formula>"cumple"</formula>
    </cfRule>
    <cfRule type="containsText" dxfId="1704" priority="17188" stopIfTrue="1" operator="containsText" text="NO CUMPLE">
      <formula>NOT(ISERROR(SEARCH("NO CUMPLE",X150)))</formula>
    </cfRule>
  </conditionalFormatting>
  <conditionalFormatting sqref="AC130:AC135">
    <cfRule type="cellIs" dxfId="1703" priority="17184" operator="equal">
      <formula>"NO ACREDITA"</formula>
    </cfRule>
    <cfRule type="cellIs" dxfId="1702" priority="17185" stopIfTrue="1" operator="equal">
      <formula>"NO"</formula>
    </cfRule>
    <cfRule type="cellIs" dxfId="1701" priority="17186" stopIfTrue="1" operator="equal">
      <formula>"SI"</formula>
    </cfRule>
  </conditionalFormatting>
  <conditionalFormatting sqref="E142:E143">
    <cfRule type="cellIs" dxfId="1700" priority="17182" operator="greaterThan">
      <formula>0</formula>
    </cfRule>
    <cfRule type="cellIs" dxfId="1699" priority="17183" operator="equal">
      <formula>0</formula>
    </cfRule>
  </conditionalFormatting>
  <conditionalFormatting sqref="G142">
    <cfRule type="cellIs" dxfId="1698" priority="17181" stopIfTrue="1" operator="notBetween">
      <formula>"N/A"</formula>
      <formula>"REVISAR"</formula>
    </cfRule>
  </conditionalFormatting>
  <conditionalFormatting sqref="G142:G143">
    <cfRule type="cellIs" dxfId="1697" priority="17180" operator="equal">
      <formula>"REVISAR"</formula>
    </cfRule>
  </conditionalFormatting>
  <conditionalFormatting sqref="E146">
    <cfRule type="cellIs" dxfId="1696" priority="17179" operator="equal">
      <formula>"NO APLICA"</formula>
    </cfRule>
  </conditionalFormatting>
  <conditionalFormatting sqref="N141">
    <cfRule type="cellIs" dxfId="1695" priority="17177" stopIfTrue="1" operator="equal">
      <formula>"cumple"</formula>
    </cfRule>
    <cfRule type="containsText" dxfId="1694" priority="17178" stopIfTrue="1" operator="containsText" text="NO CUMPLE">
      <formula>NOT(ISERROR(SEARCH("NO CUMPLE",N141)))</formula>
    </cfRule>
  </conditionalFormatting>
  <conditionalFormatting sqref="N144:N149">
    <cfRule type="cellIs" dxfId="1693" priority="17175" stopIfTrue="1" operator="equal">
      <formula>"cumple"</formula>
    </cfRule>
    <cfRule type="containsText" dxfId="1692" priority="17176" stopIfTrue="1" operator="containsText" text="NO CUMPLE">
      <formula>NOT(ISERROR(SEARCH("NO CUMPLE",N144)))</formula>
    </cfRule>
  </conditionalFormatting>
  <conditionalFormatting sqref="N150">
    <cfRule type="cellIs" dxfId="1691" priority="17173" stopIfTrue="1" operator="equal">
      <formula>"cumple"</formula>
    </cfRule>
    <cfRule type="containsText" dxfId="1690" priority="17174" stopIfTrue="1" operator="containsText" text="NO CUMPLE">
      <formula>NOT(ISERROR(SEARCH("NO CUMPLE",N150)))</formula>
    </cfRule>
  </conditionalFormatting>
  <conditionalFormatting sqref="M157:N162 P157:R162">
    <cfRule type="cellIs" dxfId="1689" priority="17171" stopIfTrue="1" operator="lessThan">
      <formula>0</formula>
    </cfRule>
  </conditionalFormatting>
  <conditionalFormatting sqref="U158 P157:R162 T158:T162 B157:N162 T157:U157">
    <cfRule type="cellIs" dxfId="1688" priority="17170" stopIfTrue="1" operator="greaterThan">
      <formula>0</formula>
    </cfRule>
  </conditionalFormatting>
  <conditionalFormatting sqref="R158:R162">
    <cfRule type="cellIs" dxfId="1687" priority="17169" stopIfTrue="1" operator="lessThan">
      <formula>0</formula>
    </cfRule>
  </conditionalFormatting>
  <conditionalFormatting sqref="O157:O162">
    <cfRule type="cellIs" dxfId="1686" priority="17168" stopIfTrue="1" operator="greaterThan">
      <formula>0</formula>
    </cfRule>
  </conditionalFormatting>
  <conditionalFormatting sqref="U159">
    <cfRule type="cellIs" dxfId="1685" priority="17167" stopIfTrue="1" operator="greaterThan">
      <formula>0</formula>
    </cfRule>
  </conditionalFormatting>
  <conditionalFormatting sqref="U160">
    <cfRule type="cellIs" dxfId="1684" priority="17166" stopIfTrue="1" operator="greaterThan">
      <formula>0</formula>
    </cfRule>
  </conditionalFormatting>
  <conditionalFormatting sqref="U161">
    <cfRule type="cellIs" dxfId="1683" priority="17165" stopIfTrue="1" operator="greaterThan">
      <formula>0</formula>
    </cfRule>
  </conditionalFormatting>
  <conditionalFormatting sqref="U162">
    <cfRule type="cellIs" dxfId="1682" priority="17164" stopIfTrue="1" operator="greaterThan">
      <formula>0</formula>
    </cfRule>
  </conditionalFormatting>
  <conditionalFormatting sqref="S158:S162">
    <cfRule type="cellIs" dxfId="1681" priority="17163" stopIfTrue="1" operator="lessThan">
      <formula>0</formula>
    </cfRule>
  </conditionalFormatting>
  <conditionalFormatting sqref="S157:S162">
    <cfRule type="cellIs" dxfId="1680" priority="17162" stopIfTrue="1" operator="greaterThan">
      <formula>0</formula>
    </cfRule>
  </conditionalFormatting>
  <conditionalFormatting sqref="S157:S162">
    <cfRule type="cellIs" dxfId="1679" priority="17161" stopIfTrue="1" operator="lessThan">
      <formula>0</formula>
    </cfRule>
  </conditionalFormatting>
  <conditionalFormatting sqref="B167">
    <cfRule type="cellIs" dxfId="1678" priority="17159" stopIfTrue="1" operator="equal">
      <formula>"cumple"</formula>
    </cfRule>
    <cfRule type="containsText" dxfId="1677" priority="17160" stopIfTrue="1" operator="containsText" text="NO CUMPLE">
      <formula>NOT(ISERROR(SEARCH("NO CUMPLE",B167)))</formula>
    </cfRule>
  </conditionalFormatting>
  <conditionalFormatting sqref="B168">
    <cfRule type="cellIs" dxfId="1676" priority="17157" stopIfTrue="1" operator="equal">
      <formula>"cumple"</formula>
    </cfRule>
    <cfRule type="containsText" dxfId="1675" priority="17158" stopIfTrue="1" operator="containsText" text="NO CUMPLE">
      <formula>NOT(ISERROR(SEARCH("NO CUMPLE",B168)))</formula>
    </cfRule>
  </conditionalFormatting>
  <conditionalFormatting sqref="B169">
    <cfRule type="cellIs" dxfId="1674" priority="17155" stopIfTrue="1" operator="equal">
      <formula>"cumple"</formula>
    </cfRule>
    <cfRule type="containsText" dxfId="1673" priority="17156" stopIfTrue="1" operator="containsText" text="NO CUMPLE">
      <formula>NOT(ISERROR(SEARCH("NO CUMPLE",B169)))</formula>
    </cfRule>
  </conditionalFormatting>
  <conditionalFormatting sqref="B171">
    <cfRule type="cellIs" dxfId="1672" priority="17153" stopIfTrue="1" operator="equal">
      <formula>"cumple"</formula>
    </cfRule>
    <cfRule type="containsText" dxfId="1671" priority="17154" stopIfTrue="1" operator="containsText" text="NO CUMPLE">
      <formula>NOT(ISERROR(SEARCH("NO CUMPLE",B171)))</formula>
    </cfRule>
  </conditionalFormatting>
  <conditionalFormatting sqref="B172">
    <cfRule type="cellIs" dxfId="1670" priority="17151" stopIfTrue="1" operator="equal">
      <formula>"cumple"</formula>
    </cfRule>
    <cfRule type="containsText" dxfId="1669" priority="17152" stopIfTrue="1" operator="containsText" text="NO CUMPLE">
      <formula>NOT(ISERROR(SEARCH("NO CUMPLE",B172)))</formula>
    </cfRule>
  </conditionalFormatting>
  <conditionalFormatting sqref="F169">
    <cfRule type="cellIs" dxfId="1668" priority="17149" stopIfTrue="1" operator="equal">
      <formula>"cumple"</formula>
    </cfRule>
    <cfRule type="containsText" dxfId="1667" priority="17150" stopIfTrue="1" operator="containsText" text="NO CUMPLE">
      <formula>NOT(ISERROR(SEARCH("NO CUMPLE",F169)))</formula>
    </cfRule>
  </conditionalFormatting>
  <conditionalFormatting sqref="E172:F172">
    <cfRule type="cellIs" dxfId="1666" priority="17147" stopIfTrue="1" operator="equal">
      <formula>"cumple"</formula>
    </cfRule>
    <cfRule type="containsText" dxfId="1665" priority="17148" stopIfTrue="1" operator="containsText" text="NO CUMPLE">
      <formula>NOT(ISERROR(SEARCH("NO CUMPLE",E172)))</formula>
    </cfRule>
  </conditionalFormatting>
  <conditionalFormatting sqref="G172">
    <cfRule type="cellIs" dxfId="1664" priority="17145" stopIfTrue="1" operator="equal">
      <formula>"cumple"</formula>
    </cfRule>
    <cfRule type="containsText" dxfId="1663" priority="17146" stopIfTrue="1" operator="containsText" text="NO CUMPLE">
      <formula>NOT(ISERROR(SEARCH("NO CUMPLE",G172)))</formula>
    </cfRule>
  </conditionalFormatting>
  <conditionalFormatting sqref="G173">
    <cfRule type="cellIs" dxfId="1662" priority="17143" stopIfTrue="1" operator="equal">
      <formula>"cumple"</formula>
    </cfRule>
    <cfRule type="containsText" dxfId="1661" priority="17144" stopIfTrue="1" operator="containsText" text="NO CUMPLE">
      <formula>NOT(ISERROR(SEARCH("NO CUMPLE",G173)))</formula>
    </cfRule>
  </conditionalFormatting>
  <conditionalFormatting sqref="H167">
    <cfRule type="cellIs" dxfId="1660" priority="17141" stopIfTrue="1" operator="equal">
      <formula>"cumple"</formula>
    </cfRule>
    <cfRule type="containsText" dxfId="1659" priority="17142" stopIfTrue="1" operator="containsText" text="NO CUMPLE">
      <formula>NOT(ISERROR(SEARCH("NO CUMPLE",H167)))</formula>
    </cfRule>
  </conditionalFormatting>
  <conditionalFormatting sqref="M168">
    <cfRule type="cellIs" dxfId="1658" priority="17139" stopIfTrue="1" operator="equal">
      <formula>"cumple"</formula>
    </cfRule>
    <cfRule type="containsText" dxfId="1657" priority="17140" stopIfTrue="1" operator="containsText" text="NO CUMPLE">
      <formula>NOT(ISERROR(SEARCH("NO CUMPLE",M168)))</formula>
    </cfRule>
  </conditionalFormatting>
  <conditionalFormatting sqref="J169:J170">
    <cfRule type="cellIs" dxfId="1656" priority="17137" stopIfTrue="1" operator="equal">
      <formula>"cumple"</formula>
    </cfRule>
    <cfRule type="containsText" dxfId="1655" priority="17138" stopIfTrue="1" operator="containsText" text="NO CUMPLE">
      <formula>NOT(ISERROR(SEARCH("NO CUMPLE",J169)))</formula>
    </cfRule>
  </conditionalFormatting>
  <conditionalFormatting sqref="K169:K170">
    <cfRule type="cellIs" dxfId="1654" priority="17135" stopIfTrue="1" operator="equal">
      <formula>"cumple"</formula>
    </cfRule>
    <cfRule type="containsText" dxfId="1653" priority="17136" stopIfTrue="1" operator="containsText" text="NO CUMPLE">
      <formula>NOT(ISERROR(SEARCH("NO CUMPLE",K169)))</formula>
    </cfRule>
  </conditionalFormatting>
  <conditionalFormatting sqref="L169:L170">
    <cfRule type="cellIs" dxfId="1652" priority="17133" stopIfTrue="1" operator="equal">
      <formula>"cumple"</formula>
    </cfRule>
    <cfRule type="containsText" dxfId="1651" priority="17134" stopIfTrue="1" operator="containsText" text="NO CUMPLE">
      <formula>NOT(ISERROR(SEARCH("NO CUMPLE",L169)))</formula>
    </cfRule>
  </conditionalFormatting>
  <conditionalFormatting sqref="L171:L176">
    <cfRule type="cellIs" dxfId="1650" priority="17131" stopIfTrue="1" operator="equal">
      <formula>"cumple"</formula>
    </cfRule>
    <cfRule type="containsText" dxfId="1649" priority="17132" stopIfTrue="1" operator="containsText" text="NO CUMPLE">
      <formula>NOT(ISERROR(SEARCH("NO CUMPLE",L171)))</formula>
    </cfRule>
  </conditionalFormatting>
  <conditionalFormatting sqref="M171">
    <cfRule type="cellIs" dxfId="1648" priority="17129" stopIfTrue="1" operator="equal">
      <formula>"cumple"</formula>
    </cfRule>
    <cfRule type="containsText" dxfId="1647" priority="17130" stopIfTrue="1" operator="containsText" text="NO CUMPLE">
      <formula>NOT(ISERROR(SEARCH("NO CUMPLE",M171)))</formula>
    </cfRule>
  </conditionalFormatting>
  <conditionalFormatting sqref="M172:M176">
    <cfRule type="cellIs" dxfId="1646" priority="17127" stopIfTrue="1" operator="equal">
      <formula>"cumple"</formula>
    </cfRule>
    <cfRule type="containsText" dxfId="1645" priority="17128" stopIfTrue="1" operator="containsText" text="NO CUMPLE">
      <formula>NOT(ISERROR(SEARCH("NO CUMPLE",M172)))</formula>
    </cfRule>
  </conditionalFormatting>
  <conditionalFormatting sqref="M177">
    <cfRule type="cellIs" dxfId="1644" priority="17125" stopIfTrue="1" operator="equal">
      <formula>"cumple"</formula>
    </cfRule>
    <cfRule type="containsText" dxfId="1643" priority="17126" stopIfTrue="1" operator="containsText" text="NO CUMPLE">
      <formula>NOT(ISERROR(SEARCH("NO CUMPLE",M177)))</formula>
    </cfRule>
  </conditionalFormatting>
  <conditionalFormatting sqref="H177">
    <cfRule type="cellIs" dxfId="1642" priority="17123" stopIfTrue="1" operator="equal">
      <formula>"cumple"</formula>
    </cfRule>
    <cfRule type="containsText" dxfId="1641" priority="17124" stopIfTrue="1" operator="containsText" text="NO CUMPLE">
      <formula>NOT(ISERROR(SEARCH("NO CUMPLE",H177)))</formula>
    </cfRule>
  </conditionalFormatting>
  <conditionalFormatting sqref="V157:V158">
    <cfRule type="cellIs" dxfId="1640" priority="17122" stopIfTrue="1" operator="greaterThan">
      <formula>0</formula>
    </cfRule>
  </conditionalFormatting>
  <conditionalFormatting sqref="V159">
    <cfRule type="cellIs" dxfId="1639" priority="17121" stopIfTrue="1" operator="greaterThan">
      <formula>0</formula>
    </cfRule>
  </conditionalFormatting>
  <conditionalFormatting sqref="V160">
    <cfRule type="cellIs" dxfId="1638" priority="17120" stopIfTrue="1" operator="greaterThan">
      <formula>0</formula>
    </cfRule>
  </conditionalFormatting>
  <conditionalFormatting sqref="V161">
    <cfRule type="cellIs" dxfId="1637" priority="17119" stopIfTrue="1" operator="greaterThan">
      <formula>0</formula>
    </cfRule>
  </conditionalFormatting>
  <conditionalFormatting sqref="V162">
    <cfRule type="cellIs" dxfId="1636" priority="17118" stopIfTrue="1" operator="greaterThan">
      <formula>0</formula>
    </cfRule>
  </conditionalFormatting>
  <conditionalFormatting sqref="O168">
    <cfRule type="cellIs" dxfId="1635" priority="17116" stopIfTrue="1" operator="equal">
      <formula>"cumple"</formula>
    </cfRule>
    <cfRule type="containsText" dxfId="1634" priority="17117" stopIfTrue="1" operator="containsText" text="NO CUMPLE">
      <formula>NOT(ISERROR(SEARCH("NO CUMPLE",O168)))</formula>
    </cfRule>
  </conditionalFormatting>
  <conditionalFormatting sqref="X157:X162">
    <cfRule type="cellIs" dxfId="1633" priority="17114" stopIfTrue="1" operator="equal">
      <formula>"NO"</formula>
    </cfRule>
    <cfRule type="cellIs" dxfId="1632" priority="17115" stopIfTrue="1" operator="equal">
      <formula>"SI"</formula>
    </cfRule>
  </conditionalFormatting>
  <conditionalFormatting sqref="B174">
    <cfRule type="cellIs" dxfId="1631" priority="17112" stopIfTrue="1" operator="equal">
      <formula>"cumple"</formula>
    </cfRule>
    <cfRule type="containsText" dxfId="1630" priority="17113" stopIfTrue="1" operator="containsText" text="NO CUMPLE">
      <formula>NOT(ISERROR(SEARCH("NO CUMPLE",B174)))</formula>
    </cfRule>
  </conditionalFormatting>
  <conditionalFormatting sqref="B175">
    <cfRule type="cellIs" dxfId="1629" priority="17110" stopIfTrue="1" operator="equal">
      <formula>"cumple"</formula>
    </cfRule>
    <cfRule type="containsText" dxfId="1628" priority="17111" stopIfTrue="1" operator="containsText" text="NO CUMPLE">
      <formula>NOT(ISERROR(SEARCH("NO CUMPLE",B175)))</formula>
    </cfRule>
  </conditionalFormatting>
  <conditionalFormatting sqref="G175">
    <cfRule type="cellIs" dxfId="1627" priority="17108" stopIfTrue="1" operator="equal">
      <formula>"cumple"</formula>
    </cfRule>
    <cfRule type="containsText" dxfId="1626" priority="17109" stopIfTrue="1" operator="containsText" text="NO CUMPLE">
      <formula>NOT(ISERROR(SEARCH("NO CUMPLE",G175)))</formula>
    </cfRule>
  </conditionalFormatting>
  <conditionalFormatting sqref="G176">
    <cfRule type="cellIs" dxfId="1625" priority="17106" stopIfTrue="1" operator="equal">
      <formula>"cumple"</formula>
    </cfRule>
    <cfRule type="containsText" dxfId="1624" priority="17107" stopIfTrue="1" operator="containsText" text="NO CUMPLE">
      <formula>NOT(ISERROR(SEARCH("NO CUMPLE",G176)))</formula>
    </cfRule>
  </conditionalFormatting>
  <conditionalFormatting sqref="X171">
    <cfRule type="cellIs" dxfId="1623" priority="17105" operator="equal">
      <formula>"VERIFICAR CUADRO"</formula>
    </cfRule>
  </conditionalFormatting>
  <conditionalFormatting sqref="AC171">
    <cfRule type="cellIs" dxfId="1622" priority="17103" stopIfTrue="1" operator="equal">
      <formula>"cumple"</formula>
    </cfRule>
    <cfRule type="containsText" dxfId="1621" priority="17104" stopIfTrue="1" operator="containsText" text="NO CUMPLE">
      <formula>NOT(ISERROR(SEARCH("NO CUMPLE",AC171)))</formula>
    </cfRule>
  </conditionalFormatting>
  <conditionalFormatting sqref="AC172:AC176">
    <cfRule type="cellIs" dxfId="1620" priority="17101" stopIfTrue="1" operator="equal">
      <formula>"cumple"</formula>
    </cfRule>
    <cfRule type="containsText" dxfId="1619" priority="17102" stopIfTrue="1" operator="containsText" text="NO CUMPLE">
      <formula>NOT(ISERROR(SEARCH("NO CUMPLE",AC172)))</formula>
    </cfRule>
  </conditionalFormatting>
  <conditionalFormatting sqref="X177">
    <cfRule type="cellIs" dxfId="1618" priority="17099" stopIfTrue="1" operator="equal">
      <formula>"cumple"</formula>
    </cfRule>
    <cfRule type="containsText" dxfId="1617" priority="17100" stopIfTrue="1" operator="containsText" text="NO CUMPLE">
      <formula>NOT(ISERROR(SEARCH("NO CUMPLE",X177)))</formula>
    </cfRule>
  </conditionalFormatting>
  <conditionalFormatting sqref="AC157:AC162">
    <cfRule type="cellIs" dxfId="1616" priority="17096" operator="equal">
      <formula>"NO ACREDITA"</formula>
    </cfRule>
    <cfRule type="cellIs" dxfId="1615" priority="17097" stopIfTrue="1" operator="equal">
      <formula>"NO"</formula>
    </cfRule>
    <cfRule type="cellIs" dxfId="1614" priority="17098" stopIfTrue="1" operator="equal">
      <formula>"SI"</formula>
    </cfRule>
  </conditionalFormatting>
  <conditionalFormatting sqref="E169:E170">
    <cfRule type="cellIs" dxfId="1613" priority="17094" operator="greaterThan">
      <formula>0</formula>
    </cfRule>
    <cfRule type="cellIs" dxfId="1612" priority="17095" operator="equal">
      <formula>0</formula>
    </cfRule>
  </conditionalFormatting>
  <conditionalFormatting sqref="G169">
    <cfRule type="cellIs" dxfId="1611" priority="17093" stopIfTrue="1" operator="notBetween">
      <formula>"N/A"</formula>
      <formula>"REVISAR"</formula>
    </cfRule>
  </conditionalFormatting>
  <conditionalFormatting sqref="G169:G170">
    <cfRule type="cellIs" dxfId="1610" priority="17092" operator="equal">
      <formula>"REVISAR"</formula>
    </cfRule>
  </conditionalFormatting>
  <conditionalFormatting sqref="E173">
    <cfRule type="cellIs" dxfId="1609" priority="17091" operator="equal">
      <formula>"NO APLICA"</formula>
    </cfRule>
  </conditionalFormatting>
  <conditionalFormatting sqref="N168">
    <cfRule type="cellIs" dxfId="1608" priority="17089" stopIfTrue="1" operator="equal">
      <formula>"cumple"</formula>
    </cfRule>
    <cfRule type="containsText" dxfId="1607" priority="17090" stopIfTrue="1" operator="containsText" text="NO CUMPLE">
      <formula>NOT(ISERROR(SEARCH("NO CUMPLE",N168)))</formula>
    </cfRule>
  </conditionalFormatting>
  <conditionalFormatting sqref="N171:N176">
    <cfRule type="cellIs" dxfId="1606" priority="17087" stopIfTrue="1" operator="equal">
      <formula>"cumple"</formula>
    </cfRule>
    <cfRule type="containsText" dxfId="1605" priority="17088" stopIfTrue="1" operator="containsText" text="NO CUMPLE">
      <formula>NOT(ISERROR(SEARCH("NO CUMPLE",N171)))</formula>
    </cfRule>
  </conditionalFormatting>
  <conditionalFormatting sqref="N177">
    <cfRule type="cellIs" dxfId="1604" priority="17085" stopIfTrue="1" operator="equal">
      <formula>"cumple"</formula>
    </cfRule>
    <cfRule type="containsText" dxfId="1603" priority="17086" stopIfTrue="1" operator="containsText" text="NO CUMPLE">
      <formula>NOT(ISERROR(SEARCH("NO CUMPLE",N177)))</formula>
    </cfRule>
  </conditionalFormatting>
  <conditionalFormatting sqref="P184:R189 M184:N189">
    <cfRule type="cellIs" dxfId="1602" priority="17083" stopIfTrue="1" operator="lessThan">
      <formula>0</formula>
    </cfRule>
  </conditionalFormatting>
  <conditionalFormatting sqref="U185 P184:R189 T185:T189 T184:U184 B184:N189">
    <cfRule type="cellIs" dxfId="1601" priority="17082" stopIfTrue="1" operator="greaterThan">
      <formula>0</formula>
    </cfRule>
  </conditionalFormatting>
  <conditionalFormatting sqref="R185:R189">
    <cfRule type="cellIs" dxfId="1600" priority="17081" stopIfTrue="1" operator="lessThan">
      <formula>0</formula>
    </cfRule>
  </conditionalFormatting>
  <conditionalFormatting sqref="O184:O189">
    <cfRule type="cellIs" dxfId="1599" priority="17080" stopIfTrue="1" operator="greaterThan">
      <formula>0</formula>
    </cfRule>
  </conditionalFormatting>
  <conditionalFormatting sqref="U186">
    <cfRule type="cellIs" dxfId="1598" priority="17079" stopIfTrue="1" operator="greaterThan">
      <formula>0</formula>
    </cfRule>
  </conditionalFormatting>
  <conditionalFormatting sqref="U187">
    <cfRule type="cellIs" dxfId="1597" priority="17078" stopIfTrue="1" operator="greaterThan">
      <formula>0</formula>
    </cfRule>
  </conditionalFormatting>
  <conditionalFormatting sqref="U188">
    <cfRule type="cellIs" dxfId="1596" priority="17077" stopIfTrue="1" operator="greaterThan">
      <formula>0</formula>
    </cfRule>
  </conditionalFormatting>
  <conditionalFormatting sqref="U189">
    <cfRule type="cellIs" dxfId="1595" priority="17076" stopIfTrue="1" operator="greaterThan">
      <formula>0</formula>
    </cfRule>
  </conditionalFormatting>
  <conditionalFormatting sqref="S185:S189">
    <cfRule type="cellIs" dxfId="1594" priority="17075" stopIfTrue="1" operator="lessThan">
      <formula>0</formula>
    </cfRule>
  </conditionalFormatting>
  <conditionalFormatting sqref="S184:S189">
    <cfRule type="cellIs" dxfId="1593" priority="17074" stopIfTrue="1" operator="greaterThan">
      <formula>0</formula>
    </cfRule>
  </conditionalFormatting>
  <conditionalFormatting sqref="S184:S189">
    <cfRule type="cellIs" dxfId="1592" priority="17073" stopIfTrue="1" operator="lessThan">
      <formula>0</formula>
    </cfRule>
  </conditionalFormatting>
  <conditionalFormatting sqref="B194">
    <cfRule type="cellIs" dxfId="1591" priority="17071" stopIfTrue="1" operator="equal">
      <formula>"cumple"</formula>
    </cfRule>
    <cfRule type="containsText" dxfId="1590" priority="17072" stopIfTrue="1" operator="containsText" text="NO CUMPLE">
      <formula>NOT(ISERROR(SEARCH("NO CUMPLE",B194)))</formula>
    </cfRule>
  </conditionalFormatting>
  <conditionalFormatting sqref="B195">
    <cfRule type="cellIs" dxfId="1589" priority="17069" stopIfTrue="1" operator="equal">
      <formula>"cumple"</formula>
    </cfRule>
    <cfRule type="containsText" dxfId="1588" priority="17070" stopIfTrue="1" operator="containsText" text="NO CUMPLE">
      <formula>NOT(ISERROR(SEARCH("NO CUMPLE",B195)))</formula>
    </cfRule>
  </conditionalFormatting>
  <conditionalFormatting sqref="B196">
    <cfRule type="cellIs" dxfId="1587" priority="17067" stopIfTrue="1" operator="equal">
      <formula>"cumple"</formula>
    </cfRule>
    <cfRule type="containsText" dxfId="1586" priority="17068" stopIfTrue="1" operator="containsText" text="NO CUMPLE">
      <formula>NOT(ISERROR(SEARCH("NO CUMPLE",B196)))</formula>
    </cfRule>
  </conditionalFormatting>
  <conditionalFormatting sqref="B198">
    <cfRule type="cellIs" dxfId="1585" priority="17065" stopIfTrue="1" operator="equal">
      <formula>"cumple"</formula>
    </cfRule>
    <cfRule type="containsText" dxfId="1584" priority="17066" stopIfTrue="1" operator="containsText" text="NO CUMPLE">
      <formula>NOT(ISERROR(SEARCH("NO CUMPLE",B198)))</formula>
    </cfRule>
  </conditionalFormatting>
  <conditionalFormatting sqref="B199">
    <cfRule type="cellIs" dxfId="1583" priority="17063" stopIfTrue="1" operator="equal">
      <formula>"cumple"</formula>
    </cfRule>
    <cfRule type="containsText" dxfId="1582" priority="17064" stopIfTrue="1" operator="containsText" text="NO CUMPLE">
      <formula>NOT(ISERROR(SEARCH("NO CUMPLE",B199)))</formula>
    </cfRule>
  </conditionalFormatting>
  <conditionalFormatting sqref="F196">
    <cfRule type="cellIs" dxfId="1581" priority="17061" stopIfTrue="1" operator="equal">
      <formula>"cumple"</formula>
    </cfRule>
    <cfRule type="containsText" dxfId="1580" priority="17062" stopIfTrue="1" operator="containsText" text="NO CUMPLE">
      <formula>NOT(ISERROR(SEARCH("NO CUMPLE",F196)))</formula>
    </cfRule>
  </conditionalFormatting>
  <conditionalFormatting sqref="E199:F199">
    <cfRule type="cellIs" dxfId="1579" priority="17059" stopIfTrue="1" operator="equal">
      <formula>"cumple"</formula>
    </cfRule>
    <cfRule type="containsText" dxfId="1578" priority="17060" stopIfTrue="1" operator="containsText" text="NO CUMPLE">
      <formula>NOT(ISERROR(SEARCH("NO CUMPLE",E199)))</formula>
    </cfRule>
  </conditionalFormatting>
  <conditionalFormatting sqref="G199">
    <cfRule type="cellIs" dxfId="1577" priority="17057" stopIfTrue="1" operator="equal">
      <formula>"cumple"</formula>
    </cfRule>
    <cfRule type="containsText" dxfId="1576" priority="17058" stopIfTrue="1" operator="containsText" text="NO CUMPLE">
      <formula>NOT(ISERROR(SEARCH("NO CUMPLE",G199)))</formula>
    </cfRule>
  </conditionalFormatting>
  <conditionalFormatting sqref="G200">
    <cfRule type="cellIs" dxfId="1575" priority="17055" stopIfTrue="1" operator="equal">
      <formula>"cumple"</formula>
    </cfRule>
    <cfRule type="containsText" dxfId="1574" priority="17056" stopIfTrue="1" operator="containsText" text="NO CUMPLE">
      <formula>NOT(ISERROR(SEARCH("NO CUMPLE",G200)))</formula>
    </cfRule>
  </conditionalFormatting>
  <conditionalFormatting sqref="H194">
    <cfRule type="cellIs" dxfId="1573" priority="17053" stopIfTrue="1" operator="equal">
      <formula>"cumple"</formula>
    </cfRule>
    <cfRule type="containsText" dxfId="1572" priority="17054" stopIfTrue="1" operator="containsText" text="NO CUMPLE">
      <formula>NOT(ISERROR(SEARCH("NO CUMPLE",H194)))</formula>
    </cfRule>
  </conditionalFormatting>
  <conditionalFormatting sqref="M195">
    <cfRule type="cellIs" dxfId="1571" priority="17051" stopIfTrue="1" operator="equal">
      <formula>"cumple"</formula>
    </cfRule>
    <cfRule type="containsText" dxfId="1570" priority="17052" stopIfTrue="1" operator="containsText" text="NO CUMPLE">
      <formula>NOT(ISERROR(SEARCH("NO CUMPLE",M195)))</formula>
    </cfRule>
  </conditionalFormatting>
  <conditionalFormatting sqref="J196:J197">
    <cfRule type="cellIs" dxfId="1569" priority="17049" stopIfTrue="1" operator="equal">
      <formula>"cumple"</formula>
    </cfRule>
    <cfRule type="containsText" dxfId="1568" priority="17050" stopIfTrue="1" operator="containsText" text="NO CUMPLE">
      <formula>NOT(ISERROR(SEARCH("NO CUMPLE",J196)))</formula>
    </cfRule>
  </conditionalFormatting>
  <conditionalFormatting sqref="K196:K197">
    <cfRule type="cellIs" dxfId="1567" priority="17047" stopIfTrue="1" operator="equal">
      <formula>"cumple"</formula>
    </cfRule>
    <cfRule type="containsText" dxfId="1566" priority="17048" stopIfTrue="1" operator="containsText" text="NO CUMPLE">
      <formula>NOT(ISERROR(SEARCH("NO CUMPLE",K196)))</formula>
    </cfRule>
  </conditionalFormatting>
  <conditionalFormatting sqref="L196:L197">
    <cfRule type="cellIs" dxfId="1565" priority="17045" stopIfTrue="1" operator="equal">
      <formula>"cumple"</formula>
    </cfRule>
    <cfRule type="containsText" dxfId="1564" priority="17046" stopIfTrue="1" operator="containsText" text="NO CUMPLE">
      <formula>NOT(ISERROR(SEARCH("NO CUMPLE",L196)))</formula>
    </cfRule>
  </conditionalFormatting>
  <conditionalFormatting sqref="L198:L203">
    <cfRule type="cellIs" dxfId="1563" priority="17043" stopIfTrue="1" operator="equal">
      <formula>"cumple"</formula>
    </cfRule>
    <cfRule type="containsText" dxfId="1562" priority="17044" stopIfTrue="1" operator="containsText" text="NO CUMPLE">
      <formula>NOT(ISERROR(SEARCH("NO CUMPLE",L198)))</formula>
    </cfRule>
  </conditionalFormatting>
  <conditionalFormatting sqref="M198">
    <cfRule type="cellIs" dxfId="1561" priority="17041" stopIfTrue="1" operator="equal">
      <formula>"cumple"</formula>
    </cfRule>
    <cfRule type="containsText" dxfId="1560" priority="17042" stopIfTrue="1" operator="containsText" text="NO CUMPLE">
      <formula>NOT(ISERROR(SEARCH("NO CUMPLE",M198)))</formula>
    </cfRule>
  </conditionalFormatting>
  <conditionalFormatting sqref="M199:M203">
    <cfRule type="cellIs" dxfId="1559" priority="17039" stopIfTrue="1" operator="equal">
      <formula>"cumple"</formula>
    </cfRule>
    <cfRule type="containsText" dxfId="1558" priority="17040" stopIfTrue="1" operator="containsText" text="NO CUMPLE">
      <formula>NOT(ISERROR(SEARCH("NO CUMPLE",M199)))</formula>
    </cfRule>
  </conditionalFormatting>
  <conditionalFormatting sqref="M204">
    <cfRule type="cellIs" dxfId="1557" priority="17037" stopIfTrue="1" operator="equal">
      <formula>"cumple"</formula>
    </cfRule>
    <cfRule type="containsText" dxfId="1556" priority="17038" stopIfTrue="1" operator="containsText" text="NO CUMPLE">
      <formula>NOT(ISERROR(SEARCH("NO CUMPLE",M204)))</formula>
    </cfRule>
  </conditionalFormatting>
  <conditionalFormatting sqref="H204">
    <cfRule type="cellIs" dxfId="1555" priority="17035" stopIfTrue="1" operator="equal">
      <formula>"cumple"</formula>
    </cfRule>
    <cfRule type="containsText" dxfId="1554" priority="17036" stopIfTrue="1" operator="containsText" text="NO CUMPLE">
      <formula>NOT(ISERROR(SEARCH("NO CUMPLE",H204)))</formula>
    </cfRule>
  </conditionalFormatting>
  <conditionalFormatting sqref="V184:V185">
    <cfRule type="cellIs" dxfId="1553" priority="17034" stopIfTrue="1" operator="greaterThan">
      <formula>0</formula>
    </cfRule>
  </conditionalFormatting>
  <conditionalFormatting sqref="V186">
    <cfRule type="cellIs" dxfId="1552" priority="17033" stopIfTrue="1" operator="greaterThan">
      <formula>0</formula>
    </cfRule>
  </conditionalFormatting>
  <conditionalFormatting sqref="V187">
    <cfRule type="cellIs" dxfId="1551" priority="17032" stopIfTrue="1" operator="greaterThan">
      <formula>0</formula>
    </cfRule>
  </conditionalFormatting>
  <conditionalFormatting sqref="V188">
    <cfRule type="cellIs" dxfId="1550" priority="17031" stopIfTrue="1" operator="greaterThan">
      <formula>0</formula>
    </cfRule>
  </conditionalFormatting>
  <conditionalFormatting sqref="V189">
    <cfRule type="cellIs" dxfId="1549" priority="17030" stopIfTrue="1" operator="greaterThan">
      <formula>0</formula>
    </cfRule>
  </conditionalFormatting>
  <conditionalFormatting sqref="O195">
    <cfRule type="cellIs" dxfId="1548" priority="17028" stopIfTrue="1" operator="equal">
      <formula>"cumple"</formula>
    </cfRule>
    <cfRule type="containsText" dxfId="1547" priority="17029" stopIfTrue="1" operator="containsText" text="NO CUMPLE">
      <formula>NOT(ISERROR(SEARCH("NO CUMPLE",O195)))</formula>
    </cfRule>
  </conditionalFormatting>
  <conditionalFormatting sqref="X184:X189">
    <cfRule type="cellIs" dxfId="1546" priority="17026" stopIfTrue="1" operator="equal">
      <formula>"NO"</formula>
    </cfRule>
    <cfRule type="cellIs" dxfId="1545" priority="17027" stopIfTrue="1" operator="equal">
      <formula>"SI"</formula>
    </cfRule>
  </conditionalFormatting>
  <conditionalFormatting sqref="B201">
    <cfRule type="cellIs" dxfId="1544" priority="17024" stopIfTrue="1" operator="equal">
      <formula>"cumple"</formula>
    </cfRule>
    <cfRule type="containsText" dxfId="1543" priority="17025" stopIfTrue="1" operator="containsText" text="NO CUMPLE">
      <formula>NOT(ISERROR(SEARCH("NO CUMPLE",B201)))</formula>
    </cfRule>
  </conditionalFormatting>
  <conditionalFormatting sqref="B202">
    <cfRule type="cellIs" dxfId="1542" priority="17022" stopIfTrue="1" operator="equal">
      <formula>"cumple"</formula>
    </cfRule>
    <cfRule type="containsText" dxfId="1541" priority="17023" stopIfTrue="1" operator="containsText" text="NO CUMPLE">
      <formula>NOT(ISERROR(SEARCH("NO CUMPLE",B202)))</formula>
    </cfRule>
  </conditionalFormatting>
  <conditionalFormatting sqref="G202">
    <cfRule type="cellIs" dxfId="1540" priority="17020" stopIfTrue="1" operator="equal">
      <formula>"cumple"</formula>
    </cfRule>
    <cfRule type="containsText" dxfId="1539" priority="17021" stopIfTrue="1" operator="containsText" text="NO CUMPLE">
      <formula>NOT(ISERROR(SEARCH("NO CUMPLE",G202)))</formula>
    </cfRule>
  </conditionalFormatting>
  <conditionalFormatting sqref="G203">
    <cfRule type="cellIs" dxfId="1538" priority="17018" stopIfTrue="1" operator="equal">
      <formula>"cumple"</formula>
    </cfRule>
    <cfRule type="containsText" dxfId="1537" priority="17019" stopIfTrue="1" operator="containsText" text="NO CUMPLE">
      <formula>NOT(ISERROR(SEARCH("NO CUMPLE",G203)))</formula>
    </cfRule>
  </conditionalFormatting>
  <conditionalFormatting sqref="X198">
    <cfRule type="cellIs" dxfId="1536" priority="17017" operator="equal">
      <formula>"VERIFICAR CUADRO"</formula>
    </cfRule>
  </conditionalFormatting>
  <conditionalFormatting sqref="AC198">
    <cfRule type="cellIs" dxfId="1535" priority="17015" stopIfTrue="1" operator="equal">
      <formula>"cumple"</formula>
    </cfRule>
    <cfRule type="containsText" dxfId="1534" priority="17016" stopIfTrue="1" operator="containsText" text="NO CUMPLE">
      <formula>NOT(ISERROR(SEARCH("NO CUMPLE",AC198)))</formula>
    </cfRule>
  </conditionalFormatting>
  <conditionalFormatting sqref="AC199:AC203">
    <cfRule type="cellIs" dxfId="1533" priority="17013" stopIfTrue="1" operator="equal">
      <formula>"cumple"</formula>
    </cfRule>
    <cfRule type="containsText" dxfId="1532" priority="17014" stopIfTrue="1" operator="containsText" text="NO CUMPLE">
      <formula>NOT(ISERROR(SEARCH("NO CUMPLE",AC199)))</formula>
    </cfRule>
  </conditionalFormatting>
  <conditionalFormatting sqref="X204">
    <cfRule type="cellIs" dxfId="1531" priority="17011" stopIfTrue="1" operator="equal">
      <formula>"cumple"</formula>
    </cfRule>
    <cfRule type="containsText" dxfId="1530" priority="17012" stopIfTrue="1" operator="containsText" text="NO CUMPLE">
      <formula>NOT(ISERROR(SEARCH("NO CUMPLE",X204)))</formula>
    </cfRule>
  </conditionalFormatting>
  <conditionalFormatting sqref="AC184:AC189">
    <cfRule type="cellIs" dxfId="1529" priority="17008" operator="equal">
      <formula>"NO ACREDITA"</formula>
    </cfRule>
    <cfRule type="cellIs" dxfId="1528" priority="17009" stopIfTrue="1" operator="equal">
      <formula>"NO"</formula>
    </cfRule>
    <cfRule type="cellIs" dxfId="1527" priority="17010" stopIfTrue="1" operator="equal">
      <formula>"SI"</formula>
    </cfRule>
  </conditionalFormatting>
  <conditionalFormatting sqref="E196:E197">
    <cfRule type="cellIs" dxfId="1526" priority="17006" operator="greaterThan">
      <formula>0</formula>
    </cfRule>
    <cfRule type="cellIs" dxfId="1525" priority="17007" operator="equal">
      <formula>0</formula>
    </cfRule>
  </conditionalFormatting>
  <conditionalFormatting sqref="G196">
    <cfRule type="cellIs" dxfId="1524" priority="17005" stopIfTrue="1" operator="notBetween">
      <formula>"N/A"</formula>
      <formula>"REVISAR"</formula>
    </cfRule>
  </conditionalFormatting>
  <conditionalFormatting sqref="G196:G197">
    <cfRule type="cellIs" dxfId="1523" priority="17004" operator="equal">
      <formula>"REVISAR"</formula>
    </cfRule>
  </conditionalFormatting>
  <conditionalFormatting sqref="E200">
    <cfRule type="cellIs" dxfId="1522" priority="17003" operator="equal">
      <formula>"NO APLICA"</formula>
    </cfRule>
  </conditionalFormatting>
  <conditionalFormatting sqref="N195">
    <cfRule type="cellIs" dxfId="1521" priority="17001" stopIfTrue="1" operator="equal">
      <formula>"cumple"</formula>
    </cfRule>
    <cfRule type="containsText" dxfId="1520" priority="17002" stopIfTrue="1" operator="containsText" text="NO CUMPLE">
      <formula>NOT(ISERROR(SEARCH("NO CUMPLE",N195)))</formula>
    </cfRule>
  </conditionalFormatting>
  <conditionalFormatting sqref="N198:N203">
    <cfRule type="cellIs" dxfId="1519" priority="16999" stopIfTrue="1" operator="equal">
      <formula>"cumple"</formula>
    </cfRule>
    <cfRule type="containsText" dxfId="1518" priority="17000" stopIfTrue="1" operator="containsText" text="NO CUMPLE">
      <formula>NOT(ISERROR(SEARCH("NO CUMPLE",N198)))</formula>
    </cfRule>
  </conditionalFormatting>
  <conditionalFormatting sqref="N204">
    <cfRule type="cellIs" dxfId="1517" priority="16997" stopIfTrue="1" operator="equal">
      <formula>"cumple"</formula>
    </cfRule>
    <cfRule type="containsText" dxfId="1516" priority="16998" stopIfTrue="1" operator="containsText" text="NO CUMPLE">
      <formula>NOT(ISERROR(SEARCH("NO CUMPLE",N204)))</formula>
    </cfRule>
  </conditionalFormatting>
  <conditionalFormatting sqref="M211:N216 P211:R216">
    <cfRule type="cellIs" dxfId="1515" priority="16995" stopIfTrue="1" operator="lessThan">
      <formula>0</formula>
    </cfRule>
  </conditionalFormatting>
  <conditionalFormatting sqref="U212 P211:R216 T212:T216 B211:N216 T211:U211">
    <cfRule type="cellIs" dxfId="1514" priority="16994" stopIfTrue="1" operator="greaterThan">
      <formula>0</formula>
    </cfRule>
  </conditionalFormatting>
  <conditionalFormatting sqref="R212:R216">
    <cfRule type="cellIs" dxfId="1513" priority="16993" stopIfTrue="1" operator="lessThan">
      <formula>0</formula>
    </cfRule>
  </conditionalFormatting>
  <conditionalFormatting sqref="O211:O216">
    <cfRule type="cellIs" dxfId="1512" priority="16992" stopIfTrue="1" operator="greaterThan">
      <formula>0</formula>
    </cfRule>
  </conditionalFormatting>
  <conditionalFormatting sqref="U213">
    <cfRule type="cellIs" dxfId="1511" priority="16991" stopIfTrue="1" operator="greaterThan">
      <formula>0</formula>
    </cfRule>
  </conditionalFormatting>
  <conditionalFormatting sqref="U214">
    <cfRule type="cellIs" dxfId="1510" priority="16990" stopIfTrue="1" operator="greaterThan">
      <formula>0</formula>
    </cfRule>
  </conditionalFormatting>
  <conditionalFormatting sqref="U215">
    <cfRule type="cellIs" dxfId="1509" priority="16989" stopIfTrue="1" operator="greaterThan">
      <formula>0</formula>
    </cfRule>
  </conditionalFormatting>
  <conditionalFormatting sqref="U216">
    <cfRule type="cellIs" dxfId="1508" priority="16988" stopIfTrue="1" operator="greaterThan">
      <formula>0</formula>
    </cfRule>
  </conditionalFormatting>
  <conditionalFormatting sqref="S212:S216">
    <cfRule type="cellIs" dxfId="1507" priority="16987" stopIfTrue="1" operator="lessThan">
      <formula>0</formula>
    </cfRule>
  </conditionalFormatting>
  <conditionalFormatting sqref="S211:S216">
    <cfRule type="cellIs" dxfId="1506" priority="16986" stopIfTrue="1" operator="greaterThan">
      <formula>0</formula>
    </cfRule>
  </conditionalFormatting>
  <conditionalFormatting sqref="S211:S216">
    <cfRule type="cellIs" dxfId="1505" priority="16985" stopIfTrue="1" operator="lessThan">
      <formula>0</formula>
    </cfRule>
  </conditionalFormatting>
  <conditionalFormatting sqref="B221">
    <cfRule type="cellIs" dxfId="1504" priority="16983" stopIfTrue="1" operator="equal">
      <formula>"cumple"</formula>
    </cfRule>
    <cfRule type="containsText" dxfId="1503" priority="16984" stopIfTrue="1" operator="containsText" text="NO CUMPLE">
      <formula>NOT(ISERROR(SEARCH("NO CUMPLE",B221)))</formula>
    </cfRule>
  </conditionalFormatting>
  <conditionalFormatting sqref="B222">
    <cfRule type="cellIs" dxfId="1502" priority="16981" stopIfTrue="1" operator="equal">
      <formula>"cumple"</formula>
    </cfRule>
    <cfRule type="containsText" dxfId="1501" priority="16982" stopIfTrue="1" operator="containsText" text="NO CUMPLE">
      <formula>NOT(ISERROR(SEARCH("NO CUMPLE",B222)))</formula>
    </cfRule>
  </conditionalFormatting>
  <conditionalFormatting sqref="B223">
    <cfRule type="cellIs" dxfId="1500" priority="16979" stopIfTrue="1" operator="equal">
      <formula>"cumple"</formula>
    </cfRule>
    <cfRule type="containsText" dxfId="1499" priority="16980" stopIfTrue="1" operator="containsText" text="NO CUMPLE">
      <formula>NOT(ISERROR(SEARCH("NO CUMPLE",B223)))</formula>
    </cfRule>
  </conditionalFormatting>
  <conditionalFormatting sqref="B225">
    <cfRule type="cellIs" dxfId="1498" priority="16977" stopIfTrue="1" operator="equal">
      <formula>"cumple"</formula>
    </cfRule>
    <cfRule type="containsText" dxfId="1497" priority="16978" stopIfTrue="1" operator="containsText" text="NO CUMPLE">
      <formula>NOT(ISERROR(SEARCH("NO CUMPLE",B225)))</formula>
    </cfRule>
  </conditionalFormatting>
  <conditionalFormatting sqref="B226">
    <cfRule type="cellIs" dxfId="1496" priority="16975" stopIfTrue="1" operator="equal">
      <formula>"cumple"</formula>
    </cfRule>
    <cfRule type="containsText" dxfId="1495" priority="16976" stopIfTrue="1" operator="containsText" text="NO CUMPLE">
      <formula>NOT(ISERROR(SEARCH("NO CUMPLE",B226)))</formula>
    </cfRule>
  </conditionalFormatting>
  <conditionalFormatting sqref="F223">
    <cfRule type="cellIs" dxfId="1494" priority="16973" stopIfTrue="1" operator="equal">
      <formula>"cumple"</formula>
    </cfRule>
    <cfRule type="containsText" dxfId="1493" priority="16974" stopIfTrue="1" operator="containsText" text="NO CUMPLE">
      <formula>NOT(ISERROR(SEARCH("NO CUMPLE",F223)))</formula>
    </cfRule>
  </conditionalFormatting>
  <conditionalFormatting sqref="E226:F226">
    <cfRule type="cellIs" dxfId="1492" priority="16971" stopIfTrue="1" operator="equal">
      <formula>"cumple"</formula>
    </cfRule>
    <cfRule type="containsText" dxfId="1491" priority="16972" stopIfTrue="1" operator="containsText" text="NO CUMPLE">
      <formula>NOT(ISERROR(SEARCH("NO CUMPLE",E226)))</formula>
    </cfRule>
  </conditionalFormatting>
  <conditionalFormatting sqref="G226">
    <cfRule type="cellIs" dxfId="1490" priority="16969" stopIfTrue="1" operator="equal">
      <formula>"cumple"</formula>
    </cfRule>
    <cfRule type="containsText" dxfId="1489" priority="16970" stopIfTrue="1" operator="containsText" text="NO CUMPLE">
      <formula>NOT(ISERROR(SEARCH("NO CUMPLE",G226)))</formula>
    </cfRule>
  </conditionalFormatting>
  <conditionalFormatting sqref="G227">
    <cfRule type="cellIs" dxfId="1488" priority="16967" stopIfTrue="1" operator="equal">
      <formula>"cumple"</formula>
    </cfRule>
    <cfRule type="containsText" dxfId="1487" priority="16968" stopIfTrue="1" operator="containsText" text="NO CUMPLE">
      <formula>NOT(ISERROR(SEARCH("NO CUMPLE",G227)))</formula>
    </cfRule>
  </conditionalFormatting>
  <conditionalFormatting sqref="H221">
    <cfRule type="cellIs" dxfId="1486" priority="16965" stopIfTrue="1" operator="equal">
      <formula>"cumple"</formula>
    </cfRule>
    <cfRule type="containsText" dxfId="1485" priority="16966" stopIfTrue="1" operator="containsText" text="NO CUMPLE">
      <formula>NOT(ISERROR(SEARCH("NO CUMPLE",H221)))</formula>
    </cfRule>
  </conditionalFormatting>
  <conditionalFormatting sqref="M222">
    <cfRule type="cellIs" dxfId="1484" priority="16963" stopIfTrue="1" operator="equal">
      <formula>"cumple"</formula>
    </cfRule>
    <cfRule type="containsText" dxfId="1483" priority="16964" stopIfTrue="1" operator="containsText" text="NO CUMPLE">
      <formula>NOT(ISERROR(SEARCH("NO CUMPLE",M222)))</formula>
    </cfRule>
  </conditionalFormatting>
  <conditionalFormatting sqref="J223:J224">
    <cfRule type="cellIs" dxfId="1482" priority="16961" stopIfTrue="1" operator="equal">
      <formula>"cumple"</formula>
    </cfRule>
    <cfRule type="containsText" dxfId="1481" priority="16962" stopIfTrue="1" operator="containsText" text="NO CUMPLE">
      <formula>NOT(ISERROR(SEARCH("NO CUMPLE",J223)))</formula>
    </cfRule>
  </conditionalFormatting>
  <conditionalFormatting sqref="K223:K224">
    <cfRule type="cellIs" dxfId="1480" priority="16959" stopIfTrue="1" operator="equal">
      <formula>"cumple"</formula>
    </cfRule>
    <cfRule type="containsText" dxfId="1479" priority="16960" stopIfTrue="1" operator="containsText" text="NO CUMPLE">
      <formula>NOT(ISERROR(SEARCH("NO CUMPLE",K223)))</formula>
    </cfRule>
  </conditionalFormatting>
  <conditionalFormatting sqref="L223:L224">
    <cfRule type="cellIs" dxfId="1478" priority="16957" stopIfTrue="1" operator="equal">
      <formula>"cumple"</formula>
    </cfRule>
    <cfRule type="containsText" dxfId="1477" priority="16958" stopIfTrue="1" operator="containsText" text="NO CUMPLE">
      <formula>NOT(ISERROR(SEARCH("NO CUMPLE",L223)))</formula>
    </cfRule>
  </conditionalFormatting>
  <conditionalFormatting sqref="L225:L230">
    <cfRule type="cellIs" dxfId="1476" priority="16955" stopIfTrue="1" operator="equal">
      <formula>"cumple"</formula>
    </cfRule>
    <cfRule type="containsText" dxfId="1475" priority="16956" stopIfTrue="1" operator="containsText" text="NO CUMPLE">
      <formula>NOT(ISERROR(SEARCH("NO CUMPLE",L225)))</formula>
    </cfRule>
  </conditionalFormatting>
  <conditionalFormatting sqref="M225">
    <cfRule type="cellIs" dxfId="1474" priority="16953" stopIfTrue="1" operator="equal">
      <formula>"cumple"</formula>
    </cfRule>
    <cfRule type="containsText" dxfId="1473" priority="16954" stopIfTrue="1" operator="containsText" text="NO CUMPLE">
      <formula>NOT(ISERROR(SEARCH("NO CUMPLE",M225)))</formula>
    </cfRule>
  </conditionalFormatting>
  <conditionalFormatting sqref="M226:M230">
    <cfRule type="cellIs" dxfId="1472" priority="16951" stopIfTrue="1" operator="equal">
      <formula>"cumple"</formula>
    </cfRule>
    <cfRule type="containsText" dxfId="1471" priority="16952" stopIfTrue="1" operator="containsText" text="NO CUMPLE">
      <formula>NOT(ISERROR(SEARCH("NO CUMPLE",M226)))</formula>
    </cfRule>
  </conditionalFormatting>
  <conditionalFormatting sqref="M231">
    <cfRule type="cellIs" dxfId="1470" priority="16949" stopIfTrue="1" operator="equal">
      <formula>"cumple"</formula>
    </cfRule>
    <cfRule type="containsText" dxfId="1469" priority="16950" stopIfTrue="1" operator="containsText" text="NO CUMPLE">
      <formula>NOT(ISERROR(SEARCH("NO CUMPLE",M231)))</formula>
    </cfRule>
  </conditionalFormatting>
  <conditionalFormatting sqref="H231">
    <cfRule type="cellIs" dxfId="1468" priority="16947" stopIfTrue="1" operator="equal">
      <formula>"cumple"</formula>
    </cfRule>
    <cfRule type="containsText" dxfId="1467" priority="16948" stopIfTrue="1" operator="containsText" text="NO CUMPLE">
      <formula>NOT(ISERROR(SEARCH("NO CUMPLE",H231)))</formula>
    </cfRule>
  </conditionalFormatting>
  <conditionalFormatting sqref="V211:V212">
    <cfRule type="cellIs" dxfId="1466" priority="16946" stopIfTrue="1" operator="greaterThan">
      <formula>0</formula>
    </cfRule>
  </conditionalFormatting>
  <conditionalFormatting sqref="V213">
    <cfRule type="cellIs" dxfId="1465" priority="16945" stopIfTrue="1" operator="greaterThan">
      <formula>0</formula>
    </cfRule>
  </conditionalFormatting>
  <conditionalFormatting sqref="V214">
    <cfRule type="cellIs" dxfId="1464" priority="16944" stopIfTrue="1" operator="greaterThan">
      <formula>0</formula>
    </cfRule>
  </conditionalFormatting>
  <conditionalFormatting sqref="V215">
    <cfRule type="cellIs" dxfId="1463" priority="16943" stopIfTrue="1" operator="greaterThan">
      <formula>0</formula>
    </cfRule>
  </conditionalFormatting>
  <conditionalFormatting sqref="V216">
    <cfRule type="cellIs" dxfId="1462" priority="16942" stopIfTrue="1" operator="greaterThan">
      <formula>0</formula>
    </cfRule>
  </conditionalFormatting>
  <conditionalFormatting sqref="O222">
    <cfRule type="cellIs" dxfId="1461" priority="16940" stopIfTrue="1" operator="equal">
      <formula>"cumple"</formula>
    </cfRule>
    <cfRule type="containsText" dxfId="1460" priority="16941" stopIfTrue="1" operator="containsText" text="NO CUMPLE">
      <formula>NOT(ISERROR(SEARCH("NO CUMPLE",O222)))</formula>
    </cfRule>
  </conditionalFormatting>
  <conditionalFormatting sqref="X211:X216">
    <cfRule type="cellIs" dxfId="1459" priority="16938" stopIfTrue="1" operator="equal">
      <formula>"NO"</formula>
    </cfRule>
    <cfRule type="cellIs" dxfId="1458" priority="16939" stopIfTrue="1" operator="equal">
      <formula>"SI"</formula>
    </cfRule>
  </conditionalFormatting>
  <conditionalFormatting sqref="B228">
    <cfRule type="cellIs" dxfId="1457" priority="16936" stopIfTrue="1" operator="equal">
      <formula>"cumple"</formula>
    </cfRule>
    <cfRule type="containsText" dxfId="1456" priority="16937" stopIfTrue="1" operator="containsText" text="NO CUMPLE">
      <formula>NOT(ISERROR(SEARCH("NO CUMPLE",B228)))</formula>
    </cfRule>
  </conditionalFormatting>
  <conditionalFormatting sqref="B229">
    <cfRule type="cellIs" dxfId="1455" priority="16934" stopIfTrue="1" operator="equal">
      <formula>"cumple"</formula>
    </cfRule>
    <cfRule type="containsText" dxfId="1454" priority="16935" stopIfTrue="1" operator="containsText" text="NO CUMPLE">
      <formula>NOT(ISERROR(SEARCH("NO CUMPLE",B229)))</formula>
    </cfRule>
  </conditionalFormatting>
  <conditionalFormatting sqref="G229">
    <cfRule type="cellIs" dxfId="1453" priority="16932" stopIfTrue="1" operator="equal">
      <formula>"cumple"</formula>
    </cfRule>
    <cfRule type="containsText" dxfId="1452" priority="16933" stopIfTrue="1" operator="containsText" text="NO CUMPLE">
      <formula>NOT(ISERROR(SEARCH("NO CUMPLE",G229)))</formula>
    </cfRule>
  </conditionalFormatting>
  <conditionalFormatting sqref="G230">
    <cfRule type="cellIs" dxfId="1451" priority="16930" stopIfTrue="1" operator="equal">
      <formula>"cumple"</formula>
    </cfRule>
    <cfRule type="containsText" dxfId="1450" priority="16931" stopIfTrue="1" operator="containsText" text="NO CUMPLE">
      <formula>NOT(ISERROR(SEARCH("NO CUMPLE",G230)))</formula>
    </cfRule>
  </conditionalFormatting>
  <conditionalFormatting sqref="X225">
    <cfRule type="cellIs" dxfId="1449" priority="16929" operator="equal">
      <formula>"VERIFICAR CUADRO"</formula>
    </cfRule>
  </conditionalFormatting>
  <conditionalFormatting sqref="AC225">
    <cfRule type="cellIs" dxfId="1448" priority="16927" stopIfTrue="1" operator="equal">
      <formula>"cumple"</formula>
    </cfRule>
    <cfRule type="containsText" dxfId="1447" priority="16928" stopIfTrue="1" operator="containsText" text="NO CUMPLE">
      <formula>NOT(ISERROR(SEARCH("NO CUMPLE",AC225)))</formula>
    </cfRule>
  </conditionalFormatting>
  <conditionalFormatting sqref="AC226:AC230">
    <cfRule type="cellIs" dxfId="1446" priority="16925" stopIfTrue="1" operator="equal">
      <formula>"cumple"</formula>
    </cfRule>
    <cfRule type="containsText" dxfId="1445" priority="16926" stopIfTrue="1" operator="containsText" text="NO CUMPLE">
      <formula>NOT(ISERROR(SEARCH("NO CUMPLE",AC226)))</formula>
    </cfRule>
  </conditionalFormatting>
  <conditionalFormatting sqref="X231">
    <cfRule type="cellIs" dxfId="1444" priority="16923" stopIfTrue="1" operator="equal">
      <formula>"cumple"</formula>
    </cfRule>
    <cfRule type="containsText" dxfId="1443" priority="16924" stopIfTrue="1" operator="containsText" text="NO CUMPLE">
      <formula>NOT(ISERROR(SEARCH("NO CUMPLE",X231)))</formula>
    </cfRule>
  </conditionalFormatting>
  <conditionalFormatting sqref="AC211:AC216">
    <cfRule type="cellIs" dxfId="1442" priority="16920" operator="equal">
      <formula>"NO ACREDITA"</formula>
    </cfRule>
    <cfRule type="cellIs" dxfId="1441" priority="16921" stopIfTrue="1" operator="equal">
      <formula>"NO"</formula>
    </cfRule>
    <cfRule type="cellIs" dxfId="1440" priority="16922" stopIfTrue="1" operator="equal">
      <formula>"SI"</formula>
    </cfRule>
  </conditionalFormatting>
  <conditionalFormatting sqref="E223:E224">
    <cfRule type="cellIs" dxfId="1439" priority="16918" operator="greaterThan">
      <formula>0</formula>
    </cfRule>
    <cfRule type="cellIs" dxfId="1438" priority="16919" operator="equal">
      <formula>0</formula>
    </cfRule>
  </conditionalFormatting>
  <conditionalFormatting sqref="G223">
    <cfRule type="cellIs" dxfId="1437" priority="16917" stopIfTrue="1" operator="notBetween">
      <formula>"N/A"</formula>
      <formula>"REVISAR"</formula>
    </cfRule>
  </conditionalFormatting>
  <conditionalFormatting sqref="G223:G224">
    <cfRule type="cellIs" dxfId="1436" priority="16916" operator="equal">
      <formula>"REVISAR"</formula>
    </cfRule>
  </conditionalFormatting>
  <conditionalFormatting sqref="E227">
    <cfRule type="cellIs" dxfId="1435" priority="16915" operator="equal">
      <formula>"NO APLICA"</formula>
    </cfRule>
  </conditionalFormatting>
  <conditionalFormatting sqref="N222">
    <cfRule type="cellIs" dxfId="1434" priority="16913" stopIfTrue="1" operator="equal">
      <formula>"cumple"</formula>
    </cfRule>
    <cfRule type="containsText" dxfId="1433" priority="16914" stopIfTrue="1" operator="containsText" text="NO CUMPLE">
      <formula>NOT(ISERROR(SEARCH("NO CUMPLE",N222)))</formula>
    </cfRule>
  </conditionalFormatting>
  <conditionalFormatting sqref="N225:N230">
    <cfRule type="cellIs" dxfId="1432" priority="16911" stopIfTrue="1" operator="equal">
      <formula>"cumple"</formula>
    </cfRule>
    <cfRule type="containsText" dxfId="1431" priority="16912" stopIfTrue="1" operator="containsText" text="NO CUMPLE">
      <formula>NOT(ISERROR(SEARCH("NO CUMPLE",N225)))</formula>
    </cfRule>
  </conditionalFormatting>
  <conditionalFormatting sqref="N231">
    <cfRule type="cellIs" dxfId="1430" priority="16909" stopIfTrue="1" operator="equal">
      <formula>"cumple"</formula>
    </cfRule>
    <cfRule type="containsText" dxfId="1429" priority="16910" stopIfTrue="1" operator="containsText" text="NO CUMPLE">
      <formula>NOT(ISERROR(SEARCH("NO CUMPLE",N231)))</formula>
    </cfRule>
  </conditionalFormatting>
  <conditionalFormatting sqref="M238:N239 P238:R239 M241:N243 N240 P241:R243 P240:Q240">
    <cfRule type="cellIs" dxfId="1428" priority="16907" stopIfTrue="1" operator="lessThan">
      <formula>0</formula>
    </cfRule>
  </conditionalFormatting>
  <conditionalFormatting sqref="U239 P238:R239 T239:T243 B238:N239 T238:U238 B241:N243 G240:H240 N240 P241:R243 P240:Q240 J240">
    <cfRule type="cellIs" dxfId="1427" priority="16906" stopIfTrue="1" operator="greaterThan">
      <formula>0</formula>
    </cfRule>
  </conditionalFormatting>
  <conditionalFormatting sqref="R239 R241:R243">
    <cfRule type="cellIs" dxfId="1426" priority="16905" stopIfTrue="1" operator="lessThan">
      <formula>0</formula>
    </cfRule>
  </conditionalFormatting>
  <conditionalFormatting sqref="O238:O243">
    <cfRule type="cellIs" dxfId="1425" priority="16904" stopIfTrue="1" operator="greaterThan">
      <formula>0</formula>
    </cfRule>
  </conditionalFormatting>
  <conditionalFormatting sqref="S238:S243">
    <cfRule type="cellIs" dxfId="1424" priority="16898" stopIfTrue="1" operator="greaterThan">
      <formula>0</formula>
    </cfRule>
  </conditionalFormatting>
  <conditionalFormatting sqref="U241">
    <cfRule type="cellIs" dxfId="1423" priority="16902" stopIfTrue="1" operator="greaterThan">
      <formula>0</formula>
    </cfRule>
  </conditionalFormatting>
  <conditionalFormatting sqref="U242">
    <cfRule type="cellIs" dxfId="1422" priority="16901" stopIfTrue="1" operator="greaterThan">
      <formula>0</formula>
    </cfRule>
  </conditionalFormatting>
  <conditionalFormatting sqref="U243">
    <cfRule type="cellIs" dxfId="1421" priority="16900" stopIfTrue="1" operator="greaterThan">
      <formula>0</formula>
    </cfRule>
  </conditionalFormatting>
  <conditionalFormatting sqref="S239:S243">
    <cfRule type="cellIs" dxfId="1420" priority="16899" stopIfTrue="1" operator="lessThan">
      <formula>0</formula>
    </cfRule>
  </conditionalFormatting>
  <conditionalFormatting sqref="S238:S243">
    <cfRule type="cellIs" dxfId="1419" priority="16897" stopIfTrue="1" operator="lessThan">
      <formula>0</formula>
    </cfRule>
  </conditionalFormatting>
  <conditionalFormatting sqref="B248">
    <cfRule type="cellIs" dxfId="1418" priority="16895" stopIfTrue="1" operator="equal">
      <formula>"cumple"</formula>
    </cfRule>
    <cfRule type="containsText" dxfId="1417" priority="16896" stopIfTrue="1" operator="containsText" text="NO CUMPLE">
      <formula>NOT(ISERROR(SEARCH("NO CUMPLE",B248)))</formula>
    </cfRule>
  </conditionalFormatting>
  <conditionalFormatting sqref="B249">
    <cfRule type="cellIs" dxfId="1416" priority="16893" stopIfTrue="1" operator="equal">
      <formula>"cumple"</formula>
    </cfRule>
    <cfRule type="containsText" dxfId="1415" priority="16894" stopIfTrue="1" operator="containsText" text="NO CUMPLE">
      <formula>NOT(ISERROR(SEARCH("NO CUMPLE",B249)))</formula>
    </cfRule>
  </conditionalFormatting>
  <conditionalFormatting sqref="B250">
    <cfRule type="cellIs" dxfId="1414" priority="16891" stopIfTrue="1" operator="equal">
      <formula>"cumple"</formula>
    </cfRule>
    <cfRule type="containsText" dxfId="1413" priority="16892" stopIfTrue="1" operator="containsText" text="NO CUMPLE">
      <formula>NOT(ISERROR(SEARCH("NO CUMPLE",B250)))</formula>
    </cfRule>
  </conditionalFormatting>
  <conditionalFormatting sqref="B252">
    <cfRule type="cellIs" dxfId="1412" priority="16889" stopIfTrue="1" operator="equal">
      <formula>"cumple"</formula>
    </cfRule>
    <cfRule type="containsText" dxfId="1411" priority="16890" stopIfTrue="1" operator="containsText" text="NO CUMPLE">
      <formula>NOT(ISERROR(SEARCH("NO CUMPLE",B252)))</formula>
    </cfRule>
  </conditionalFormatting>
  <conditionalFormatting sqref="B253">
    <cfRule type="cellIs" dxfId="1410" priority="16887" stopIfTrue="1" operator="equal">
      <formula>"cumple"</formula>
    </cfRule>
    <cfRule type="containsText" dxfId="1409" priority="16888" stopIfTrue="1" operator="containsText" text="NO CUMPLE">
      <formula>NOT(ISERROR(SEARCH("NO CUMPLE",B253)))</formula>
    </cfRule>
  </conditionalFormatting>
  <conditionalFormatting sqref="F250">
    <cfRule type="cellIs" dxfId="1408" priority="16885" stopIfTrue="1" operator="equal">
      <formula>"cumple"</formula>
    </cfRule>
    <cfRule type="containsText" dxfId="1407" priority="16886" stopIfTrue="1" operator="containsText" text="NO CUMPLE">
      <formula>NOT(ISERROR(SEARCH("NO CUMPLE",F250)))</formula>
    </cfRule>
  </conditionalFormatting>
  <conditionalFormatting sqref="E253:F253">
    <cfRule type="cellIs" dxfId="1406" priority="16883" stopIfTrue="1" operator="equal">
      <formula>"cumple"</formula>
    </cfRule>
    <cfRule type="containsText" dxfId="1405" priority="16884" stopIfTrue="1" operator="containsText" text="NO CUMPLE">
      <formula>NOT(ISERROR(SEARCH("NO CUMPLE",E253)))</formula>
    </cfRule>
  </conditionalFormatting>
  <conditionalFormatting sqref="G253">
    <cfRule type="cellIs" dxfId="1404" priority="16881" stopIfTrue="1" operator="equal">
      <formula>"cumple"</formula>
    </cfRule>
    <cfRule type="containsText" dxfId="1403" priority="16882" stopIfTrue="1" operator="containsText" text="NO CUMPLE">
      <formula>NOT(ISERROR(SEARCH("NO CUMPLE",G253)))</formula>
    </cfRule>
  </conditionalFormatting>
  <conditionalFormatting sqref="G254">
    <cfRule type="cellIs" dxfId="1402" priority="16879" stopIfTrue="1" operator="equal">
      <formula>"cumple"</formula>
    </cfRule>
    <cfRule type="containsText" dxfId="1401" priority="16880" stopIfTrue="1" operator="containsText" text="NO CUMPLE">
      <formula>NOT(ISERROR(SEARCH("NO CUMPLE",G254)))</formula>
    </cfRule>
  </conditionalFormatting>
  <conditionalFormatting sqref="H248">
    <cfRule type="cellIs" dxfId="1400" priority="16877" stopIfTrue="1" operator="equal">
      <formula>"cumple"</formula>
    </cfRule>
    <cfRule type="containsText" dxfId="1399" priority="16878" stopIfTrue="1" operator="containsText" text="NO CUMPLE">
      <formula>NOT(ISERROR(SEARCH("NO CUMPLE",H248)))</formula>
    </cfRule>
  </conditionalFormatting>
  <conditionalFormatting sqref="M249">
    <cfRule type="cellIs" dxfId="1398" priority="16875" stopIfTrue="1" operator="equal">
      <formula>"cumple"</formula>
    </cfRule>
    <cfRule type="containsText" dxfId="1397" priority="16876" stopIfTrue="1" operator="containsText" text="NO CUMPLE">
      <formula>NOT(ISERROR(SEARCH("NO CUMPLE",M249)))</formula>
    </cfRule>
  </conditionalFormatting>
  <conditionalFormatting sqref="J250:J251">
    <cfRule type="cellIs" dxfId="1396" priority="16873" stopIfTrue="1" operator="equal">
      <formula>"cumple"</formula>
    </cfRule>
    <cfRule type="containsText" dxfId="1395" priority="16874" stopIfTrue="1" operator="containsText" text="NO CUMPLE">
      <formula>NOT(ISERROR(SEARCH("NO CUMPLE",J250)))</formula>
    </cfRule>
  </conditionalFormatting>
  <conditionalFormatting sqref="K250:K251">
    <cfRule type="cellIs" dxfId="1394" priority="16871" stopIfTrue="1" operator="equal">
      <formula>"cumple"</formula>
    </cfRule>
    <cfRule type="containsText" dxfId="1393" priority="16872" stopIfTrue="1" operator="containsText" text="NO CUMPLE">
      <formula>NOT(ISERROR(SEARCH("NO CUMPLE",K250)))</formula>
    </cfRule>
  </conditionalFormatting>
  <conditionalFormatting sqref="L250:L251">
    <cfRule type="cellIs" dxfId="1392" priority="16869" stopIfTrue="1" operator="equal">
      <formula>"cumple"</formula>
    </cfRule>
    <cfRule type="containsText" dxfId="1391" priority="16870" stopIfTrue="1" operator="containsText" text="NO CUMPLE">
      <formula>NOT(ISERROR(SEARCH("NO CUMPLE",L250)))</formula>
    </cfRule>
  </conditionalFormatting>
  <conditionalFormatting sqref="L252:L257">
    <cfRule type="cellIs" dxfId="1390" priority="16867" stopIfTrue="1" operator="equal">
      <formula>"cumple"</formula>
    </cfRule>
    <cfRule type="containsText" dxfId="1389" priority="16868" stopIfTrue="1" operator="containsText" text="NO CUMPLE">
      <formula>NOT(ISERROR(SEARCH("NO CUMPLE",L252)))</formula>
    </cfRule>
  </conditionalFormatting>
  <conditionalFormatting sqref="M252">
    <cfRule type="cellIs" dxfId="1388" priority="16865" stopIfTrue="1" operator="equal">
      <formula>"cumple"</formula>
    </cfRule>
    <cfRule type="containsText" dxfId="1387" priority="16866" stopIfTrue="1" operator="containsText" text="NO CUMPLE">
      <formula>NOT(ISERROR(SEARCH("NO CUMPLE",M252)))</formula>
    </cfRule>
  </conditionalFormatting>
  <conditionalFormatting sqref="M253:M257">
    <cfRule type="cellIs" dxfId="1386" priority="16863" stopIfTrue="1" operator="equal">
      <formula>"cumple"</formula>
    </cfRule>
    <cfRule type="containsText" dxfId="1385" priority="16864" stopIfTrue="1" operator="containsText" text="NO CUMPLE">
      <formula>NOT(ISERROR(SEARCH("NO CUMPLE",M253)))</formula>
    </cfRule>
  </conditionalFormatting>
  <conditionalFormatting sqref="M258">
    <cfRule type="cellIs" dxfId="1384" priority="16861" stopIfTrue="1" operator="equal">
      <formula>"cumple"</formula>
    </cfRule>
    <cfRule type="containsText" dxfId="1383" priority="16862" stopIfTrue="1" operator="containsText" text="NO CUMPLE">
      <formula>NOT(ISERROR(SEARCH("NO CUMPLE",M258)))</formula>
    </cfRule>
  </conditionalFormatting>
  <conditionalFormatting sqref="H258">
    <cfRule type="cellIs" dxfId="1382" priority="16859" stopIfTrue="1" operator="equal">
      <formula>"cumple"</formula>
    </cfRule>
    <cfRule type="containsText" dxfId="1381" priority="16860" stopIfTrue="1" operator="containsText" text="NO CUMPLE">
      <formula>NOT(ISERROR(SEARCH("NO CUMPLE",H258)))</formula>
    </cfRule>
  </conditionalFormatting>
  <conditionalFormatting sqref="V238:V239">
    <cfRule type="cellIs" dxfId="1380" priority="16858" stopIfTrue="1" operator="greaterThan">
      <formula>0</formula>
    </cfRule>
  </conditionalFormatting>
  <conditionalFormatting sqref="V240">
    <cfRule type="cellIs" dxfId="1379" priority="16857" stopIfTrue="1" operator="greaterThan">
      <formula>0</formula>
    </cfRule>
  </conditionalFormatting>
  <conditionalFormatting sqref="V241">
    <cfRule type="cellIs" dxfId="1378" priority="16856" stopIfTrue="1" operator="greaterThan">
      <formula>0</formula>
    </cfRule>
  </conditionalFormatting>
  <conditionalFormatting sqref="V242">
    <cfRule type="cellIs" dxfId="1377" priority="16855" stopIfTrue="1" operator="greaterThan">
      <formula>0</formula>
    </cfRule>
  </conditionalFormatting>
  <conditionalFormatting sqref="V243">
    <cfRule type="cellIs" dxfId="1376" priority="16854" stopIfTrue="1" operator="greaterThan">
      <formula>0</formula>
    </cfRule>
  </conditionalFormatting>
  <conditionalFormatting sqref="O249">
    <cfRule type="cellIs" dxfId="1375" priority="16852" stopIfTrue="1" operator="equal">
      <formula>"cumple"</formula>
    </cfRule>
    <cfRule type="containsText" dxfId="1374" priority="16853" stopIfTrue="1" operator="containsText" text="NO CUMPLE">
      <formula>NOT(ISERROR(SEARCH("NO CUMPLE",O249)))</formula>
    </cfRule>
  </conditionalFormatting>
  <conditionalFormatting sqref="X238:X243">
    <cfRule type="cellIs" dxfId="1373" priority="16850" stopIfTrue="1" operator="equal">
      <formula>"NO"</formula>
    </cfRule>
    <cfRule type="cellIs" dxfId="1372" priority="16851" stopIfTrue="1" operator="equal">
      <formula>"SI"</formula>
    </cfRule>
  </conditionalFormatting>
  <conditionalFormatting sqref="B255">
    <cfRule type="cellIs" dxfId="1371" priority="16848" stopIfTrue="1" operator="equal">
      <formula>"cumple"</formula>
    </cfRule>
    <cfRule type="containsText" dxfId="1370" priority="16849" stopIfTrue="1" operator="containsText" text="NO CUMPLE">
      <formula>NOT(ISERROR(SEARCH("NO CUMPLE",B255)))</formula>
    </cfRule>
  </conditionalFormatting>
  <conditionalFormatting sqref="B256">
    <cfRule type="cellIs" dxfId="1369" priority="16846" stopIfTrue="1" operator="equal">
      <formula>"cumple"</formula>
    </cfRule>
    <cfRule type="containsText" dxfId="1368" priority="16847" stopIfTrue="1" operator="containsText" text="NO CUMPLE">
      <formula>NOT(ISERROR(SEARCH("NO CUMPLE",B256)))</formula>
    </cfRule>
  </conditionalFormatting>
  <conditionalFormatting sqref="G256">
    <cfRule type="cellIs" dxfId="1367" priority="16844" stopIfTrue="1" operator="equal">
      <formula>"cumple"</formula>
    </cfRule>
    <cfRule type="containsText" dxfId="1366" priority="16845" stopIfTrue="1" operator="containsText" text="NO CUMPLE">
      <formula>NOT(ISERROR(SEARCH("NO CUMPLE",G256)))</formula>
    </cfRule>
  </conditionalFormatting>
  <conditionalFormatting sqref="G257">
    <cfRule type="cellIs" dxfId="1365" priority="16842" stopIfTrue="1" operator="equal">
      <formula>"cumple"</formula>
    </cfRule>
    <cfRule type="containsText" dxfId="1364" priority="16843" stopIfTrue="1" operator="containsText" text="NO CUMPLE">
      <formula>NOT(ISERROR(SEARCH("NO CUMPLE",G257)))</formula>
    </cfRule>
  </conditionalFormatting>
  <conditionalFormatting sqref="X252">
    <cfRule type="cellIs" dxfId="1363" priority="16841" operator="equal">
      <formula>"VERIFICAR CUADRO"</formula>
    </cfRule>
  </conditionalFormatting>
  <conditionalFormatting sqref="AC252">
    <cfRule type="cellIs" dxfId="1362" priority="16839" stopIfTrue="1" operator="equal">
      <formula>"cumple"</formula>
    </cfRule>
    <cfRule type="containsText" dxfId="1361" priority="16840" stopIfTrue="1" operator="containsText" text="NO CUMPLE">
      <formula>NOT(ISERROR(SEARCH("NO CUMPLE",AC252)))</formula>
    </cfRule>
  </conditionalFormatting>
  <conditionalFormatting sqref="AC253:AC257">
    <cfRule type="cellIs" dxfId="1360" priority="16837" stopIfTrue="1" operator="equal">
      <formula>"cumple"</formula>
    </cfRule>
    <cfRule type="containsText" dxfId="1359" priority="16838" stopIfTrue="1" operator="containsText" text="NO CUMPLE">
      <formula>NOT(ISERROR(SEARCH("NO CUMPLE",AC253)))</formula>
    </cfRule>
  </conditionalFormatting>
  <conditionalFormatting sqref="X258">
    <cfRule type="cellIs" dxfId="1358" priority="16835" stopIfTrue="1" operator="equal">
      <formula>"cumple"</formula>
    </cfRule>
    <cfRule type="containsText" dxfId="1357" priority="16836" stopIfTrue="1" operator="containsText" text="NO CUMPLE">
      <formula>NOT(ISERROR(SEARCH("NO CUMPLE",X258)))</formula>
    </cfRule>
  </conditionalFormatting>
  <conditionalFormatting sqref="AC238:AC243">
    <cfRule type="cellIs" dxfId="1356" priority="16832" operator="equal">
      <formula>"NO ACREDITA"</formula>
    </cfRule>
    <cfRule type="cellIs" dxfId="1355" priority="16833" stopIfTrue="1" operator="equal">
      <formula>"NO"</formula>
    </cfRule>
    <cfRule type="cellIs" dxfId="1354" priority="16834" stopIfTrue="1" operator="equal">
      <formula>"SI"</formula>
    </cfRule>
  </conditionalFormatting>
  <conditionalFormatting sqref="E250:E251">
    <cfRule type="cellIs" dxfId="1353" priority="16830" operator="greaterThan">
      <formula>0</formula>
    </cfRule>
    <cfRule type="cellIs" dxfId="1352" priority="16831" operator="equal">
      <formula>0</formula>
    </cfRule>
  </conditionalFormatting>
  <conditionalFormatting sqref="G250">
    <cfRule type="cellIs" dxfId="1351" priority="16829" stopIfTrue="1" operator="notBetween">
      <formula>"N/A"</formula>
      <formula>"REVISAR"</formula>
    </cfRule>
  </conditionalFormatting>
  <conditionalFormatting sqref="G250:G251">
    <cfRule type="cellIs" dxfId="1350" priority="16828" operator="equal">
      <formula>"REVISAR"</formula>
    </cfRule>
  </conditionalFormatting>
  <conditionalFormatting sqref="E254">
    <cfRule type="cellIs" dxfId="1349" priority="16827" operator="equal">
      <formula>"NO APLICA"</formula>
    </cfRule>
  </conditionalFormatting>
  <conditionalFormatting sqref="N249">
    <cfRule type="cellIs" dxfId="1348" priority="16825" stopIfTrue="1" operator="equal">
      <formula>"cumple"</formula>
    </cfRule>
    <cfRule type="containsText" dxfId="1347" priority="16826" stopIfTrue="1" operator="containsText" text="NO CUMPLE">
      <formula>NOT(ISERROR(SEARCH("NO CUMPLE",N249)))</formula>
    </cfRule>
  </conditionalFormatting>
  <conditionalFormatting sqref="N252:N257">
    <cfRule type="cellIs" dxfId="1346" priority="16823" stopIfTrue="1" operator="equal">
      <formula>"cumple"</formula>
    </cfRule>
    <cfRule type="containsText" dxfId="1345" priority="16824" stopIfTrue="1" operator="containsText" text="NO CUMPLE">
      <formula>NOT(ISERROR(SEARCH("NO CUMPLE",N252)))</formula>
    </cfRule>
  </conditionalFormatting>
  <conditionalFormatting sqref="N258">
    <cfRule type="cellIs" dxfId="1344" priority="16821" stopIfTrue="1" operator="equal">
      <formula>"cumple"</formula>
    </cfRule>
    <cfRule type="containsText" dxfId="1343" priority="16822" stopIfTrue="1" operator="containsText" text="NO CUMPLE">
      <formula>NOT(ISERROR(SEARCH("NO CUMPLE",N258)))</formula>
    </cfRule>
  </conditionalFormatting>
  <conditionalFormatting sqref="M265:N270 P265:R270">
    <cfRule type="cellIs" dxfId="1342" priority="16819" stopIfTrue="1" operator="lessThan">
      <formula>0</formula>
    </cfRule>
  </conditionalFormatting>
  <conditionalFormatting sqref="U266 P265:R270 T266:T270 B265:N270 T265:U265">
    <cfRule type="cellIs" dxfId="1341" priority="16818" stopIfTrue="1" operator="greaterThan">
      <formula>0</formula>
    </cfRule>
  </conditionalFormatting>
  <conditionalFormatting sqref="R266:R270">
    <cfRule type="cellIs" dxfId="1340" priority="16817" stopIfTrue="1" operator="lessThan">
      <formula>0</formula>
    </cfRule>
  </conditionalFormatting>
  <conditionalFormatting sqref="O265:O270">
    <cfRule type="cellIs" dxfId="1339" priority="16816" stopIfTrue="1" operator="greaterThan">
      <formula>0</formula>
    </cfRule>
  </conditionalFormatting>
  <conditionalFormatting sqref="U267">
    <cfRule type="cellIs" dxfId="1338" priority="16815" stopIfTrue="1" operator="greaterThan">
      <formula>0</formula>
    </cfRule>
  </conditionalFormatting>
  <conditionalFormatting sqref="U268">
    <cfRule type="cellIs" dxfId="1337" priority="16814" stopIfTrue="1" operator="greaterThan">
      <formula>0</formula>
    </cfRule>
  </conditionalFormatting>
  <conditionalFormatting sqref="U269">
    <cfRule type="cellIs" dxfId="1336" priority="16813" stopIfTrue="1" operator="greaterThan">
      <formula>0</formula>
    </cfRule>
  </conditionalFormatting>
  <conditionalFormatting sqref="U270">
    <cfRule type="cellIs" dxfId="1335" priority="16812" stopIfTrue="1" operator="greaterThan">
      <formula>0</formula>
    </cfRule>
  </conditionalFormatting>
  <conditionalFormatting sqref="S266:S270">
    <cfRule type="cellIs" dxfId="1334" priority="16811" stopIfTrue="1" operator="lessThan">
      <formula>0</formula>
    </cfRule>
  </conditionalFormatting>
  <conditionalFormatting sqref="S265:S270">
    <cfRule type="cellIs" dxfId="1333" priority="16810" stopIfTrue="1" operator="greaterThan">
      <formula>0</formula>
    </cfRule>
  </conditionalFormatting>
  <conditionalFormatting sqref="S265:S270">
    <cfRule type="cellIs" dxfId="1332" priority="16809" stopIfTrue="1" operator="lessThan">
      <formula>0</formula>
    </cfRule>
  </conditionalFormatting>
  <conditionalFormatting sqref="B275">
    <cfRule type="cellIs" dxfId="1331" priority="16807" stopIfTrue="1" operator="equal">
      <formula>"cumple"</formula>
    </cfRule>
    <cfRule type="containsText" dxfId="1330" priority="16808" stopIfTrue="1" operator="containsText" text="NO CUMPLE">
      <formula>NOT(ISERROR(SEARCH("NO CUMPLE",B275)))</formula>
    </cfRule>
  </conditionalFormatting>
  <conditionalFormatting sqref="B276">
    <cfRule type="cellIs" dxfId="1329" priority="16805" stopIfTrue="1" operator="equal">
      <formula>"cumple"</formula>
    </cfRule>
    <cfRule type="containsText" dxfId="1328" priority="16806" stopIfTrue="1" operator="containsText" text="NO CUMPLE">
      <formula>NOT(ISERROR(SEARCH("NO CUMPLE",B276)))</formula>
    </cfRule>
  </conditionalFormatting>
  <conditionalFormatting sqref="B277">
    <cfRule type="cellIs" dxfId="1327" priority="16803" stopIfTrue="1" operator="equal">
      <formula>"cumple"</formula>
    </cfRule>
    <cfRule type="containsText" dxfId="1326" priority="16804" stopIfTrue="1" operator="containsText" text="NO CUMPLE">
      <formula>NOT(ISERROR(SEARCH("NO CUMPLE",B277)))</formula>
    </cfRule>
  </conditionalFormatting>
  <conditionalFormatting sqref="B279">
    <cfRule type="cellIs" dxfId="1325" priority="16801" stopIfTrue="1" operator="equal">
      <formula>"cumple"</formula>
    </cfRule>
    <cfRule type="containsText" dxfId="1324" priority="16802" stopIfTrue="1" operator="containsText" text="NO CUMPLE">
      <formula>NOT(ISERROR(SEARCH("NO CUMPLE",B279)))</formula>
    </cfRule>
  </conditionalFormatting>
  <conditionalFormatting sqref="B280">
    <cfRule type="cellIs" dxfId="1323" priority="16799" stopIfTrue="1" operator="equal">
      <formula>"cumple"</formula>
    </cfRule>
    <cfRule type="containsText" dxfId="1322" priority="16800" stopIfTrue="1" operator="containsText" text="NO CUMPLE">
      <formula>NOT(ISERROR(SEARCH("NO CUMPLE",B280)))</formula>
    </cfRule>
  </conditionalFormatting>
  <conditionalFormatting sqref="F277">
    <cfRule type="cellIs" dxfId="1321" priority="16797" stopIfTrue="1" operator="equal">
      <formula>"cumple"</formula>
    </cfRule>
    <cfRule type="containsText" dxfId="1320" priority="16798" stopIfTrue="1" operator="containsText" text="NO CUMPLE">
      <formula>NOT(ISERROR(SEARCH("NO CUMPLE",F277)))</formula>
    </cfRule>
  </conditionalFormatting>
  <conditionalFormatting sqref="E280:F280">
    <cfRule type="cellIs" dxfId="1319" priority="16795" stopIfTrue="1" operator="equal">
      <formula>"cumple"</formula>
    </cfRule>
    <cfRule type="containsText" dxfId="1318" priority="16796" stopIfTrue="1" operator="containsText" text="NO CUMPLE">
      <formula>NOT(ISERROR(SEARCH("NO CUMPLE",E280)))</formula>
    </cfRule>
  </conditionalFormatting>
  <conditionalFormatting sqref="G280">
    <cfRule type="cellIs" dxfId="1317" priority="16793" stopIfTrue="1" operator="equal">
      <formula>"cumple"</formula>
    </cfRule>
    <cfRule type="containsText" dxfId="1316" priority="16794" stopIfTrue="1" operator="containsText" text="NO CUMPLE">
      <formula>NOT(ISERROR(SEARCH("NO CUMPLE",G280)))</formula>
    </cfRule>
  </conditionalFormatting>
  <conditionalFormatting sqref="G281">
    <cfRule type="cellIs" dxfId="1315" priority="16791" stopIfTrue="1" operator="equal">
      <formula>"cumple"</formula>
    </cfRule>
    <cfRule type="containsText" dxfId="1314" priority="16792" stopIfTrue="1" operator="containsText" text="NO CUMPLE">
      <formula>NOT(ISERROR(SEARCH("NO CUMPLE",G281)))</formula>
    </cfRule>
  </conditionalFormatting>
  <conditionalFormatting sqref="H275">
    <cfRule type="cellIs" dxfId="1313" priority="16789" stopIfTrue="1" operator="equal">
      <formula>"cumple"</formula>
    </cfRule>
    <cfRule type="containsText" dxfId="1312" priority="16790" stopIfTrue="1" operator="containsText" text="NO CUMPLE">
      <formula>NOT(ISERROR(SEARCH("NO CUMPLE",H275)))</formula>
    </cfRule>
  </conditionalFormatting>
  <conditionalFormatting sqref="M276">
    <cfRule type="cellIs" dxfId="1311" priority="16787" stopIfTrue="1" operator="equal">
      <formula>"cumple"</formula>
    </cfRule>
    <cfRule type="containsText" dxfId="1310" priority="16788" stopIfTrue="1" operator="containsText" text="NO CUMPLE">
      <formula>NOT(ISERROR(SEARCH("NO CUMPLE",M276)))</formula>
    </cfRule>
  </conditionalFormatting>
  <conditionalFormatting sqref="J277:J278">
    <cfRule type="cellIs" dxfId="1309" priority="16785" stopIfTrue="1" operator="equal">
      <formula>"cumple"</formula>
    </cfRule>
    <cfRule type="containsText" dxfId="1308" priority="16786" stopIfTrue="1" operator="containsText" text="NO CUMPLE">
      <formula>NOT(ISERROR(SEARCH("NO CUMPLE",J277)))</formula>
    </cfRule>
  </conditionalFormatting>
  <conditionalFormatting sqref="K277:K278">
    <cfRule type="cellIs" dxfId="1307" priority="16783" stopIfTrue="1" operator="equal">
      <formula>"cumple"</formula>
    </cfRule>
    <cfRule type="containsText" dxfId="1306" priority="16784" stopIfTrue="1" operator="containsText" text="NO CUMPLE">
      <formula>NOT(ISERROR(SEARCH("NO CUMPLE",K277)))</formula>
    </cfRule>
  </conditionalFormatting>
  <conditionalFormatting sqref="L277:L278">
    <cfRule type="cellIs" dxfId="1305" priority="16781" stopIfTrue="1" operator="equal">
      <formula>"cumple"</formula>
    </cfRule>
    <cfRule type="containsText" dxfId="1304" priority="16782" stopIfTrue="1" operator="containsText" text="NO CUMPLE">
      <formula>NOT(ISERROR(SEARCH("NO CUMPLE",L277)))</formula>
    </cfRule>
  </conditionalFormatting>
  <conditionalFormatting sqref="L279:L284">
    <cfRule type="cellIs" dxfId="1303" priority="16779" stopIfTrue="1" operator="equal">
      <formula>"cumple"</formula>
    </cfRule>
    <cfRule type="containsText" dxfId="1302" priority="16780" stopIfTrue="1" operator="containsText" text="NO CUMPLE">
      <formula>NOT(ISERROR(SEARCH("NO CUMPLE",L279)))</formula>
    </cfRule>
  </conditionalFormatting>
  <conditionalFormatting sqref="M279">
    <cfRule type="cellIs" dxfId="1301" priority="16777" stopIfTrue="1" operator="equal">
      <formula>"cumple"</formula>
    </cfRule>
    <cfRule type="containsText" dxfId="1300" priority="16778" stopIfTrue="1" operator="containsText" text="NO CUMPLE">
      <formula>NOT(ISERROR(SEARCH("NO CUMPLE",M279)))</formula>
    </cfRule>
  </conditionalFormatting>
  <conditionalFormatting sqref="M280:M284">
    <cfRule type="cellIs" dxfId="1299" priority="16775" stopIfTrue="1" operator="equal">
      <formula>"cumple"</formula>
    </cfRule>
    <cfRule type="containsText" dxfId="1298" priority="16776" stopIfTrue="1" operator="containsText" text="NO CUMPLE">
      <formula>NOT(ISERROR(SEARCH("NO CUMPLE",M280)))</formula>
    </cfRule>
  </conditionalFormatting>
  <conditionalFormatting sqref="M285">
    <cfRule type="cellIs" dxfId="1297" priority="16773" stopIfTrue="1" operator="equal">
      <formula>"cumple"</formula>
    </cfRule>
    <cfRule type="containsText" dxfId="1296" priority="16774" stopIfTrue="1" operator="containsText" text="NO CUMPLE">
      <formula>NOT(ISERROR(SEARCH("NO CUMPLE",M285)))</formula>
    </cfRule>
  </conditionalFormatting>
  <conditionalFormatting sqref="H285">
    <cfRule type="cellIs" dxfId="1295" priority="16771" stopIfTrue="1" operator="equal">
      <formula>"cumple"</formula>
    </cfRule>
    <cfRule type="containsText" dxfId="1294" priority="16772" stopIfTrue="1" operator="containsText" text="NO CUMPLE">
      <formula>NOT(ISERROR(SEARCH("NO CUMPLE",H285)))</formula>
    </cfRule>
  </conditionalFormatting>
  <conditionalFormatting sqref="V265:V266">
    <cfRule type="cellIs" dxfId="1293" priority="16770" stopIfTrue="1" operator="greaterThan">
      <formula>0</formula>
    </cfRule>
  </conditionalFormatting>
  <conditionalFormatting sqref="V267">
    <cfRule type="cellIs" dxfId="1292" priority="16769" stopIfTrue="1" operator="greaterThan">
      <formula>0</formula>
    </cfRule>
  </conditionalFormatting>
  <conditionalFormatting sqref="V268">
    <cfRule type="cellIs" dxfId="1291" priority="16768" stopIfTrue="1" operator="greaterThan">
      <formula>0</formula>
    </cfRule>
  </conditionalFormatting>
  <conditionalFormatting sqref="V269">
    <cfRule type="cellIs" dxfId="1290" priority="16767" stopIfTrue="1" operator="greaterThan">
      <formula>0</formula>
    </cfRule>
  </conditionalFormatting>
  <conditionalFormatting sqref="V270">
    <cfRule type="cellIs" dxfId="1289" priority="16766" stopIfTrue="1" operator="greaterThan">
      <formula>0</formula>
    </cfRule>
  </conditionalFormatting>
  <conditionalFormatting sqref="O276">
    <cfRule type="cellIs" dxfId="1288" priority="16764" stopIfTrue="1" operator="equal">
      <formula>"cumple"</formula>
    </cfRule>
    <cfRule type="containsText" dxfId="1287" priority="16765" stopIfTrue="1" operator="containsText" text="NO CUMPLE">
      <formula>NOT(ISERROR(SEARCH("NO CUMPLE",O276)))</formula>
    </cfRule>
  </conditionalFormatting>
  <conditionalFormatting sqref="X265:X270">
    <cfRule type="cellIs" dxfId="1286" priority="16762" stopIfTrue="1" operator="equal">
      <formula>"NO"</formula>
    </cfRule>
    <cfRule type="cellIs" dxfId="1285" priority="16763" stopIfTrue="1" operator="equal">
      <formula>"SI"</formula>
    </cfRule>
  </conditionalFormatting>
  <conditionalFormatting sqref="B282">
    <cfRule type="cellIs" dxfId="1284" priority="16760" stopIfTrue="1" operator="equal">
      <formula>"cumple"</formula>
    </cfRule>
    <cfRule type="containsText" dxfId="1283" priority="16761" stopIfTrue="1" operator="containsText" text="NO CUMPLE">
      <formula>NOT(ISERROR(SEARCH("NO CUMPLE",B282)))</formula>
    </cfRule>
  </conditionalFormatting>
  <conditionalFormatting sqref="B283">
    <cfRule type="cellIs" dxfId="1282" priority="16758" stopIfTrue="1" operator="equal">
      <formula>"cumple"</formula>
    </cfRule>
    <cfRule type="containsText" dxfId="1281" priority="16759" stopIfTrue="1" operator="containsText" text="NO CUMPLE">
      <formula>NOT(ISERROR(SEARCH("NO CUMPLE",B283)))</formula>
    </cfRule>
  </conditionalFormatting>
  <conditionalFormatting sqref="G283">
    <cfRule type="cellIs" dxfId="1280" priority="16756" stopIfTrue="1" operator="equal">
      <formula>"cumple"</formula>
    </cfRule>
    <cfRule type="containsText" dxfId="1279" priority="16757" stopIfTrue="1" operator="containsText" text="NO CUMPLE">
      <formula>NOT(ISERROR(SEARCH("NO CUMPLE",G283)))</formula>
    </cfRule>
  </conditionalFormatting>
  <conditionalFormatting sqref="G284">
    <cfRule type="cellIs" dxfId="1278" priority="16754" stopIfTrue="1" operator="equal">
      <formula>"cumple"</formula>
    </cfRule>
    <cfRule type="containsText" dxfId="1277" priority="16755" stopIfTrue="1" operator="containsText" text="NO CUMPLE">
      <formula>NOT(ISERROR(SEARCH("NO CUMPLE",G284)))</formula>
    </cfRule>
  </conditionalFormatting>
  <conditionalFormatting sqref="X279">
    <cfRule type="cellIs" dxfId="1276" priority="16753" operator="equal">
      <formula>"VERIFICAR CUADRO"</formula>
    </cfRule>
  </conditionalFormatting>
  <conditionalFormatting sqref="AC279">
    <cfRule type="cellIs" dxfId="1275" priority="16751" stopIfTrue="1" operator="equal">
      <formula>"cumple"</formula>
    </cfRule>
    <cfRule type="containsText" dxfId="1274" priority="16752" stopIfTrue="1" operator="containsText" text="NO CUMPLE">
      <formula>NOT(ISERROR(SEARCH("NO CUMPLE",AC279)))</formula>
    </cfRule>
  </conditionalFormatting>
  <conditionalFormatting sqref="AC280:AC284">
    <cfRule type="cellIs" dxfId="1273" priority="16749" stopIfTrue="1" operator="equal">
      <formula>"cumple"</formula>
    </cfRule>
    <cfRule type="containsText" dxfId="1272" priority="16750" stopIfTrue="1" operator="containsText" text="NO CUMPLE">
      <formula>NOT(ISERROR(SEARCH("NO CUMPLE",AC280)))</formula>
    </cfRule>
  </conditionalFormatting>
  <conditionalFormatting sqref="X285">
    <cfRule type="cellIs" dxfId="1271" priority="16747" stopIfTrue="1" operator="equal">
      <formula>"cumple"</formula>
    </cfRule>
    <cfRule type="containsText" dxfId="1270" priority="16748" stopIfTrue="1" operator="containsText" text="NO CUMPLE">
      <formula>NOT(ISERROR(SEARCH("NO CUMPLE",X285)))</formula>
    </cfRule>
  </conditionalFormatting>
  <conditionalFormatting sqref="AC265:AC270">
    <cfRule type="cellIs" dxfId="1269" priority="16744" operator="equal">
      <formula>"NO ACREDITA"</formula>
    </cfRule>
    <cfRule type="cellIs" dxfId="1268" priority="16745" stopIfTrue="1" operator="equal">
      <formula>"NO"</formula>
    </cfRule>
    <cfRule type="cellIs" dxfId="1267" priority="16746" stopIfTrue="1" operator="equal">
      <formula>"SI"</formula>
    </cfRule>
  </conditionalFormatting>
  <conditionalFormatting sqref="E277:E278">
    <cfRule type="cellIs" dxfId="1266" priority="16742" operator="greaterThan">
      <formula>0</formula>
    </cfRule>
    <cfRule type="cellIs" dxfId="1265" priority="16743" operator="equal">
      <formula>0</formula>
    </cfRule>
  </conditionalFormatting>
  <conditionalFormatting sqref="G277">
    <cfRule type="cellIs" dxfId="1264" priority="16741" stopIfTrue="1" operator="notBetween">
      <formula>"N/A"</formula>
      <formula>"REVISAR"</formula>
    </cfRule>
  </conditionalFormatting>
  <conditionalFormatting sqref="G277:G278">
    <cfRule type="cellIs" dxfId="1263" priority="16740" operator="equal">
      <formula>"REVISAR"</formula>
    </cfRule>
  </conditionalFormatting>
  <conditionalFormatting sqref="E281">
    <cfRule type="cellIs" dxfId="1262" priority="16739" operator="equal">
      <formula>"NO APLICA"</formula>
    </cfRule>
  </conditionalFormatting>
  <conditionalFormatting sqref="N276">
    <cfRule type="cellIs" dxfId="1261" priority="16737" stopIfTrue="1" operator="equal">
      <formula>"cumple"</formula>
    </cfRule>
    <cfRule type="containsText" dxfId="1260" priority="16738" stopIfTrue="1" operator="containsText" text="NO CUMPLE">
      <formula>NOT(ISERROR(SEARCH("NO CUMPLE",N276)))</formula>
    </cfRule>
  </conditionalFormatting>
  <conditionalFormatting sqref="N279:N284">
    <cfRule type="cellIs" dxfId="1259" priority="16735" stopIfTrue="1" operator="equal">
      <formula>"cumple"</formula>
    </cfRule>
    <cfRule type="containsText" dxfId="1258" priority="16736" stopIfTrue="1" operator="containsText" text="NO CUMPLE">
      <formula>NOT(ISERROR(SEARCH("NO CUMPLE",N279)))</formula>
    </cfRule>
  </conditionalFormatting>
  <conditionalFormatting sqref="N285">
    <cfRule type="cellIs" dxfId="1257" priority="16733" stopIfTrue="1" operator="equal">
      <formula>"cumple"</formula>
    </cfRule>
    <cfRule type="containsText" dxfId="1256" priority="16734" stopIfTrue="1" operator="containsText" text="NO CUMPLE">
      <formula>NOT(ISERROR(SEARCH("NO CUMPLE",N285)))</formula>
    </cfRule>
  </conditionalFormatting>
  <conditionalFormatting sqref="M292:N297 P292:R297">
    <cfRule type="cellIs" dxfId="1255" priority="16731" stopIfTrue="1" operator="lessThan">
      <formula>0</formula>
    </cfRule>
  </conditionalFormatting>
  <conditionalFormatting sqref="U293 P292:R297 T293:T297 B292:N297 T292:U292">
    <cfRule type="cellIs" dxfId="1254" priority="16730" stopIfTrue="1" operator="greaterThan">
      <formula>0</formula>
    </cfRule>
  </conditionalFormatting>
  <conditionalFormatting sqref="R293:R297">
    <cfRule type="cellIs" dxfId="1253" priority="16729" stopIfTrue="1" operator="lessThan">
      <formula>0</formula>
    </cfRule>
  </conditionalFormatting>
  <conditionalFormatting sqref="O292:O297">
    <cfRule type="cellIs" dxfId="1252" priority="16728" stopIfTrue="1" operator="greaterThan">
      <formula>0</formula>
    </cfRule>
  </conditionalFormatting>
  <conditionalFormatting sqref="U294">
    <cfRule type="cellIs" dxfId="1251" priority="16727" stopIfTrue="1" operator="greaterThan">
      <formula>0</formula>
    </cfRule>
  </conditionalFormatting>
  <conditionalFormatting sqref="U295">
    <cfRule type="cellIs" dxfId="1250" priority="16726" stopIfTrue="1" operator="greaterThan">
      <formula>0</formula>
    </cfRule>
  </conditionalFormatting>
  <conditionalFormatting sqref="U296">
    <cfRule type="cellIs" dxfId="1249" priority="16725" stopIfTrue="1" operator="greaterThan">
      <formula>0</formula>
    </cfRule>
  </conditionalFormatting>
  <conditionalFormatting sqref="U297">
    <cfRule type="cellIs" dxfId="1248" priority="16724" stopIfTrue="1" operator="greaterThan">
      <formula>0</formula>
    </cfRule>
  </conditionalFormatting>
  <conditionalFormatting sqref="S293:S297">
    <cfRule type="cellIs" dxfId="1247" priority="16723" stopIfTrue="1" operator="lessThan">
      <formula>0</formula>
    </cfRule>
  </conditionalFormatting>
  <conditionalFormatting sqref="S292:S297">
    <cfRule type="cellIs" dxfId="1246" priority="16722" stopIfTrue="1" operator="greaterThan">
      <formula>0</formula>
    </cfRule>
  </conditionalFormatting>
  <conditionalFormatting sqref="S292:S297">
    <cfRule type="cellIs" dxfId="1245" priority="16721" stopIfTrue="1" operator="lessThan">
      <formula>0</formula>
    </cfRule>
  </conditionalFormatting>
  <conditionalFormatting sqref="B302">
    <cfRule type="cellIs" dxfId="1244" priority="16719" stopIfTrue="1" operator="equal">
      <formula>"cumple"</formula>
    </cfRule>
    <cfRule type="containsText" dxfId="1243" priority="16720" stopIfTrue="1" operator="containsText" text="NO CUMPLE">
      <formula>NOT(ISERROR(SEARCH("NO CUMPLE",B302)))</formula>
    </cfRule>
  </conditionalFormatting>
  <conditionalFormatting sqref="B303">
    <cfRule type="cellIs" dxfId="1242" priority="16717" stopIfTrue="1" operator="equal">
      <formula>"cumple"</formula>
    </cfRule>
    <cfRule type="containsText" dxfId="1241" priority="16718" stopIfTrue="1" operator="containsText" text="NO CUMPLE">
      <formula>NOT(ISERROR(SEARCH("NO CUMPLE",B303)))</formula>
    </cfRule>
  </conditionalFormatting>
  <conditionalFormatting sqref="B304">
    <cfRule type="cellIs" dxfId="1240" priority="16715" stopIfTrue="1" operator="equal">
      <formula>"cumple"</formula>
    </cfRule>
    <cfRule type="containsText" dxfId="1239" priority="16716" stopIfTrue="1" operator="containsText" text="NO CUMPLE">
      <formula>NOT(ISERROR(SEARCH("NO CUMPLE",B304)))</formula>
    </cfRule>
  </conditionalFormatting>
  <conditionalFormatting sqref="B306">
    <cfRule type="cellIs" dxfId="1238" priority="16713" stopIfTrue="1" operator="equal">
      <formula>"cumple"</formula>
    </cfRule>
    <cfRule type="containsText" dxfId="1237" priority="16714" stopIfTrue="1" operator="containsText" text="NO CUMPLE">
      <formula>NOT(ISERROR(SEARCH("NO CUMPLE",B306)))</formula>
    </cfRule>
  </conditionalFormatting>
  <conditionalFormatting sqref="B307">
    <cfRule type="cellIs" dxfId="1236" priority="16711" stopIfTrue="1" operator="equal">
      <formula>"cumple"</formula>
    </cfRule>
    <cfRule type="containsText" dxfId="1235" priority="16712" stopIfTrue="1" operator="containsText" text="NO CUMPLE">
      <formula>NOT(ISERROR(SEARCH("NO CUMPLE",B307)))</formula>
    </cfRule>
  </conditionalFormatting>
  <conditionalFormatting sqref="F304">
    <cfRule type="cellIs" dxfId="1234" priority="16709" stopIfTrue="1" operator="equal">
      <formula>"cumple"</formula>
    </cfRule>
    <cfRule type="containsText" dxfId="1233" priority="16710" stopIfTrue="1" operator="containsText" text="NO CUMPLE">
      <formula>NOT(ISERROR(SEARCH("NO CUMPLE",F304)))</formula>
    </cfRule>
  </conditionalFormatting>
  <conditionalFormatting sqref="E307:F307">
    <cfRule type="cellIs" dxfId="1232" priority="16707" stopIfTrue="1" operator="equal">
      <formula>"cumple"</formula>
    </cfRule>
    <cfRule type="containsText" dxfId="1231" priority="16708" stopIfTrue="1" operator="containsText" text="NO CUMPLE">
      <formula>NOT(ISERROR(SEARCH("NO CUMPLE",E307)))</formula>
    </cfRule>
  </conditionalFormatting>
  <conditionalFormatting sqref="G307">
    <cfRule type="cellIs" dxfId="1230" priority="16705" stopIfTrue="1" operator="equal">
      <formula>"cumple"</formula>
    </cfRule>
    <cfRule type="containsText" dxfId="1229" priority="16706" stopIfTrue="1" operator="containsText" text="NO CUMPLE">
      <formula>NOT(ISERROR(SEARCH("NO CUMPLE",G307)))</formula>
    </cfRule>
  </conditionalFormatting>
  <conditionalFormatting sqref="G308">
    <cfRule type="cellIs" dxfId="1228" priority="16703" stopIfTrue="1" operator="equal">
      <formula>"cumple"</formula>
    </cfRule>
    <cfRule type="containsText" dxfId="1227" priority="16704" stopIfTrue="1" operator="containsText" text="NO CUMPLE">
      <formula>NOT(ISERROR(SEARCH("NO CUMPLE",G308)))</formula>
    </cfRule>
  </conditionalFormatting>
  <conditionalFormatting sqref="H302">
    <cfRule type="cellIs" dxfId="1226" priority="16701" stopIfTrue="1" operator="equal">
      <formula>"cumple"</formula>
    </cfRule>
    <cfRule type="containsText" dxfId="1225" priority="16702" stopIfTrue="1" operator="containsText" text="NO CUMPLE">
      <formula>NOT(ISERROR(SEARCH("NO CUMPLE",H302)))</formula>
    </cfRule>
  </conditionalFormatting>
  <conditionalFormatting sqref="M303">
    <cfRule type="cellIs" dxfId="1224" priority="16699" stopIfTrue="1" operator="equal">
      <formula>"cumple"</formula>
    </cfRule>
    <cfRule type="containsText" dxfId="1223" priority="16700" stopIfTrue="1" operator="containsText" text="NO CUMPLE">
      <formula>NOT(ISERROR(SEARCH("NO CUMPLE",M303)))</formula>
    </cfRule>
  </conditionalFormatting>
  <conditionalFormatting sqref="J304:J305">
    <cfRule type="cellIs" dxfId="1222" priority="16697" stopIfTrue="1" operator="equal">
      <formula>"cumple"</formula>
    </cfRule>
    <cfRule type="containsText" dxfId="1221" priority="16698" stopIfTrue="1" operator="containsText" text="NO CUMPLE">
      <formula>NOT(ISERROR(SEARCH("NO CUMPLE",J304)))</formula>
    </cfRule>
  </conditionalFormatting>
  <conditionalFormatting sqref="K304:K305">
    <cfRule type="cellIs" dxfId="1220" priority="16695" stopIfTrue="1" operator="equal">
      <formula>"cumple"</formula>
    </cfRule>
    <cfRule type="containsText" dxfId="1219" priority="16696" stopIfTrue="1" operator="containsText" text="NO CUMPLE">
      <formula>NOT(ISERROR(SEARCH("NO CUMPLE",K304)))</formula>
    </cfRule>
  </conditionalFormatting>
  <conditionalFormatting sqref="L304:L305">
    <cfRule type="cellIs" dxfId="1218" priority="16693" stopIfTrue="1" operator="equal">
      <formula>"cumple"</formula>
    </cfRule>
    <cfRule type="containsText" dxfId="1217" priority="16694" stopIfTrue="1" operator="containsText" text="NO CUMPLE">
      <formula>NOT(ISERROR(SEARCH("NO CUMPLE",L304)))</formula>
    </cfRule>
  </conditionalFormatting>
  <conditionalFormatting sqref="L306:L311">
    <cfRule type="cellIs" dxfId="1216" priority="16691" stopIfTrue="1" operator="equal">
      <formula>"cumple"</formula>
    </cfRule>
    <cfRule type="containsText" dxfId="1215" priority="16692" stopIfTrue="1" operator="containsText" text="NO CUMPLE">
      <formula>NOT(ISERROR(SEARCH("NO CUMPLE",L306)))</formula>
    </cfRule>
  </conditionalFormatting>
  <conditionalFormatting sqref="M306">
    <cfRule type="cellIs" dxfId="1214" priority="16689" stopIfTrue="1" operator="equal">
      <formula>"cumple"</formula>
    </cfRule>
    <cfRule type="containsText" dxfId="1213" priority="16690" stopIfTrue="1" operator="containsText" text="NO CUMPLE">
      <formula>NOT(ISERROR(SEARCH("NO CUMPLE",M306)))</formula>
    </cfRule>
  </conditionalFormatting>
  <conditionalFormatting sqref="M307:M311">
    <cfRule type="cellIs" dxfId="1212" priority="16687" stopIfTrue="1" operator="equal">
      <formula>"cumple"</formula>
    </cfRule>
    <cfRule type="containsText" dxfId="1211" priority="16688" stopIfTrue="1" operator="containsText" text="NO CUMPLE">
      <formula>NOT(ISERROR(SEARCH("NO CUMPLE",M307)))</formula>
    </cfRule>
  </conditionalFormatting>
  <conditionalFormatting sqref="M312">
    <cfRule type="cellIs" dxfId="1210" priority="16685" stopIfTrue="1" operator="equal">
      <formula>"cumple"</formula>
    </cfRule>
    <cfRule type="containsText" dxfId="1209" priority="16686" stopIfTrue="1" operator="containsText" text="NO CUMPLE">
      <formula>NOT(ISERROR(SEARCH("NO CUMPLE",M312)))</formula>
    </cfRule>
  </conditionalFormatting>
  <conditionalFormatting sqref="H312">
    <cfRule type="cellIs" dxfId="1208" priority="16683" stopIfTrue="1" operator="equal">
      <formula>"cumple"</formula>
    </cfRule>
    <cfRule type="containsText" dxfId="1207" priority="16684" stopIfTrue="1" operator="containsText" text="NO CUMPLE">
      <formula>NOT(ISERROR(SEARCH("NO CUMPLE",H312)))</formula>
    </cfRule>
  </conditionalFormatting>
  <conditionalFormatting sqref="V292:V293">
    <cfRule type="cellIs" dxfId="1206" priority="16682" stopIfTrue="1" operator="greaterThan">
      <formula>0</formula>
    </cfRule>
  </conditionalFormatting>
  <conditionalFormatting sqref="V294">
    <cfRule type="cellIs" dxfId="1205" priority="16681" stopIfTrue="1" operator="greaterThan">
      <formula>0</formula>
    </cfRule>
  </conditionalFormatting>
  <conditionalFormatting sqref="V295">
    <cfRule type="cellIs" dxfId="1204" priority="16680" stopIfTrue="1" operator="greaterThan">
      <formula>0</formula>
    </cfRule>
  </conditionalFormatting>
  <conditionalFormatting sqref="V296">
    <cfRule type="cellIs" dxfId="1203" priority="16679" stopIfTrue="1" operator="greaterThan">
      <formula>0</formula>
    </cfRule>
  </conditionalFormatting>
  <conditionalFormatting sqref="V297">
    <cfRule type="cellIs" dxfId="1202" priority="16678" stopIfTrue="1" operator="greaterThan">
      <formula>0</formula>
    </cfRule>
  </conditionalFormatting>
  <conditionalFormatting sqref="O303">
    <cfRule type="cellIs" dxfId="1201" priority="16676" stopIfTrue="1" operator="equal">
      <formula>"cumple"</formula>
    </cfRule>
    <cfRule type="containsText" dxfId="1200" priority="16677" stopIfTrue="1" operator="containsText" text="NO CUMPLE">
      <formula>NOT(ISERROR(SEARCH("NO CUMPLE",O303)))</formula>
    </cfRule>
  </conditionalFormatting>
  <conditionalFormatting sqref="X292:X297">
    <cfRule type="cellIs" dxfId="1199" priority="16674" stopIfTrue="1" operator="equal">
      <formula>"NO"</formula>
    </cfRule>
    <cfRule type="cellIs" dxfId="1198" priority="16675" stopIfTrue="1" operator="equal">
      <formula>"SI"</formula>
    </cfRule>
  </conditionalFormatting>
  <conditionalFormatting sqref="B309">
    <cfRule type="cellIs" dxfId="1197" priority="16672" stopIfTrue="1" operator="equal">
      <formula>"cumple"</formula>
    </cfRule>
    <cfRule type="containsText" dxfId="1196" priority="16673" stopIfTrue="1" operator="containsText" text="NO CUMPLE">
      <formula>NOT(ISERROR(SEARCH("NO CUMPLE",B309)))</formula>
    </cfRule>
  </conditionalFormatting>
  <conditionalFormatting sqref="B310">
    <cfRule type="cellIs" dxfId="1195" priority="16670" stopIfTrue="1" operator="equal">
      <formula>"cumple"</formula>
    </cfRule>
    <cfRule type="containsText" dxfId="1194" priority="16671" stopIfTrue="1" operator="containsText" text="NO CUMPLE">
      <formula>NOT(ISERROR(SEARCH("NO CUMPLE",B310)))</formula>
    </cfRule>
  </conditionalFormatting>
  <conditionalFormatting sqref="G310">
    <cfRule type="cellIs" dxfId="1193" priority="16668" stopIfTrue="1" operator="equal">
      <formula>"cumple"</formula>
    </cfRule>
    <cfRule type="containsText" dxfId="1192" priority="16669" stopIfTrue="1" operator="containsText" text="NO CUMPLE">
      <formula>NOT(ISERROR(SEARCH("NO CUMPLE",G310)))</formula>
    </cfRule>
  </conditionalFormatting>
  <conditionalFormatting sqref="G311">
    <cfRule type="cellIs" dxfId="1191" priority="16666" stopIfTrue="1" operator="equal">
      <formula>"cumple"</formula>
    </cfRule>
    <cfRule type="containsText" dxfId="1190" priority="16667" stopIfTrue="1" operator="containsText" text="NO CUMPLE">
      <formula>NOT(ISERROR(SEARCH("NO CUMPLE",G311)))</formula>
    </cfRule>
  </conditionalFormatting>
  <conditionalFormatting sqref="X306">
    <cfRule type="cellIs" dxfId="1189" priority="16665" operator="equal">
      <formula>"VERIFICAR CUADRO"</formula>
    </cfRule>
  </conditionalFormatting>
  <conditionalFormatting sqref="AC306">
    <cfRule type="cellIs" dxfId="1188" priority="16663" stopIfTrue="1" operator="equal">
      <formula>"cumple"</formula>
    </cfRule>
    <cfRule type="containsText" dxfId="1187" priority="16664" stopIfTrue="1" operator="containsText" text="NO CUMPLE">
      <formula>NOT(ISERROR(SEARCH("NO CUMPLE",AC306)))</formula>
    </cfRule>
  </conditionalFormatting>
  <conditionalFormatting sqref="AC307:AC311">
    <cfRule type="cellIs" dxfId="1186" priority="16661" stopIfTrue="1" operator="equal">
      <formula>"cumple"</formula>
    </cfRule>
    <cfRule type="containsText" dxfId="1185" priority="16662" stopIfTrue="1" operator="containsText" text="NO CUMPLE">
      <formula>NOT(ISERROR(SEARCH("NO CUMPLE",AC307)))</formula>
    </cfRule>
  </conditionalFormatting>
  <conditionalFormatting sqref="X312">
    <cfRule type="cellIs" dxfId="1184" priority="16659" stopIfTrue="1" operator="equal">
      <formula>"cumple"</formula>
    </cfRule>
    <cfRule type="containsText" dxfId="1183" priority="16660" stopIfTrue="1" operator="containsText" text="NO CUMPLE">
      <formula>NOT(ISERROR(SEARCH("NO CUMPLE",X312)))</formula>
    </cfRule>
  </conditionalFormatting>
  <conditionalFormatting sqref="AC292:AC297">
    <cfRule type="cellIs" dxfId="1182" priority="16656" operator="equal">
      <formula>"NO ACREDITA"</formula>
    </cfRule>
    <cfRule type="cellIs" dxfId="1181" priority="16657" stopIfTrue="1" operator="equal">
      <formula>"NO"</formula>
    </cfRule>
    <cfRule type="cellIs" dxfId="1180" priority="16658" stopIfTrue="1" operator="equal">
      <formula>"SI"</formula>
    </cfRule>
  </conditionalFormatting>
  <conditionalFormatting sqref="E304:E305">
    <cfRule type="cellIs" dxfId="1179" priority="16654" operator="greaterThan">
      <formula>0</formula>
    </cfRule>
    <cfRule type="cellIs" dxfId="1178" priority="16655" operator="equal">
      <formula>0</formula>
    </cfRule>
  </conditionalFormatting>
  <conditionalFormatting sqref="G304">
    <cfRule type="cellIs" dxfId="1177" priority="16653" stopIfTrue="1" operator="notBetween">
      <formula>"N/A"</formula>
      <formula>"REVISAR"</formula>
    </cfRule>
  </conditionalFormatting>
  <conditionalFormatting sqref="G304:G305">
    <cfRule type="cellIs" dxfId="1176" priority="16652" operator="equal">
      <formula>"REVISAR"</formula>
    </cfRule>
  </conditionalFormatting>
  <conditionalFormatting sqref="E308">
    <cfRule type="cellIs" dxfId="1175" priority="16651" operator="equal">
      <formula>"NO APLICA"</formula>
    </cfRule>
  </conditionalFormatting>
  <conditionalFormatting sqref="N303">
    <cfRule type="cellIs" dxfId="1174" priority="16649" stopIfTrue="1" operator="equal">
      <formula>"cumple"</formula>
    </cfRule>
    <cfRule type="containsText" dxfId="1173" priority="16650" stopIfTrue="1" operator="containsText" text="NO CUMPLE">
      <formula>NOT(ISERROR(SEARCH("NO CUMPLE",N303)))</formula>
    </cfRule>
  </conditionalFormatting>
  <conditionalFormatting sqref="N306:N311">
    <cfRule type="cellIs" dxfId="1172" priority="16647" stopIfTrue="1" operator="equal">
      <formula>"cumple"</formula>
    </cfRule>
    <cfRule type="containsText" dxfId="1171" priority="16648" stopIfTrue="1" operator="containsText" text="NO CUMPLE">
      <formula>NOT(ISERROR(SEARCH("NO CUMPLE",N306)))</formula>
    </cfRule>
  </conditionalFormatting>
  <conditionalFormatting sqref="N312">
    <cfRule type="cellIs" dxfId="1170" priority="16645" stopIfTrue="1" operator="equal">
      <formula>"cumple"</formula>
    </cfRule>
    <cfRule type="containsText" dxfId="1169" priority="16646" stopIfTrue="1" operator="containsText" text="NO CUMPLE">
      <formula>NOT(ISERROR(SEARCH("NO CUMPLE",N312)))</formula>
    </cfRule>
  </conditionalFormatting>
  <conditionalFormatting sqref="M319:N324 P319:R324">
    <cfRule type="cellIs" dxfId="1168" priority="16643" stopIfTrue="1" operator="lessThan">
      <formula>0</formula>
    </cfRule>
  </conditionalFormatting>
  <conditionalFormatting sqref="U320 P319:R324 T320:T324 B319:N324 T319:U319">
    <cfRule type="cellIs" dxfId="1167" priority="16642" stopIfTrue="1" operator="greaterThan">
      <formula>0</formula>
    </cfRule>
  </conditionalFormatting>
  <conditionalFormatting sqref="R320:R324">
    <cfRule type="cellIs" dxfId="1166" priority="16641" stopIfTrue="1" operator="lessThan">
      <formula>0</formula>
    </cfRule>
  </conditionalFormatting>
  <conditionalFormatting sqref="O319:O324">
    <cfRule type="cellIs" dxfId="1165" priority="16640" stopIfTrue="1" operator="greaterThan">
      <formula>0</formula>
    </cfRule>
  </conditionalFormatting>
  <conditionalFormatting sqref="U321">
    <cfRule type="cellIs" dxfId="1164" priority="16639" stopIfTrue="1" operator="greaterThan">
      <formula>0</formula>
    </cfRule>
  </conditionalFormatting>
  <conditionalFormatting sqref="U322">
    <cfRule type="cellIs" dxfId="1163" priority="16638" stopIfTrue="1" operator="greaterThan">
      <formula>0</formula>
    </cfRule>
  </conditionalFormatting>
  <conditionalFormatting sqref="U323">
    <cfRule type="cellIs" dxfId="1162" priority="16637" stopIfTrue="1" operator="greaterThan">
      <formula>0</formula>
    </cfRule>
  </conditionalFormatting>
  <conditionalFormatting sqref="U324">
    <cfRule type="cellIs" dxfId="1161" priority="16636" stopIfTrue="1" operator="greaterThan">
      <formula>0</formula>
    </cfRule>
  </conditionalFormatting>
  <conditionalFormatting sqref="S320:S324">
    <cfRule type="cellIs" dxfId="1160" priority="16635" stopIfTrue="1" operator="lessThan">
      <formula>0</formula>
    </cfRule>
  </conditionalFormatting>
  <conditionalFormatting sqref="S319:S324">
    <cfRule type="cellIs" dxfId="1159" priority="16634" stopIfTrue="1" operator="greaterThan">
      <formula>0</formula>
    </cfRule>
  </conditionalFormatting>
  <conditionalFormatting sqref="S319:S324">
    <cfRule type="cellIs" dxfId="1158" priority="16633" stopIfTrue="1" operator="lessThan">
      <formula>0</formula>
    </cfRule>
  </conditionalFormatting>
  <conditionalFormatting sqref="B329">
    <cfRule type="cellIs" dxfId="1157" priority="16631" stopIfTrue="1" operator="equal">
      <formula>"cumple"</formula>
    </cfRule>
    <cfRule type="containsText" dxfId="1156" priority="16632" stopIfTrue="1" operator="containsText" text="NO CUMPLE">
      <formula>NOT(ISERROR(SEARCH("NO CUMPLE",B329)))</formula>
    </cfRule>
  </conditionalFormatting>
  <conditionalFormatting sqref="B330">
    <cfRule type="cellIs" dxfId="1155" priority="16629" stopIfTrue="1" operator="equal">
      <formula>"cumple"</formula>
    </cfRule>
    <cfRule type="containsText" dxfId="1154" priority="16630" stopIfTrue="1" operator="containsText" text="NO CUMPLE">
      <formula>NOT(ISERROR(SEARCH("NO CUMPLE",B330)))</formula>
    </cfRule>
  </conditionalFormatting>
  <conditionalFormatting sqref="B331">
    <cfRule type="cellIs" dxfId="1153" priority="16627" stopIfTrue="1" operator="equal">
      <formula>"cumple"</formula>
    </cfRule>
    <cfRule type="containsText" dxfId="1152" priority="16628" stopIfTrue="1" operator="containsText" text="NO CUMPLE">
      <formula>NOT(ISERROR(SEARCH("NO CUMPLE",B331)))</formula>
    </cfRule>
  </conditionalFormatting>
  <conditionalFormatting sqref="B333">
    <cfRule type="cellIs" dxfId="1151" priority="16625" stopIfTrue="1" operator="equal">
      <formula>"cumple"</formula>
    </cfRule>
    <cfRule type="containsText" dxfId="1150" priority="16626" stopIfTrue="1" operator="containsText" text="NO CUMPLE">
      <formula>NOT(ISERROR(SEARCH("NO CUMPLE",B333)))</formula>
    </cfRule>
  </conditionalFormatting>
  <conditionalFormatting sqref="B334">
    <cfRule type="cellIs" dxfId="1149" priority="16623" stopIfTrue="1" operator="equal">
      <formula>"cumple"</formula>
    </cfRule>
    <cfRule type="containsText" dxfId="1148" priority="16624" stopIfTrue="1" operator="containsText" text="NO CUMPLE">
      <formula>NOT(ISERROR(SEARCH("NO CUMPLE",B334)))</formula>
    </cfRule>
  </conditionalFormatting>
  <conditionalFormatting sqref="F331">
    <cfRule type="cellIs" dxfId="1147" priority="16621" stopIfTrue="1" operator="equal">
      <formula>"cumple"</formula>
    </cfRule>
    <cfRule type="containsText" dxfId="1146" priority="16622" stopIfTrue="1" operator="containsText" text="NO CUMPLE">
      <formula>NOT(ISERROR(SEARCH("NO CUMPLE",F331)))</formula>
    </cfRule>
  </conditionalFormatting>
  <conditionalFormatting sqref="E334:F334">
    <cfRule type="cellIs" dxfId="1145" priority="16619" stopIfTrue="1" operator="equal">
      <formula>"cumple"</formula>
    </cfRule>
    <cfRule type="containsText" dxfId="1144" priority="16620" stopIfTrue="1" operator="containsText" text="NO CUMPLE">
      <formula>NOT(ISERROR(SEARCH("NO CUMPLE",E334)))</formula>
    </cfRule>
  </conditionalFormatting>
  <conditionalFormatting sqref="G334">
    <cfRule type="cellIs" dxfId="1143" priority="16617" stopIfTrue="1" operator="equal">
      <formula>"cumple"</formula>
    </cfRule>
    <cfRule type="containsText" dxfId="1142" priority="16618" stopIfTrue="1" operator="containsText" text="NO CUMPLE">
      <formula>NOT(ISERROR(SEARCH("NO CUMPLE",G334)))</formula>
    </cfRule>
  </conditionalFormatting>
  <conditionalFormatting sqref="G335">
    <cfRule type="cellIs" dxfId="1141" priority="16615" stopIfTrue="1" operator="equal">
      <formula>"cumple"</formula>
    </cfRule>
    <cfRule type="containsText" dxfId="1140" priority="16616" stopIfTrue="1" operator="containsText" text="NO CUMPLE">
      <formula>NOT(ISERROR(SEARCH("NO CUMPLE",G335)))</formula>
    </cfRule>
  </conditionalFormatting>
  <conditionalFormatting sqref="H329">
    <cfRule type="cellIs" dxfId="1139" priority="16613" stopIfTrue="1" operator="equal">
      <formula>"cumple"</formula>
    </cfRule>
    <cfRule type="containsText" dxfId="1138" priority="16614" stopIfTrue="1" operator="containsText" text="NO CUMPLE">
      <formula>NOT(ISERROR(SEARCH("NO CUMPLE",H329)))</formula>
    </cfRule>
  </conditionalFormatting>
  <conditionalFormatting sqref="M330">
    <cfRule type="cellIs" dxfId="1137" priority="16611" stopIfTrue="1" operator="equal">
      <formula>"cumple"</formula>
    </cfRule>
    <cfRule type="containsText" dxfId="1136" priority="16612" stopIfTrue="1" operator="containsText" text="NO CUMPLE">
      <formula>NOT(ISERROR(SEARCH("NO CUMPLE",M330)))</formula>
    </cfRule>
  </conditionalFormatting>
  <conditionalFormatting sqref="J331:J332">
    <cfRule type="cellIs" dxfId="1135" priority="16609" stopIfTrue="1" operator="equal">
      <formula>"cumple"</formula>
    </cfRule>
    <cfRule type="containsText" dxfId="1134" priority="16610" stopIfTrue="1" operator="containsText" text="NO CUMPLE">
      <formula>NOT(ISERROR(SEARCH("NO CUMPLE",J331)))</formula>
    </cfRule>
  </conditionalFormatting>
  <conditionalFormatting sqref="K331:K332">
    <cfRule type="cellIs" dxfId="1133" priority="16607" stopIfTrue="1" operator="equal">
      <formula>"cumple"</formula>
    </cfRule>
    <cfRule type="containsText" dxfId="1132" priority="16608" stopIfTrue="1" operator="containsText" text="NO CUMPLE">
      <formula>NOT(ISERROR(SEARCH("NO CUMPLE",K331)))</formula>
    </cfRule>
  </conditionalFormatting>
  <conditionalFormatting sqref="L331:L332">
    <cfRule type="cellIs" dxfId="1131" priority="16605" stopIfTrue="1" operator="equal">
      <formula>"cumple"</formula>
    </cfRule>
    <cfRule type="containsText" dxfId="1130" priority="16606" stopIfTrue="1" operator="containsText" text="NO CUMPLE">
      <formula>NOT(ISERROR(SEARCH("NO CUMPLE",L331)))</formula>
    </cfRule>
  </conditionalFormatting>
  <conditionalFormatting sqref="L333:L338">
    <cfRule type="cellIs" dxfId="1129" priority="16603" stopIfTrue="1" operator="equal">
      <formula>"cumple"</formula>
    </cfRule>
    <cfRule type="containsText" dxfId="1128" priority="16604" stopIfTrue="1" operator="containsText" text="NO CUMPLE">
      <formula>NOT(ISERROR(SEARCH("NO CUMPLE",L333)))</formula>
    </cfRule>
  </conditionalFormatting>
  <conditionalFormatting sqref="M333">
    <cfRule type="cellIs" dxfId="1127" priority="16601" stopIfTrue="1" operator="equal">
      <formula>"cumple"</formula>
    </cfRule>
    <cfRule type="containsText" dxfId="1126" priority="16602" stopIfTrue="1" operator="containsText" text="NO CUMPLE">
      <formula>NOT(ISERROR(SEARCH("NO CUMPLE",M333)))</formula>
    </cfRule>
  </conditionalFormatting>
  <conditionalFormatting sqref="M334:M338">
    <cfRule type="cellIs" dxfId="1125" priority="16599" stopIfTrue="1" operator="equal">
      <formula>"cumple"</formula>
    </cfRule>
    <cfRule type="containsText" dxfId="1124" priority="16600" stopIfTrue="1" operator="containsText" text="NO CUMPLE">
      <formula>NOT(ISERROR(SEARCH("NO CUMPLE",M334)))</formula>
    </cfRule>
  </conditionalFormatting>
  <conditionalFormatting sqref="M339">
    <cfRule type="cellIs" dxfId="1123" priority="16597" stopIfTrue="1" operator="equal">
      <formula>"cumple"</formula>
    </cfRule>
    <cfRule type="containsText" dxfId="1122" priority="16598" stopIfTrue="1" operator="containsText" text="NO CUMPLE">
      <formula>NOT(ISERROR(SEARCH("NO CUMPLE",M339)))</formula>
    </cfRule>
  </conditionalFormatting>
  <conditionalFormatting sqref="H339">
    <cfRule type="cellIs" dxfId="1121" priority="16595" stopIfTrue="1" operator="equal">
      <formula>"cumple"</formula>
    </cfRule>
    <cfRule type="containsText" dxfId="1120" priority="16596" stopIfTrue="1" operator="containsText" text="NO CUMPLE">
      <formula>NOT(ISERROR(SEARCH("NO CUMPLE",H339)))</formula>
    </cfRule>
  </conditionalFormatting>
  <conditionalFormatting sqref="V319:V320">
    <cfRule type="cellIs" dxfId="1119" priority="16594" stopIfTrue="1" operator="greaterThan">
      <formula>0</formula>
    </cfRule>
  </conditionalFormatting>
  <conditionalFormatting sqref="V321">
    <cfRule type="cellIs" dxfId="1118" priority="16593" stopIfTrue="1" operator="greaterThan">
      <formula>0</formula>
    </cfRule>
  </conditionalFormatting>
  <conditionalFormatting sqref="V322">
    <cfRule type="cellIs" dxfId="1117" priority="16592" stopIfTrue="1" operator="greaterThan">
      <formula>0</formula>
    </cfRule>
  </conditionalFormatting>
  <conditionalFormatting sqref="V323">
    <cfRule type="cellIs" dxfId="1116" priority="16591" stopIfTrue="1" operator="greaterThan">
      <formula>0</formula>
    </cfRule>
  </conditionalFormatting>
  <conditionalFormatting sqref="V324">
    <cfRule type="cellIs" dxfId="1115" priority="16590" stopIfTrue="1" operator="greaterThan">
      <formula>0</formula>
    </cfRule>
  </conditionalFormatting>
  <conditionalFormatting sqref="O330">
    <cfRule type="cellIs" dxfId="1114" priority="16588" stopIfTrue="1" operator="equal">
      <formula>"cumple"</formula>
    </cfRule>
    <cfRule type="containsText" dxfId="1113" priority="16589" stopIfTrue="1" operator="containsText" text="NO CUMPLE">
      <formula>NOT(ISERROR(SEARCH("NO CUMPLE",O330)))</formula>
    </cfRule>
  </conditionalFormatting>
  <conditionalFormatting sqref="X319:X324">
    <cfRule type="cellIs" dxfId="1112" priority="16586" stopIfTrue="1" operator="equal">
      <formula>"NO"</formula>
    </cfRule>
    <cfRule type="cellIs" dxfId="1111" priority="16587" stopIfTrue="1" operator="equal">
      <formula>"SI"</formula>
    </cfRule>
  </conditionalFormatting>
  <conditionalFormatting sqref="B336">
    <cfRule type="cellIs" dxfId="1110" priority="16584" stopIfTrue="1" operator="equal">
      <formula>"cumple"</formula>
    </cfRule>
    <cfRule type="containsText" dxfId="1109" priority="16585" stopIfTrue="1" operator="containsText" text="NO CUMPLE">
      <formula>NOT(ISERROR(SEARCH("NO CUMPLE",B336)))</formula>
    </cfRule>
  </conditionalFormatting>
  <conditionalFormatting sqref="B337">
    <cfRule type="cellIs" dxfId="1108" priority="16582" stopIfTrue="1" operator="equal">
      <formula>"cumple"</formula>
    </cfRule>
    <cfRule type="containsText" dxfId="1107" priority="16583" stopIfTrue="1" operator="containsText" text="NO CUMPLE">
      <formula>NOT(ISERROR(SEARCH("NO CUMPLE",B337)))</formula>
    </cfRule>
  </conditionalFormatting>
  <conditionalFormatting sqref="G337">
    <cfRule type="cellIs" dxfId="1106" priority="16580" stopIfTrue="1" operator="equal">
      <formula>"cumple"</formula>
    </cfRule>
    <cfRule type="containsText" dxfId="1105" priority="16581" stopIfTrue="1" operator="containsText" text="NO CUMPLE">
      <formula>NOT(ISERROR(SEARCH("NO CUMPLE",G337)))</formula>
    </cfRule>
  </conditionalFormatting>
  <conditionalFormatting sqref="G338">
    <cfRule type="cellIs" dxfId="1104" priority="16578" stopIfTrue="1" operator="equal">
      <formula>"cumple"</formula>
    </cfRule>
    <cfRule type="containsText" dxfId="1103" priority="16579" stopIfTrue="1" operator="containsText" text="NO CUMPLE">
      <formula>NOT(ISERROR(SEARCH("NO CUMPLE",G338)))</formula>
    </cfRule>
  </conditionalFormatting>
  <conditionalFormatting sqref="X333">
    <cfRule type="cellIs" dxfId="1102" priority="16577" operator="equal">
      <formula>"VERIFICAR CUADRO"</formula>
    </cfRule>
  </conditionalFormatting>
  <conditionalFormatting sqref="AC333">
    <cfRule type="cellIs" dxfId="1101" priority="16575" stopIfTrue="1" operator="equal">
      <formula>"cumple"</formula>
    </cfRule>
    <cfRule type="containsText" dxfId="1100" priority="16576" stopIfTrue="1" operator="containsText" text="NO CUMPLE">
      <formula>NOT(ISERROR(SEARCH("NO CUMPLE",AC333)))</formula>
    </cfRule>
  </conditionalFormatting>
  <conditionalFormatting sqref="AC334:AC338">
    <cfRule type="cellIs" dxfId="1099" priority="16573" stopIfTrue="1" operator="equal">
      <formula>"cumple"</formula>
    </cfRule>
    <cfRule type="containsText" dxfId="1098" priority="16574" stopIfTrue="1" operator="containsText" text="NO CUMPLE">
      <formula>NOT(ISERROR(SEARCH("NO CUMPLE",AC334)))</formula>
    </cfRule>
  </conditionalFormatting>
  <conditionalFormatting sqref="X339">
    <cfRule type="cellIs" dxfId="1097" priority="16571" stopIfTrue="1" operator="equal">
      <formula>"cumple"</formula>
    </cfRule>
    <cfRule type="containsText" dxfId="1096" priority="16572" stopIfTrue="1" operator="containsText" text="NO CUMPLE">
      <formula>NOT(ISERROR(SEARCH("NO CUMPLE",X339)))</formula>
    </cfRule>
  </conditionalFormatting>
  <conditionalFormatting sqref="AC319:AC324">
    <cfRule type="cellIs" dxfId="1095" priority="16568" operator="equal">
      <formula>"NO ACREDITA"</formula>
    </cfRule>
    <cfRule type="cellIs" dxfId="1094" priority="16569" stopIfTrue="1" operator="equal">
      <formula>"NO"</formula>
    </cfRule>
    <cfRule type="cellIs" dxfId="1093" priority="16570" stopIfTrue="1" operator="equal">
      <formula>"SI"</formula>
    </cfRule>
  </conditionalFormatting>
  <conditionalFormatting sqref="E331:E332">
    <cfRule type="cellIs" dxfId="1092" priority="16566" operator="greaterThan">
      <formula>0</formula>
    </cfRule>
    <cfRule type="cellIs" dxfId="1091" priority="16567" operator="equal">
      <formula>0</formula>
    </cfRule>
  </conditionalFormatting>
  <conditionalFormatting sqref="G331">
    <cfRule type="cellIs" dxfId="1090" priority="16565" stopIfTrue="1" operator="notBetween">
      <formula>"N/A"</formula>
      <formula>"REVISAR"</formula>
    </cfRule>
  </conditionalFormatting>
  <conditionalFormatting sqref="G331:G332">
    <cfRule type="cellIs" dxfId="1089" priority="16564" operator="equal">
      <formula>"REVISAR"</formula>
    </cfRule>
  </conditionalFormatting>
  <conditionalFormatting sqref="E335">
    <cfRule type="cellIs" dxfId="1088" priority="16563" operator="equal">
      <formula>"NO APLICA"</formula>
    </cfRule>
  </conditionalFormatting>
  <conditionalFormatting sqref="N330">
    <cfRule type="cellIs" dxfId="1087" priority="16561" stopIfTrue="1" operator="equal">
      <formula>"cumple"</formula>
    </cfRule>
    <cfRule type="containsText" dxfId="1086" priority="16562" stopIfTrue="1" operator="containsText" text="NO CUMPLE">
      <formula>NOT(ISERROR(SEARCH("NO CUMPLE",N330)))</formula>
    </cfRule>
  </conditionalFormatting>
  <conditionalFormatting sqref="N333:N338">
    <cfRule type="cellIs" dxfId="1085" priority="16559" stopIfTrue="1" operator="equal">
      <formula>"cumple"</formula>
    </cfRule>
    <cfRule type="containsText" dxfId="1084" priority="16560" stopIfTrue="1" operator="containsText" text="NO CUMPLE">
      <formula>NOT(ISERROR(SEARCH("NO CUMPLE",N333)))</formula>
    </cfRule>
  </conditionalFormatting>
  <conditionalFormatting sqref="N339">
    <cfRule type="cellIs" dxfId="1083" priority="16557" stopIfTrue="1" operator="equal">
      <formula>"cumple"</formula>
    </cfRule>
    <cfRule type="containsText" dxfId="1082" priority="16558" stopIfTrue="1" operator="containsText" text="NO CUMPLE">
      <formula>NOT(ISERROR(SEARCH("NO CUMPLE",N339)))</formula>
    </cfRule>
  </conditionalFormatting>
  <conditionalFormatting sqref="M346:N348 N349 P346:R352 M350:N352">
    <cfRule type="cellIs" dxfId="1081" priority="16555" stopIfTrue="1" operator="lessThan">
      <formula>0</formula>
    </cfRule>
  </conditionalFormatting>
  <conditionalFormatting sqref="U347 T347:T352 B346:N348 T346:U346 B350 P346:R352">
    <cfRule type="cellIs" dxfId="1080" priority="16554" stopIfTrue="1" operator="greaterThan">
      <formula>0</formula>
    </cfRule>
  </conditionalFormatting>
  <conditionalFormatting sqref="R347:R352">
    <cfRule type="cellIs" dxfId="1079" priority="16553" stopIfTrue="1" operator="lessThan">
      <formula>0</formula>
    </cfRule>
  </conditionalFormatting>
  <conditionalFormatting sqref="O346:O352">
    <cfRule type="cellIs" dxfId="1078" priority="16552" stopIfTrue="1" operator="greaterThan">
      <formula>0</formula>
    </cfRule>
  </conditionalFormatting>
  <conditionalFormatting sqref="U348">
    <cfRule type="cellIs" dxfId="1077" priority="16551" stopIfTrue="1" operator="greaterThan">
      <formula>0</formula>
    </cfRule>
  </conditionalFormatting>
  <conditionalFormatting sqref="U350">
    <cfRule type="cellIs" dxfId="1076" priority="16550" stopIfTrue="1" operator="greaterThan">
      <formula>0</formula>
    </cfRule>
  </conditionalFormatting>
  <conditionalFormatting sqref="U351">
    <cfRule type="cellIs" dxfId="1075" priority="16549" stopIfTrue="1" operator="greaterThan">
      <formula>0</formula>
    </cfRule>
  </conditionalFormatting>
  <conditionalFormatting sqref="U352">
    <cfRule type="cellIs" dxfId="1074" priority="16548" stopIfTrue="1" operator="greaterThan">
      <formula>0</formula>
    </cfRule>
  </conditionalFormatting>
  <conditionalFormatting sqref="S347:S352">
    <cfRule type="cellIs" dxfId="1073" priority="16547" stopIfTrue="1" operator="lessThan">
      <formula>0</formula>
    </cfRule>
  </conditionalFormatting>
  <conditionalFormatting sqref="S346:S352">
    <cfRule type="cellIs" dxfId="1072" priority="16546" stopIfTrue="1" operator="greaterThan">
      <formula>0</formula>
    </cfRule>
  </conditionalFormatting>
  <conditionalFormatting sqref="S346:S352">
    <cfRule type="cellIs" dxfId="1071" priority="16545" stopIfTrue="1" operator="lessThan">
      <formula>0</formula>
    </cfRule>
  </conditionalFormatting>
  <conditionalFormatting sqref="B357">
    <cfRule type="cellIs" dxfId="1070" priority="16543" stopIfTrue="1" operator="equal">
      <formula>"cumple"</formula>
    </cfRule>
    <cfRule type="containsText" dxfId="1069" priority="16544" stopIfTrue="1" operator="containsText" text="NO CUMPLE">
      <formula>NOT(ISERROR(SEARCH("NO CUMPLE",B357)))</formula>
    </cfRule>
  </conditionalFormatting>
  <conditionalFormatting sqref="B358">
    <cfRule type="cellIs" dxfId="1068" priority="16541" stopIfTrue="1" operator="equal">
      <formula>"cumple"</formula>
    </cfRule>
    <cfRule type="containsText" dxfId="1067" priority="16542" stopIfTrue="1" operator="containsText" text="NO CUMPLE">
      <formula>NOT(ISERROR(SEARCH("NO CUMPLE",B358)))</formula>
    </cfRule>
  </conditionalFormatting>
  <conditionalFormatting sqref="B359">
    <cfRule type="cellIs" dxfId="1066" priority="16539" stopIfTrue="1" operator="equal">
      <formula>"cumple"</formula>
    </cfRule>
    <cfRule type="containsText" dxfId="1065" priority="16540" stopIfTrue="1" operator="containsText" text="NO CUMPLE">
      <formula>NOT(ISERROR(SEARCH("NO CUMPLE",B359)))</formula>
    </cfRule>
  </conditionalFormatting>
  <conditionalFormatting sqref="B361">
    <cfRule type="cellIs" dxfId="1064" priority="16537" stopIfTrue="1" operator="equal">
      <formula>"cumple"</formula>
    </cfRule>
    <cfRule type="containsText" dxfId="1063" priority="16538" stopIfTrue="1" operator="containsText" text="NO CUMPLE">
      <formula>NOT(ISERROR(SEARCH("NO CUMPLE",B361)))</formula>
    </cfRule>
  </conditionalFormatting>
  <conditionalFormatting sqref="B362">
    <cfRule type="cellIs" dxfId="1062" priority="16535" stopIfTrue="1" operator="equal">
      <formula>"cumple"</formula>
    </cfRule>
    <cfRule type="containsText" dxfId="1061" priority="16536" stopIfTrue="1" operator="containsText" text="NO CUMPLE">
      <formula>NOT(ISERROR(SEARCH("NO CUMPLE",B362)))</formula>
    </cfRule>
  </conditionalFormatting>
  <conditionalFormatting sqref="F359">
    <cfRule type="cellIs" dxfId="1060" priority="16533" stopIfTrue="1" operator="equal">
      <formula>"cumple"</formula>
    </cfRule>
    <cfRule type="containsText" dxfId="1059" priority="16534" stopIfTrue="1" operator="containsText" text="NO CUMPLE">
      <formula>NOT(ISERROR(SEARCH("NO CUMPLE",F359)))</formula>
    </cfRule>
  </conditionalFormatting>
  <conditionalFormatting sqref="E362:F362">
    <cfRule type="cellIs" dxfId="1058" priority="16531" stopIfTrue="1" operator="equal">
      <formula>"cumple"</formula>
    </cfRule>
    <cfRule type="containsText" dxfId="1057" priority="16532" stopIfTrue="1" operator="containsText" text="NO CUMPLE">
      <formula>NOT(ISERROR(SEARCH("NO CUMPLE",E362)))</formula>
    </cfRule>
  </conditionalFormatting>
  <conditionalFormatting sqref="G362">
    <cfRule type="cellIs" dxfId="1056" priority="16529" stopIfTrue="1" operator="equal">
      <formula>"cumple"</formula>
    </cfRule>
    <cfRule type="containsText" dxfId="1055" priority="16530" stopIfTrue="1" operator="containsText" text="NO CUMPLE">
      <formula>NOT(ISERROR(SEARCH("NO CUMPLE",G362)))</formula>
    </cfRule>
  </conditionalFormatting>
  <conditionalFormatting sqref="G363">
    <cfRule type="cellIs" dxfId="1054" priority="16527" stopIfTrue="1" operator="equal">
      <formula>"cumple"</formula>
    </cfRule>
    <cfRule type="containsText" dxfId="1053" priority="16528" stopIfTrue="1" operator="containsText" text="NO CUMPLE">
      <formula>NOT(ISERROR(SEARCH("NO CUMPLE",G363)))</formula>
    </cfRule>
  </conditionalFormatting>
  <conditionalFormatting sqref="H357">
    <cfRule type="cellIs" dxfId="1052" priority="16525" stopIfTrue="1" operator="equal">
      <formula>"cumple"</formula>
    </cfRule>
    <cfRule type="containsText" dxfId="1051" priority="16526" stopIfTrue="1" operator="containsText" text="NO CUMPLE">
      <formula>NOT(ISERROR(SEARCH("NO CUMPLE",H357)))</formula>
    </cfRule>
  </conditionalFormatting>
  <conditionalFormatting sqref="M358">
    <cfRule type="cellIs" dxfId="1050" priority="16523" stopIfTrue="1" operator="equal">
      <formula>"cumple"</formula>
    </cfRule>
    <cfRule type="containsText" dxfId="1049" priority="16524" stopIfTrue="1" operator="containsText" text="NO CUMPLE">
      <formula>NOT(ISERROR(SEARCH("NO CUMPLE",M358)))</formula>
    </cfRule>
  </conditionalFormatting>
  <conditionalFormatting sqref="J359:J360">
    <cfRule type="cellIs" dxfId="1048" priority="16521" stopIfTrue="1" operator="equal">
      <formula>"cumple"</formula>
    </cfRule>
    <cfRule type="containsText" dxfId="1047" priority="16522" stopIfTrue="1" operator="containsText" text="NO CUMPLE">
      <formula>NOT(ISERROR(SEARCH("NO CUMPLE",J359)))</formula>
    </cfRule>
  </conditionalFormatting>
  <conditionalFormatting sqref="K359:K360">
    <cfRule type="cellIs" dxfId="1046" priority="16519" stopIfTrue="1" operator="equal">
      <formula>"cumple"</formula>
    </cfRule>
    <cfRule type="containsText" dxfId="1045" priority="16520" stopIfTrue="1" operator="containsText" text="NO CUMPLE">
      <formula>NOT(ISERROR(SEARCH("NO CUMPLE",K359)))</formula>
    </cfRule>
  </conditionalFormatting>
  <conditionalFormatting sqref="L359:L360">
    <cfRule type="cellIs" dxfId="1044" priority="16517" stopIfTrue="1" operator="equal">
      <formula>"cumple"</formula>
    </cfRule>
    <cfRule type="containsText" dxfId="1043" priority="16518" stopIfTrue="1" operator="containsText" text="NO CUMPLE">
      <formula>NOT(ISERROR(SEARCH("NO CUMPLE",L359)))</formula>
    </cfRule>
  </conditionalFormatting>
  <conditionalFormatting sqref="L361:L366">
    <cfRule type="cellIs" dxfId="1042" priority="16515" stopIfTrue="1" operator="equal">
      <formula>"cumple"</formula>
    </cfRule>
    <cfRule type="containsText" dxfId="1041" priority="16516" stopIfTrue="1" operator="containsText" text="NO CUMPLE">
      <formula>NOT(ISERROR(SEARCH("NO CUMPLE",L361)))</formula>
    </cfRule>
  </conditionalFormatting>
  <conditionalFormatting sqref="M361">
    <cfRule type="cellIs" dxfId="1040" priority="16513" stopIfTrue="1" operator="equal">
      <formula>"cumple"</formula>
    </cfRule>
    <cfRule type="containsText" dxfId="1039" priority="16514" stopIfTrue="1" operator="containsText" text="NO CUMPLE">
      <formula>NOT(ISERROR(SEARCH("NO CUMPLE",M361)))</formula>
    </cfRule>
  </conditionalFormatting>
  <conditionalFormatting sqref="M362:M366">
    <cfRule type="cellIs" dxfId="1038" priority="16511" stopIfTrue="1" operator="equal">
      <formula>"cumple"</formula>
    </cfRule>
    <cfRule type="containsText" dxfId="1037" priority="16512" stopIfTrue="1" operator="containsText" text="NO CUMPLE">
      <formula>NOT(ISERROR(SEARCH("NO CUMPLE",M362)))</formula>
    </cfRule>
  </conditionalFormatting>
  <conditionalFormatting sqref="M367">
    <cfRule type="cellIs" dxfId="1036" priority="16509" stopIfTrue="1" operator="equal">
      <formula>"cumple"</formula>
    </cfRule>
    <cfRule type="containsText" dxfId="1035" priority="16510" stopIfTrue="1" operator="containsText" text="NO CUMPLE">
      <formula>NOT(ISERROR(SEARCH("NO CUMPLE",M367)))</formula>
    </cfRule>
  </conditionalFormatting>
  <conditionalFormatting sqref="H367">
    <cfRule type="cellIs" dxfId="1034" priority="16507" stopIfTrue="1" operator="equal">
      <formula>"cumple"</formula>
    </cfRule>
    <cfRule type="containsText" dxfId="1033" priority="16508" stopIfTrue="1" operator="containsText" text="NO CUMPLE">
      <formula>NOT(ISERROR(SEARCH("NO CUMPLE",H367)))</formula>
    </cfRule>
  </conditionalFormatting>
  <conditionalFormatting sqref="V346:V347">
    <cfRule type="cellIs" dxfId="1032" priority="16506" stopIfTrue="1" operator="greaterThan">
      <formula>0</formula>
    </cfRule>
  </conditionalFormatting>
  <conditionalFormatting sqref="V348">
    <cfRule type="cellIs" dxfId="1031" priority="16505" stopIfTrue="1" operator="greaterThan">
      <formula>0</formula>
    </cfRule>
  </conditionalFormatting>
  <conditionalFormatting sqref="V349:V350">
    <cfRule type="cellIs" dxfId="1030" priority="16504" stopIfTrue="1" operator="greaterThan">
      <formula>0</formula>
    </cfRule>
  </conditionalFormatting>
  <conditionalFormatting sqref="V351">
    <cfRule type="cellIs" dxfId="1029" priority="16503" stopIfTrue="1" operator="greaterThan">
      <formula>0</formula>
    </cfRule>
  </conditionalFormatting>
  <conditionalFormatting sqref="V352">
    <cfRule type="cellIs" dxfId="1028" priority="16502" stopIfTrue="1" operator="greaterThan">
      <formula>0</formula>
    </cfRule>
  </conditionalFormatting>
  <conditionalFormatting sqref="O358">
    <cfRule type="cellIs" dxfId="1027" priority="16500" stopIfTrue="1" operator="equal">
      <formula>"cumple"</formula>
    </cfRule>
    <cfRule type="containsText" dxfId="1026" priority="16501" stopIfTrue="1" operator="containsText" text="NO CUMPLE">
      <formula>NOT(ISERROR(SEARCH("NO CUMPLE",O358)))</formula>
    </cfRule>
  </conditionalFormatting>
  <conditionalFormatting sqref="X346:X352">
    <cfRule type="cellIs" dxfId="1025" priority="16498" stopIfTrue="1" operator="equal">
      <formula>"NO"</formula>
    </cfRule>
    <cfRule type="cellIs" dxfId="1024" priority="16499" stopIfTrue="1" operator="equal">
      <formula>"SI"</formula>
    </cfRule>
  </conditionalFormatting>
  <conditionalFormatting sqref="B364">
    <cfRule type="cellIs" dxfId="1023" priority="16496" stopIfTrue="1" operator="equal">
      <formula>"cumple"</formula>
    </cfRule>
    <cfRule type="containsText" dxfId="1022" priority="16497" stopIfTrue="1" operator="containsText" text="NO CUMPLE">
      <formula>NOT(ISERROR(SEARCH("NO CUMPLE",B364)))</formula>
    </cfRule>
  </conditionalFormatting>
  <conditionalFormatting sqref="B365">
    <cfRule type="cellIs" dxfId="1021" priority="16494" stopIfTrue="1" operator="equal">
      <formula>"cumple"</formula>
    </cfRule>
    <cfRule type="containsText" dxfId="1020" priority="16495" stopIfTrue="1" operator="containsText" text="NO CUMPLE">
      <formula>NOT(ISERROR(SEARCH("NO CUMPLE",B365)))</formula>
    </cfRule>
  </conditionalFormatting>
  <conditionalFormatting sqref="G365">
    <cfRule type="cellIs" dxfId="1019" priority="16492" stopIfTrue="1" operator="equal">
      <formula>"cumple"</formula>
    </cfRule>
    <cfRule type="containsText" dxfId="1018" priority="16493" stopIfTrue="1" operator="containsText" text="NO CUMPLE">
      <formula>NOT(ISERROR(SEARCH("NO CUMPLE",G365)))</formula>
    </cfRule>
  </conditionalFormatting>
  <conditionalFormatting sqref="G366">
    <cfRule type="cellIs" dxfId="1017" priority="16490" stopIfTrue="1" operator="equal">
      <formula>"cumple"</formula>
    </cfRule>
    <cfRule type="containsText" dxfId="1016" priority="16491" stopIfTrue="1" operator="containsText" text="NO CUMPLE">
      <formula>NOT(ISERROR(SEARCH("NO CUMPLE",G366)))</formula>
    </cfRule>
  </conditionalFormatting>
  <conditionalFormatting sqref="X361">
    <cfRule type="cellIs" dxfId="1015" priority="16489" operator="equal">
      <formula>"VERIFICAR CUADRO"</formula>
    </cfRule>
  </conditionalFormatting>
  <conditionalFormatting sqref="AC361">
    <cfRule type="cellIs" dxfId="1014" priority="16487" stopIfTrue="1" operator="equal">
      <formula>"cumple"</formula>
    </cfRule>
    <cfRule type="containsText" dxfId="1013" priority="16488" stopIfTrue="1" operator="containsText" text="NO CUMPLE">
      <formula>NOT(ISERROR(SEARCH("NO CUMPLE",AC361)))</formula>
    </cfRule>
  </conditionalFormatting>
  <conditionalFormatting sqref="AC362:AC366">
    <cfRule type="cellIs" dxfId="1012" priority="16485" stopIfTrue="1" operator="equal">
      <formula>"cumple"</formula>
    </cfRule>
    <cfRule type="containsText" dxfId="1011" priority="16486" stopIfTrue="1" operator="containsText" text="NO CUMPLE">
      <formula>NOT(ISERROR(SEARCH("NO CUMPLE",AC362)))</formula>
    </cfRule>
  </conditionalFormatting>
  <conditionalFormatting sqref="X367">
    <cfRule type="cellIs" dxfId="1010" priority="16483" stopIfTrue="1" operator="equal">
      <formula>"cumple"</formula>
    </cfRule>
    <cfRule type="containsText" dxfId="1009" priority="16484" stopIfTrue="1" operator="containsText" text="NO CUMPLE">
      <formula>NOT(ISERROR(SEARCH("NO CUMPLE",X367)))</formula>
    </cfRule>
  </conditionalFormatting>
  <conditionalFormatting sqref="AC346:AC352">
    <cfRule type="cellIs" dxfId="1008" priority="16480" operator="equal">
      <formula>"NO ACREDITA"</formula>
    </cfRule>
    <cfRule type="cellIs" dxfId="1007" priority="16481" stopIfTrue="1" operator="equal">
      <formula>"NO"</formula>
    </cfRule>
    <cfRule type="cellIs" dxfId="1006" priority="16482" stopIfTrue="1" operator="equal">
      <formula>"SI"</formula>
    </cfRule>
  </conditionalFormatting>
  <conditionalFormatting sqref="E359:E360">
    <cfRule type="cellIs" dxfId="1005" priority="16478" operator="greaterThan">
      <formula>0</formula>
    </cfRule>
    <cfRule type="cellIs" dxfId="1004" priority="16479" operator="equal">
      <formula>0</formula>
    </cfRule>
  </conditionalFormatting>
  <conditionalFormatting sqref="G359">
    <cfRule type="cellIs" dxfId="1003" priority="16477" stopIfTrue="1" operator="notBetween">
      <formula>"N/A"</formula>
      <formula>"REVISAR"</formula>
    </cfRule>
  </conditionalFormatting>
  <conditionalFormatting sqref="G359:G360">
    <cfRule type="cellIs" dxfId="1002" priority="16476" operator="equal">
      <formula>"REVISAR"</formula>
    </cfRule>
  </conditionalFormatting>
  <conditionalFormatting sqref="E363">
    <cfRule type="cellIs" dxfId="1001" priority="16475" operator="equal">
      <formula>"NO APLICA"</formula>
    </cfRule>
  </conditionalFormatting>
  <conditionalFormatting sqref="N358">
    <cfRule type="cellIs" dxfId="1000" priority="16473" stopIfTrue="1" operator="equal">
      <formula>"cumple"</formula>
    </cfRule>
    <cfRule type="containsText" dxfId="999" priority="16474" stopIfTrue="1" operator="containsText" text="NO CUMPLE">
      <formula>NOT(ISERROR(SEARCH("NO CUMPLE",N358)))</formula>
    </cfRule>
  </conditionalFormatting>
  <conditionalFormatting sqref="N361:N366">
    <cfRule type="cellIs" dxfId="998" priority="16471" stopIfTrue="1" operator="equal">
      <formula>"cumple"</formula>
    </cfRule>
    <cfRule type="containsText" dxfId="997" priority="16472" stopIfTrue="1" operator="containsText" text="NO CUMPLE">
      <formula>NOT(ISERROR(SEARCH("NO CUMPLE",N361)))</formula>
    </cfRule>
  </conditionalFormatting>
  <conditionalFormatting sqref="N367">
    <cfRule type="cellIs" dxfId="996" priority="16469" stopIfTrue="1" operator="equal">
      <formula>"cumple"</formula>
    </cfRule>
    <cfRule type="containsText" dxfId="995" priority="16470" stopIfTrue="1" operator="containsText" text="NO CUMPLE">
      <formula>NOT(ISERROR(SEARCH("NO CUMPLE",N367)))</formula>
    </cfRule>
  </conditionalFormatting>
  <conditionalFormatting sqref="M374:N379 P374:R379">
    <cfRule type="cellIs" dxfId="994" priority="16467" stopIfTrue="1" operator="lessThan">
      <formula>0</formula>
    </cfRule>
  </conditionalFormatting>
  <conditionalFormatting sqref="U375 T375:T379 B374:N375 T374:U374 B377:N379 G376:H376 M376:N376 P374:R379 J376">
    <cfRule type="cellIs" dxfId="993" priority="16466" stopIfTrue="1" operator="greaterThan">
      <formula>0</formula>
    </cfRule>
  </conditionalFormatting>
  <conditionalFormatting sqref="R375:R379">
    <cfRule type="cellIs" dxfId="992" priority="16465" stopIfTrue="1" operator="lessThan">
      <formula>0</formula>
    </cfRule>
  </conditionalFormatting>
  <conditionalFormatting sqref="O374:O379">
    <cfRule type="cellIs" dxfId="991" priority="16464" stopIfTrue="1" operator="greaterThan">
      <formula>0</formula>
    </cfRule>
  </conditionalFormatting>
  <conditionalFormatting sqref="U376">
    <cfRule type="cellIs" dxfId="990" priority="16463" stopIfTrue="1" operator="greaterThan">
      <formula>0</formula>
    </cfRule>
  </conditionalFormatting>
  <conditionalFormatting sqref="U377">
    <cfRule type="cellIs" dxfId="989" priority="16462" stopIfTrue="1" operator="greaterThan">
      <formula>0</formula>
    </cfRule>
  </conditionalFormatting>
  <conditionalFormatting sqref="U378">
    <cfRule type="cellIs" dxfId="988" priority="16461" stopIfTrue="1" operator="greaterThan">
      <formula>0</formula>
    </cfRule>
  </conditionalFormatting>
  <conditionalFormatting sqref="U379">
    <cfRule type="cellIs" dxfId="987" priority="16460" stopIfTrue="1" operator="greaterThan">
      <formula>0</formula>
    </cfRule>
  </conditionalFormatting>
  <conditionalFormatting sqref="S375:S379">
    <cfRule type="cellIs" dxfId="986" priority="16459" stopIfTrue="1" operator="lessThan">
      <formula>0</formula>
    </cfRule>
  </conditionalFormatting>
  <conditionalFormatting sqref="S374:S379">
    <cfRule type="cellIs" dxfId="985" priority="16458" stopIfTrue="1" operator="greaterThan">
      <formula>0</formula>
    </cfRule>
  </conditionalFormatting>
  <conditionalFormatting sqref="S374:S379">
    <cfRule type="cellIs" dxfId="984" priority="16457" stopIfTrue="1" operator="lessThan">
      <formula>0</formula>
    </cfRule>
  </conditionalFormatting>
  <conditionalFormatting sqref="B384">
    <cfRule type="cellIs" dxfId="983" priority="16455" stopIfTrue="1" operator="equal">
      <formula>"cumple"</formula>
    </cfRule>
    <cfRule type="containsText" dxfId="982" priority="16456" stopIfTrue="1" operator="containsText" text="NO CUMPLE">
      <formula>NOT(ISERROR(SEARCH("NO CUMPLE",B384)))</formula>
    </cfRule>
  </conditionalFormatting>
  <conditionalFormatting sqref="B385">
    <cfRule type="cellIs" dxfId="981" priority="16453" stopIfTrue="1" operator="equal">
      <formula>"cumple"</formula>
    </cfRule>
    <cfRule type="containsText" dxfId="980" priority="16454" stopIfTrue="1" operator="containsText" text="NO CUMPLE">
      <formula>NOT(ISERROR(SEARCH("NO CUMPLE",B385)))</formula>
    </cfRule>
  </conditionalFormatting>
  <conditionalFormatting sqref="B386">
    <cfRule type="cellIs" dxfId="979" priority="16451" stopIfTrue="1" operator="equal">
      <formula>"cumple"</formula>
    </cfRule>
    <cfRule type="containsText" dxfId="978" priority="16452" stopIfTrue="1" operator="containsText" text="NO CUMPLE">
      <formula>NOT(ISERROR(SEARCH("NO CUMPLE",B386)))</formula>
    </cfRule>
  </conditionalFormatting>
  <conditionalFormatting sqref="B388">
    <cfRule type="cellIs" dxfId="977" priority="16449" stopIfTrue="1" operator="equal">
      <formula>"cumple"</formula>
    </cfRule>
    <cfRule type="containsText" dxfId="976" priority="16450" stopIfTrue="1" operator="containsText" text="NO CUMPLE">
      <formula>NOT(ISERROR(SEARCH("NO CUMPLE",B388)))</formula>
    </cfRule>
  </conditionalFormatting>
  <conditionalFormatting sqref="B389">
    <cfRule type="cellIs" dxfId="975" priority="16447" stopIfTrue="1" operator="equal">
      <formula>"cumple"</formula>
    </cfRule>
    <cfRule type="containsText" dxfId="974" priority="16448" stopIfTrue="1" operator="containsText" text="NO CUMPLE">
      <formula>NOT(ISERROR(SEARCH("NO CUMPLE",B389)))</formula>
    </cfRule>
  </conditionalFormatting>
  <conditionalFormatting sqref="F386">
    <cfRule type="cellIs" dxfId="973" priority="16445" stopIfTrue="1" operator="equal">
      <formula>"cumple"</formula>
    </cfRule>
    <cfRule type="containsText" dxfId="972" priority="16446" stopIfTrue="1" operator="containsText" text="NO CUMPLE">
      <formula>NOT(ISERROR(SEARCH("NO CUMPLE",F386)))</formula>
    </cfRule>
  </conditionalFormatting>
  <conditionalFormatting sqref="E389:F389">
    <cfRule type="cellIs" dxfId="971" priority="16443" stopIfTrue="1" operator="equal">
      <formula>"cumple"</formula>
    </cfRule>
    <cfRule type="containsText" dxfId="970" priority="16444" stopIfTrue="1" operator="containsText" text="NO CUMPLE">
      <formula>NOT(ISERROR(SEARCH("NO CUMPLE",E389)))</formula>
    </cfRule>
  </conditionalFormatting>
  <conditionalFormatting sqref="G389">
    <cfRule type="cellIs" dxfId="969" priority="16441" stopIfTrue="1" operator="equal">
      <formula>"cumple"</formula>
    </cfRule>
    <cfRule type="containsText" dxfId="968" priority="16442" stopIfTrue="1" operator="containsText" text="NO CUMPLE">
      <formula>NOT(ISERROR(SEARCH("NO CUMPLE",G389)))</formula>
    </cfRule>
  </conditionalFormatting>
  <conditionalFormatting sqref="G390">
    <cfRule type="cellIs" dxfId="967" priority="16439" stopIfTrue="1" operator="equal">
      <formula>"cumple"</formula>
    </cfRule>
    <cfRule type="containsText" dxfId="966" priority="16440" stopIfTrue="1" operator="containsText" text="NO CUMPLE">
      <formula>NOT(ISERROR(SEARCH("NO CUMPLE",G390)))</formula>
    </cfRule>
  </conditionalFormatting>
  <conditionalFormatting sqref="H384">
    <cfRule type="cellIs" dxfId="965" priority="16437" stopIfTrue="1" operator="equal">
      <formula>"cumple"</formula>
    </cfRule>
    <cfRule type="containsText" dxfId="964" priority="16438" stopIfTrue="1" operator="containsText" text="NO CUMPLE">
      <formula>NOT(ISERROR(SEARCH("NO CUMPLE",H384)))</formula>
    </cfRule>
  </conditionalFormatting>
  <conditionalFormatting sqref="M385">
    <cfRule type="cellIs" dxfId="963" priority="16435" stopIfTrue="1" operator="equal">
      <formula>"cumple"</formula>
    </cfRule>
    <cfRule type="containsText" dxfId="962" priority="16436" stopIfTrue="1" operator="containsText" text="NO CUMPLE">
      <formula>NOT(ISERROR(SEARCH("NO CUMPLE",M385)))</formula>
    </cfRule>
  </conditionalFormatting>
  <conditionalFormatting sqref="J386:J387">
    <cfRule type="cellIs" dxfId="961" priority="16433" stopIfTrue="1" operator="equal">
      <formula>"cumple"</formula>
    </cfRule>
    <cfRule type="containsText" dxfId="960" priority="16434" stopIfTrue="1" operator="containsText" text="NO CUMPLE">
      <formula>NOT(ISERROR(SEARCH("NO CUMPLE",J386)))</formula>
    </cfRule>
  </conditionalFormatting>
  <conditionalFormatting sqref="K386:K387">
    <cfRule type="cellIs" dxfId="959" priority="16431" stopIfTrue="1" operator="equal">
      <formula>"cumple"</formula>
    </cfRule>
    <cfRule type="containsText" dxfId="958" priority="16432" stopIfTrue="1" operator="containsText" text="NO CUMPLE">
      <formula>NOT(ISERROR(SEARCH("NO CUMPLE",K386)))</formula>
    </cfRule>
  </conditionalFormatting>
  <conditionalFormatting sqref="L386:L387">
    <cfRule type="cellIs" dxfId="957" priority="16429" stopIfTrue="1" operator="equal">
      <formula>"cumple"</formula>
    </cfRule>
    <cfRule type="containsText" dxfId="956" priority="16430" stopIfTrue="1" operator="containsText" text="NO CUMPLE">
      <formula>NOT(ISERROR(SEARCH("NO CUMPLE",L386)))</formula>
    </cfRule>
  </conditionalFormatting>
  <conditionalFormatting sqref="L388:L393">
    <cfRule type="cellIs" dxfId="955" priority="16427" stopIfTrue="1" operator="equal">
      <formula>"cumple"</formula>
    </cfRule>
    <cfRule type="containsText" dxfId="954" priority="16428" stopIfTrue="1" operator="containsText" text="NO CUMPLE">
      <formula>NOT(ISERROR(SEARCH("NO CUMPLE",L388)))</formula>
    </cfRule>
  </conditionalFormatting>
  <conditionalFormatting sqref="M388">
    <cfRule type="cellIs" dxfId="953" priority="16425" stopIfTrue="1" operator="equal">
      <formula>"cumple"</formula>
    </cfRule>
    <cfRule type="containsText" dxfId="952" priority="16426" stopIfTrue="1" operator="containsText" text="NO CUMPLE">
      <formula>NOT(ISERROR(SEARCH("NO CUMPLE",M388)))</formula>
    </cfRule>
  </conditionalFormatting>
  <conditionalFormatting sqref="M389:M393">
    <cfRule type="cellIs" dxfId="951" priority="16423" stopIfTrue="1" operator="equal">
      <formula>"cumple"</formula>
    </cfRule>
    <cfRule type="containsText" dxfId="950" priority="16424" stopIfTrue="1" operator="containsText" text="NO CUMPLE">
      <formula>NOT(ISERROR(SEARCH("NO CUMPLE",M389)))</formula>
    </cfRule>
  </conditionalFormatting>
  <conditionalFormatting sqref="M394">
    <cfRule type="cellIs" dxfId="949" priority="16421" stopIfTrue="1" operator="equal">
      <formula>"cumple"</formula>
    </cfRule>
    <cfRule type="containsText" dxfId="948" priority="16422" stopIfTrue="1" operator="containsText" text="NO CUMPLE">
      <formula>NOT(ISERROR(SEARCH("NO CUMPLE",M394)))</formula>
    </cfRule>
  </conditionalFormatting>
  <conditionalFormatting sqref="H394">
    <cfRule type="cellIs" dxfId="947" priority="16419" stopIfTrue="1" operator="equal">
      <formula>"cumple"</formula>
    </cfRule>
    <cfRule type="containsText" dxfId="946" priority="16420" stopIfTrue="1" operator="containsText" text="NO CUMPLE">
      <formula>NOT(ISERROR(SEARCH("NO CUMPLE",H394)))</formula>
    </cfRule>
  </conditionalFormatting>
  <conditionalFormatting sqref="V374:V375">
    <cfRule type="cellIs" dxfId="945" priority="16418" stopIfTrue="1" operator="greaterThan">
      <formula>0</formula>
    </cfRule>
  </conditionalFormatting>
  <conditionalFormatting sqref="V376">
    <cfRule type="cellIs" dxfId="944" priority="16417" stopIfTrue="1" operator="greaterThan">
      <formula>0</formula>
    </cfRule>
  </conditionalFormatting>
  <conditionalFormatting sqref="V377">
    <cfRule type="cellIs" dxfId="943" priority="16416" stopIfTrue="1" operator="greaterThan">
      <formula>0</formula>
    </cfRule>
  </conditionalFormatting>
  <conditionalFormatting sqref="V378">
    <cfRule type="cellIs" dxfId="942" priority="16415" stopIfTrue="1" operator="greaterThan">
      <formula>0</formula>
    </cfRule>
  </conditionalFormatting>
  <conditionalFormatting sqref="V379">
    <cfRule type="cellIs" dxfId="941" priority="16414" stopIfTrue="1" operator="greaterThan">
      <formula>0</formula>
    </cfRule>
  </conditionalFormatting>
  <conditionalFormatting sqref="O385">
    <cfRule type="cellIs" dxfId="940" priority="16412" stopIfTrue="1" operator="equal">
      <formula>"cumple"</formula>
    </cfRule>
    <cfRule type="containsText" dxfId="939" priority="16413" stopIfTrue="1" operator="containsText" text="NO CUMPLE">
      <formula>NOT(ISERROR(SEARCH("NO CUMPLE",O385)))</formula>
    </cfRule>
  </conditionalFormatting>
  <conditionalFormatting sqref="X374:X379">
    <cfRule type="cellIs" dxfId="938" priority="16410" stopIfTrue="1" operator="equal">
      <formula>"NO"</formula>
    </cfRule>
    <cfRule type="cellIs" dxfId="937" priority="16411" stopIfTrue="1" operator="equal">
      <formula>"SI"</formula>
    </cfRule>
  </conditionalFormatting>
  <conditionalFormatting sqref="B391">
    <cfRule type="cellIs" dxfId="936" priority="16408" stopIfTrue="1" operator="equal">
      <formula>"cumple"</formula>
    </cfRule>
    <cfRule type="containsText" dxfId="935" priority="16409" stopIfTrue="1" operator="containsText" text="NO CUMPLE">
      <formula>NOT(ISERROR(SEARCH("NO CUMPLE",B391)))</formula>
    </cfRule>
  </conditionalFormatting>
  <conditionalFormatting sqref="B392">
    <cfRule type="cellIs" dxfId="934" priority="16406" stopIfTrue="1" operator="equal">
      <formula>"cumple"</formula>
    </cfRule>
    <cfRule type="containsText" dxfId="933" priority="16407" stopIfTrue="1" operator="containsText" text="NO CUMPLE">
      <formula>NOT(ISERROR(SEARCH("NO CUMPLE",B392)))</formula>
    </cfRule>
  </conditionalFormatting>
  <conditionalFormatting sqref="G392">
    <cfRule type="cellIs" dxfId="932" priority="16404" stopIfTrue="1" operator="equal">
      <formula>"cumple"</formula>
    </cfRule>
    <cfRule type="containsText" dxfId="931" priority="16405" stopIfTrue="1" operator="containsText" text="NO CUMPLE">
      <formula>NOT(ISERROR(SEARCH("NO CUMPLE",G392)))</formula>
    </cfRule>
  </conditionalFormatting>
  <conditionalFormatting sqref="G393">
    <cfRule type="cellIs" dxfId="930" priority="16402" stopIfTrue="1" operator="equal">
      <formula>"cumple"</formula>
    </cfRule>
    <cfRule type="containsText" dxfId="929" priority="16403" stopIfTrue="1" operator="containsText" text="NO CUMPLE">
      <formula>NOT(ISERROR(SEARCH("NO CUMPLE",G393)))</formula>
    </cfRule>
  </conditionalFormatting>
  <conditionalFormatting sqref="X388">
    <cfRule type="cellIs" dxfId="928" priority="16401" operator="equal">
      <formula>"VERIFICAR CUADRO"</formula>
    </cfRule>
  </conditionalFormatting>
  <conditionalFormatting sqref="AC388">
    <cfRule type="cellIs" dxfId="927" priority="16399" stopIfTrue="1" operator="equal">
      <formula>"cumple"</formula>
    </cfRule>
    <cfRule type="containsText" dxfId="926" priority="16400" stopIfTrue="1" operator="containsText" text="NO CUMPLE">
      <formula>NOT(ISERROR(SEARCH("NO CUMPLE",AC388)))</formula>
    </cfRule>
  </conditionalFormatting>
  <conditionalFormatting sqref="AC389:AC393">
    <cfRule type="cellIs" dxfId="925" priority="16397" stopIfTrue="1" operator="equal">
      <formula>"cumple"</formula>
    </cfRule>
    <cfRule type="containsText" dxfId="924" priority="16398" stopIfTrue="1" operator="containsText" text="NO CUMPLE">
      <formula>NOT(ISERROR(SEARCH("NO CUMPLE",AC389)))</formula>
    </cfRule>
  </conditionalFormatting>
  <conditionalFormatting sqref="X394">
    <cfRule type="cellIs" dxfId="923" priority="16395" stopIfTrue="1" operator="equal">
      <formula>"cumple"</formula>
    </cfRule>
    <cfRule type="containsText" dxfId="922" priority="16396" stopIfTrue="1" operator="containsText" text="NO CUMPLE">
      <formula>NOT(ISERROR(SEARCH("NO CUMPLE",X394)))</formula>
    </cfRule>
  </conditionalFormatting>
  <conditionalFormatting sqref="AC374:AC379">
    <cfRule type="cellIs" dxfId="921" priority="16392" operator="equal">
      <formula>"NO ACREDITA"</formula>
    </cfRule>
    <cfRule type="cellIs" dxfId="920" priority="16393" stopIfTrue="1" operator="equal">
      <formula>"NO"</formula>
    </cfRule>
    <cfRule type="cellIs" dxfId="919" priority="16394" stopIfTrue="1" operator="equal">
      <formula>"SI"</formula>
    </cfRule>
  </conditionalFormatting>
  <conditionalFormatting sqref="E386:E387">
    <cfRule type="cellIs" dxfId="918" priority="16390" operator="greaterThan">
      <formula>0</formula>
    </cfRule>
    <cfRule type="cellIs" dxfId="917" priority="16391" operator="equal">
      <formula>0</formula>
    </cfRule>
  </conditionalFormatting>
  <conditionalFormatting sqref="G386">
    <cfRule type="cellIs" dxfId="916" priority="16389" stopIfTrue="1" operator="notBetween">
      <formula>"N/A"</formula>
      <formula>"REVISAR"</formula>
    </cfRule>
  </conditionalFormatting>
  <conditionalFormatting sqref="G386:G387">
    <cfRule type="cellIs" dxfId="915" priority="16388" operator="equal">
      <formula>"REVISAR"</formula>
    </cfRule>
  </conditionalFormatting>
  <conditionalFormatting sqref="E390">
    <cfRule type="cellIs" dxfId="914" priority="16387" operator="equal">
      <formula>"NO APLICA"</formula>
    </cfRule>
  </conditionalFormatting>
  <conditionalFormatting sqref="N385">
    <cfRule type="cellIs" dxfId="913" priority="16385" stopIfTrue="1" operator="equal">
      <formula>"cumple"</formula>
    </cfRule>
    <cfRule type="containsText" dxfId="912" priority="16386" stopIfTrue="1" operator="containsText" text="NO CUMPLE">
      <formula>NOT(ISERROR(SEARCH("NO CUMPLE",N385)))</formula>
    </cfRule>
  </conditionalFormatting>
  <conditionalFormatting sqref="N388:N393">
    <cfRule type="cellIs" dxfId="911" priority="16383" stopIfTrue="1" operator="equal">
      <formula>"cumple"</formula>
    </cfRule>
    <cfRule type="containsText" dxfId="910" priority="16384" stopIfTrue="1" operator="containsText" text="NO CUMPLE">
      <formula>NOT(ISERROR(SEARCH("NO CUMPLE",N388)))</formula>
    </cfRule>
  </conditionalFormatting>
  <conditionalFormatting sqref="N394">
    <cfRule type="cellIs" dxfId="909" priority="16381" stopIfTrue="1" operator="equal">
      <formula>"cumple"</formula>
    </cfRule>
    <cfRule type="containsText" dxfId="908" priority="16382" stopIfTrue="1" operator="containsText" text="NO CUMPLE">
      <formula>NOT(ISERROR(SEARCH("NO CUMPLE",N394)))</formula>
    </cfRule>
  </conditionalFormatting>
  <conditionalFormatting sqref="P401:R406 M401:N406">
    <cfRule type="cellIs" dxfId="907" priority="16379" stopIfTrue="1" operator="lessThan">
      <formula>0</formula>
    </cfRule>
  </conditionalFormatting>
  <conditionalFormatting sqref="U402 P401:R406 T402:T406 T401:U401 B401:N406">
    <cfRule type="cellIs" dxfId="906" priority="16378" stopIfTrue="1" operator="greaterThan">
      <formula>0</formula>
    </cfRule>
  </conditionalFormatting>
  <conditionalFormatting sqref="R402:R406">
    <cfRule type="cellIs" dxfId="905" priority="16377" stopIfTrue="1" operator="lessThan">
      <formula>0</formula>
    </cfRule>
  </conditionalFormatting>
  <conditionalFormatting sqref="O401:O406">
    <cfRule type="cellIs" dxfId="904" priority="16376" stopIfTrue="1" operator="greaterThan">
      <formula>0</formula>
    </cfRule>
  </conditionalFormatting>
  <conditionalFormatting sqref="U403">
    <cfRule type="cellIs" dxfId="903" priority="16375" stopIfTrue="1" operator="greaterThan">
      <formula>0</formula>
    </cfRule>
  </conditionalFormatting>
  <conditionalFormatting sqref="U404">
    <cfRule type="cellIs" dxfId="902" priority="16374" stopIfTrue="1" operator="greaterThan">
      <formula>0</formula>
    </cfRule>
  </conditionalFormatting>
  <conditionalFormatting sqref="U405">
    <cfRule type="cellIs" dxfId="901" priority="16373" stopIfTrue="1" operator="greaterThan">
      <formula>0</formula>
    </cfRule>
  </conditionalFormatting>
  <conditionalFormatting sqref="U406">
    <cfRule type="cellIs" dxfId="900" priority="16372" stopIfTrue="1" operator="greaterThan">
      <formula>0</formula>
    </cfRule>
  </conditionalFormatting>
  <conditionalFormatting sqref="S402:S406">
    <cfRule type="cellIs" dxfId="899" priority="16371" stopIfTrue="1" operator="lessThan">
      <formula>0</formula>
    </cfRule>
  </conditionalFormatting>
  <conditionalFormatting sqref="S401:S406">
    <cfRule type="cellIs" dxfId="898" priority="16370" stopIfTrue="1" operator="greaterThan">
      <formula>0</formula>
    </cfRule>
  </conditionalFormatting>
  <conditionalFormatting sqref="S401:S406">
    <cfRule type="cellIs" dxfId="897" priority="16369" stopIfTrue="1" operator="lessThan">
      <formula>0</formula>
    </cfRule>
  </conditionalFormatting>
  <conditionalFormatting sqref="B411">
    <cfRule type="cellIs" dxfId="896" priority="16367" stopIfTrue="1" operator="equal">
      <formula>"cumple"</formula>
    </cfRule>
    <cfRule type="containsText" dxfId="895" priority="16368" stopIfTrue="1" operator="containsText" text="NO CUMPLE">
      <formula>NOT(ISERROR(SEARCH("NO CUMPLE",B411)))</formula>
    </cfRule>
  </conditionalFormatting>
  <conditionalFormatting sqref="B412">
    <cfRule type="cellIs" dxfId="894" priority="16365" stopIfTrue="1" operator="equal">
      <formula>"cumple"</formula>
    </cfRule>
    <cfRule type="containsText" dxfId="893" priority="16366" stopIfTrue="1" operator="containsText" text="NO CUMPLE">
      <formula>NOT(ISERROR(SEARCH("NO CUMPLE",B412)))</formula>
    </cfRule>
  </conditionalFormatting>
  <conditionalFormatting sqref="B413">
    <cfRule type="cellIs" dxfId="892" priority="16363" stopIfTrue="1" operator="equal">
      <formula>"cumple"</formula>
    </cfRule>
    <cfRule type="containsText" dxfId="891" priority="16364" stopIfTrue="1" operator="containsText" text="NO CUMPLE">
      <formula>NOT(ISERROR(SEARCH("NO CUMPLE",B413)))</formula>
    </cfRule>
  </conditionalFormatting>
  <conditionalFormatting sqref="B415">
    <cfRule type="cellIs" dxfId="890" priority="16361" stopIfTrue="1" operator="equal">
      <formula>"cumple"</formula>
    </cfRule>
    <cfRule type="containsText" dxfId="889" priority="16362" stopIfTrue="1" operator="containsText" text="NO CUMPLE">
      <formula>NOT(ISERROR(SEARCH("NO CUMPLE",B415)))</formula>
    </cfRule>
  </conditionalFormatting>
  <conditionalFormatting sqref="B416">
    <cfRule type="cellIs" dxfId="888" priority="16359" stopIfTrue="1" operator="equal">
      <formula>"cumple"</formula>
    </cfRule>
    <cfRule type="containsText" dxfId="887" priority="16360" stopIfTrue="1" operator="containsText" text="NO CUMPLE">
      <formula>NOT(ISERROR(SEARCH("NO CUMPLE",B416)))</formula>
    </cfRule>
  </conditionalFormatting>
  <conditionalFormatting sqref="F413">
    <cfRule type="cellIs" dxfId="886" priority="16357" stopIfTrue="1" operator="equal">
      <formula>"cumple"</formula>
    </cfRule>
    <cfRule type="containsText" dxfId="885" priority="16358" stopIfTrue="1" operator="containsText" text="NO CUMPLE">
      <formula>NOT(ISERROR(SEARCH("NO CUMPLE",F413)))</formula>
    </cfRule>
  </conditionalFormatting>
  <conditionalFormatting sqref="E416:F416">
    <cfRule type="cellIs" dxfId="884" priority="16355" stopIfTrue="1" operator="equal">
      <formula>"cumple"</formula>
    </cfRule>
    <cfRule type="containsText" dxfId="883" priority="16356" stopIfTrue="1" operator="containsText" text="NO CUMPLE">
      <formula>NOT(ISERROR(SEARCH("NO CUMPLE",E416)))</formula>
    </cfRule>
  </conditionalFormatting>
  <conditionalFormatting sqref="G416">
    <cfRule type="cellIs" dxfId="882" priority="16353" stopIfTrue="1" operator="equal">
      <formula>"cumple"</formula>
    </cfRule>
    <cfRule type="containsText" dxfId="881" priority="16354" stopIfTrue="1" operator="containsText" text="NO CUMPLE">
      <formula>NOT(ISERROR(SEARCH("NO CUMPLE",G416)))</formula>
    </cfRule>
  </conditionalFormatting>
  <conditionalFormatting sqref="G417">
    <cfRule type="cellIs" dxfId="880" priority="16351" stopIfTrue="1" operator="equal">
      <formula>"cumple"</formula>
    </cfRule>
    <cfRule type="containsText" dxfId="879" priority="16352" stopIfTrue="1" operator="containsText" text="NO CUMPLE">
      <formula>NOT(ISERROR(SEARCH("NO CUMPLE",G417)))</formula>
    </cfRule>
  </conditionalFormatting>
  <conditionalFormatting sqref="H411">
    <cfRule type="cellIs" dxfId="878" priority="16349" stopIfTrue="1" operator="equal">
      <formula>"cumple"</formula>
    </cfRule>
    <cfRule type="containsText" dxfId="877" priority="16350" stopIfTrue="1" operator="containsText" text="NO CUMPLE">
      <formula>NOT(ISERROR(SEARCH("NO CUMPLE",H411)))</formula>
    </cfRule>
  </conditionalFormatting>
  <conditionalFormatting sqref="M412">
    <cfRule type="cellIs" dxfId="876" priority="16347" stopIfTrue="1" operator="equal">
      <formula>"cumple"</formula>
    </cfRule>
    <cfRule type="containsText" dxfId="875" priority="16348" stopIfTrue="1" operator="containsText" text="NO CUMPLE">
      <formula>NOT(ISERROR(SEARCH("NO CUMPLE",M412)))</formula>
    </cfRule>
  </conditionalFormatting>
  <conditionalFormatting sqref="J413:J414">
    <cfRule type="cellIs" dxfId="874" priority="16345" stopIfTrue="1" operator="equal">
      <formula>"cumple"</formula>
    </cfRule>
    <cfRule type="containsText" dxfId="873" priority="16346" stopIfTrue="1" operator="containsText" text="NO CUMPLE">
      <formula>NOT(ISERROR(SEARCH("NO CUMPLE",J413)))</formula>
    </cfRule>
  </conditionalFormatting>
  <conditionalFormatting sqref="K413:K414">
    <cfRule type="cellIs" dxfId="872" priority="16343" stopIfTrue="1" operator="equal">
      <formula>"cumple"</formula>
    </cfRule>
    <cfRule type="containsText" dxfId="871" priority="16344" stopIfTrue="1" operator="containsText" text="NO CUMPLE">
      <formula>NOT(ISERROR(SEARCH("NO CUMPLE",K413)))</formula>
    </cfRule>
  </conditionalFormatting>
  <conditionalFormatting sqref="L413:L414">
    <cfRule type="cellIs" dxfId="870" priority="16341" stopIfTrue="1" operator="equal">
      <formula>"cumple"</formula>
    </cfRule>
    <cfRule type="containsText" dxfId="869" priority="16342" stopIfTrue="1" operator="containsText" text="NO CUMPLE">
      <formula>NOT(ISERROR(SEARCH("NO CUMPLE",L413)))</formula>
    </cfRule>
  </conditionalFormatting>
  <conditionalFormatting sqref="L415:L420">
    <cfRule type="cellIs" dxfId="868" priority="16339" stopIfTrue="1" operator="equal">
      <formula>"cumple"</formula>
    </cfRule>
    <cfRule type="containsText" dxfId="867" priority="16340" stopIfTrue="1" operator="containsText" text="NO CUMPLE">
      <formula>NOT(ISERROR(SEARCH("NO CUMPLE",L415)))</formula>
    </cfRule>
  </conditionalFormatting>
  <conditionalFormatting sqref="M415">
    <cfRule type="cellIs" dxfId="866" priority="16337" stopIfTrue="1" operator="equal">
      <formula>"cumple"</formula>
    </cfRule>
    <cfRule type="containsText" dxfId="865" priority="16338" stopIfTrue="1" operator="containsText" text="NO CUMPLE">
      <formula>NOT(ISERROR(SEARCH("NO CUMPLE",M415)))</formula>
    </cfRule>
  </conditionalFormatting>
  <conditionalFormatting sqref="M416:M420">
    <cfRule type="cellIs" dxfId="864" priority="16335" stopIfTrue="1" operator="equal">
      <formula>"cumple"</formula>
    </cfRule>
    <cfRule type="containsText" dxfId="863" priority="16336" stopIfTrue="1" operator="containsText" text="NO CUMPLE">
      <formula>NOT(ISERROR(SEARCH("NO CUMPLE",M416)))</formula>
    </cfRule>
  </conditionalFormatting>
  <conditionalFormatting sqref="M421">
    <cfRule type="cellIs" dxfId="862" priority="16333" stopIfTrue="1" operator="equal">
      <formula>"cumple"</formula>
    </cfRule>
    <cfRule type="containsText" dxfId="861" priority="16334" stopIfTrue="1" operator="containsText" text="NO CUMPLE">
      <formula>NOT(ISERROR(SEARCH("NO CUMPLE",M421)))</formula>
    </cfRule>
  </conditionalFormatting>
  <conditionalFormatting sqref="H421">
    <cfRule type="cellIs" dxfId="860" priority="16331" stopIfTrue="1" operator="equal">
      <formula>"cumple"</formula>
    </cfRule>
    <cfRule type="containsText" dxfId="859" priority="16332" stopIfTrue="1" operator="containsText" text="NO CUMPLE">
      <formula>NOT(ISERROR(SEARCH("NO CUMPLE",H421)))</formula>
    </cfRule>
  </conditionalFormatting>
  <conditionalFormatting sqref="V401:V402">
    <cfRule type="cellIs" dxfId="858" priority="16330" stopIfTrue="1" operator="greaterThan">
      <formula>0</formula>
    </cfRule>
  </conditionalFormatting>
  <conditionalFormatting sqref="V403">
    <cfRule type="cellIs" dxfId="857" priority="16329" stopIfTrue="1" operator="greaterThan">
      <formula>0</formula>
    </cfRule>
  </conditionalFormatting>
  <conditionalFormatting sqref="V404">
    <cfRule type="cellIs" dxfId="856" priority="16328" stopIfTrue="1" operator="greaterThan">
      <formula>0</formula>
    </cfRule>
  </conditionalFormatting>
  <conditionalFormatting sqref="V405">
    <cfRule type="cellIs" dxfId="855" priority="16327" stopIfTrue="1" operator="greaterThan">
      <formula>0</formula>
    </cfRule>
  </conditionalFormatting>
  <conditionalFormatting sqref="V406">
    <cfRule type="cellIs" dxfId="854" priority="16326" stopIfTrue="1" operator="greaterThan">
      <formula>0</formula>
    </cfRule>
  </conditionalFormatting>
  <conditionalFormatting sqref="O412">
    <cfRule type="cellIs" dxfId="853" priority="16324" stopIfTrue="1" operator="equal">
      <formula>"cumple"</formula>
    </cfRule>
    <cfRule type="containsText" dxfId="852" priority="16325" stopIfTrue="1" operator="containsText" text="NO CUMPLE">
      <formula>NOT(ISERROR(SEARCH("NO CUMPLE",O412)))</formula>
    </cfRule>
  </conditionalFormatting>
  <conditionalFormatting sqref="X401:X406">
    <cfRule type="cellIs" dxfId="851" priority="16322" stopIfTrue="1" operator="equal">
      <formula>"NO"</formula>
    </cfRule>
    <cfRule type="cellIs" dxfId="850" priority="16323" stopIfTrue="1" operator="equal">
      <formula>"SI"</formula>
    </cfRule>
  </conditionalFormatting>
  <conditionalFormatting sqref="B418">
    <cfRule type="cellIs" dxfId="849" priority="16320" stopIfTrue="1" operator="equal">
      <formula>"cumple"</formula>
    </cfRule>
    <cfRule type="containsText" dxfId="848" priority="16321" stopIfTrue="1" operator="containsText" text="NO CUMPLE">
      <formula>NOT(ISERROR(SEARCH("NO CUMPLE",B418)))</formula>
    </cfRule>
  </conditionalFormatting>
  <conditionalFormatting sqref="B419">
    <cfRule type="cellIs" dxfId="847" priority="16318" stopIfTrue="1" operator="equal">
      <formula>"cumple"</formula>
    </cfRule>
    <cfRule type="containsText" dxfId="846" priority="16319" stopIfTrue="1" operator="containsText" text="NO CUMPLE">
      <formula>NOT(ISERROR(SEARCH("NO CUMPLE",B419)))</formula>
    </cfRule>
  </conditionalFormatting>
  <conditionalFormatting sqref="G419">
    <cfRule type="cellIs" dxfId="845" priority="16316" stopIfTrue="1" operator="equal">
      <formula>"cumple"</formula>
    </cfRule>
    <cfRule type="containsText" dxfId="844" priority="16317" stopIfTrue="1" operator="containsText" text="NO CUMPLE">
      <formula>NOT(ISERROR(SEARCH("NO CUMPLE",G419)))</formula>
    </cfRule>
  </conditionalFormatting>
  <conditionalFormatting sqref="G420">
    <cfRule type="cellIs" dxfId="843" priority="16314" stopIfTrue="1" operator="equal">
      <formula>"cumple"</formula>
    </cfRule>
    <cfRule type="containsText" dxfId="842" priority="16315" stopIfTrue="1" operator="containsText" text="NO CUMPLE">
      <formula>NOT(ISERROR(SEARCH("NO CUMPLE",G420)))</formula>
    </cfRule>
  </conditionalFormatting>
  <conditionalFormatting sqref="X415">
    <cfRule type="cellIs" dxfId="841" priority="16313" operator="equal">
      <formula>"VERIFICAR CUADRO"</formula>
    </cfRule>
  </conditionalFormatting>
  <conditionalFormatting sqref="AC415">
    <cfRule type="cellIs" dxfId="840" priority="16311" stopIfTrue="1" operator="equal">
      <formula>"cumple"</formula>
    </cfRule>
    <cfRule type="containsText" dxfId="839" priority="16312" stopIfTrue="1" operator="containsText" text="NO CUMPLE">
      <formula>NOT(ISERROR(SEARCH("NO CUMPLE",AC415)))</formula>
    </cfRule>
  </conditionalFormatting>
  <conditionalFormatting sqref="AC416:AC420">
    <cfRule type="cellIs" dxfId="838" priority="16309" stopIfTrue="1" operator="equal">
      <formula>"cumple"</formula>
    </cfRule>
    <cfRule type="containsText" dxfId="837" priority="16310" stopIfTrue="1" operator="containsText" text="NO CUMPLE">
      <formula>NOT(ISERROR(SEARCH("NO CUMPLE",AC416)))</formula>
    </cfRule>
  </conditionalFormatting>
  <conditionalFormatting sqref="X421">
    <cfRule type="cellIs" dxfId="836" priority="16307" stopIfTrue="1" operator="equal">
      <formula>"cumple"</formula>
    </cfRule>
    <cfRule type="containsText" dxfId="835" priority="16308" stopIfTrue="1" operator="containsText" text="NO CUMPLE">
      <formula>NOT(ISERROR(SEARCH("NO CUMPLE",X421)))</formula>
    </cfRule>
  </conditionalFormatting>
  <conditionalFormatting sqref="AC401:AC406">
    <cfRule type="cellIs" dxfId="834" priority="16304" operator="equal">
      <formula>"NO ACREDITA"</formula>
    </cfRule>
    <cfRule type="cellIs" dxfId="833" priority="16305" stopIfTrue="1" operator="equal">
      <formula>"NO"</formula>
    </cfRule>
    <cfRule type="cellIs" dxfId="832" priority="16306" stopIfTrue="1" operator="equal">
      <formula>"SI"</formula>
    </cfRule>
  </conditionalFormatting>
  <conditionalFormatting sqref="E413:E414">
    <cfRule type="cellIs" dxfId="831" priority="16302" operator="greaterThan">
      <formula>0</formula>
    </cfRule>
    <cfRule type="cellIs" dxfId="830" priority="16303" operator="equal">
      <formula>0</formula>
    </cfRule>
  </conditionalFormatting>
  <conditionalFormatting sqref="G413">
    <cfRule type="cellIs" dxfId="829" priority="16301" stopIfTrue="1" operator="notBetween">
      <formula>"N/A"</formula>
      <formula>"REVISAR"</formula>
    </cfRule>
  </conditionalFormatting>
  <conditionalFormatting sqref="G413:G414">
    <cfRule type="cellIs" dxfId="828" priority="16300" operator="equal">
      <formula>"REVISAR"</formula>
    </cfRule>
  </conditionalFormatting>
  <conditionalFormatting sqref="E417">
    <cfRule type="cellIs" dxfId="827" priority="16299" operator="equal">
      <formula>"NO APLICA"</formula>
    </cfRule>
  </conditionalFormatting>
  <conditionalFormatting sqref="N412">
    <cfRule type="cellIs" dxfId="826" priority="16297" stopIfTrue="1" operator="equal">
      <formula>"cumple"</formula>
    </cfRule>
    <cfRule type="containsText" dxfId="825" priority="16298" stopIfTrue="1" operator="containsText" text="NO CUMPLE">
      <formula>NOT(ISERROR(SEARCH("NO CUMPLE",N412)))</formula>
    </cfRule>
  </conditionalFormatting>
  <conditionalFormatting sqref="N415:N420">
    <cfRule type="cellIs" dxfId="824" priority="16295" stopIfTrue="1" operator="equal">
      <formula>"cumple"</formula>
    </cfRule>
    <cfRule type="containsText" dxfId="823" priority="16296" stopIfTrue="1" operator="containsText" text="NO CUMPLE">
      <formula>NOT(ISERROR(SEARCH("NO CUMPLE",N415)))</formula>
    </cfRule>
  </conditionalFormatting>
  <conditionalFormatting sqref="N421">
    <cfRule type="cellIs" dxfId="822" priority="16293" stopIfTrue="1" operator="equal">
      <formula>"cumple"</formula>
    </cfRule>
    <cfRule type="containsText" dxfId="821" priority="16294" stopIfTrue="1" operator="containsText" text="NO CUMPLE">
      <formula>NOT(ISERROR(SEARCH("NO CUMPLE",N421)))</formula>
    </cfRule>
  </conditionalFormatting>
  <conditionalFormatting sqref="M428:N428 P428:R433 M431:N431 N429:N430 N432:N433">
    <cfRule type="cellIs" dxfId="820" priority="16291" stopIfTrue="1" operator="lessThan">
      <formula>0</formula>
    </cfRule>
  </conditionalFormatting>
  <conditionalFormatting sqref="U429 P428:R433 T429:T433 B428:N428 T428:U428 F432:H433 F429:H430 N429:N430 C431:N431 N432:N433 J429:J430 J432:L433">
    <cfRule type="cellIs" dxfId="819" priority="16290" stopIfTrue="1" operator="greaterThan">
      <formula>0</formula>
    </cfRule>
  </conditionalFormatting>
  <conditionalFormatting sqref="R429:R433">
    <cfRule type="cellIs" dxfId="818" priority="16289" stopIfTrue="1" operator="lessThan">
      <formula>0</formula>
    </cfRule>
  </conditionalFormatting>
  <conditionalFormatting sqref="O428:O433">
    <cfRule type="cellIs" dxfId="817" priority="16288" stopIfTrue="1" operator="greaterThan">
      <formula>0</formula>
    </cfRule>
  </conditionalFormatting>
  <conditionalFormatting sqref="U430">
    <cfRule type="cellIs" dxfId="816" priority="16287" stopIfTrue="1" operator="greaterThan">
      <formula>0</formula>
    </cfRule>
  </conditionalFormatting>
  <conditionalFormatting sqref="U431">
    <cfRule type="cellIs" dxfId="815" priority="16286" stopIfTrue="1" operator="greaterThan">
      <formula>0</formula>
    </cfRule>
  </conditionalFormatting>
  <conditionalFormatting sqref="U432">
    <cfRule type="cellIs" dxfId="814" priority="16285" stopIfTrue="1" operator="greaterThan">
      <formula>0</formula>
    </cfRule>
  </conditionalFormatting>
  <conditionalFormatting sqref="S429:S433">
    <cfRule type="cellIs" dxfId="813" priority="16283" stopIfTrue="1" operator="lessThan">
      <formula>0</formula>
    </cfRule>
  </conditionalFormatting>
  <conditionalFormatting sqref="S428:S433">
    <cfRule type="cellIs" dxfId="812" priority="16282" stopIfTrue="1" operator="greaterThan">
      <formula>0</formula>
    </cfRule>
  </conditionalFormatting>
  <conditionalFormatting sqref="S428:S433">
    <cfRule type="cellIs" dxfId="811" priority="16281" stopIfTrue="1" operator="lessThan">
      <formula>0</formula>
    </cfRule>
  </conditionalFormatting>
  <conditionalFormatting sqref="B438">
    <cfRule type="cellIs" dxfId="810" priority="16279" stopIfTrue="1" operator="equal">
      <formula>"cumple"</formula>
    </cfRule>
    <cfRule type="containsText" dxfId="809" priority="16280" stopIfTrue="1" operator="containsText" text="NO CUMPLE">
      <formula>NOT(ISERROR(SEARCH("NO CUMPLE",B438)))</formula>
    </cfRule>
  </conditionalFormatting>
  <conditionalFormatting sqref="B439">
    <cfRule type="cellIs" dxfId="808" priority="16277" stopIfTrue="1" operator="equal">
      <formula>"cumple"</formula>
    </cfRule>
    <cfRule type="containsText" dxfId="807" priority="16278" stopIfTrue="1" operator="containsText" text="NO CUMPLE">
      <formula>NOT(ISERROR(SEARCH("NO CUMPLE",B439)))</formula>
    </cfRule>
  </conditionalFormatting>
  <conditionalFormatting sqref="B440">
    <cfRule type="cellIs" dxfId="806" priority="16275" stopIfTrue="1" operator="equal">
      <formula>"cumple"</formula>
    </cfRule>
    <cfRule type="containsText" dxfId="805" priority="16276" stopIfTrue="1" operator="containsText" text="NO CUMPLE">
      <formula>NOT(ISERROR(SEARCH("NO CUMPLE",B440)))</formula>
    </cfRule>
  </conditionalFormatting>
  <conditionalFormatting sqref="B442">
    <cfRule type="cellIs" dxfId="804" priority="16273" stopIfTrue="1" operator="equal">
      <formula>"cumple"</formula>
    </cfRule>
    <cfRule type="containsText" dxfId="803" priority="16274" stopIfTrue="1" operator="containsText" text="NO CUMPLE">
      <formula>NOT(ISERROR(SEARCH("NO CUMPLE",B442)))</formula>
    </cfRule>
  </conditionalFormatting>
  <conditionalFormatting sqref="B443">
    <cfRule type="cellIs" dxfId="802" priority="16271" stopIfTrue="1" operator="equal">
      <formula>"cumple"</formula>
    </cfRule>
    <cfRule type="containsText" dxfId="801" priority="16272" stopIfTrue="1" operator="containsText" text="NO CUMPLE">
      <formula>NOT(ISERROR(SEARCH("NO CUMPLE",B443)))</formula>
    </cfRule>
  </conditionalFormatting>
  <conditionalFormatting sqref="F440">
    <cfRule type="cellIs" dxfId="800" priority="16269" stopIfTrue="1" operator="equal">
      <formula>"cumple"</formula>
    </cfRule>
    <cfRule type="containsText" dxfId="799" priority="16270" stopIfTrue="1" operator="containsText" text="NO CUMPLE">
      <formula>NOT(ISERROR(SEARCH("NO CUMPLE",F440)))</formula>
    </cfRule>
  </conditionalFormatting>
  <conditionalFormatting sqref="E443:F443">
    <cfRule type="cellIs" dxfId="798" priority="16267" stopIfTrue="1" operator="equal">
      <formula>"cumple"</formula>
    </cfRule>
    <cfRule type="containsText" dxfId="797" priority="16268" stopIfTrue="1" operator="containsText" text="NO CUMPLE">
      <formula>NOT(ISERROR(SEARCH("NO CUMPLE",E443)))</formula>
    </cfRule>
  </conditionalFormatting>
  <conditionalFormatting sqref="G443">
    <cfRule type="cellIs" dxfId="796" priority="16265" stopIfTrue="1" operator="equal">
      <formula>"cumple"</formula>
    </cfRule>
    <cfRule type="containsText" dxfId="795" priority="16266" stopIfTrue="1" operator="containsText" text="NO CUMPLE">
      <formula>NOT(ISERROR(SEARCH("NO CUMPLE",G443)))</formula>
    </cfRule>
  </conditionalFormatting>
  <conditionalFormatting sqref="G444">
    <cfRule type="cellIs" dxfId="794" priority="16263" stopIfTrue="1" operator="equal">
      <formula>"cumple"</formula>
    </cfRule>
    <cfRule type="containsText" dxfId="793" priority="16264" stopIfTrue="1" operator="containsText" text="NO CUMPLE">
      <formula>NOT(ISERROR(SEARCH("NO CUMPLE",G444)))</formula>
    </cfRule>
  </conditionalFormatting>
  <conditionalFormatting sqref="H438">
    <cfRule type="cellIs" dxfId="792" priority="16261" stopIfTrue="1" operator="equal">
      <formula>"cumple"</formula>
    </cfRule>
    <cfRule type="containsText" dxfId="791" priority="16262" stopIfTrue="1" operator="containsText" text="NO CUMPLE">
      <formula>NOT(ISERROR(SEARCH("NO CUMPLE",H438)))</formula>
    </cfRule>
  </conditionalFormatting>
  <conditionalFormatting sqref="M439">
    <cfRule type="cellIs" dxfId="790" priority="16259" stopIfTrue="1" operator="equal">
      <formula>"cumple"</formula>
    </cfRule>
    <cfRule type="containsText" dxfId="789" priority="16260" stopIfTrue="1" operator="containsText" text="NO CUMPLE">
      <formula>NOT(ISERROR(SEARCH("NO CUMPLE",M439)))</formula>
    </cfRule>
  </conditionalFormatting>
  <conditionalFormatting sqref="J440:J441">
    <cfRule type="cellIs" dxfId="788" priority="16257" stopIfTrue="1" operator="equal">
      <formula>"cumple"</formula>
    </cfRule>
    <cfRule type="containsText" dxfId="787" priority="16258" stopIfTrue="1" operator="containsText" text="NO CUMPLE">
      <formula>NOT(ISERROR(SEARCH("NO CUMPLE",J440)))</formula>
    </cfRule>
  </conditionalFormatting>
  <conditionalFormatting sqref="K440:K441">
    <cfRule type="cellIs" dxfId="786" priority="16255" stopIfTrue="1" operator="equal">
      <formula>"cumple"</formula>
    </cfRule>
    <cfRule type="containsText" dxfId="785" priority="16256" stopIfTrue="1" operator="containsText" text="NO CUMPLE">
      <formula>NOT(ISERROR(SEARCH("NO CUMPLE",K440)))</formula>
    </cfRule>
  </conditionalFormatting>
  <conditionalFormatting sqref="L440:L441">
    <cfRule type="cellIs" dxfId="784" priority="16253" stopIfTrue="1" operator="equal">
      <formula>"cumple"</formula>
    </cfRule>
    <cfRule type="containsText" dxfId="783" priority="16254" stopIfTrue="1" operator="containsText" text="NO CUMPLE">
      <formula>NOT(ISERROR(SEARCH("NO CUMPLE",L440)))</formula>
    </cfRule>
  </conditionalFormatting>
  <conditionalFormatting sqref="L442:L447">
    <cfRule type="cellIs" dxfId="782" priority="16251" stopIfTrue="1" operator="equal">
      <formula>"cumple"</formula>
    </cfRule>
    <cfRule type="containsText" dxfId="781" priority="16252" stopIfTrue="1" operator="containsText" text="NO CUMPLE">
      <formula>NOT(ISERROR(SEARCH("NO CUMPLE",L442)))</formula>
    </cfRule>
  </conditionalFormatting>
  <conditionalFormatting sqref="M442">
    <cfRule type="cellIs" dxfId="780" priority="16249" stopIfTrue="1" operator="equal">
      <formula>"cumple"</formula>
    </cfRule>
    <cfRule type="containsText" dxfId="779" priority="16250" stopIfTrue="1" operator="containsText" text="NO CUMPLE">
      <formula>NOT(ISERROR(SEARCH("NO CUMPLE",M442)))</formula>
    </cfRule>
  </conditionalFormatting>
  <conditionalFormatting sqref="M443:M447">
    <cfRule type="cellIs" dxfId="778" priority="16247" stopIfTrue="1" operator="equal">
      <formula>"cumple"</formula>
    </cfRule>
    <cfRule type="containsText" dxfId="777" priority="16248" stopIfTrue="1" operator="containsText" text="NO CUMPLE">
      <formula>NOT(ISERROR(SEARCH("NO CUMPLE",M443)))</formula>
    </cfRule>
  </conditionalFormatting>
  <conditionalFormatting sqref="M448">
    <cfRule type="cellIs" dxfId="776" priority="16245" stopIfTrue="1" operator="equal">
      <formula>"cumple"</formula>
    </cfRule>
    <cfRule type="containsText" dxfId="775" priority="16246" stopIfTrue="1" operator="containsText" text="NO CUMPLE">
      <formula>NOT(ISERROR(SEARCH("NO CUMPLE",M448)))</formula>
    </cfRule>
  </conditionalFormatting>
  <conditionalFormatting sqref="H448">
    <cfRule type="cellIs" dxfId="774" priority="16243" stopIfTrue="1" operator="equal">
      <formula>"cumple"</formula>
    </cfRule>
    <cfRule type="containsText" dxfId="773" priority="16244" stopIfTrue="1" operator="containsText" text="NO CUMPLE">
      <formula>NOT(ISERROR(SEARCH("NO CUMPLE",H448)))</formula>
    </cfRule>
  </conditionalFormatting>
  <conditionalFormatting sqref="V428:V429">
    <cfRule type="cellIs" dxfId="772" priority="16242" stopIfTrue="1" operator="greaterThan">
      <formula>0</formula>
    </cfRule>
  </conditionalFormatting>
  <conditionalFormatting sqref="V430">
    <cfRule type="cellIs" dxfId="771" priority="16241" stopIfTrue="1" operator="greaterThan">
      <formula>0</formula>
    </cfRule>
  </conditionalFormatting>
  <conditionalFormatting sqref="V431">
    <cfRule type="cellIs" dxfId="770" priority="16240" stopIfTrue="1" operator="greaterThan">
      <formula>0</formula>
    </cfRule>
  </conditionalFormatting>
  <conditionalFormatting sqref="V432">
    <cfRule type="cellIs" dxfId="769" priority="16239" stopIfTrue="1" operator="greaterThan">
      <formula>0</formula>
    </cfRule>
  </conditionalFormatting>
  <conditionalFormatting sqref="V433">
    <cfRule type="cellIs" dxfId="768" priority="16238" stopIfTrue="1" operator="greaterThan">
      <formula>0</formula>
    </cfRule>
  </conditionalFormatting>
  <conditionalFormatting sqref="O439">
    <cfRule type="cellIs" dxfId="767" priority="16236" stopIfTrue="1" operator="equal">
      <formula>"cumple"</formula>
    </cfRule>
    <cfRule type="containsText" dxfId="766" priority="16237" stopIfTrue="1" operator="containsText" text="NO CUMPLE">
      <formula>NOT(ISERROR(SEARCH("NO CUMPLE",O439)))</formula>
    </cfRule>
  </conditionalFormatting>
  <conditionalFormatting sqref="X428:X433">
    <cfRule type="cellIs" dxfId="765" priority="16234" stopIfTrue="1" operator="equal">
      <formula>"NO"</formula>
    </cfRule>
    <cfRule type="cellIs" dxfId="764" priority="16235" stopIfTrue="1" operator="equal">
      <formula>"SI"</formula>
    </cfRule>
  </conditionalFormatting>
  <conditionalFormatting sqref="B445">
    <cfRule type="cellIs" dxfId="763" priority="16232" stopIfTrue="1" operator="equal">
      <formula>"cumple"</formula>
    </cfRule>
    <cfRule type="containsText" dxfId="762" priority="16233" stopIfTrue="1" operator="containsText" text="NO CUMPLE">
      <formula>NOT(ISERROR(SEARCH("NO CUMPLE",B445)))</formula>
    </cfRule>
  </conditionalFormatting>
  <conditionalFormatting sqref="B446">
    <cfRule type="cellIs" dxfId="761" priority="16230" stopIfTrue="1" operator="equal">
      <formula>"cumple"</formula>
    </cfRule>
    <cfRule type="containsText" dxfId="760" priority="16231" stopIfTrue="1" operator="containsText" text="NO CUMPLE">
      <formula>NOT(ISERROR(SEARCH("NO CUMPLE",B446)))</formula>
    </cfRule>
  </conditionalFormatting>
  <conditionalFormatting sqref="G446">
    <cfRule type="cellIs" dxfId="759" priority="16228" stopIfTrue="1" operator="equal">
      <formula>"cumple"</formula>
    </cfRule>
    <cfRule type="containsText" dxfId="758" priority="16229" stopIfTrue="1" operator="containsText" text="NO CUMPLE">
      <formula>NOT(ISERROR(SEARCH("NO CUMPLE",G446)))</formula>
    </cfRule>
  </conditionalFormatting>
  <conditionalFormatting sqref="G447">
    <cfRule type="cellIs" dxfId="757" priority="16226" stopIfTrue="1" operator="equal">
      <formula>"cumple"</formula>
    </cfRule>
    <cfRule type="containsText" dxfId="756" priority="16227" stopIfTrue="1" operator="containsText" text="NO CUMPLE">
      <formula>NOT(ISERROR(SEARCH("NO CUMPLE",G447)))</formula>
    </cfRule>
  </conditionalFormatting>
  <conditionalFormatting sqref="X442">
    <cfRule type="cellIs" dxfId="755" priority="16225" operator="equal">
      <formula>"VERIFICAR CUADRO"</formula>
    </cfRule>
  </conditionalFormatting>
  <conditionalFormatting sqref="AC442">
    <cfRule type="cellIs" dxfId="754" priority="16223" stopIfTrue="1" operator="equal">
      <formula>"cumple"</formula>
    </cfRule>
    <cfRule type="containsText" dxfId="753" priority="16224" stopIfTrue="1" operator="containsText" text="NO CUMPLE">
      <formula>NOT(ISERROR(SEARCH("NO CUMPLE",AC442)))</formula>
    </cfRule>
  </conditionalFormatting>
  <conditionalFormatting sqref="AC443:AC447">
    <cfRule type="cellIs" dxfId="752" priority="16221" stopIfTrue="1" operator="equal">
      <formula>"cumple"</formula>
    </cfRule>
    <cfRule type="containsText" dxfId="751" priority="16222" stopIfTrue="1" operator="containsText" text="NO CUMPLE">
      <formula>NOT(ISERROR(SEARCH("NO CUMPLE",AC443)))</formula>
    </cfRule>
  </conditionalFormatting>
  <conditionalFormatting sqref="X448">
    <cfRule type="cellIs" dxfId="750" priority="16219" stopIfTrue="1" operator="equal">
      <formula>"cumple"</formula>
    </cfRule>
    <cfRule type="containsText" dxfId="749" priority="16220" stopIfTrue="1" operator="containsText" text="NO CUMPLE">
      <formula>NOT(ISERROR(SEARCH("NO CUMPLE",X448)))</formula>
    </cfRule>
  </conditionalFormatting>
  <conditionalFormatting sqref="AC428:AC433">
    <cfRule type="cellIs" dxfId="748" priority="16216" operator="equal">
      <formula>"NO ACREDITA"</formula>
    </cfRule>
    <cfRule type="cellIs" dxfId="747" priority="16217" stopIfTrue="1" operator="equal">
      <formula>"NO"</formula>
    </cfRule>
    <cfRule type="cellIs" dxfId="746" priority="16218" stopIfTrue="1" operator="equal">
      <formula>"SI"</formula>
    </cfRule>
  </conditionalFormatting>
  <conditionalFormatting sqref="E440:E441">
    <cfRule type="cellIs" dxfId="745" priority="16214" operator="greaterThan">
      <formula>0</formula>
    </cfRule>
    <cfRule type="cellIs" dxfId="744" priority="16215" operator="equal">
      <formula>0</formula>
    </cfRule>
  </conditionalFormatting>
  <conditionalFormatting sqref="G440">
    <cfRule type="cellIs" dxfId="743" priority="16213" stopIfTrue="1" operator="notBetween">
      <formula>"N/A"</formula>
      <formula>"REVISAR"</formula>
    </cfRule>
  </conditionalFormatting>
  <conditionalFormatting sqref="G440:G441">
    <cfRule type="cellIs" dxfId="742" priority="16212" operator="equal">
      <formula>"REVISAR"</formula>
    </cfRule>
  </conditionalFormatting>
  <conditionalFormatting sqref="E444">
    <cfRule type="cellIs" dxfId="741" priority="16211" operator="equal">
      <formula>"NO APLICA"</formula>
    </cfRule>
  </conditionalFormatting>
  <conditionalFormatting sqref="N439">
    <cfRule type="cellIs" dxfId="740" priority="16209" stopIfTrue="1" operator="equal">
      <formula>"cumple"</formula>
    </cfRule>
    <cfRule type="containsText" dxfId="739" priority="16210" stopIfTrue="1" operator="containsText" text="NO CUMPLE">
      <formula>NOT(ISERROR(SEARCH("NO CUMPLE",N439)))</formula>
    </cfRule>
  </conditionalFormatting>
  <conditionalFormatting sqref="N442:N447">
    <cfRule type="cellIs" dxfId="738" priority="16207" stopIfTrue="1" operator="equal">
      <formula>"cumple"</formula>
    </cfRule>
    <cfRule type="containsText" dxfId="737" priority="16208" stopIfTrue="1" operator="containsText" text="NO CUMPLE">
      <formula>NOT(ISERROR(SEARCH("NO CUMPLE",N442)))</formula>
    </cfRule>
  </conditionalFormatting>
  <conditionalFormatting sqref="N448">
    <cfRule type="cellIs" dxfId="736" priority="16205" stopIfTrue="1" operator="equal">
      <formula>"cumple"</formula>
    </cfRule>
    <cfRule type="containsText" dxfId="735" priority="16206" stopIfTrue="1" operator="containsText" text="NO CUMPLE">
      <formula>NOT(ISERROR(SEARCH("NO CUMPLE",N448)))</formula>
    </cfRule>
  </conditionalFormatting>
  <conditionalFormatting sqref="M455:N460 P455:R460">
    <cfRule type="cellIs" dxfId="734" priority="16203" stopIfTrue="1" operator="lessThan">
      <formula>0</formula>
    </cfRule>
  </conditionalFormatting>
  <conditionalFormatting sqref="U456 P455:R460 T456:T460 T455:U455 B455:N460">
    <cfRule type="cellIs" dxfId="733" priority="16202" stopIfTrue="1" operator="greaterThan">
      <formula>0</formula>
    </cfRule>
  </conditionalFormatting>
  <conditionalFormatting sqref="R456:R460">
    <cfRule type="cellIs" dxfId="732" priority="16201" stopIfTrue="1" operator="lessThan">
      <formula>0</formula>
    </cfRule>
  </conditionalFormatting>
  <conditionalFormatting sqref="O455:O460">
    <cfRule type="cellIs" dxfId="731" priority="16200" stopIfTrue="1" operator="greaterThan">
      <formula>0</formula>
    </cfRule>
  </conditionalFormatting>
  <conditionalFormatting sqref="U457">
    <cfRule type="cellIs" dxfId="730" priority="16199" stopIfTrue="1" operator="greaterThan">
      <formula>0</formula>
    </cfRule>
  </conditionalFormatting>
  <conditionalFormatting sqref="U458">
    <cfRule type="cellIs" dxfId="729" priority="16198" stopIfTrue="1" operator="greaterThan">
      <formula>0</formula>
    </cfRule>
  </conditionalFormatting>
  <conditionalFormatting sqref="U459">
    <cfRule type="cellIs" dxfId="728" priority="16197" stopIfTrue="1" operator="greaterThan">
      <formula>0</formula>
    </cfRule>
  </conditionalFormatting>
  <conditionalFormatting sqref="U460">
    <cfRule type="cellIs" dxfId="727" priority="16196" stopIfTrue="1" operator="greaterThan">
      <formula>0</formula>
    </cfRule>
  </conditionalFormatting>
  <conditionalFormatting sqref="S456:S460">
    <cfRule type="cellIs" dxfId="726" priority="16195" stopIfTrue="1" operator="lessThan">
      <formula>0</formula>
    </cfRule>
  </conditionalFormatting>
  <conditionalFormatting sqref="S455:S460">
    <cfRule type="cellIs" dxfId="725" priority="16194" stopIfTrue="1" operator="greaterThan">
      <formula>0</formula>
    </cfRule>
  </conditionalFormatting>
  <conditionalFormatting sqref="S455:S460">
    <cfRule type="cellIs" dxfId="724" priority="16193" stopIfTrue="1" operator="lessThan">
      <formula>0</formula>
    </cfRule>
  </conditionalFormatting>
  <conditionalFormatting sqref="B465">
    <cfRule type="cellIs" dxfId="723" priority="16191" stopIfTrue="1" operator="equal">
      <formula>"cumple"</formula>
    </cfRule>
    <cfRule type="containsText" dxfId="722" priority="16192" stopIfTrue="1" operator="containsText" text="NO CUMPLE">
      <formula>NOT(ISERROR(SEARCH("NO CUMPLE",B465)))</formula>
    </cfRule>
  </conditionalFormatting>
  <conditionalFormatting sqref="B466">
    <cfRule type="cellIs" dxfId="721" priority="16189" stopIfTrue="1" operator="equal">
      <formula>"cumple"</formula>
    </cfRule>
    <cfRule type="containsText" dxfId="720" priority="16190" stopIfTrue="1" operator="containsText" text="NO CUMPLE">
      <formula>NOT(ISERROR(SEARCH("NO CUMPLE",B466)))</formula>
    </cfRule>
  </conditionalFormatting>
  <conditionalFormatting sqref="B467">
    <cfRule type="cellIs" dxfId="719" priority="16187" stopIfTrue="1" operator="equal">
      <formula>"cumple"</formula>
    </cfRule>
    <cfRule type="containsText" dxfId="718" priority="16188" stopIfTrue="1" operator="containsText" text="NO CUMPLE">
      <formula>NOT(ISERROR(SEARCH("NO CUMPLE",B467)))</formula>
    </cfRule>
  </conditionalFormatting>
  <conditionalFormatting sqref="B469">
    <cfRule type="cellIs" dxfId="717" priority="16185" stopIfTrue="1" operator="equal">
      <formula>"cumple"</formula>
    </cfRule>
    <cfRule type="containsText" dxfId="716" priority="16186" stopIfTrue="1" operator="containsText" text="NO CUMPLE">
      <formula>NOT(ISERROR(SEARCH("NO CUMPLE",B469)))</formula>
    </cfRule>
  </conditionalFormatting>
  <conditionalFormatting sqref="B470">
    <cfRule type="cellIs" dxfId="715" priority="16183" stopIfTrue="1" operator="equal">
      <formula>"cumple"</formula>
    </cfRule>
    <cfRule type="containsText" dxfId="714" priority="16184" stopIfTrue="1" operator="containsText" text="NO CUMPLE">
      <formula>NOT(ISERROR(SEARCH("NO CUMPLE",B470)))</formula>
    </cfRule>
  </conditionalFormatting>
  <conditionalFormatting sqref="F467">
    <cfRule type="cellIs" dxfId="713" priority="16181" stopIfTrue="1" operator="equal">
      <formula>"cumple"</formula>
    </cfRule>
    <cfRule type="containsText" dxfId="712" priority="16182" stopIfTrue="1" operator="containsText" text="NO CUMPLE">
      <formula>NOT(ISERROR(SEARCH("NO CUMPLE",F467)))</formula>
    </cfRule>
  </conditionalFormatting>
  <conditionalFormatting sqref="E470:F470">
    <cfRule type="cellIs" dxfId="711" priority="16179" stopIfTrue="1" operator="equal">
      <formula>"cumple"</formula>
    </cfRule>
    <cfRule type="containsText" dxfId="710" priority="16180" stopIfTrue="1" operator="containsText" text="NO CUMPLE">
      <formula>NOT(ISERROR(SEARCH("NO CUMPLE",E470)))</formula>
    </cfRule>
  </conditionalFormatting>
  <conditionalFormatting sqref="G470">
    <cfRule type="cellIs" dxfId="709" priority="16177" stopIfTrue="1" operator="equal">
      <formula>"cumple"</formula>
    </cfRule>
    <cfRule type="containsText" dxfId="708" priority="16178" stopIfTrue="1" operator="containsText" text="NO CUMPLE">
      <formula>NOT(ISERROR(SEARCH("NO CUMPLE",G470)))</formula>
    </cfRule>
  </conditionalFormatting>
  <conditionalFormatting sqref="G471">
    <cfRule type="cellIs" dxfId="707" priority="16175" stopIfTrue="1" operator="equal">
      <formula>"cumple"</formula>
    </cfRule>
    <cfRule type="containsText" dxfId="706" priority="16176" stopIfTrue="1" operator="containsText" text="NO CUMPLE">
      <formula>NOT(ISERROR(SEARCH("NO CUMPLE",G471)))</formula>
    </cfRule>
  </conditionalFormatting>
  <conditionalFormatting sqref="H465">
    <cfRule type="cellIs" dxfId="705" priority="16173" stopIfTrue="1" operator="equal">
      <formula>"cumple"</formula>
    </cfRule>
    <cfRule type="containsText" dxfId="704" priority="16174" stopIfTrue="1" operator="containsText" text="NO CUMPLE">
      <formula>NOT(ISERROR(SEARCH("NO CUMPLE",H465)))</formula>
    </cfRule>
  </conditionalFormatting>
  <conditionalFormatting sqref="M466">
    <cfRule type="cellIs" dxfId="703" priority="16171" stopIfTrue="1" operator="equal">
      <formula>"cumple"</formula>
    </cfRule>
    <cfRule type="containsText" dxfId="702" priority="16172" stopIfTrue="1" operator="containsText" text="NO CUMPLE">
      <formula>NOT(ISERROR(SEARCH("NO CUMPLE",M466)))</formula>
    </cfRule>
  </conditionalFormatting>
  <conditionalFormatting sqref="J467:J468">
    <cfRule type="cellIs" dxfId="701" priority="16169" stopIfTrue="1" operator="equal">
      <formula>"cumple"</formula>
    </cfRule>
    <cfRule type="containsText" dxfId="700" priority="16170" stopIfTrue="1" operator="containsText" text="NO CUMPLE">
      <formula>NOT(ISERROR(SEARCH("NO CUMPLE",J467)))</formula>
    </cfRule>
  </conditionalFormatting>
  <conditionalFormatting sqref="K467:K468">
    <cfRule type="cellIs" dxfId="699" priority="16167" stopIfTrue="1" operator="equal">
      <formula>"cumple"</formula>
    </cfRule>
    <cfRule type="containsText" dxfId="698" priority="16168" stopIfTrue="1" operator="containsText" text="NO CUMPLE">
      <formula>NOT(ISERROR(SEARCH("NO CUMPLE",K467)))</formula>
    </cfRule>
  </conditionalFormatting>
  <conditionalFormatting sqref="L467:L468">
    <cfRule type="cellIs" dxfId="697" priority="16165" stopIfTrue="1" operator="equal">
      <formula>"cumple"</formula>
    </cfRule>
    <cfRule type="containsText" dxfId="696" priority="16166" stopIfTrue="1" operator="containsText" text="NO CUMPLE">
      <formula>NOT(ISERROR(SEARCH("NO CUMPLE",L467)))</formula>
    </cfRule>
  </conditionalFormatting>
  <conditionalFormatting sqref="L469:L474">
    <cfRule type="cellIs" dxfId="695" priority="16163" stopIfTrue="1" operator="equal">
      <formula>"cumple"</formula>
    </cfRule>
    <cfRule type="containsText" dxfId="694" priority="16164" stopIfTrue="1" operator="containsText" text="NO CUMPLE">
      <formula>NOT(ISERROR(SEARCH("NO CUMPLE",L469)))</formula>
    </cfRule>
  </conditionalFormatting>
  <conditionalFormatting sqref="M469">
    <cfRule type="cellIs" dxfId="693" priority="16161" stopIfTrue="1" operator="equal">
      <formula>"cumple"</formula>
    </cfRule>
    <cfRule type="containsText" dxfId="692" priority="16162" stopIfTrue="1" operator="containsText" text="NO CUMPLE">
      <formula>NOT(ISERROR(SEARCH("NO CUMPLE",M469)))</formula>
    </cfRule>
  </conditionalFormatting>
  <conditionalFormatting sqref="M470:M474">
    <cfRule type="cellIs" dxfId="691" priority="16159" stopIfTrue="1" operator="equal">
      <formula>"cumple"</formula>
    </cfRule>
    <cfRule type="containsText" dxfId="690" priority="16160" stopIfTrue="1" operator="containsText" text="NO CUMPLE">
      <formula>NOT(ISERROR(SEARCH("NO CUMPLE",M470)))</formula>
    </cfRule>
  </conditionalFormatting>
  <conditionalFormatting sqref="M475">
    <cfRule type="cellIs" dxfId="689" priority="16157" stopIfTrue="1" operator="equal">
      <formula>"cumple"</formula>
    </cfRule>
    <cfRule type="containsText" dxfId="688" priority="16158" stopIfTrue="1" operator="containsText" text="NO CUMPLE">
      <formula>NOT(ISERROR(SEARCH("NO CUMPLE",M475)))</formula>
    </cfRule>
  </conditionalFormatting>
  <conditionalFormatting sqref="H475">
    <cfRule type="cellIs" dxfId="687" priority="16155" stopIfTrue="1" operator="equal">
      <formula>"cumple"</formula>
    </cfRule>
    <cfRule type="containsText" dxfId="686" priority="16156" stopIfTrue="1" operator="containsText" text="NO CUMPLE">
      <formula>NOT(ISERROR(SEARCH("NO CUMPLE",H475)))</formula>
    </cfRule>
  </conditionalFormatting>
  <conditionalFormatting sqref="V455:V456">
    <cfRule type="cellIs" dxfId="685" priority="16154" stopIfTrue="1" operator="greaterThan">
      <formula>0</formula>
    </cfRule>
  </conditionalFormatting>
  <conditionalFormatting sqref="V457">
    <cfRule type="cellIs" dxfId="684" priority="16153" stopIfTrue="1" operator="greaterThan">
      <formula>0</formula>
    </cfRule>
  </conditionalFormatting>
  <conditionalFormatting sqref="V458">
    <cfRule type="cellIs" dxfId="683" priority="16152" stopIfTrue="1" operator="greaterThan">
      <formula>0</formula>
    </cfRule>
  </conditionalFormatting>
  <conditionalFormatting sqref="V459">
    <cfRule type="cellIs" dxfId="682" priority="16151" stopIfTrue="1" operator="greaterThan">
      <formula>0</formula>
    </cfRule>
  </conditionalFormatting>
  <conditionalFormatting sqref="V460">
    <cfRule type="cellIs" dxfId="681" priority="16150" stopIfTrue="1" operator="greaterThan">
      <formula>0</formula>
    </cfRule>
  </conditionalFormatting>
  <conditionalFormatting sqref="O466">
    <cfRule type="cellIs" dxfId="680" priority="16148" stopIfTrue="1" operator="equal">
      <formula>"cumple"</formula>
    </cfRule>
    <cfRule type="containsText" dxfId="679" priority="16149" stopIfTrue="1" operator="containsText" text="NO CUMPLE">
      <formula>NOT(ISERROR(SEARCH("NO CUMPLE",O466)))</formula>
    </cfRule>
  </conditionalFormatting>
  <conditionalFormatting sqref="X455:X460">
    <cfRule type="cellIs" dxfId="678" priority="16146" stopIfTrue="1" operator="equal">
      <formula>"NO"</formula>
    </cfRule>
    <cfRule type="cellIs" dxfId="677" priority="16147" stopIfTrue="1" operator="equal">
      <formula>"SI"</formula>
    </cfRule>
  </conditionalFormatting>
  <conditionalFormatting sqref="B472">
    <cfRule type="cellIs" dxfId="676" priority="16144" stopIfTrue="1" operator="equal">
      <formula>"cumple"</formula>
    </cfRule>
    <cfRule type="containsText" dxfId="675" priority="16145" stopIfTrue="1" operator="containsText" text="NO CUMPLE">
      <formula>NOT(ISERROR(SEARCH("NO CUMPLE",B472)))</formula>
    </cfRule>
  </conditionalFormatting>
  <conditionalFormatting sqref="B473">
    <cfRule type="cellIs" dxfId="674" priority="16142" stopIfTrue="1" operator="equal">
      <formula>"cumple"</formula>
    </cfRule>
    <cfRule type="containsText" dxfId="673" priority="16143" stopIfTrue="1" operator="containsText" text="NO CUMPLE">
      <formula>NOT(ISERROR(SEARCH("NO CUMPLE",B473)))</formula>
    </cfRule>
  </conditionalFormatting>
  <conditionalFormatting sqref="G473">
    <cfRule type="cellIs" dxfId="672" priority="16140" stopIfTrue="1" operator="equal">
      <formula>"cumple"</formula>
    </cfRule>
    <cfRule type="containsText" dxfId="671" priority="16141" stopIfTrue="1" operator="containsText" text="NO CUMPLE">
      <formula>NOT(ISERROR(SEARCH("NO CUMPLE",G473)))</formula>
    </cfRule>
  </conditionalFormatting>
  <conditionalFormatting sqref="G474">
    <cfRule type="cellIs" dxfId="670" priority="16138" stopIfTrue="1" operator="equal">
      <formula>"cumple"</formula>
    </cfRule>
    <cfRule type="containsText" dxfId="669" priority="16139" stopIfTrue="1" operator="containsText" text="NO CUMPLE">
      <formula>NOT(ISERROR(SEARCH("NO CUMPLE",G474)))</formula>
    </cfRule>
  </conditionalFormatting>
  <conditionalFormatting sqref="X469">
    <cfRule type="cellIs" dxfId="668" priority="16137" operator="equal">
      <formula>"VERIFICAR CUADRO"</formula>
    </cfRule>
  </conditionalFormatting>
  <conditionalFormatting sqref="AC469">
    <cfRule type="cellIs" dxfId="667" priority="16135" stopIfTrue="1" operator="equal">
      <formula>"cumple"</formula>
    </cfRule>
    <cfRule type="containsText" dxfId="666" priority="16136" stopIfTrue="1" operator="containsText" text="NO CUMPLE">
      <formula>NOT(ISERROR(SEARCH("NO CUMPLE",AC469)))</formula>
    </cfRule>
  </conditionalFormatting>
  <conditionalFormatting sqref="AC470:AC474">
    <cfRule type="cellIs" dxfId="665" priority="16133" stopIfTrue="1" operator="equal">
      <formula>"cumple"</formula>
    </cfRule>
    <cfRule type="containsText" dxfId="664" priority="16134" stopIfTrue="1" operator="containsText" text="NO CUMPLE">
      <formula>NOT(ISERROR(SEARCH("NO CUMPLE",AC470)))</formula>
    </cfRule>
  </conditionalFormatting>
  <conditionalFormatting sqref="X475">
    <cfRule type="cellIs" dxfId="663" priority="16131" stopIfTrue="1" operator="equal">
      <formula>"cumple"</formula>
    </cfRule>
    <cfRule type="containsText" dxfId="662" priority="16132" stopIfTrue="1" operator="containsText" text="NO CUMPLE">
      <formula>NOT(ISERROR(SEARCH("NO CUMPLE",X475)))</formula>
    </cfRule>
  </conditionalFormatting>
  <conditionalFormatting sqref="AC455:AC460">
    <cfRule type="cellIs" dxfId="661" priority="16128" operator="equal">
      <formula>"NO ACREDITA"</formula>
    </cfRule>
    <cfRule type="cellIs" dxfId="660" priority="16129" stopIfTrue="1" operator="equal">
      <formula>"NO"</formula>
    </cfRule>
    <cfRule type="cellIs" dxfId="659" priority="16130" stopIfTrue="1" operator="equal">
      <formula>"SI"</formula>
    </cfRule>
  </conditionalFormatting>
  <conditionalFormatting sqref="E467:E468">
    <cfRule type="cellIs" dxfId="658" priority="16126" operator="greaterThan">
      <formula>0</formula>
    </cfRule>
    <cfRule type="cellIs" dxfId="657" priority="16127" operator="equal">
      <formula>0</formula>
    </cfRule>
  </conditionalFormatting>
  <conditionalFormatting sqref="G467">
    <cfRule type="cellIs" dxfId="656" priority="16125" stopIfTrue="1" operator="notBetween">
      <formula>"N/A"</formula>
      <formula>"REVISAR"</formula>
    </cfRule>
  </conditionalFormatting>
  <conditionalFormatting sqref="G467:G468">
    <cfRule type="cellIs" dxfId="655" priority="16124" operator="equal">
      <formula>"REVISAR"</formula>
    </cfRule>
  </conditionalFormatting>
  <conditionalFormatting sqref="E471">
    <cfRule type="cellIs" dxfId="654" priority="16123" operator="equal">
      <formula>"NO APLICA"</formula>
    </cfRule>
  </conditionalFormatting>
  <conditionalFormatting sqref="N466">
    <cfRule type="cellIs" dxfId="653" priority="16121" stopIfTrue="1" operator="equal">
      <formula>"cumple"</formula>
    </cfRule>
    <cfRule type="containsText" dxfId="652" priority="16122" stopIfTrue="1" operator="containsText" text="NO CUMPLE">
      <formula>NOT(ISERROR(SEARCH("NO CUMPLE",N466)))</formula>
    </cfRule>
  </conditionalFormatting>
  <conditionalFormatting sqref="N469:N474">
    <cfRule type="cellIs" dxfId="651" priority="16119" stopIfTrue="1" operator="equal">
      <formula>"cumple"</formula>
    </cfRule>
    <cfRule type="containsText" dxfId="650" priority="16120" stopIfTrue="1" operator="containsText" text="NO CUMPLE">
      <formula>NOT(ISERROR(SEARCH("NO CUMPLE",N469)))</formula>
    </cfRule>
  </conditionalFormatting>
  <conditionalFormatting sqref="N475">
    <cfRule type="cellIs" dxfId="649" priority="16117" stopIfTrue="1" operator="equal">
      <formula>"cumple"</formula>
    </cfRule>
    <cfRule type="containsText" dxfId="648" priority="16118" stopIfTrue="1" operator="containsText" text="NO CUMPLE">
      <formula>NOT(ISERROR(SEARCH("NO CUMPLE",N475)))</formula>
    </cfRule>
  </conditionalFormatting>
  <conditionalFormatting sqref="M482:N487 P482:R487">
    <cfRule type="cellIs" dxfId="647" priority="16115" stopIfTrue="1" operator="lessThan">
      <formula>0</formula>
    </cfRule>
  </conditionalFormatting>
  <conditionalFormatting sqref="U483 P482:R487 T483:T487 B482:N487 T482:U482">
    <cfRule type="cellIs" dxfId="646" priority="16114" stopIfTrue="1" operator="greaterThan">
      <formula>0</formula>
    </cfRule>
  </conditionalFormatting>
  <conditionalFormatting sqref="R483:R487">
    <cfRule type="cellIs" dxfId="645" priority="16113" stopIfTrue="1" operator="lessThan">
      <formula>0</formula>
    </cfRule>
  </conditionalFormatting>
  <conditionalFormatting sqref="O482:O487">
    <cfRule type="cellIs" dxfId="644" priority="16112" stopIfTrue="1" operator="greaterThan">
      <formula>0</formula>
    </cfRule>
  </conditionalFormatting>
  <conditionalFormatting sqref="U484">
    <cfRule type="cellIs" dxfId="643" priority="16111" stopIfTrue="1" operator="greaterThan">
      <formula>0</formula>
    </cfRule>
  </conditionalFormatting>
  <conditionalFormatting sqref="U485">
    <cfRule type="cellIs" dxfId="642" priority="16110" stopIfTrue="1" operator="greaterThan">
      <formula>0</formula>
    </cfRule>
  </conditionalFormatting>
  <conditionalFormatting sqref="U486">
    <cfRule type="cellIs" dxfId="641" priority="16109" stopIfTrue="1" operator="greaterThan">
      <formula>0</formula>
    </cfRule>
  </conditionalFormatting>
  <conditionalFormatting sqref="U487">
    <cfRule type="cellIs" dxfId="640" priority="16108" stopIfTrue="1" operator="greaterThan">
      <formula>0</formula>
    </cfRule>
  </conditionalFormatting>
  <conditionalFormatting sqref="S483:S487">
    <cfRule type="cellIs" dxfId="639" priority="16107" stopIfTrue="1" operator="lessThan">
      <formula>0</formula>
    </cfRule>
  </conditionalFormatting>
  <conditionalFormatting sqref="S482:S487">
    <cfRule type="cellIs" dxfId="638" priority="16106" stopIfTrue="1" operator="greaterThan">
      <formula>0</formula>
    </cfRule>
  </conditionalFormatting>
  <conditionalFormatting sqref="S482:S487">
    <cfRule type="cellIs" dxfId="637" priority="16105" stopIfTrue="1" operator="lessThan">
      <formula>0</formula>
    </cfRule>
  </conditionalFormatting>
  <conditionalFormatting sqref="B492">
    <cfRule type="cellIs" dxfId="636" priority="16103" stopIfTrue="1" operator="equal">
      <formula>"cumple"</formula>
    </cfRule>
    <cfRule type="containsText" dxfId="635" priority="16104" stopIfTrue="1" operator="containsText" text="NO CUMPLE">
      <formula>NOT(ISERROR(SEARCH("NO CUMPLE",B492)))</formula>
    </cfRule>
  </conditionalFormatting>
  <conditionalFormatting sqref="B493">
    <cfRule type="cellIs" dxfId="634" priority="16101" stopIfTrue="1" operator="equal">
      <formula>"cumple"</formula>
    </cfRule>
    <cfRule type="containsText" dxfId="633" priority="16102" stopIfTrue="1" operator="containsText" text="NO CUMPLE">
      <formula>NOT(ISERROR(SEARCH("NO CUMPLE",B493)))</formula>
    </cfRule>
  </conditionalFormatting>
  <conditionalFormatting sqref="B494">
    <cfRule type="cellIs" dxfId="632" priority="16099" stopIfTrue="1" operator="equal">
      <formula>"cumple"</formula>
    </cfRule>
    <cfRule type="containsText" dxfId="631" priority="16100" stopIfTrue="1" operator="containsText" text="NO CUMPLE">
      <formula>NOT(ISERROR(SEARCH("NO CUMPLE",B494)))</formula>
    </cfRule>
  </conditionalFormatting>
  <conditionalFormatting sqref="B496">
    <cfRule type="cellIs" dxfId="630" priority="16097" stopIfTrue="1" operator="equal">
      <formula>"cumple"</formula>
    </cfRule>
    <cfRule type="containsText" dxfId="629" priority="16098" stopIfTrue="1" operator="containsText" text="NO CUMPLE">
      <formula>NOT(ISERROR(SEARCH("NO CUMPLE",B496)))</formula>
    </cfRule>
  </conditionalFormatting>
  <conditionalFormatting sqref="B497">
    <cfRule type="cellIs" dxfId="628" priority="16095" stopIfTrue="1" operator="equal">
      <formula>"cumple"</formula>
    </cfRule>
    <cfRule type="containsText" dxfId="627" priority="16096" stopIfTrue="1" operator="containsText" text="NO CUMPLE">
      <formula>NOT(ISERROR(SEARCH("NO CUMPLE",B497)))</formula>
    </cfRule>
  </conditionalFormatting>
  <conditionalFormatting sqref="F494">
    <cfRule type="cellIs" dxfId="626" priority="16093" stopIfTrue="1" operator="equal">
      <formula>"cumple"</formula>
    </cfRule>
    <cfRule type="containsText" dxfId="625" priority="16094" stopIfTrue="1" operator="containsText" text="NO CUMPLE">
      <formula>NOT(ISERROR(SEARCH("NO CUMPLE",F494)))</formula>
    </cfRule>
  </conditionalFormatting>
  <conditionalFormatting sqref="E497:F497">
    <cfRule type="cellIs" dxfId="624" priority="16091" stopIfTrue="1" operator="equal">
      <formula>"cumple"</formula>
    </cfRule>
    <cfRule type="containsText" dxfId="623" priority="16092" stopIfTrue="1" operator="containsText" text="NO CUMPLE">
      <formula>NOT(ISERROR(SEARCH("NO CUMPLE",E497)))</formula>
    </cfRule>
  </conditionalFormatting>
  <conditionalFormatting sqref="G497">
    <cfRule type="cellIs" dxfId="622" priority="16089" stopIfTrue="1" operator="equal">
      <formula>"cumple"</formula>
    </cfRule>
    <cfRule type="containsText" dxfId="621" priority="16090" stopIfTrue="1" operator="containsText" text="NO CUMPLE">
      <formula>NOT(ISERROR(SEARCH("NO CUMPLE",G497)))</formula>
    </cfRule>
  </conditionalFormatting>
  <conditionalFormatting sqref="G498">
    <cfRule type="cellIs" dxfId="620" priority="16087" stopIfTrue="1" operator="equal">
      <formula>"cumple"</formula>
    </cfRule>
    <cfRule type="containsText" dxfId="619" priority="16088" stopIfTrue="1" operator="containsText" text="NO CUMPLE">
      <formula>NOT(ISERROR(SEARCH("NO CUMPLE",G498)))</formula>
    </cfRule>
  </conditionalFormatting>
  <conditionalFormatting sqref="H492">
    <cfRule type="cellIs" dxfId="618" priority="16085" stopIfTrue="1" operator="equal">
      <formula>"cumple"</formula>
    </cfRule>
    <cfRule type="containsText" dxfId="617" priority="16086" stopIfTrue="1" operator="containsText" text="NO CUMPLE">
      <formula>NOT(ISERROR(SEARCH("NO CUMPLE",H492)))</formula>
    </cfRule>
  </conditionalFormatting>
  <conditionalFormatting sqref="M493">
    <cfRule type="cellIs" dxfId="616" priority="16083" stopIfTrue="1" operator="equal">
      <formula>"cumple"</formula>
    </cfRule>
    <cfRule type="containsText" dxfId="615" priority="16084" stopIfTrue="1" operator="containsText" text="NO CUMPLE">
      <formula>NOT(ISERROR(SEARCH("NO CUMPLE",M493)))</formula>
    </cfRule>
  </conditionalFormatting>
  <conditionalFormatting sqref="J494:J495">
    <cfRule type="cellIs" dxfId="614" priority="16081" stopIfTrue="1" operator="equal">
      <formula>"cumple"</formula>
    </cfRule>
    <cfRule type="containsText" dxfId="613" priority="16082" stopIfTrue="1" operator="containsText" text="NO CUMPLE">
      <formula>NOT(ISERROR(SEARCH("NO CUMPLE",J494)))</formula>
    </cfRule>
  </conditionalFormatting>
  <conditionalFormatting sqref="K494:K495">
    <cfRule type="cellIs" dxfId="612" priority="16079" stopIfTrue="1" operator="equal">
      <formula>"cumple"</formula>
    </cfRule>
    <cfRule type="containsText" dxfId="611" priority="16080" stopIfTrue="1" operator="containsText" text="NO CUMPLE">
      <formula>NOT(ISERROR(SEARCH("NO CUMPLE",K494)))</formula>
    </cfRule>
  </conditionalFormatting>
  <conditionalFormatting sqref="L494:L495">
    <cfRule type="cellIs" dxfId="610" priority="16077" stopIfTrue="1" operator="equal">
      <formula>"cumple"</formula>
    </cfRule>
    <cfRule type="containsText" dxfId="609" priority="16078" stopIfTrue="1" operator="containsText" text="NO CUMPLE">
      <formula>NOT(ISERROR(SEARCH("NO CUMPLE",L494)))</formula>
    </cfRule>
  </conditionalFormatting>
  <conditionalFormatting sqref="L496:L501">
    <cfRule type="cellIs" dxfId="608" priority="16075" stopIfTrue="1" operator="equal">
      <formula>"cumple"</formula>
    </cfRule>
    <cfRule type="containsText" dxfId="607" priority="16076" stopIfTrue="1" operator="containsText" text="NO CUMPLE">
      <formula>NOT(ISERROR(SEARCH("NO CUMPLE",L496)))</formula>
    </cfRule>
  </conditionalFormatting>
  <conditionalFormatting sqref="M496">
    <cfRule type="cellIs" dxfId="606" priority="16073" stopIfTrue="1" operator="equal">
      <formula>"cumple"</formula>
    </cfRule>
    <cfRule type="containsText" dxfId="605" priority="16074" stopIfTrue="1" operator="containsText" text="NO CUMPLE">
      <formula>NOT(ISERROR(SEARCH("NO CUMPLE",M496)))</formula>
    </cfRule>
  </conditionalFormatting>
  <conditionalFormatting sqref="M497:M501">
    <cfRule type="cellIs" dxfId="604" priority="16071" stopIfTrue="1" operator="equal">
      <formula>"cumple"</formula>
    </cfRule>
    <cfRule type="containsText" dxfId="603" priority="16072" stopIfTrue="1" operator="containsText" text="NO CUMPLE">
      <formula>NOT(ISERROR(SEARCH("NO CUMPLE",M497)))</formula>
    </cfRule>
  </conditionalFormatting>
  <conditionalFormatting sqref="M502">
    <cfRule type="cellIs" dxfId="602" priority="16069" stopIfTrue="1" operator="equal">
      <formula>"cumple"</formula>
    </cfRule>
    <cfRule type="containsText" dxfId="601" priority="16070" stopIfTrue="1" operator="containsText" text="NO CUMPLE">
      <formula>NOT(ISERROR(SEARCH("NO CUMPLE",M502)))</formula>
    </cfRule>
  </conditionalFormatting>
  <conditionalFormatting sqref="H502">
    <cfRule type="cellIs" dxfId="600" priority="16067" stopIfTrue="1" operator="equal">
      <formula>"cumple"</formula>
    </cfRule>
    <cfRule type="containsText" dxfId="599" priority="16068" stopIfTrue="1" operator="containsText" text="NO CUMPLE">
      <formula>NOT(ISERROR(SEARCH("NO CUMPLE",H502)))</formula>
    </cfRule>
  </conditionalFormatting>
  <conditionalFormatting sqref="V482:V483">
    <cfRule type="cellIs" dxfId="598" priority="16066" stopIfTrue="1" operator="greaterThan">
      <formula>0</formula>
    </cfRule>
  </conditionalFormatting>
  <conditionalFormatting sqref="V484">
    <cfRule type="cellIs" dxfId="597" priority="16065" stopIfTrue="1" operator="greaterThan">
      <formula>0</formula>
    </cfRule>
  </conditionalFormatting>
  <conditionalFormatting sqref="V485">
    <cfRule type="cellIs" dxfId="596" priority="16064" stopIfTrue="1" operator="greaterThan">
      <formula>0</formula>
    </cfRule>
  </conditionalFormatting>
  <conditionalFormatting sqref="V486">
    <cfRule type="cellIs" dxfId="595" priority="16063" stopIfTrue="1" operator="greaterThan">
      <formula>0</formula>
    </cfRule>
  </conditionalFormatting>
  <conditionalFormatting sqref="V487">
    <cfRule type="cellIs" dxfId="594" priority="16062" stopIfTrue="1" operator="greaterThan">
      <formula>0</formula>
    </cfRule>
  </conditionalFormatting>
  <conditionalFormatting sqref="O493">
    <cfRule type="cellIs" dxfId="593" priority="16060" stopIfTrue="1" operator="equal">
      <formula>"cumple"</formula>
    </cfRule>
    <cfRule type="containsText" dxfId="592" priority="16061" stopIfTrue="1" operator="containsText" text="NO CUMPLE">
      <formula>NOT(ISERROR(SEARCH("NO CUMPLE",O493)))</formula>
    </cfRule>
  </conditionalFormatting>
  <conditionalFormatting sqref="X482:X487">
    <cfRule type="cellIs" dxfId="591" priority="16058" stopIfTrue="1" operator="equal">
      <formula>"NO"</formula>
    </cfRule>
    <cfRule type="cellIs" dxfId="590" priority="16059" stopIfTrue="1" operator="equal">
      <formula>"SI"</formula>
    </cfRule>
  </conditionalFormatting>
  <conditionalFormatting sqref="B499">
    <cfRule type="cellIs" dxfId="589" priority="16056" stopIfTrue="1" operator="equal">
      <formula>"cumple"</formula>
    </cfRule>
    <cfRule type="containsText" dxfId="588" priority="16057" stopIfTrue="1" operator="containsText" text="NO CUMPLE">
      <formula>NOT(ISERROR(SEARCH("NO CUMPLE",B499)))</formula>
    </cfRule>
  </conditionalFormatting>
  <conditionalFormatting sqref="B500">
    <cfRule type="cellIs" dxfId="587" priority="16054" stopIfTrue="1" operator="equal">
      <formula>"cumple"</formula>
    </cfRule>
    <cfRule type="containsText" dxfId="586" priority="16055" stopIfTrue="1" operator="containsText" text="NO CUMPLE">
      <formula>NOT(ISERROR(SEARCH("NO CUMPLE",B500)))</formula>
    </cfRule>
  </conditionalFormatting>
  <conditionalFormatting sqref="G500">
    <cfRule type="cellIs" dxfId="585" priority="16052" stopIfTrue="1" operator="equal">
      <formula>"cumple"</formula>
    </cfRule>
    <cfRule type="containsText" dxfId="584" priority="16053" stopIfTrue="1" operator="containsText" text="NO CUMPLE">
      <formula>NOT(ISERROR(SEARCH("NO CUMPLE",G500)))</formula>
    </cfRule>
  </conditionalFormatting>
  <conditionalFormatting sqref="G501">
    <cfRule type="cellIs" dxfId="583" priority="16050" stopIfTrue="1" operator="equal">
      <formula>"cumple"</formula>
    </cfRule>
    <cfRule type="containsText" dxfId="582" priority="16051" stopIfTrue="1" operator="containsText" text="NO CUMPLE">
      <formula>NOT(ISERROR(SEARCH("NO CUMPLE",G501)))</formula>
    </cfRule>
  </conditionalFormatting>
  <conditionalFormatting sqref="X496">
    <cfRule type="cellIs" dxfId="581" priority="16049" operator="equal">
      <formula>"VERIFICAR CUADRO"</formula>
    </cfRule>
  </conditionalFormatting>
  <conditionalFormatting sqref="AC496">
    <cfRule type="cellIs" dxfId="580" priority="16047" stopIfTrue="1" operator="equal">
      <formula>"cumple"</formula>
    </cfRule>
    <cfRule type="containsText" dxfId="579" priority="16048" stopIfTrue="1" operator="containsText" text="NO CUMPLE">
      <formula>NOT(ISERROR(SEARCH("NO CUMPLE",AC496)))</formula>
    </cfRule>
  </conditionalFormatting>
  <conditionalFormatting sqref="AC497:AC501">
    <cfRule type="cellIs" dxfId="578" priority="16045" stopIfTrue="1" operator="equal">
      <formula>"cumple"</formula>
    </cfRule>
    <cfRule type="containsText" dxfId="577" priority="16046" stopIfTrue="1" operator="containsText" text="NO CUMPLE">
      <formula>NOT(ISERROR(SEARCH("NO CUMPLE",AC497)))</formula>
    </cfRule>
  </conditionalFormatting>
  <conditionalFormatting sqref="X502">
    <cfRule type="cellIs" dxfId="576" priority="16043" stopIfTrue="1" operator="equal">
      <formula>"cumple"</formula>
    </cfRule>
    <cfRule type="containsText" dxfId="575" priority="16044" stopIfTrue="1" operator="containsText" text="NO CUMPLE">
      <formula>NOT(ISERROR(SEARCH("NO CUMPLE",X502)))</formula>
    </cfRule>
  </conditionalFormatting>
  <conditionalFormatting sqref="AC482:AC487">
    <cfRule type="cellIs" dxfId="574" priority="16040" operator="equal">
      <formula>"NO ACREDITA"</formula>
    </cfRule>
    <cfRule type="cellIs" dxfId="573" priority="16041" stopIfTrue="1" operator="equal">
      <formula>"NO"</formula>
    </cfRule>
    <cfRule type="cellIs" dxfId="572" priority="16042" stopIfTrue="1" operator="equal">
      <formula>"SI"</formula>
    </cfRule>
  </conditionalFormatting>
  <conditionalFormatting sqref="E494:E495">
    <cfRule type="cellIs" dxfId="571" priority="16038" operator="greaterThan">
      <formula>0</formula>
    </cfRule>
    <cfRule type="cellIs" dxfId="570" priority="16039" operator="equal">
      <formula>0</formula>
    </cfRule>
  </conditionalFormatting>
  <conditionalFormatting sqref="G494">
    <cfRule type="cellIs" dxfId="569" priority="16037" stopIfTrue="1" operator="notBetween">
      <formula>"N/A"</formula>
      <formula>"REVISAR"</formula>
    </cfRule>
  </conditionalFormatting>
  <conditionalFormatting sqref="G494:G495">
    <cfRule type="cellIs" dxfId="568" priority="16036" operator="equal">
      <formula>"REVISAR"</formula>
    </cfRule>
  </conditionalFormatting>
  <conditionalFormatting sqref="E498">
    <cfRule type="cellIs" dxfId="567" priority="16035" operator="equal">
      <formula>"NO APLICA"</formula>
    </cfRule>
  </conditionalFormatting>
  <conditionalFormatting sqref="N493">
    <cfRule type="cellIs" dxfId="566" priority="16033" stopIfTrue="1" operator="equal">
      <formula>"cumple"</formula>
    </cfRule>
    <cfRule type="containsText" dxfId="565" priority="16034" stopIfTrue="1" operator="containsText" text="NO CUMPLE">
      <formula>NOT(ISERROR(SEARCH("NO CUMPLE",N493)))</formula>
    </cfRule>
  </conditionalFormatting>
  <conditionalFormatting sqref="N496:N501">
    <cfRule type="cellIs" dxfId="564" priority="16031" stopIfTrue="1" operator="equal">
      <formula>"cumple"</formula>
    </cfRule>
    <cfRule type="containsText" dxfId="563" priority="16032" stopIfTrue="1" operator="containsText" text="NO CUMPLE">
      <formula>NOT(ISERROR(SEARCH("NO CUMPLE",N496)))</formula>
    </cfRule>
  </conditionalFormatting>
  <conditionalFormatting sqref="N502">
    <cfRule type="cellIs" dxfId="562" priority="16029" stopIfTrue="1" operator="equal">
      <formula>"cumple"</formula>
    </cfRule>
    <cfRule type="containsText" dxfId="561" priority="16030" stopIfTrue="1" operator="containsText" text="NO CUMPLE">
      <formula>NOT(ISERROR(SEARCH("NO CUMPLE",N502)))</formula>
    </cfRule>
  </conditionalFormatting>
  <conditionalFormatting sqref="M509:N514 P509:R514">
    <cfRule type="cellIs" dxfId="560" priority="16027" stopIfTrue="1" operator="lessThan">
      <formula>0</formula>
    </cfRule>
  </conditionalFormatting>
  <conditionalFormatting sqref="P509:R514 T510:T514 B509:N514">
    <cfRule type="cellIs" dxfId="559" priority="16026" stopIfTrue="1" operator="greaterThan">
      <formula>0</formula>
    </cfRule>
  </conditionalFormatting>
  <conditionalFormatting sqref="R510:R514">
    <cfRule type="cellIs" dxfId="558" priority="16025" stopIfTrue="1" operator="lessThan">
      <formula>0</formula>
    </cfRule>
  </conditionalFormatting>
  <conditionalFormatting sqref="O509:O514">
    <cfRule type="cellIs" dxfId="557" priority="16024" stopIfTrue="1" operator="greaterThan">
      <formula>0</formula>
    </cfRule>
  </conditionalFormatting>
  <conditionalFormatting sqref="U511">
    <cfRule type="cellIs" dxfId="556" priority="16023" stopIfTrue="1" operator="greaterThan">
      <formula>0</formula>
    </cfRule>
  </conditionalFormatting>
  <conditionalFormatting sqref="U512">
    <cfRule type="cellIs" dxfId="555" priority="16022" stopIfTrue="1" operator="greaterThan">
      <formula>0</formula>
    </cfRule>
  </conditionalFormatting>
  <conditionalFormatting sqref="U513">
    <cfRule type="cellIs" dxfId="554" priority="16021" stopIfTrue="1" operator="greaterThan">
      <formula>0</formula>
    </cfRule>
  </conditionalFormatting>
  <conditionalFormatting sqref="U514">
    <cfRule type="cellIs" dxfId="553" priority="16020" stopIfTrue="1" operator="greaterThan">
      <formula>0</formula>
    </cfRule>
  </conditionalFormatting>
  <conditionalFormatting sqref="S510:S514">
    <cfRule type="cellIs" dxfId="552" priority="16019" stopIfTrue="1" operator="lessThan">
      <formula>0</formula>
    </cfRule>
  </conditionalFormatting>
  <conditionalFormatting sqref="S509:S514">
    <cfRule type="cellIs" dxfId="551" priority="16018" stopIfTrue="1" operator="greaterThan">
      <formula>0</formula>
    </cfRule>
  </conditionalFormatting>
  <conditionalFormatting sqref="S509:S514">
    <cfRule type="cellIs" dxfId="550" priority="16017" stopIfTrue="1" operator="lessThan">
      <formula>0</formula>
    </cfRule>
  </conditionalFormatting>
  <conditionalFormatting sqref="B519">
    <cfRule type="cellIs" dxfId="549" priority="16015" stopIfTrue="1" operator="equal">
      <formula>"cumple"</formula>
    </cfRule>
    <cfRule type="containsText" dxfId="548" priority="16016" stopIfTrue="1" operator="containsText" text="NO CUMPLE">
      <formula>NOT(ISERROR(SEARCH("NO CUMPLE",B519)))</formula>
    </cfRule>
  </conditionalFormatting>
  <conditionalFormatting sqref="B520">
    <cfRule type="cellIs" dxfId="547" priority="16013" stopIfTrue="1" operator="equal">
      <formula>"cumple"</formula>
    </cfRule>
    <cfRule type="containsText" dxfId="546" priority="16014" stopIfTrue="1" operator="containsText" text="NO CUMPLE">
      <formula>NOT(ISERROR(SEARCH("NO CUMPLE",B520)))</formula>
    </cfRule>
  </conditionalFormatting>
  <conditionalFormatting sqref="B521">
    <cfRule type="cellIs" dxfId="545" priority="16011" stopIfTrue="1" operator="equal">
      <formula>"cumple"</formula>
    </cfRule>
    <cfRule type="containsText" dxfId="544" priority="16012" stopIfTrue="1" operator="containsText" text="NO CUMPLE">
      <formula>NOT(ISERROR(SEARCH("NO CUMPLE",B521)))</formula>
    </cfRule>
  </conditionalFormatting>
  <conditionalFormatting sqref="B523">
    <cfRule type="cellIs" dxfId="543" priority="16009" stopIfTrue="1" operator="equal">
      <formula>"cumple"</formula>
    </cfRule>
    <cfRule type="containsText" dxfId="542" priority="16010" stopIfTrue="1" operator="containsText" text="NO CUMPLE">
      <formula>NOT(ISERROR(SEARCH("NO CUMPLE",B523)))</formula>
    </cfRule>
  </conditionalFormatting>
  <conditionalFormatting sqref="B524">
    <cfRule type="cellIs" dxfId="541" priority="16007" stopIfTrue="1" operator="equal">
      <formula>"cumple"</formula>
    </cfRule>
    <cfRule type="containsText" dxfId="540" priority="16008" stopIfTrue="1" operator="containsText" text="NO CUMPLE">
      <formula>NOT(ISERROR(SEARCH("NO CUMPLE",B524)))</formula>
    </cfRule>
  </conditionalFormatting>
  <conditionalFormatting sqref="F521">
    <cfRule type="cellIs" dxfId="539" priority="16005" stopIfTrue="1" operator="equal">
      <formula>"cumple"</formula>
    </cfRule>
    <cfRule type="containsText" dxfId="538" priority="16006" stopIfTrue="1" operator="containsText" text="NO CUMPLE">
      <formula>NOT(ISERROR(SEARCH("NO CUMPLE",F521)))</formula>
    </cfRule>
  </conditionalFormatting>
  <conditionalFormatting sqref="E524:F524">
    <cfRule type="cellIs" dxfId="537" priority="16003" stopIfTrue="1" operator="equal">
      <formula>"cumple"</formula>
    </cfRule>
    <cfRule type="containsText" dxfId="536" priority="16004" stopIfTrue="1" operator="containsText" text="NO CUMPLE">
      <formula>NOT(ISERROR(SEARCH("NO CUMPLE",E524)))</formula>
    </cfRule>
  </conditionalFormatting>
  <conditionalFormatting sqref="G524">
    <cfRule type="cellIs" dxfId="535" priority="16001" stopIfTrue="1" operator="equal">
      <formula>"cumple"</formula>
    </cfRule>
    <cfRule type="containsText" dxfId="534" priority="16002" stopIfTrue="1" operator="containsText" text="NO CUMPLE">
      <formula>NOT(ISERROR(SEARCH("NO CUMPLE",G524)))</formula>
    </cfRule>
  </conditionalFormatting>
  <conditionalFormatting sqref="G525">
    <cfRule type="cellIs" dxfId="533" priority="15999" stopIfTrue="1" operator="equal">
      <formula>"cumple"</formula>
    </cfRule>
    <cfRule type="containsText" dxfId="532" priority="16000" stopIfTrue="1" operator="containsText" text="NO CUMPLE">
      <formula>NOT(ISERROR(SEARCH("NO CUMPLE",G525)))</formula>
    </cfRule>
  </conditionalFormatting>
  <conditionalFormatting sqref="H519">
    <cfRule type="cellIs" dxfId="531" priority="15997" stopIfTrue="1" operator="equal">
      <formula>"cumple"</formula>
    </cfRule>
    <cfRule type="containsText" dxfId="530" priority="15998" stopIfTrue="1" operator="containsText" text="NO CUMPLE">
      <formula>NOT(ISERROR(SEARCH("NO CUMPLE",H519)))</formula>
    </cfRule>
  </conditionalFormatting>
  <conditionalFormatting sqref="M520">
    <cfRule type="cellIs" dxfId="529" priority="15995" stopIfTrue="1" operator="equal">
      <formula>"cumple"</formula>
    </cfRule>
    <cfRule type="containsText" dxfId="528" priority="15996" stopIfTrue="1" operator="containsText" text="NO CUMPLE">
      <formula>NOT(ISERROR(SEARCH("NO CUMPLE",M520)))</formula>
    </cfRule>
  </conditionalFormatting>
  <conditionalFormatting sqref="J521:J522">
    <cfRule type="cellIs" dxfId="527" priority="15993" stopIfTrue="1" operator="equal">
      <formula>"cumple"</formula>
    </cfRule>
    <cfRule type="containsText" dxfId="526" priority="15994" stopIfTrue="1" operator="containsText" text="NO CUMPLE">
      <formula>NOT(ISERROR(SEARCH("NO CUMPLE",J521)))</formula>
    </cfRule>
  </conditionalFormatting>
  <conditionalFormatting sqref="K521:K522">
    <cfRule type="cellIs" dxfId="525" priority="15991" stopIfTrue="1" operator="equal">
      <formula>"cumple"</formula>
    </cfRule>
    <cfRule type="containsText" dxfId="524" priority="15992" stopIfTrue="1" operator="containsText" text="NO CUMPLE">
      <formula>NOT(ISERROR(SEARCH("NO CUMPLE",K521)))</formula>
    </cfRule>
  </conditionalFormatting>
  <conditionalFormatting sqref="L521:L522">
    <cfRule type="cellIs" dxfId="523" priority="15989" stopIfTrue="1" operator="equal">
      <formula>"cumple"</formula>
    </cfRule>
    <cfRule type="containsText" dxfId="522" priority="15990" stopIfTrue="1" operator="containsText" text="NO CUMPLE">
      <formula>NOT(ISERROR(SEARCH("NO CUMPLE",L521)))</formula>
    </cfRule>
  </conditionalFormatting>
  <conditionalFormatting sqref="L523:L528">
    <cfRule type="cellIs" dxfId="521" priority="15987" stopIfTrue="1" operator="equal">
      <formula>"cumple"</formula>
    </cfRule>
    <cfRule type="containsText" dxfId="520" priority="15988" stopIfTrue="1" operator="containsText" text="NO CUMPLE">
      <formula>NOT(ISERROR(SEARCH("NO CUMPLE",L523)))</formula>
    </cfRule>
  </conditionalFormatting>
  <conditionalFormatting sqref="M523">
    <cfRule type="cellIs" dxfId="519" priority="15985" stopIfTrue="1" operator="equal">
      <formula>"cumple"</formula>
    </cfRule>
    <cfRule type="containsText" dxfId="518" priority="15986" stopIfTrue="1" operator="containsText" text="NO CUMPLE">
      <formula>NOT(ISERROR(SEARCH("NO CUMPLE",M523)))</formula>
    </cfRule>
  </conditionalFormatting>
  <conditionalFormatting sqref="M524:M528">
    <cfRule type="cellIs" dxfId="517" priority="15983" stopIfTrue="1" operator="equal">
      <formula>"cumple"</formula>
    </cfRule>
    <cfRule type="containsText" dxfId="516" priority="15984" stopIfTrue="1" operator="containsText" text="NO CUMPLE">
      <formula>NOT(ISERROR(SEARCH("NO CUMPLE",M524)))</formula>
    </cfRule>
  </conditionalFormatting>
  <conditionalFormatting sqref="M529">
    <cfRule type="cellIs" dxfId="515" priority="15981" stopIfTrue="1" operator="equal">
      <formula>"cumple"</formula>
    </cfRule>
    <cfRule type="containsText" dxfId="514" priority="15982" stopIfTrue="1" operator="containsText" text="NO CUMPLE">
      <formula>NOT(ISERROR(SEARCH("NO CUMPLE",M529)))</formula>
    </cfRule>
  </conditionalFormatting>
  <conditionalFormatting sqref="H529">
    <cfRule type="cellIs" dxfId="513" priority="15979" stopIfTrue="1" operator="equal">
      <formula>"cumple"</formula>
    </cfRule>
    <cfRule type="containsText" dxfId="512" priority="15980" stopIfTrue="1" operator="containsText" text="NO CUMPLE">
      <formula>NOT(ISERROR(SEARCH("NO CUMPLE",H529)))</formula>
    </cfRule>
  </conditionalFormatting>
  <conditionalFormatting sqref="V509:V510">
    <cfRule type="cellIs" dxfId="511" priority="15978" stopIfTrue="1" operator="greaterThan">
      <formula>0</formula>
    </cfRule>
  </conditionalFormatting>
  <conditionalFormatting sqref="V511">
    <cfRule type="cellIs" dxfId="510" priority="15977" stopIfTrue="1" operator="greaterThan">
      <formula>0</formula>
    </cfRule>
  </conditionalFormatting>
  <conditionalFormatting sqref="V512">
    <cfRule type="cellIs" dxfId="509" priority="15976" stopIfTrue="1" operator="greaterThan">
      <formula>0</formula>
    </cfRule>
  </conditionalFormatting>
  <conditionalFormatting sqref="V513">
    <cfRule type="cellIs" dxfId="508" priority="15975" stopIfTrue="1" operator="greaterThan">
      <formula>0</formula>
    </cfRule>
  </conditionalFormatting>
  <conditionalFormatting sqref="V514">
    <cfRule type="cellIs" dxfId="507" priority="15974" stopIfTrue="1" operator="greaterThan">
      <formula>0</formula>
    </cfRule>
  </conditionalFormatting>
  <conditionalFormatting sqref="O520">
    <cfRule type="cellIs" dxfId="506" priority="15972" stopIfTrue="1" operator="equal">
      <formula>"cumple"</formula>
    </cfRule>
    <cfRule type="containsText" dxfId="505" priority="15973" stopIfTrue="1" operator="containsText" text="NO CUMPLE">
      <formula>NOT(ISERROR(SEARCH("NO CUMPLE",O520)))</formula>
    </cfRule>
  </conditionalFormatting>
  <conditionalFormatting sqref="X509:X514">
    <cfRule type="cellIs" dxfId="504" priority="15970" stopIfTrue="1" operator="equal">
      <formula>"NO"</formula>
    </cfRule>
    <cfRule type="cellIs" dxfId="503" priority="15971" stopIfTrue="1" operator="equal">
      <formula>"SI"</formula>
    </cfRule>
  </conditionalFormatting>
  <conditionalFormatting sqref="B526">
    <cfRule type="cellIs" dxfId="502" priority="15968" stopIfTrue="1" operator="equal">
      <formula>"cumple"</formula>
    </cfRule>
    <cfRule type="containsText" dxfId="501" priority="15969" stopIfTrue="1" operator="containsText" text="NO CUMPLE">
      <formula>NOT(ISERROR(SEARCH("NO CUMPLE",B526)))</formula>
    </cfRule>
  </conditionalFormatting>
  <conditionalFormatting sqref="B527">
    <cfRule type="cellIs" dxfId="500" priority="15966" stopIfTrue="1" operator="equal">
      <formula>"cumple"</formula>
    </cfRule>
    <cfRule type="containsText" dxfId="499" priority="15967" stopIfTrue="1" operator="containsText" text="NO CUMPLE">
      <formula>NOT(ISERROR(SEARCH("NO CUMPLE",B527)))</formula>
    </cfRule>
  </conditionalFormatting>
  <conditionalFormatting sqref="G527">
    <cfRule type="cellIs" dxfId="498" priority="15964" stopIfTrue="1" operator="equal">
      <formula>"cumple"</formula>
    </cfRule>
    <cfRule type="containsText" dxfId="497" priority="15965" stopIfTrue="1" operator="containsText" text="NO CUMPLE">
      <formula>NOT(ISERROR(SEARCH("NO CUMPLE",G527)))</formula>
    </cfRule>
  </conditionalFormatting>
  <conditionalFormatting sqref="G528">
    <cfRule type="cellIs" dxfId="496" priority="15962" stopIfTrue="1" operator="equal">
      <formula>"cumple"</formula>
    </cfRule>
    <cfRule type="containsText" dxfId="495" priority="15963" stopIfTrue="1" operator="containsText" text="NO CUMPLE">
      <formula>NOT(ISERROR(SEARCH("NO CUMPLE",G528)))</formula>
    </cfRule>
  </conditionalFormatting>
  <conditionalFormatting sqref="X523">
    <cfRule type="cellIs" dxfId="494" priority="15961" operator="equal">
      <formula>"VERIFICAR CUADRO"</formula>
    </cfRule>
  </conditionalFormatting>
  <conditionalFormatting sqref="AC523">
    <cfRule type="cellIs" dxfId="493" priority="15959" stopIfTrue="1" operator="equal">
      <formula>"cumple"</formula>
    </cfRule>
    <cfRule type="containsText" dxfId="492" priority="15960" stopIfTrue="1" operator="containsText" text="NO CUMPLE">
      <formula>NOT(ISERROR(SEARCH("NO CUMPLE",AC523)))</formula>
    </cfRule>
  </conditionalFormatting>
  <conditionalFormatting sqref="AC524:AC528">
    <cfRule type="cellIs" dxfId="491" priority="15957" stopIfTrue="1" operator="equal">
      <formula>"cumple"</formula>
    </cfRule>
    <cfRule type="containsText" dxfId="490" priority="15958" stopIfTrue="1" operator="containsText" text="NO CUMPLE">
      <formula>NOT(ISERROR(SEARCH("NO CUMPLE",AC524)))</formula>
    </cfRule>
  </conditionalFormatting>
  <conditionalFormatting sqref="X529">
    <cfRule type="cellIs" dxfId="489" priority="15955" stopIfTrue="1" operator="equal">
      <formula>"cumple"</formula>
    </cfRule>
    <cfRule type="containsText" dxfId="488" priority="15956" stopIfTrue="1" operator="containsText" text="NO CUMPLE">
      <formula>NOT(ISERROR(SEARCH("NO CUMPLE",X529)))</formula>
    </cfRule>
  </conditionalFormatting>
  <conditionalFormatting sqref="AC509:AC514">
    <cfRule type="cellIs" dxfId="487" priority="15952" operator="equal">
      <formula>"NO ACREDITA"</formula>
    </cfRule>
    <cfRule type="cellIs" dxfId="486" priority="15953" stopIfTrue="1" operator="equal">
      <formula>"NO"</formula>
    </cfRule>
    <cfRule type="cellIs" dxfId="485" priority="15954" stopIfTrue="1" operator="equal">
      <formula>"SI"</formula>
    </cfRule>
  </conditionalFormatting>
  <conditionalFormatting sqref="E521:E522">
    <cfRule type="cellIs" dxfId="484" priority="15950" operator="greaterThan">
      <formula>0</formula>
    </cfRule>
    <cfRule type="cellIs" dxfId="483" priority="15951" operator="equal">
      <formula>0</formula>
    </cfRule>
  </conditionalFormatting>
  <conditionalFormatting sqref="G521">
    <cfRule type="cellIs" dxfId="482" priority="15949" stopIfTrue="1" operator="notBetween">
      <formula>"N/A"</formula>
      <formula>"REVISAR"</formula>
    </cfRule>
  </conditionalFormatting>
  <conditionalFormatting sqref="G521:G522">
    <cfRule type="cellIs" dxfId="481" priority="15948" operator="equal">
      <formula>"REVISAR"</formula>
    </cfRule>
  </conditionalFormatting>
  <conditionalFormatting sqref="E525">
    <cfRule type="cellIs" dxfId="480" priority="15947" operator="equal">
      <formula>"NO APLICA"</formula>
    </cfRule>
  </conditionalFormatting>
  <conditionalFormatting sqref="N520">
    <cfRule type="cellIs" dxfId="479" priority="15945" stopIfTrue="1" operator="equal">
      <formula>"cumple"</formula>
    </cfRule>
    <cfRule type="containsText" dxfId="478" priority="15946" stopIfTrue="1" operator="containsText" text="NO CUMPLE">
      <formula>NOT(ISERROR(SEARCH("NO CUMPLE",N520)))</formula>
    </cfRule>
  </conditionalFormatting>
  <conditionalFormatting sqref="N523:N528">
    <cfRule type="cellIs" dxfId="477" priority="15943" stopIfTrue="1" operator="equal">
      <formula>"cumple"</formula>
    </cfRule>
    <cfRule type="containsText" dxfId="476" priority="15944" stopIfTrue="1" operator="containsText" text="NO CUMPLE">
      <formula>NOT(ISERROR(SEARCH("NO CUMPLE",N523)))</formula>
    </cfRule>
  </conditionalFormatting>
  <conditionalFormatting sqref="N529">
    <cfRule type="cellIs" dxfId="475" priority="15941" stopIfTrue="1" operator="equal">
      <formula>"cumple"</formula>
    </cfRule>
    <cfRule type="containsText" dxfId="474" priority="15942" stopIfTrue="1" operator="containsText" text="NO CUMPLE">
      <formula>NOT(ISERROR(SEARCH("NO CUMPLE",N529)))</formula>
    </cfRule>
  </conditionalFormatting>
  <conditionalFormatting sqref="M536:N541 P536:R541">
    <cfRule type="cellIs" dxfId="473" priority="15939" stopIfTrue="1" operator="lessThan">
      <formula>0</formula>
    </cfRule>
  </conditionalFormatting>
  <conditionalFormatting sqref="U537 P536:R541 T537:T541 B536:N541 T536:U536">
    <cfRule type="cellIs" dxfId="472" priority="15938" stopIfTrue="1" operator="greaterThan">
      <formula>0</formula>
    </cfRule>
  </conditionalFormatting>
  <conditionalFormatting sqref="R537:R541">
    <cfRule type="cellIs" dxfId="471" priority="15937" stopIfTrue="1" operator="lessThan">
      <formula>0</formula>
    </cfRule>
  </conditionalFormatting>
  <conditionalFormatting sqref="O536:O541">
    <cfRule type="cellIs" dxfId="470" priority="15936" stopIfTrue="1" operator="greaterThan">
      <formula>0</formula>
    </cfRule>
  </conditionalFormatting>
  <conditionalFormatting sqref="U538">
    <cfRule type="cellIs" dxfId="469" priority="15935" stopIfTrue="1" operator="greaterThan">
      <formula>0</formula>
    </cfRule>
  </conditionalFormatting>
  <conditionalFormatting sqref="U539">
    <cfRule type="cellIs" dxfId="468" priority="15934" stopIfTrue="1" operator="greaterThan">
      <formula>0</formula>
    </cfRule>
  </conditionalFormatting>
  <conditionalFormatting sqref="U540">
    <cfRule type="cellIs" dxfId="467" priority="15933" stopIfTrue="1" operator="greaterThan">
      <formula>0</formula>
    </cfRule>
  </conditionalFormatting>
  <conditionalFormatting sqref="U541">
    <cfRule type="cellIs" dxfId="466" priority="15932" stopIfTrue="1" operator="greaterThan">
      <formula>0</formula>
    </cfRule>
  </conditionalFormatting>
  <conditionalFormatting sqref="S537:S541">
    <cfRule type="cellIs" dxfId="465" priority="15931" stopIfTrue="1" operator="lessThan">
      <formula>0</formula>
    </cfRule>
  </conditionalFormatting>
  <conditionalFormatting sqref="S536:S541">
    <cfRule type="cellIs" dxfId="464" priority="15930" stopIfTrue="1" operator="greaterThan">
      <formula>0</formula>
    </cfRule>
  </conditionalFormatting>
  <conditionalFormatting sqref="S536:S541">
    <cfRule type="cellIs" dxfId="463" priority="15929" stopIfTrue="1" operator="lessThan">
      <formula>0</formula>
    </cfRule>
  </conditionalFormatting>
  <conditionalFormatting sqref="B546">
    <cfRule type="cellIs" dxfId="462" priority="15927" stopIfTrue="1" operator="equal">
      <formula>"cumple"</formula>
    </cfRule>
    <cfRule type="containsText" dxfId="461" priority="15928" stopIfTrue="1" operator="containsText" text="NO CUMPLE">
      <formula>NOT(ISERROR(SEARCH("NO CUMPLE",B546)))</formula>
    </cfRule>
  </conditionalFormatting>
  <conditionalFormatting sqref="B547">
    <cfRule type="cellIs" dxfId="460" priority="15925" stopIfTrue="1" operator="equal">
      <formula>"cumple"</formula>
    </cfRule>
    <cfRule type="containsText" dxfId="459" priority="15926" stopIfTrue="1" operator="containsText" text="NO CUMPLE">
      <formula>NOT(ISERROR(SEARCH("NO CUMPLE",B547)))</formula>
    </cfRule>
  </conditionalFormatting>
  <conditionalFormatting sqref="B548">
    <cfRule type="cellIs" dxfId="458" priority="15923" stopIfTrue="1" operator="equal">
      <formula>"cumple"</formula>
    </cfRule>
    <cfRule type="containsText" dxfId="457" priority="15924" stopIfTrue="1" operator="containsText" text="NO CUMPLE">
      <formula>NOT(ISERROR(SEARCH("NO CUMPLE",B548)))</formula>
    </cfRule>
  </conditionalFormatting>
  <conditionalFormatting sqref="B550">
    <cfRule type="cellIs" dxfId="456" priority="15921" stopIfTrue="1" operator="equal">
      <formula>"cumple"</formula>
    </cfRule>
    <cfRule type="containsText" dxfId="455" priority="15922" stopIfTrue="1" operator="containsText" text="NO CUMPLE">
      <formula>NOT(ISERROR(SEARCH("NO CUMPLE",B550)))</formula>
    </cfRule>
  </conditionalFormatting>
  <conditionalFormatting sqref="B551">
    <cfRule type="cellIs" dxfId="454" priority="15919" stopIfTrue="1" operator="equal">
      <formula>"cumple"</formula>
    </cfRule>
    <cfRule type="containsText" dxfId="453" priority="15920" stopIfTrue="1" operator="containsText" text="NO CUMPLE">
      <formula>NOT(ISERROR(SEARCH("NO CUMPLE",B551)))</formula>
    </cfRule>
  </conditionalFormatting>
  <conditionalFormatting sqref="F548">
    <cfRule type="cellIs" dxfId="452" priority="15917" stopIfTrue="1" operator="equal">
      <formula>"cumple"</formula>
    </cfRule>
    <cfRule type="containsText" dxfId="451" priority="15918" stopIfTrue="1" operator="containsText" text="NO CUMPLE">
      <formula>NOT(ISERROR(SEARCH("NO CUMPLE",F548)))</formula>
    </cfRule>
  </conditionalFormatting>
  <conditionalFormatting sqref="E551:F551">
    <cfRule type="cellIs" dxfId="450" priority="15915" stopIfTrue="1" operator="equal">
      <formula>"cumple"</formula>
    </cfRule>
    <cfRule type="containsText" dxfId="449" priority="15916" stopIfTrue="1" operator="containsText" text="NO CUMPLE">
      <formula>NOT(ISERROR(SEARCH("NO CUMPLE",E551)))</formula>
    </cfRule>
  </conditionalFormatting>
  <conditionalFormatting sqref="G551">
    <cfRule type="cellIs" dxfId="448" priority="15913" stopIfTrue="1" operator="equal">
      <formula>"cumple"</formula>
    </cfRule>
    <cfRule type="containsText" dxfId="447" priority="15914" stopIfTrue="1" operator="containsText" text="NO CUMPLE">
      <formula>NOT(ISERROR(SEARCH("NO CUMPLE",G551)))</formula>
    </cfRule>
  </conditionalFormatting>
  <conditionalFormatting sqref="G552">
    <cfRule type="cellIs" dxfId="446" priority="15911" stopIfTrue="1" operator="equal">
      <formula>"cumple"</formula>
    </cfRule>
    <cfRule type="containsText" dxfId="445" priority="15912" stopIfTrue="1" operator="containsText" text="NO CUMPLE">
      <formula>NOT(ISERROR(SEARCH("NO CUMPLE",G552)))</formula>
    </cfRule>
  </conditionalFormatting>
  <conditionalFormatting sqref="H546">
    <cfRule type="cellIs" dxfId="444" priority="15909" stopIfTrue="1" operator="equal">
      <formula>"cumple"</formula>
    </cfRule>
    <cfRule type="containsText" dxfId="443" priority="15910" stopIfTrue="1" operator="containsText" text="NO CUMPLE">
      <formula>NOT(ISERROR(SEARCH("NO CUMPLE",H546)))</formula>
    </cfRule>
  </conditionalFormatting>
  <conditionalFormatting sqref="M547">
    <cfRule type="cellIs" dxfId="442" priority="15907" stopIfTrue="1" operator="equal">
      <formula>"cumple"</formula>
    </cfRule>
    <cfRule type="containsText" dxfId="441" priority="15908" stopIfTrue="1" operator="containsText" text="NO CUMPLE">
      <formula>NOT(ISERROR(SEARCH("NO CUMPLE",M547)))</formula>
    </cfRule>
  </conditionalFormatting>
  <conditionalFormatting sqref="J548:J549">
    <cfRule type="cellIs" dxfId="440" priority="15905" stopIfTrue="1" operator="equal">
      <formula>"cumple"</formula>
    </cfRule>
    <cfRule type="containsText" dxfId="439" priority="15906" stopIfTrue="1" operator="containsText" text="NO CUMPLE">
      <formula>NOT(ISERROR(SEARCH("NO CUMPLE",J548)))</formula>
    </cfRule>
  </conditionalFormatting>
  <conditionalFormatting sqref="K548:K549">
    <cfRule type="cellIs" dxfId="438" priority="15903" stopIfTrue="1" operator="equal">
      <formula>"cumple"</formula>
    </cfRule>
    <cfRule type="containsText" dxfId="437" priority="15904" stopIfTrue="1" operator="containsText" text="NO CUMPLE">
      <formula>NOT(ISERROR(SEARCH("NO CUMPLE",K548)))</formula>
    </cfRule>
  </conditionalFormatting>
  <conditionalFormatting sqref="L548:L549">
    <cfRule type="cellIs" dxfId="436" priority="15901" stopIfTrue="1" operator="equal">
      <formula>"cumple"</formula>
    </cfRule>
    <cfRule type="containsText" dxfId="435" priority="15902" stopIfTrue="1" operator="containsText" text="NO CUMPLE">
      <formula>NOT(ISERROR(SEARCH("NO CUMPLE",L548)))</formula>
    </cfRule>
  </conditionalFormatting>
  <conditionalFormatting sqref="L550:L555">
    <cfRule type="cellIs" dxfId="434" priority="15899" stopIfTrue="1" operator="equal">
      <formula>"cumple"</formula>
    </cfRule>
    <cfRule type="containsText" dxfId="433" priority="15900" stopIfTrue="1" operator="containsText" text="NO CUMPLE">
      <formula>NOT(ISERROR(SEARCH("NO CUMPLE",L550)))</formula>
    </cfRule>
  </conditionalFormatting>
  <conditionalFormatting sqref="M550">
    <cfRule type="cellIs" dxfId="432" priority="15897" stopIfTrue="1" operator="equal">
      <formula>"cumple"</formula>
    </cfRule>
    <cfRule type="containsText" dxfId="431" priority="15898" stopIfTrue="1" operator="containsText" text="NO CUMPLE">
      <formula>NOT(ISERROR(SEARCH("NO CUMPLE",M550)))</formula>
    </cfRule>
  </conditionalFormatting>
  <conditionalFormatting sqref="M551:M555">
    <cfRule type="cellIs" dxfId="430" priority="15895" stopIfTrue="1" operator="equal">
      <formula>"cumple"</formula>
    </cfRule>
    <cfRule type="containsText" dxfId="429" priority="15896" stopIfTrue="1" operator="containsText" text="NO CUMPLE">
      <formula>NOT(ISERROR(SEARCH("NO CUMPLE",M551)))</formula>
    </cfRule>
  </conditionalFormatting>
  <conditionalFormatting sqref="M556">
    <cfRule type="cellIs" dxfId="428" priority="15893" stopIfTrue="1" operator="equal">
      <formula>"cumple"</formula>
    </cfRule>
    <cfRule type="containsText" dxfId="427" priority="15894" stopIfTrue="1" operator="containsText" text="NO CUMPLE">
      <formula>NOT(ISERROR(SEARCH("NO CUMPLE",M556)))</formula>
    </cfRule>
  </conditionalFormatting>
  <conditionalFormatting sqref="H556">
    <cfRule type="cellIs" dxfId="426" priority="15891" stopIfTrue="1" operator="equal">
      <formula>"cumple"</formula>
    </cfRule>
    <cfRule type="containsText" dxfId="425" priority="15892" stopIfTrue="1" operator="containsText" text="NO CUMPLE">
      <formula>NOT(ISERROR(SEARCH("NO CUMPLE",H556)))</formula>
    </cfRule>
  </conditionalFormatting>
  <conditionalFormatting sqref="V536:V537">
    <cfRule type="cellIs" dxfId="424" priority="15890" stopIfTrue="1" operator="greaterThan">
      <formula>0</formula>
    </cfRule>
  </conditionalFormatting>
  <conditionalFormatting sqref="V538">
    <cfRule type="cellIs" dxfId="423" priority="15889" stopIfTrue="1" operator="greaterThan">
      <formula>0</formula>
    </cfRule>
  </conditionalFormatting>
  <conditionalFormatting sqref="V539">
    <cfRule type="cellIs" dxfId="422" priority="15888" stopIfTrue="1" operator="greaterThan">
      <formula>0</formula>
    </cfRule>
  </conditionalFormatting>
  <conditionalFormatting sqref="V540">
    <cfRule type="cellIs" dxfId="421" priority="15887" stopIfTrue="1" operator="greaterThan">
      <formula>0</formula>
    </cfRule>
  </conditionalFormatting>
  <conditionalFormatting sqref="V541">
    <cfRule type="cellIs" dxfId="420" priority="15886" stopIfTrue="1" operator="greaterThan">
      <formula>0</formula>
    </cfRule>
  </conditionalFormatting>
  <conditionalFormatting sqref="O547">
    <cfRule type="cellIs" dxfId="419" priority="15884" stopIfTrue="1" operator="equal">
      <formula>"cumple"</formula>
    </cfRule>
    <cfRule type="containsText" dxfId="418" priority="15885" stopIfTrue="1" operator="containsText" text="NO CUMPLE">
      <formula>NOT(ISERROR(SEARCH("NO CUMPLE",O547)))</formula>
    </cfRule>
  </conditionalFormatting>
  <conditionalFormatting sqref="X536:X541">
    <cfRule type="cellIs" dxfId="417" priority="15882" stopIfTrue="1" operator="equal">
      <formula>"NO"</formula>
    </cfRule>
    <cfRule type="cellIs" dxfId="416" priority="15883" stopIfTrue="1" operator="equal">
      <formula>"SI"</formula>
    </cfRule>
  </conditionalFormatting>
  <conditionalFormatting sqref="B553">
    <cfRule type="cellIs" dxfId="415" priority="15880" stopIfTrue="1" operator="equal">
      <formula>"cumple"</formula>
    </cfRule>
    <cfRule type="containsText" dxfId="414" priority="15881" stopIfTrue="1" operator="containsText" text="NO CUMPLE">
      <formula>NOT(ISERROR(SEARCH("NO CUMPLE",B553)))</formula>
    </cfRule>
  </conditionalFormatting>
  <conditionalFormatting sqref="B554">
    <cfRule type="cellIs" dxfId="413" priority="15878" stopIfTrue="1" operator="equal">
      <formula>"cumple"</formula>
    </cfRule>
    <cfRule type="containsText" dxfId="412" priority="15879" stopIfTrue="1" operator="containsText" text="NO CUMPLE">
      <formula>NOT(ISERROR(SEARCH("NO CUMPLE",B554)))</formula>
    </cfRule>
  </conditionalFormatting>
  <conditionalFormatting sqref="G554">
    <cfRule type="cellIs" dxfId="411" priority="15876" stopIfTrue="1" operator="equal">
      <formula>"cumple"</formula>
    </cfRule>
    <cfRule type="containsText" dxfId="410" priority="15877" stopIfTrue="1" operator="containsText" text="NO CUMPLE">
      <formula>NOT(ISERROR(SEARCH("NO CUMPLE",G554)))</formula>
    </cfRule>
  </conditionalFormatting>
  <conditionalFormatting sqref="G555">
    <cfRule type="cellIs" dxfId="409" priority="15874" stopIfTrue="1" operator="equal">
      <formula>"cumple"</formula>
    </cfRule>
    <cfRule type="containsText" dxfId="408" priority="15875" stopIfTrue="1" operator="containsText" text="NO CUMPLE">
      <formula>NOT(ISERROR(SEARCH("NO CUMPLE",G555)))</formula>
    </cfRule>
  </conditionalFormatting>
  <conditionalFormatting sqref="X550">
    <cfRule type="cellIs" dxfId="407" priority="15873" operator="equal">
      <formula>"VERIFICAR CUADRO"</formula>
    </cfRule>
  </conditionalFormatting>
  <conditionalFormatting sqref="AC550">
    <cfRule type="cellIs" dxfId="406" priority="15871" stopIfTrue="1" operator="equal">
      <formula>"cumple"</formula>
    </cfRule>
    <cfRule type="containsText" dxfId="405" priority="15872" stopIfTrue="1" operator="containsText" text="NO CUMPLE">
      <formula>NOT(ISERROR(SEARCH("NO CUMPLE",AC550)))</formula>
    </cfRule>
  </conditionalFormatting>
  <conditionalFormatting sqref="AC551:AC555">
    <cfRule type="cellIs" dxfId="404" priority="15869" stopIfTrue="1" operator="equal">
      <formula>"cumple"</formula>
    </cfRule>
    <cfRule type="containsText" dxfId="403" priority="15870" stopIfTrue="1" operator="containsText" text="NO CUMPLE">
      <formula>NOT(ISERROR(SEARCH("NO CUMPLE",AC551)))</formula>
    </cfRule>
  </conditionalFormatting>
  <conditionalFormatting sqref="X556">
    <cfRule type="cellIs" dxfId="402" priority="15867" stopIfTrue="1" operator="equal">
      <formula>"cumple"</formula>
    </cfRule>
    <cfRule type="containsText" dxfId="401" priority="15868" stopIfTrue="1" operator="containsText" text="NO CUMPLE">
      <formula>NOT(ISERROR(SEARCH("NO CUMPLE",X556)))</formula>
    </cfRule>
  </conditionalFormatting>
  <conditionalFormatting sqref="AC536:AC541">
    <cfRule type="cellIs" dxfId="400" priority="15864" operator="equal">
      <formula>"NO ACREDITA"</formula>
    </cfRule>
    <cfRule type="cellIs" dxfId="399" priority="15865" stopIfTrue="1" operator="equal">
      <formula>"NO"</formula>
    </cfRule>
    <cfRule type="cellIs" dxfId="398" priority="15866" stopIfTrue="1" operator="equal">
      <formula>"SI"</formula>
    </cfRule>
  </conditionalFormatting>
  <conditionalFormatting sqref="E548:E549">
    <cfRule type="cellIs" dxfId="397" priority="15862" operator="greaterThan">
      <formula>0</formula>
    </cfRule>
    <cfRule type="cellIs" dxfId="396" priority="15863" operator="equal">
      <formula>0</formula>
    </cfRule>
  </conditionalFormatting>
  <conditionalFormatting sqref="G548">
    <cfRule type="cellIs" dxfId="395" priority="15861" stopIfTrue="1" operator="notBetween">
      <formula>"N/A"</formula>
      <formula>"REVISAR"</formula>
    </cfRule>
  </conditionalFormatting>
  <conditionalFormatting sqref="G548:G549">
    <cfRule type="cellIs" dxfId="394" priority="15860" operator="equal">
      <formula>"REVISAR"</formula>
    </cfRule>
  </conditionalFormatting>
  <conditionalFormatting sqref="E552">
    <cfRule type="cellIs" dxfId="393" priority="15859" operator="equal">
      <formula>"NO APLICA"</formula>
    </cfRule>
  </conditionalFormatting>
  <conditionalFormatting sqref="N547">
    <cfRule type="cellIs" dxfId="392" priority="15857" stopIfTrue="1" operator="equal">
      <formula>"cumple"</formula>
    </cfRule>
    <cfRule type="containsText" dxfId="391" priority="15858" stopIfTrue="1" operator="containsText" text="NO CUMPLE">
      <formula>NOT(ISERROR(SEARCH("NO CUMPLE",N547)))</formula>
    </cfRule>
  </conditionalFormatting>
  <conditionalFormatting sqref="N550:N555">
    <cfRule type="cellIs" dxfId="390" priority="15855" stopIfTrue="1" operator="equal">
      <formula>"cumple"</formula>
    </cfRule>
    <cfRule type="containsText" dxfId="389" priority="15856" stopIfTrue="1" operator="containsText" text="NO CUMPLE">
      <formula>NOT(ISERROR(SEARCH("NO CUMPLE",N550)))</formula>
    </cfRule>
  </conditionalFormatting>
  <conditionalFormatting sqref="N556">
    <cfRule type="cellIs" dxfId="388" priority="15853" stopIfTrue="1" operator="equal">
      <formula>"cumple"</formula>
    </cfRule>
    <cfRule type="containsText" dxfId="387" priority="15854" stopIfTrue="1" operator="containsText" text="NO CUMPLE">
      <formula>NOT(ISERROR(SEARCH("NO CUMPLE",N556)))</formula>
    </cfRule>
  </conditionalFormatting>
  <conditionalFormatting sqref="M563:N568 P563:R568">
    <cfRule type="cellIs" dxfId="386" priority="15851" stopIfTrue="1" operator="lessThan">
      <formula>0</formula>
    </cfRule>
  </conditionalFormatting>
  <conditionalFormatting sqref="U564 P563:R568 T564:T568 B563:N568 T563:U563">
    <cfRule type="cellIs" dxfId="385" priority="15850" stopIfTrue="1" operator="greaterThan">
      <formula>0</formula>
    </cfRule>
  </conditionalFormatting>
  <conditionalFormatting sqref="R564:R568">
    <cfRule type="cellIs" dxfId="384" priority="15849" stopIfTrue="1" operator="lessThan">
      <formula>0</formula>
    </cfRule>
  </conditionalFormatting>
  <conditionalFormatting sqref="O563:O568">
    <cfRule type="cellIs" dxfId="383" priority="15848" stopIfTrue="1" operator="greaterThan">
      <formula>0</formula>
    </cfRule>
  </conditionalFormatting>
  <conditionalFormatting sqref="U565">
    <cfRule type="cellIs" dxfId="382" priority="15847" stopIfTrue="1" operator="greaterThan">
      <formula>0</formula>
    </cfRule>
  </conditionalFormatting>
  <conditionalFormatting sqref="U566">
    <cfRule type="cellIs" dxfId="381" priority="15846" stopIfTrue="1" operator="greaterThan">
      <formula>0</formula>
    </cfRule>
  </conditionalFormatting>
  <conditionalFormatting sqref="U567">
    <cfRule type="cellIs" dxfId="380" priority="15845" stopIfTrue="1" operator="greaterThan">
      <formula>0</formula>
    </cfRule>
  </conditionalFormatting>
  <conditionalFormatting sqref="U568">
    <cfRule type="cellIs" dxfId="379" priority="15844" stopIfTrue="1" operator="greaterThan">
      <formula>0</formula>
    </cfRule>
  </conditionalFormatting>
  <conditionalFormatting sqref="S564:S568">
    <cfRule type="cellIs" dxfId="378" priority="15843" stopIfTrue="1" operator="lessThan">
      <formula>0</formula>
    </cfRule>
  </conditionalFormatting>
  <conditionalFormatting sqref="S563:S568">
    <cfRule type="cellIs" dxfId="377" priority="15842" stopIfTrue="1" operator="greaterThan">
      <formula>0</formula>
    </cfRule>
  </conditionalFormatting>
  <conditionalFormatting sqref="S563:S568">
    <cfRule type="cellIs" dxfId="376" priority="15841" stopIfTrue="1" operator="lessThan">
      <formula>0</formula>
    </cfRule>
  </conditionalFormatting>
  <conditionalFormatting sqref="B573">
    <cfRule type="cellIs" dxfId="375" priority="15839" stopIfTrue="1" operator="equal">
      <formula>"cumple"</formula>
    </cfRule>
    <cfRule type="containsText" dxfId="374" priority="15840" stopIfTrue="1" operator="containsText" text="NO CUMPLE">
      <formula>NOT(ISERROR(SEARCH("NO CUMPLE",B573)))</formula>
    </cfRule>
  </conditionalFormatting>
  <conditionalFormatting sqref="B574">
    <cfRule type="cellIs" dxfId="373" priority="15837" stopIfTrue="1" operator="equal">
      <formula>"cumple"</formula>
    </cfRule>
    <cfRule type="containsText" dxfId="372" priority="15838" stopIfTrue="1" operator="containsText" text="NO CUMPLE">
      <formula>NOT(ISERROR(SEARCH("NO CUMPLE",B574)))</formula>
    </cfRule>
  </conditionalFormatting>
  <conditionalFormatting sqref="B575">
    <cfRule type="cellIs" dxfId="371" priority="15835" stopIfTrue="1" operator="equal">
      <formula>"cumple"</formula>
    </cfRule>
    <cfRule type="containsText" dxfId="370" priority="15836" stopIfTrue="1" operator="containsText" text="NO CUMPLE">
      <formula>NOT(ISERROR(SEARCH("NO CUMPLE",B575)))</formula>
    </cfRule>
  </conditionalFormatting>
  <conditionalFormatting sqref="B577">
    <cfRule type="cellIs" dxfId="369" priority="15833" stopIfTrue="1" operator="equal">
      <formula>"cumple"</formula>
    </cfRule>
    <cfRule type="containsText" dxfId="368" priority="15834" stopIfTrue="1" operator="containsText" text="NO CUMPLE">
      <formula>NOT(ISERROR(SEARCH("NO CUMPLE",B577)))</formula>
    </cfRule>
  </conditionalFormatting>
  <conditionalFormatting sqref="B578">
    <cfRule type="cellIs" dxfId="367" priority="15831" stopIfTrue="1" operator="equal">
      <formula>"cumple"</formula>
    </cfRule>
    <cfRule type="containsText" dxfId="366" priority="15832" stopIfTrue="1" operator="containsText" text="NO CUMPLE">
      <formula>NOT(ISERROR(SEARCH("NO CUMPLE",B578)))</formula>
    </cfRule>
  </conditionalFormatting>
  <conditionalFormatting sqref="F575">
    <cfRule type="cellIs" dxfId="365" priority="15829" stopIfTrue="1" operator="equal">
      <formula>"cumple"</formula>
    </cfRule>
    <cfRule type="containsText" dxfId="364" priority="15830" stopIfTrue="1" operator="containsText" text="NO CUMPLE">
      <formula>NOT(ISERROR(SEARCH("NO CUMPLE",F575)))</formula>
    </cfRule>
  </conditionalFormatting>
  <conditionalFormatting sqref="E578:F578">
    <cfRule type="cellIs" dxfId="363" priority="15827" stopIfTrue="1" operator="equal">
      <formula>"cumple"</formula>
    </cfRule>
    <cfRule type="containsText" dxfId="362" priority="15828" stopIfTrue="1" operator="containsText" text="NO CUMPLE">
      <formula>NOT(ISERROR(SEARCH("NO CUMPLE",E578)))</formula>
    </cfRule>
  </conditionalFormatting>
  <conditionalFormatting sqref="G578">
    <cfRule type="cellIs" dxfId="361" priority="15825" stopIfTrue="1" operator="equal">
      <formula>"cumple"</formula>
    </cfRule>
    <cfRule type="containsText" dxfId="360" priority="15826" stopIfTrue="1" operator="containsText" text="NO CUMPLE">
      <formula>NOT(ISERROR(SEARCH("NO CUMPLE",G578)))</formula>
    </cfRule>
  </conditionalFormatting>
  <conditionalFormatting sqref="G579">
    <cfRule type="cellIs" dxfId="359" priority="15823" stopIfTrue="1" operator="equal">
      <formula>"cumple"</formula>
    </cfRule>
    <cfRule type="containsText" dxfId="358" priority="15824" stopIfTrue="1" operator="containsText" text="NO CUMPLE">
      <formula>NOT(ISERROR(SEARCH("NO CUMPLE",G579)))</formula>
    </cfRule>
  </conditionalFormatting>
  <conditionalFormatting sqref="H573">
    <cfRule type="cellIs" dxfId="357" priority="15821" stopIfTrue="1" operator="equal">
      <formula>"cumple"</formula>
    </cfRule>
    <cfRule type="containsText" dxfId="356" priority="15822" stopIfTrue="1" operator="containsText" text="NO CUMPLE">
      <formula>NOT(ISERROR(SEARCH("NO CUMPLE",H573)))</formula>
    </cfRule>
  </conditionalFormatting>
  <conditionalFormatting sqref="M574">
    <cfRule type="cellIs" dxfId="355" priority="15819" stopIfTrue="1" operator="equal">
      <formula>"cumple"</formula>
    </cfRule>
    <cfRule type="containsText" dxfId="354" priority="15820" stopIfTrue="1" operator="containsText" text="NO CUMPLE">
      <formula>NOT(ISERROR(SEARCH("NO CUMPLE",M574)))</formula>
    </cfRule>
  </conditionalFormatting>
  <conditionalFormatting sqref="J575:J576">
    <cfRule type="cellIs" dxfId="353" priority="15817" stopIfTrue="1" operator="equal">
      <formula>"cumple"</formula>
    </cfRule>
    <cfRule type="containsText" dxfId="352" priority="15818" stopIfTrue="1" operator="containsText" text="NO CUMPLE">
      <formula>NOT(ISERROR(SEARCH("NO CUMPLE",J575)))</formula>
    </cfRule>
  </conditionalFormatting>
  <conditionalFormatting sqref="K575:K576">
    <cfRule type="cellIs" dxfId="351" priority="15815" stopIfTrue="1" operator="equal">
      <formula>"cumple"</formula>
    </cfRule>
    <cfRule type="containsText" dxfId="350" priority="15816" stopIfTrue="1" operator="containsText" text="NO CUMPLE">
      <formula>NOT(ISERROR(SEARCH("NO CUMPLE",K575)))</formula>
    </cfRule>
  </conditionalFormatting>
  <conditionalFormatting sqref="L575:L576">
    <cfRule type="cellIs" dxfId="349" priority="15813" stopIfTrue="1" operator="equal">
      <formula>"cumple"</formula>
    </cfRule>
    <cfRule type="containsText" dxfId="348" priority="15814" stopIfTrue="1" operator="containsText" text="NO CUMPLE">
      <formula>NOT(ISERROR(SEARCH("NO CUMPLE",L575)))</formula>
    </cfRule>
  </conditionalFormatting>
  <conditionalFormatting sqref="L577:L582">
    <cfRule type="cellIs" dxfId="347" priority="15811" stopIfTrue="1" operator="equal">
      <formula>"cumple"</formula>
    </cfRule>
    <cfRule type="containsText" dxfId="346" priority="15812" stopIfTrue="1" operator="containsText" text="NO CUMPLE">
      <formula>NOT(ISERROR(SEARCH("NO CUMPLE",L577)))</formula>
    </cfRule>
  </conditionalFormatting>
  <conditionalFormatting sqref="M577">
    <cfRule type="cellIs" dxfId="345" priority="15809" stopIfTrue="1" operator="equal">
      <formula>"cumple"</formula>
    </cfRule>
    <cfRule type="containsText" dxfId="344" priority="15810" stopIfTrue="1" operator="containsText" text="NO CUMPLE">
      <formula>NOT(ISERROR(SEARCH("NO CUMPLE",M577)))</formula>
    </cfRule>
  </conditionalFormatting>
  <conditionalFormatting sqref="M578:M582">
    <cfRule type="cellIs" dxfId="343" priority="15807" stopIfTrue="1" operator="equal">
      <formula>"cumple"</formula>
    </cfRule>
    <cfRule type="containsText" dxfId="342" priority="15808" stopIfTrue="1" operator="containsText" text="NO CUMPLE">
      <formula>NOT(ISERROR(SEARCH("NO CUMPLE",M578)))</formula>
    </cfRule>
  </conditionalFormatting>
  <conditionalFormatting sqref="M583">
    <cfRule type="cellIs" dxfId="341" priority="15805" stopIfTrue="1" operator="equal">
      <formula>"cumple"</formula>
    </cfRule>
    <cfRule type="containsText" dxfId="340" priority="15806" stopIfTrue="1" operator="containsText" text="NO CUMPLE">
      <formula>NOT(ISERROR(SEARCH("NO CUMPLE",M583)))</formula>
    </cfRule>
  </conditionalFormatting>
  <conditionalFormatting sqref="H583">
    <cfRule type="cellIs" dxfId="339" priority="15803" stopIfTrue="1" operator="equal">
      <formula>"cumple"</formula>
    </cfRule>
    <cfRule type="containsText" dxfId="338" priority="15804" stopIfTrue="1" operator="containsText" text="NO CUMPLE">
      <formula>NOT(ISERROR(SEARCH("NO CUMPLE",H583)))</formula>
    </cfRule>
  </conditionalFormatting>
  <conditionalFormatting sqref="V563:V564">
    <cfRule type="cellIs" dxfId="337" priority="15802" stopIfTrue="1" operator="greaterThan">
      <formula>0</formula>
    </cfRule>
  </conditionalFormatting>
  <conditionalFormatting sqref="V565">
    <cfRule type="cellIs" dxfId="336" priority="15801" stopIfTrue="1" operator="greaterThan">
      <formula>0</formula>
    </cfRule>
  </conditionalFormatting>
  <conditionalFormatting sqref="V566">
    <cfRule type="cellIs" dxfId="335" priority="15800" stopIfTrue="1" operator="greaterThan">
      <formula>0</formula>
    </cfRule>
  </conditionalFormatting>
  <conditionalFormatting sqref="V567">
    <cfRule type="cellIs" dxfId="334" priority="15799" stopIfTrue="1" operator="greaterThan">
      <formula>0</formula>
    </cfRule>
  </conditionalFormatting>
  <conditionalFormatting sqref="V568">
    <cfRule type="cellIs" dxfId="333" priority="15798" stopIfTrue="1" operator="greaterThan">
      <formula>0</formula>
    </cfRule>
  </conditionalFormatting>
  <conditionalFormatting sqref="O574">
    <cfRule type="cellIs" dxfId="332" priority="15796" stopIfTrue="1" operator="equal">
      <formula>"cumple"</formula>
    </cfRule>
    <cfRule type="containsText" dxfId="331" priority="15797" stopIfTrue="1" operator="containsText" text="NO CUMPLE">
      <formula>NOT(ISERROR(SEARCH("NO CUMPLE",O574)))</formula>
    </cfRule>
  </conditionalFormatting>
  <conditionalFormatting sqref="X563:X568">
    <cfRule type="cellIs" dxfId="330" priority="15794" stopIfTrue="1" operator="equal">
      <formula>"NO"</formula>
    </cfRule>
    <cfRule type="cellIs" dxfId="329" priority="15795" stopIfTrue="1" operator="equal">
      <formula>"SI"</formula>
    </cfRule>
  </conditionalFormatting>
  <conditionalFormatting sqref="B580">
    <cfRule type="cellIs" dxfId="328" priority="15792" stopIfTrue="1" operator="equal">
      <formula>"cumple"</formula>
    </cfRule>
    <cfRule type="containsText" dxfId="327" priority="15793" stopIfTrue="1" operator="containsText" text="NO CUMPLE">
      <formula>NOT(ISERROR(SEARCH("NO CUMPLE",B580)))</formula>
    </cfRule>
  </conditionalFormatting>
  <conditionalFormatting sqref="B581">
    <cfRule type="cellIs" dxfId="326" priority="15790" stopIfTrue="1" operator="equal">
      <formula>"cumple"</formula>
    </cfRule>
    <cfRule type="containsText" dxfId="325" priority="15791" stopIfTrue="1" operator="containsText" text="NO CUMPLE">
      <formula>NOT(ISERROR(SEARCH("NO CUMPLE",B581)))</formula>
    </cfRule>
  </conditionalFormatting>
  <conditionalFormatting sqref="G581">
    <cfRule type="cellIs" dxfId="324" priority="15788" stopIfTrue="1" operator="equal">
      <formula>"cumple"</formula>
    </cfRule>
    <cfRule type="containsText" dxfId="323" priority="15789" stopIfTrue="1" operator="containsText" text="NO CUMPLE">
      <formula>NOT(ISERROR(SEARCH("NO CUMPLE",G581)))</formula>
    </cfRule>
  </conditionalFormatting>
  <conditionalFormatting sqref="G582">
    <cfRule type="cellIs" dxfId="322" priority="15786" stopIfTrue="1" operator="equal">
      <formula>"cumple"</formula>
    </cfRule>
    <cfRule type="containsText" dxfId="321" priority="15787" stopIfTrue="1" operator="containsText" text="NO CUMPLE">
      <formula>NOT(ISERROR(SEARCH("NO CUMPLE",G582)))</formula>
    </cfRule>
  </conditionalFormatting>
  <conditionalFormatting sqref="X577">
    <cfRule type="cellIs" dxfId="320" priority="15785" operator="equal">
      <formula>"VERIFICAR CUADRO"</formula>
    </cfRule>
  </conditionalFormatting>
  <conditionalFormatting sqref="AC577">
    <cfRule type="cellIs" dxfId="319" priority="15783" stopIfTrue="1" operator="equal">
      <formula>"cumple"</formula>
    </cfRule>
    <cfRule type="containsText" dxfId="318" priority="15784" stopIfTrue="1" operator="containsText" text="NO CUMPLE">
      <formula>NOT(ISERROR(SEARCH("NO CUMPLE",AC577)))</formula>
    </cfRule>
  </conditionalFormatting>
  <conditionalFormatting sqref="AC578:AC582">
    <cfRule type="cellIs" dxfId="317" priority="15781" stopIfTrue="1" operator="equal">
      <formula>"cumple"</formula>
    </cfRule>
    <cfRule type="containsText" dxfId="316" priority="15782" stopIfTrue="1" operator="containsText" text="NO CUMPLE">
      <formula>NOT(ISERROR(SEARCH("NO CUMPLE",AC578)))</formula>
    </cfRule>
  </conditionalFormatting>
  <conditionalFormatting sqref="X583">
    <cfRule type="cellIs" dxfId="315" priority="15779" stopIfTrue="1" operator="equal">
      <formula>"cumple"</formula>
    </cfRule>
    <cfRule type="containsText" dxfId="314" priority="15780" stopIfTrue="1" operator="containsText" text="NO CUMPLE">
      <formula>NOT(ISERROR(SEARCH("NO CUMPLE",X583)))</formula>
    </cfRule>
  </conditionalFormatting>
  <conditionalFormatting sqref="AC563:AC568">
    <cfRule type="cellIs" dxfId="313" priority="15776" operator="equal">
      <formula>"NO ACREDITA"</formula>
    </cfRule>
    <cfRule type="cellIs" dxfId="312" priority="15777" stopIfTrue="1" operator="equal">
      <formula>"NO"</formula>
    </cfRule>
    <cfRule type="cellIs" dxfId="311" priority="15778" stopIfTrue="1" operator="equal">
      <formula>"SI"</formula>
    </cfRule>
  </conditionalFormatting>
  <conditionalFormatting sqref="E575:E576">
    <cfRule type="cellIs" dxfId="310" priority="15774" operator="greaterThan">
      <formula>0</formula>
    </cfRule>
    <cfRule type="cellIs" dxfId="309" priority="15775" operator="equal">
      <formula>0</formula>
    </cfRule>
  </conditionalFormatting>
  <conditionalFormatting sqref="G575">
    <cfRule type="cellIs" dxfId="308" priority="15773" stopIfTrue="1" operator="notBetween">
      <formula>"N/A"</formula>
      <formula>"REVISAR"</formula>
    </cfRule>
  </conditionalFormatting>
  <conditionalFormatting sqref="G575:G576">
    <cfRule type="cellIs" dxfId="307" priority="15772" operator="equal">
      <formula>"REVISAR"</formula>
    </cfRule>
  </conditionalFormatting>
  <conditionalFormatting sqref="E579">
    <cfRule type="cellIs" dxfId="306" priority="15771" operator="equal">
      <formula>"NO APLICA"</formula>
    </cfRule>
  </conditionalFormatting>
  <conditionalFormatting sqref="N574">
    <cfRule type="cellIs" dxfId="305" priority="15769" stopIfTrue="1" operator="equal">
      <formula>"cumple"</formula>
    </cfRule>
    <cfRule type="containsText" dxfId="304" priority="15770" stopIfTrue="1" operator="containsText" text="NO CUMPLE">
      <formula>NOT(ISERROR(SEARCH("NO CUMPLE",N574)))</formula>
    </cfRule>
  </conditionalFormatting>
  <conditionalFormatting sqref="N577:N582">
    <cfRule type="cellIs" dxfId="303" priority="15767" stopIfTrue="1" operator="equal">
      <formula>"cumple"</formula>
    </cfRule>
    <cfRule type="containsText" dxfId="302" priority="15768" stopIfTrue="1" operator="containsText" text="NO CUMPLE">
      <formula>NOT(ISERROR(SEARCH("NO CUMPLE",N577)))</formula>
    </cfRule>
  </conditionalFormatting>
  <conditionalFormatting sqref="N583">
    <cfRule type="cellIs" dxfId="301" priority="15765" stopIfTrue="1" operator="equal">
      <formula>"cumple"</formula>
    </cfRule>
    <cfRule type="containsText" dxfId="300" priority="15766" stopIfTrue="1" operator="containsText" text="NO CUMPLE">
      <formula>NOT(ISERROR(SEARCH("NO CUMPLE",N583)))</formula>
    </cfRule>
  </conditionalFormatting>
  <conditionalFormatting sqref="M590:N595 P590:R595">
    <cfRule type="cellIs" dxfId="299" priority="15763" stopIfTrue="1" operator="lessThan">
      <formula>0</formula>
    </cfRule>
  </conditionalFormatting>
  <conditionalFormatting sqref="U591 P590:R595 T591:T595 B590:N595 T590:U590">
    <cfRule type="cellIs" dxfId="298" priority="15762" stopIfTrue="1" operator="greaterThan">
      <formula>0</formula>
    </cfRule>
  </conditionalFormatting>
  <conditionalFormatting sqref="R591:R595">
    <cfRule type="cellIs" dxfId="297" priority="15761" stopIfTrue="1" operator="lessThan">
      <formula>0</formula>
    </cfRule>
  </conditionalFormatting>
  <conditionalFormatting sqref="O590:O595">
    <cfRule type="cellIs" dxfId="296" priority="15760" stopIfTrue="1" operator="greaterThan">
      <formula>0</formula>
    </cfRule>
  </conditionalFormatting>
  <conditionalFormatting sqref="U592">
    <cfRule type="cellIs" dxfId="295" priority="15759" stopIfTrue="1" operator="greaterThan">
      <formula>0</formula>
    </cfRule>
  </conditionalFormatting>
  <conditionalFormatting sqref="U593">
    <cfRule type="cellIs" dxfId="294" priority="15758" stopIfTrue="1" operator="greaterThan">
      <formula>0</formula>
    </cfRule>
  </conditionalFormatting>
  <conditionalFormatting sqref="U594">
    <cfRule type="cellIs" dxfId="293" priority="15757" stopIfTrue="1" operator="greaterThan">
      <formula>0</formula>
    </cfRule>
  </conditionalFormatting>
  <conditionalFormatting sqref="U595">
    <cfRule type="cellIs" dxfId="292" priority="15756" stopIfTrue="1" operator="greaterThan">
      <formula>0</formula>
    </cfRule>
  </conditionalFormatting>
  <conditionalFormatting sqref="S591:S595">
    <cfRule type="cellIs" dxfId="291" priority="15755" stopIfTrue="1" operator="lessThan">
      <formula>0</formula>
    </cfRule>
  </conditionalFormatting>
  <conditionalFormatting sqref="S590:S595">
    <cfRule type="cellIs" dxfId="290" priority="15754" stopIfTrue="1" operator="greaterThan">
      <formula>0</formula>
    </cfRule>
  </conditionalFormatting>
  <conditionalFormatting sqref="S590:S595">
    <cfRule type="cellIs" dxfId="289" priority="15753" stopIfTrue="1" operator="lessThan">
      <formula>0</formula>
    </cfRule>
  </conditionalFormatting>
  <conditionalFormatting sqref="B600">
    <cfRule type="cellIs" dxfId="288" priority="15751" stopIfTrue="1" operator="equal">
      <formula>"cumple"</formula>
    </cfRule>
    <cfRule type="containsText" dxfId="287" priority="15752" stopIfTrue="1" operator="containsText" text="NO CUMPLE">
      <formula>NOT(ISERROR(SEARCH("NO CUMPLE",B600)))</formula>
    </cfRule>
  </conditionalFormatting>
  <conditionalFormatting sqref="B601">
    <cfRule type="cellIs" dxfId="286" priority="15749" stopIfTrue="1" operator="equal">
      <formula>"cumple"</formula>
    </cfRule>
    <cfRule type="containsText" dxfId="285" priority="15750" stopIfTrue="1" operator="containsText" text="NO CUMPLE">
      <formula>NOT(ISERROR(SEARCH("NO CUMPLE",B601)))</formula>
    </cfRule>
  </conditionalFormatting>
  <conditionalFormatting sqref="B602">
    <cfRule type="cellIs" dxfId="284" priority="15747" stopIfTrue="1" operator="equal">
      <formula>"cumple"</formula>
    </cfRule>
    <cfRule type="containsText" dxfId="283" priority="15748" stopIfTrue="1" operator="containsText" text="NO CUMPLE">
      <formula>NOT(ISERROR(SEARCH("NO CUMPLE",B602)))</formula>
    </cfRule>
  </conditionalFormatting>
  <conditionalFormatting sqref="B604">
    <cfRule type="cellIs" dxfId="282" priority="15745" stopIfTrue="1" operator="equal">
      <formula>"cumple"</formula>
    </cfRule>
    <cfRule type="containsText" dxfId="281" priority="15746" stopIfTrue="1" operator="containsText" text="NO CUMPLE">
      <formula>NOT(ISERROR(SEARCH("NO CUMPLE",B604)))</formula>
    </cfRule>
  </conditionalFormatting>
  <conditionalFormatting sqref="B605">
    <cfRule type="cellIs" dxfId="280" priority="15743" stopIfTrue="1" operator="equal">
      <formula>"cumple"</formula>
    </cfRule>
    <cfRule type="containsText" dxfId="279" priority="15744" stopIfTrue="1" operator="containsText" text="NO CUMPLE">
      <formula>NOT(ISERROR(SEARCH("NO CUMPLE",B605)))</formula>
    </cfRule>
  </conditionalFormatting>
  <conditionalFormatting sqref="F602">
    <cfRule type="cellIs" dxfId="278" priority="15741" stopIfTrue="1" operator="equal">
      <formula>"cumple"</formula>
    </cfRule>
    <cfRule type="containsText" dxfId="277" priority="15742" stopIfTrue="1" operator="containsText" text="NO CUMPLE">
      <formula>NOT(ISERROR(SEARCH("NO CUMPLE",F602)))</formula>
    </cfRule>
  </conditionalFormatting>
  <conditionalFormatting sqref="E605:F605">
    <cfRule type="cellIs" dxfId="276" priority="15739" stopIfTrue="1" operator="equal">
      <formula>"cumple"</formula>
    </cfRule>
    <cfRule type="containsText" dxfId="275" priority="15740" stopIfTrue="1" operator="containsText" text="NO CUMPLE">
      <formula>NOT(ISERROR(SEARCH("NO CUMPLE",E605)))</formula>
    </cfRule>
  </conditionalFormatting>
  <conditionalFormatting sqref="G605">
    <cfRule type="cellIs" dxfId="274" priority="15737" stopIfTrue="1" operator="equal">
      <formula>"cumple"</formula>
    </cfRule>
    <cfRule type="containsText" dxfId="273" priority="15738" stopIfTrue="1" operator="containsText" text="NO CUMPLE">
      <formula>NOT(ISERROR(SEARCH("NO CUMPLE",G605)))</formula>
    </cfRule>
  </conditionalFormatting>
  <conditionalFormatting sqref="G606">
    <cfRule type="cellIs" dxfId="272" priority="15735" stopIfTrue="1" operator="equal">
      <formula>"cumple"</formula>
    </cfRule>
    <cfRule type="containsText" dxfId="271" priority="15736" stopIfTrue="1" operator="containsText" text="NO CUMPLE">
      <formula>NOT(ISERROR(SEARCH("NO CUMPLE",G606)))</formula>
    </cfRule>
  </conditionalFormatting>
  <conditionalFormatting sqref="H600">
    <cfRule type="cellIs" dxfId="270" priority="15733" stopIfTrue="1" operator="equal">
      <formula>"cumple"</formula>
    </cfRule>
    <cfRule type="containsText" dxfId="269" priority="15734" stopIfTrue="1" operator="containsText" text="NO CUMPLE">
      <formula>NOT(ISERROR(SEARCH("NO CUMPLE",H600)))</formula>
    </cfRule>
  </conditionalFormatting>
  <conditionalFormatting sqref="M601">
    <cfRule type="cellIs" dxfId="268" priority="15731" stopIfTrue="1" operator="equal">
      <formula>"cumple"</formula>
    </cfRule>
    <cfRule type="containsText" dxfId="267" priority="15732" stopIfTrue="1" operator="containsText" text="NO CUMPLE">
      <formula>NOT(ISERROR(SEARCH("NO CUMPLE",M601)))</formula>
    </cfRule>
  </conditionalFormatting>
  <conditionalFormatting sqref="J602:J603">
    <cfRule type="cellIs" dxfId="266" priority="15729" stopIfTrue="1" operator="equal">
      <formula>"cumple"</formula>
    </cfRule>
    <cfRule type="containsText" dxfId="265" priority="15730" stopIfTrue="1" operator="containsText" text="NO CUMPLE">
      <formula>NOT(ISERROR(SEARCH("NO CUMPLE",J602)))</formula>
    </cfRule>
  </conditionalFormatting>
  <conditionalFormatting sqref="K602:K603">
    <cfRule type="cellIs" dxfId="264" priority="15727" stopIfTrue="1" operator="equal">
      <formula>"cumple"</formula>
    </cfRule>
    <cfRule type="containsText" dxfId="263" priority="15728" stopIfTrue="1" operator="containsText" text="NO CUMPLE">
      <formula>NOT(ISERROR(SEARCH("NO CUMPLE",K602)))</formula>
    </cfRule>
  </conditionalFormatting>
  <conditionalFormatting sqref="L602:L603">
    <cfRule type="cellIs" dxfId="262" priority="15725" stopIfTrue="1" operator="equal">
      <formula>"cumple"</formula>
    </cfRule>
    <cfRule type="containsText" dxfId="261" priority="15726" stopIfTrue="1" operator="containsText" text="NO CUMPLE">
      <formula>NOT(ISERROR(SEARCH("NO CUMPLE",L602)))</formula>
    </cfRule>
  </conditionalFormatting>
  <conditionalFormatting sqref="L604:L609">
    <cfRule type="cellIs" dxfId="260" priority="15723" stopIfTrue="1" operator="equal">
      <formula>"cumple"</formula>
    </cfRule>
    <cfRule type="containsText" dxfId="259" priority="15724" stopIfTrue="1" operator="containsText" text="NO CUMPLE">
      <formula>NOT(ISERROR(SEARCH("NO CUMPLE",L604)))</formula>
    </cfRule>
  </conditionalFormatting>
  <conditionalFormatting sqref="M604">
    <cfRule type="cellIs" dxfId="258" priority="15721" stopIfTrue="1" operator="equal">
      <formula>"cumple"</formula>
    </cfRule>
    <cfRule type="containsText" dxfId="257" priority="15722" stopIfTrue="1" operator="containsText" text="NO CUMPLE">
      <formula>NOT(ISERROR(SEARCH("NO CUMPLE",M604)))</formula>
    </cfRule>
  </conditionalFormatting>
  <conditionalFormatting sqref="M605:M609">
    <cfRule type="cellIs" dxfId="256" priority="15719" stopIfTrue="1" operator="equal">
      <formula>"cumple"</formula>
    </cfRule>
    <cfRule type="containsText" dxfId="255" priority="15720" stopIfTrue="1" operator="containsText" text="NO CUMPLE">
      <formula>NOT(ISERROR(SEARCH("NO CUMPLE",M605)))</formula>
    </cfRule>
  </conditionalFormatting>
  <conditionalFormatting sqref="M610">
    <cfRule type="cellIs" dxfId="254" priority="15717" stopIfTrue="1" operator="equal">
      <formula>"cumple"</formula>
    </cfRule>
    <cfRule type="containsText" dxfId="253" priority="15718" stopIfTrue="1" operator="containsText" text="NO CUMPLE">
      <formula>NOT(ISERROR(SEARCH("NO CUMPLE",M610)))</formula>
    </cfRule>
  </conditionalFormatting>
  <conditionalFormatting sqref="H610">
    <cfRule type="cellIs" dxfId="252" priority="15715" stopIfTrue="1" operator="equal">
      <formula>"cumple"</formula>
    </cfRule>
    <cfRule type="containsText" dxfId="251" priority="15716" stopIfTrue="1" operator="containsText" text="NO CUMPLE">
      <formula>NOT(ISERROR(SEARCH("NO CUMPLE",H610)))</formula>
    </cfRule>
  </conditionalFormatting>
  <conditionalFormatting sqref="V590:V591">
    <cfRule type="cellIs" dxfId="250" priority="15714" stopIfTrue="1" operator="greaterThan">
      <formula>0</formula>
    </cfRule>
  </conditionalFormatting>
  <conditionalFormatting sqref="V592">
    <cfRule type="cellIs" dxfId="249" priority="15713" stopIfTrue="1" operator="greaterThan">
      <formula>0</formula>
    </cfRule>
  </conditionalFormatting>
  <conditionalFormatting sqref="V593">
    <cfRule type="cellIs" dxfId="248" priority="15712" stopIfTrue="1" operator="greaterThan">
      <formula>0</formula>
    </cfRule>
  </conditionalFormatting>
  <conditionalFormatting sqref="V594">
    <cfRule type="cellIs" dxfId="247" priority="15711" stopIfTrue="1" operator="greaterThan">
      <formula>0</formula>
    </cfRule>
  </conditionalFormatting>
  <conditionalFormatting sqref="V595">
    <cfRule type="cellIs" dxfId="246" priority="15710" stopIfTrue="1" operator="greaterThan">
      <formula>0</formula>
    </cfRule>
  </conditionalFormatting>
  <conditionalFormatting sqref="O601">
    <cfRule type="cellIs" dxfId="245" priority="15708" stopIfTrue="1" operator="equal">
      <formula>"cumple"</formula>
    </cfRule>
    <cfRule type="containsText" dxfId="244" priority="15709" stopIfTrue="1" operator="containsText" text="NO CUMPLE">
      <formula>NOT(ISERROR(SEARCH("NO CUMPLE",O601)))</formula>
    </cfRule>
  </conditionalFormatting>
  <conditionalFormatting sqref="X590:X595">
    <cfRule type="cellIs" dxfId="243" priority="15706" stopIfTrue="1" operator="equal">
      <formula>"NO"</formula>
    </cfRule>
    <cfRule type="cellIs" dxfId="242" priority="15707" stopIfTrue="1" operator="equal">
      <formula>"SI"</formula>
    </cfRule>
  </conditionalFormatting>
  <conditionalFormatting sqref="B607">
    <cfRule type="cellIs" dxfId="241" priority="15704" stopIfTrue="1" operator="equal">
      <formula>"cumple"</formula>
    </cfRule>
    <cfRule type="containsText" dxfId="240" priority="15705" stopIfTrue="1" operator="containsText" text="NO CUMPLE">
      <formula>NOT(ISERROR(SEARCH("NO CUMPLE",B607)))</formula>
    </cfRule>
  </conditionalFormatting>
  <conditionalFormatting sqref="B608">
    <cfRule type="cellIs" dxfId="239" priority="15702" stopIfTrue="1" operator="equal">
      <formula>"cumple"</formula>
    </cfRule>
    <cfRule type="containsText" dxfId="238" priority="15703" stopIfTrue="1" operator="containsText" text="NO CUMPLE">
      <formula>NOT(ISERROR(SEARCH("NO CUMPLE",B608)))</formula>
    </cfRule>
  </conditionalFormatting>
  <conditionalFormatting sqref="G608">
    <cfRule type="cellIs" dxfId="237" priority="15700" stopIfTrue="1" operator="equal">
      <formula>"cumple"</formula>
    </cfRule>
    <cfRule type="containsText" dxfId="236" priority="15701" stopIfTrue="1" operator="containsText" text="NO CUMPLE">
      <formula>NOT(ISERROR(SEARCH("NO CUMPLE",G608)))</formula>
    </cfRule>
  </conditionalFormatting>
  <conditionalFormatting sqref="G609">
    <cfRule type="cellIs" dxfId="235" priority="15698" stopIfTrue="1" operator="equal">
      <formula>"cumple"</formula>
    </cfRule>
    <cfRule type="containsText" dxfId="234" priority="15699" stopIfTrue="1" operator="containsText" text="NO CUMPLE">
      <formula>NOT(ISERROR(SEARCH("NO CUMPLE",G609)))</formula>
    </cfRule>
  </conditionalFormatting>
  <conditionalFormatting sqref="X604">
    <cfRule type="cellIs" dxfId="233" priority="15697" operator="equal">
      <formula>"VERIFICAR CUADRO"</formula>
    </cfRule>
  </conditionalFormatting>
  <conditionalFormatting sqref="AC604">
    <cfRule type="cellIs" dxfId="232" priority="15695" stopIfTrue="1" operator="equal">
      <formula>"cumple"</formula>
    </cfRule>
    <cfRule type="containsText" dxfId="231" priority="15696" stopIfTrue="1" operator="containsText" text="NO CUMPLE">
      <formula>NOT(ISERROR(SEARCH("NO CUMPLE",AC604)))</formula>
    </cfRule>
  </conditionalFormatting>
  <conditionalFormatting sqref="AC605:AC609">
    <cfRule type="cellIs" dxfId="230" priority="15693" stopIfTrue="1" operator="equal">
      <formula>"cumple"</formula>
    </cfRule>
    <cfRule type="containsText" dxfId="229" priority="15694" stopIfTrue="1" operator="containsText" text="NO CUMPLE">
      <formula>NOT(ISERROR(SEARCH("NO CUMPLE",AC605)))</formula>
    </cfRule>
  </conditionalFormatting>
  <conditionalFormatting sqref="X610">
    <cfRule type="cellIs" dxfId="228" priority="15691" stopIfTrue="1" operator="equal">
      <formula>"cumple"</formula>
    </cfRule>
    <cfRule type="containsText" dxfId="227" priority="15692" stopIfTrue="1" operator="containsText" text="NO CUMPLE">
      <formula>NOT(ISERROR(SEARCH("NO CUMPLE",X610)))</formula>
    </cfRule>
  </conditionalFormatting>
  <conditionalFormatting sqref="AC590:AC595">
    <cfRule type="cellIs" dxfId="226" priority="15688" operator="equal">
      <formula>"NO ACREDITA"</formula>
    </cfRule>
    <cfRule type="cellIs" dxfId="225" priority="15689" stopIfTrue="1" operator="equal">
      <formula>"NO"</formula>
    </cfRule>
    <cfRule type="cellIs" dxfId="224" priority="15690" stopIfTrue="1" operator="equal">
      <formula>"SI"</formula>
    </cfRule>
  </conditionalFormatting>
  <conditionalFormatting sqref="E602:E603">
    <cfRule type="cellIs" dxfId="223" priority="15686" operator="greaterThan">
      <formula>0</formula>
    </cfRule>
    <cfRule type="cellIs" dxfId="222" priority="15687" operator="equal">
      <formula>0</formula>
    </cfRule>
  </conditionalFormatting>
  <conditionalFormatting sqref="G602">
    <cfRule type="cellIs" dxfId="221" priority="15685" stopIfTrue="1" operator="notBetween">
      <formula>"N/A"</formula>
      <formula>"REVISAR"</formula>
    </cfRule>
  </conditionalFormatting>
  <conditionalFormatting sqref="G602:G603">
    <cfRule type="cellIs" dxfId="220" priority="15684" operator="equal">
      <formula>"REVISAR"</formula>
    </cfRule>
  </conditionalFormatting>
  <conditionalFormatting sqref="E606">
    <cfRule type="cellIs" dxfId="219" priority="15683" operator="equal">
      <formula>"NO APLICA"</formula>
    </cfRule>
  </conditionalFormatting>
  <conditionalFormatting sqref="N601">
    <cfRule type="cellIs" dxfId="218" priority="15681" stopIfTrue="1" operator="equal">
      <formula>"cumple"</formula>
    </cfRule>
    <cfRule type="containsText" dxfId="217" priority="15682" stopIfTrue="1" operator="containsText" text="NO CUMPLE">
      <formula>NOT(ISERROR(SEARCH("NO CUMPLE",N601)))</formula>
    </cfRule>
  </conditionalFormatting>
  <conditionalFormatting sqref="N604:N609">
    <cfRule type="cellIs" dxfId="216" priority="15679" stopIfTrue="1" operator="equal">
      <formula>"cumple"</formula>
    </cfRule>
    <cfRule type="containsText" dxfId="215" priority="15680" stopIfTrue="1" operator="containsText" text="NO CUMPLE">
      <formula>NOT(ISERROR(SEARCH("NO CUMPLE",N604)))</formula>
    </cfRule>
  </conditionalFormatting>
  <conditionalFormatting sqref="N610">
    <cfRule type="cellIs" dxfId="214" priority="15677" stopIfTrue="1" operator="equal">
      <formula>"cumple"</formula>
    </cfRule>
    <cfRule type="containsText" dxfId="213" priority="15678" stopIfTrue="1" operator="containsText" text="NO CUMPLE">
      <formula>NOT(ISERROR(SEARCH("NO CUMPLE",N610)))</formula>
    </cfRule>
  </conditionalFormatting>
  <conditionalFormatting sqref="M617:N617 M619:N622 N618 P617:R622">
    <cfRule type="cellIs" dxfId="212" priority="15675" stopIfTrue="1" operator="lessThan">
      <formula>0</formula>
    </cfRule>
  </conditionalFormatting>
  <conditionalFormatting sqref="U618 T618:T622 B617:N617 T617:U617 B619:N622 G618:H618 N618 P617:R622">
    <cfRule type="cellIs" dxfId="211" priority="15674" stopIfTrue="1" operator="greaterThan">
      <formula>0</formula>
    </cfRule>
  </conditionalFormatting>
  <conditionalFormatting sqref="R618:R622">
    <cfRule type="cellIs" dxfId="210" priority="15673" stopIfTrue="1" operator="lessThan">
      <formula>0</formula>
    </cfRule>
  </conditionalFormatting>
  <conditionalFormatting sqref="O617:O622">
    <cfRule type="cellIs" dxfId="209" priority="15672" stopIfTrue="1" operator="greaterThan">
      <formula>0</formula>
    </cfRule>
  </conditionalFormatting>
  <conditionalFormatting sqref="U619">
    <cfRule type="cellIs" dxfId="208" priority="15671" stopIfTrue="1" operator="greaterThan">
      <formula>0</formula>
    </cfRule>
  </conditionalFormatting>
  <conditionalFormatting sqref="U620">
    <cfRule type="cellIs" dxfId="207" priority="15670" stopIfTrue="1" operator="greaterThan">
      <formula>0</formula>
    </cfRule>
  </conditionalFormatting>
  <conditionalFormatting sqref="U621">
    <cfRule type="cellIs" dxfId="206" priority="15669" stopIfTrue="1" operator="greaterThan">
      <formula>0</formula>
    </cfRule>
  </conditionalFormatting>
  <conditionalFormatting sqref="U622">
    <cfRule type="cellIs" dxfId="205" priority="15668" stopIfTrue="1" operator="greaterThan">
      <formula>0</formula>
    </cfRule>
  </conditionalFormatting>
  <conditionalFormatting sqref="S618:S622">
    <cfRule type="cellIs" dxfId="204" priority="15667" stopIfTrue="1" operator="lessThan">
      <formula>0</formula>
    </cfRule>
  </conditionalFormatting>
  <conditionalFormatting sqref="S617:S622">
    <cfRule type="cellIs" dxfId="203" priority="15666" stopIfTrue="1" operator="greaterThan">
      <formula>0</formula>
    </cfRule>
  </conditionalFormatting>
  <conditionalFormatting sqref="S617:S622">
    <cfRule type="cellIs" dxfId="202" priority="15665" stopIfTrue="1" operator="lessThan">
      <formula>0</formula>
    </cfRule>
  </conditionalFormatting>
  <conditionalFormatting sqref="B627">
    <cfRule type="cellIs" dxfId="201" priority="15663" stopIfTrue="1" operator="equal">
      <formula>"cumple"</formula>
    </cfRule>
    <cfRule type="containsText" dxfId="200" priority="15664" stopIfTrue="1" operator="containsText" text="NO CUMPLE">
      <formula>NOT(ISERROR(SEARCH("NO CUMPLE",B627)))</formula>
    </cfRule>
  </conditionalFormatting>
  <conditionalFormatting sqref="B628">
    <cfRule type="cellIs" dxfId="199" priority="15661" stopIfTrue="1" operator="equal">
      <formula>"cumple"</formula>
    </cfRule>
    <cfRule type="containsText" dxfId="198" priority="15662" stopIfTrue="1" operator="containsText" text="NO CUMPLE">
      <formula>NOT(ISERROR(SEARCH("NO CUMPLE",B628)))</formula>
    </cfRule>
  </conditionalFormatting>
  <conditionalFormatting sqref="B629">
    <cfRule type="cellIs" dxfId="197" priority="15659" stopIfTrue="1" operator="equal">
      <formula>"cumple"</formula>
    </cfRule>
    <cfRule type="containsText" dxfId="196" priority="15660" stopIfTrue="1" operator="containsText" text="NO CUMPLE">
      <formula>NOT(ISERROR(SEARCH("NO CUMPLE",B629)))</formula>
    </cfRule>
  </conditionalFormatting>
  <conditionalFormatting sqref="B631">
    <cfRule type="cellIs" dxfId="195" priority="15657" stopIfTrue="1" operator="equal">
      <formula>"cumple"</formula>
    </cfRule>
    <cfRule type="containsText" dxfId="194" priority="15658" stopIfTrue="1" operator="containsText" text="NO CUMPLE">
      <formula>NOT(ISERROR(SEARCH("NO CUMPLE",B631)))</formula>
    </cfRule>
  </conditionalFormatting>
  <conditionalFormatting sqref="B632">
    <cfRule type="cellIs" dxfId="193" priority="15655" stopIfTrue="1" operator="equal">
      <formula>"cumple"</formula>
    </cfRule>
    <cfRule type="containsText" dxfId="192" priority="15656" stopIfTrue="1" operator="containsText" text="NO CUMPLE">
      <formula>NOT(ISERROR(SEARCH("NO CUMPLE",B632)))</formula>
    </cfRule>
  </conditionalFormatting>
  <conditionalFormatting sqref="F629">
    <cfRule type="cellIs" dxfId="191" priority="15653" stopIfTrue="1" operator="equal">
      <formula>"cumple"</formula>
    </cfRule>
    <cfRule type="containsText" dxfId="190" priority="15654" stopIfTrue="1" operator="containsText" text="NO CUMPLE">
      <formula>NOT(ISERROR(SEARCH("NO CUMPLE",F629)))</formula>
    </cfRule>
  </conditionalFormatting>
  <conditionalFormatting sqref="E632:F632">
    <cfRule type="cellIs" dxfId="189" priority="15651" stopIfTrue="1" operator="equal">
      <formula>"cumple"</formula>
    </cfRule>
    <cfRule type="containsText" dxfId="188" priority="15652" stopIfTrue="1" operator="containsText" text="NO CUMPLE">
      <formula>NOT(ISERROR(SEARCH("NO CUMPLE",E632)))</formula>
    </cfRule>
  </conditionalFormatting>
  <conditionalFormatting sqref="G632">
    <cfRule type="cellIs" dxfId="187" priority="15649" stopIfTrue="1" operator="equal">
      <formula>"cumple"</formula>
    </cfRule>
    <cfRule type="containsText" dxfId="186" priority="15650" stopIfTrue="1" operator="containsText" text="NO CUMPLE">
      <formula>NOT(ISERROR(SEARCH("NO CUMPLE",G632)))</formula>
    </cfRule>
  </conditionalFormatting>
  <conditionalFormatting sqref="G633">
    <cfRule type="cellIs" dxfId="185" priority="15647" stopIfTrue="1" operator="equal">
      <formula>"cumple"</formula>
    </cfRule>
    <cfRule type="containsText" dxfId="184" priority="15648" stopIfTrue="1" operator="containsText" text="NO CUMPLE">
      <formula>NOT(ISERROR(SEARCH("NO CUMPLE",G633)))</formula>
    </cfRule>
  </conditionalFormatting>
  <conditionalFormatting sqref="H627">
    <cfRule type="cellIs" dxfId="183" priority="15645" stopIfTrue="1" operator="equal">
      <formula>"cumple"</formula>
    </cfRule>
    <cfRule type="containsText" dxfId="182" priority="15646" stopIfTrue="1" operator="containsText" text="NO CUMPLE">
      <formula>NOT(ISERROR(SEARCH("NO CUMPLE",H627)))</formula>
    </cfRule>
  </conditionalFormatting>
  <conditionalFormatting sqref="M628">
    <cfRule type="cellIs" dxfId="181" priority="15643" stopIfTrue="1" operator="equal">
      <formula>"cumple"</formula>
    </cfRule>
    <cfRule type="containsText" dxfId="180" priority="15644" stopIfTrue="1" operator="containsText" text="NO CUMPLE">
      <formula>NOT(ISERROR(SEARCH("NO CUMPLE",M628)))</formula>
    </cfRule>
  </conditionalFormatting>
  <conditionalFormatting sqref="J629:J630">
    <cfRule type="cellIs" dxfId="179" priority="15641" stopIfTrue="1" operator="equal">
      <formula>"cumple"</formula>
    </cfRule>
    <cfRule type="containsText" dxfId="178" priority="15642" stopIfTrue="1" operator="containsText" text="NO CUMPLE">
      <formula>NOT(ISERROR(SEARCH("NO CUMPLE",J629)))</formula>
    </cfRule>
  </conditionalFormatting>
  <conditionalFormatting sqref="K629:K630">
    <cfRule type="cellIs" dxfId="177" priority="15639" stopIfTrue="1" operator="equal">
      <formula>"cumple"</formula>
    </cfRule>
    <cfRule type="containsText" dxfId="176" priority="15640" stopIfTrue="1" operator="containsText" text="NO CUMPLE">
      <formula>NOT(ISERROR(SEARCH("NO CUMPLE",K629)))</formula>
    </cfRule>
  </conditionalFormatting>
  <conditionalFormatting sqref="L629:L630">
    <cfRule type="cellIs" dxfId="175" priority="15637" stopIfTrue="1" operator="equal">
      <formula>"cumple"</formula>
    </cfRule>
    <cfRule type="containsText" dxfId="174" priority="15638" stopIfTrue="1" operator="containsText" text="NO CUMPLE">
      <formula>NOT(ISERROR(SEARCH("NO CUMPLE",L629)))</formula>
    </cfRule>
  </conditionalFormatting>
  <conditionalFormatting sqref="L631:L636">
    <cfRule type="cellIs" dxfId="173" priority="15635" stopIfTrue="1" operator="equal">
      <formula>"cumple"</formula>
    </cfRule>
    <cfRule type="containsText" dxfId="172" priority="15636" stopIfTrue="1" operator="containsText" text="NO CUMPLE">
      <formula>NOT(ISERROR(SEARCH("NO CUMPLE",L631)))</formula>
    </cfRule>
  </conditionalFormatting>
  <conditionalFormatting sqref="M631">
    <cfRule type="cellIs" dxfId="171" priority="15633" stopIfTrue="1" operator="equal">
      <formula>"cumple"</formula>
    </cfRule>
    <cfRule type="containsText" dxfId="170" priority="15634" stopIfTrue="1" operator="containsText" text="NO CUMPLE">
      <formula>NOT(ISERROR(SEARCH("NO CUMPLE",M631)))</formula>
    </cfRule>
  </conditionalFormatting>
  <conditionalFormatting sqref="M632:M636">
    <cfRule type="cellIs" dxfId="169" priority="15631" stopIfTrue="1" operator="equal">
      <formula>"cumple"</formula>
    </cfRule>
    <cfRule type="containsText" dxfId="168" priority="15632" stopIfTrue="1" operator="containsText" text="NO CUMPLE">
      <formula>NOT(ISERROR(SEARCH("NO CUMPLE",M632)))</formula>
    </cfRule>
  </conditionalFormatting>
  <conditionalFormatting sqref="M637">
    <cfRule type="cellIs" dxfId="167" priority="15629" stopIfTrue="1" operator="equal">
      <formula>"cumple"</formula>
    </cfRule>
    <cfRule type="containsText" dxfId="166" priority="15630" stopIfTrue="1" operator="containsText" text="NO CUMPLE">
      <formula>NOT(ISERROR(SEARCH("NO CUMPLE",M637)))</formula>
    </cfRule>
  </conditionalFormatting>
  <conditionalFormatting sqref="H637">
    <cfRule type="cellIs" dxfId="165" priority="15627" stopIfTrue="1" operator="equal">
      <formula>"cumple"</formula>
    </cfRule>
    <cfRule type="containsText" dxfId="164" priority="15628" stopIfTrue="1" operator="containsText" text="NO CUMPLE">
      <formula>NOT(ISERROR(SEARCH("NO CUMPLE",H637)))</formula>
    </cfRule>
  </conditionalFormatting>
  <conditionalFormatting sqref="V617:V618">
    <cfRule type="cellIs" dxfId="163" priority="15626" stopIfTrue="1" operator="greaterThan">
      <formula>0</formula>
    </cfRule>
  </conditionalFormatting>
  <conditionalFormatting sqref="V619">
    <cfRule type="cellIs" dxfId="162" priority="15625" stopIfTrue="1" operator="greaterThan">
      <formula>0</formula>
    </cfRule>
  </conditionalFormatting>
  <conditionalFormatting sqref="V620">
    <cfRule type="cellIs" dxfId="161" priority="15624" stopIfTrue="1" operator="greaterThan">
      <formula>0</formula>
    </cfRule>
  </conditionalFormatting>
  <conditionalFormatting sqref="V621">
    <cfRule type="cellIs" dxfId="160" priority="15623" stopIfTrue="1" operator="greaterThan">
      <formula>0</formula>
    </cfRule>
  </conditionalFormatting>
  <conditionalFormatting sqref="V622">
    <cfRule type="cellIs" dxfId="159" priority="15622" stopIfTrue="1" operator="greaterThan">
      <formula>0</formula>
    </cfRule>
  </conditionalFormatting>
  <conditionalFormatting sqref="O628">
    <cfRule type="cellIs" dxfId="158" priority="15620" stopIfTrue="1" operator="equal">
      <formula>"cumple"</formula>
    </cfRule>
    <cfRule type="containsText" dxfId="157" priority="15621" stopIfTrue="1" operator="containsText" text="NO CUMPLE">
      <formula>NOT(ISERROR(SEARCH("NO CUMPLE",O628)))</formula>
    </cfRule>
  </conditionalFormatting>
  <conditionalFormatting sqref="X617:X622">
    <cfRule type="cellIs" dxfId="156" priority="15618" stopIfTrue="1" operator="equal">
      <formula>"NO"</formula>
    </cfRule>
    <cfRule type="cellIs" dxfId="155" priority="15619" stopIfTrue="1" operator="equal">
      <formula>"SI"</formula>
    </cfRule>
  </conditionalFormatting>
  <conditionalFormatting sqref="B634">
    <cfRule type="cellIs" dxfId="154" priority="15616" stopIfTrue="1" operator="equal">
      <formula>"cumple"</formula>
    </cfRule>
    <cfRule type="containsText" dxfId="153" priority="15617" stopIfTrue="1" operator="containsText" text="NO CUMPLE">
      <formula>NOT(ISERROR(SEARCH("NO CUMPLE",B634)))</formula>
    </cfRule>
  </conditionalFormatting>
  <conditionalFormatting sqref="B635">
    <cfRule type="cellIs" dxfId="152" priority="15614" stopIfTrue="1" operator="equal">
      <formula>"cumple"</formula>
    </cfRule>
    <cfRule type="containsText" dxfId="151" priority="15615" stopIfTrue="1" operator="containsText" text="NO CUMPLE">
      <formula>NOT(ISERROR(SEARCH("NO CUMPLE",B635)))</formula>
    </cfRule>
  </conditionalFormatting>
  <conditionalFormatting sqref="G635">
    <cfRule type="cellIs" dxfId="150" priority="15612" stopIfTrue="1" operator="equal">
      <formula>"cumple"</formula>
    </cfRule>
    <cfRule type="containsText" dxfId="149" priority="15613" stopIfTrue="1" operator="containsText" text="NO CUMPLE">
      <formula>NOT(ISERROR(SEARCH("NO CUMPLE",G635)))</formula>
    </cfRule>
  </conditionalFormatting>
  <conditionalFormatting sqref="G636">
    <cfRule type="cellIs" dxfId="148" priority="15610" stopIfTrue="1" operator="equal">
      <formula>"cumple"</formula>
    </cfRule>
    <cfRule type="containsText" dxfId="147" priority="15611" stopIfTrue="1" operator="containsText" text="NO CUMPLE">
      <formula>NOT(ISERROR(SEARCH("NO CUMPLE",G636)))</formula>
    </cfRule>
  </conditionalFormatting>
  <conditionalFormatting sqref="X631">
    <cfRule type="cellIs" dxfId="146" priority="15609" operator="equal">
      <formula>"VERIFICAR CUADRO"</formula>
    </cfRule>
  </conditionalFormatting>
  <conditionalFormatting sqref="AC631">
    <cfRule type="cellIs" dxfId="145" priority="15607" stopIfTrue="1" operator="equal">
      <formula>"cumple"</formula>
    </cfRule>
    <cfRule type="containsText" dxfId="144" priority="15608" stopIfTrue="1" operator="containsText" text="NO CUMPLE">
      <formula>NOT(ISERROR(SEARCH("NO CUMPLE",AC631)))</formula>
    </cfRule>
  </conditionalFormatting>
  <conditionalFormatting sqref="AC632:AC636">
    <cfRule type="cellIs" dxfId="143" priority="15605" stopIfTrue="1" operator="equal">
      <formula>"cumple"</formula>
    </cfRule>
    <cfRule type="containsText" dxfId="142" priority="15606" stopIfTrue="1" operator="containsText" text="NO CUMPLE">
      <formula>NOT(ISERROR(SEARCH("NO CUMPLE",AC632)))</formula>
    </cfRule>
  </conditionalFormatting>
  <conditionalFormatting sqref="X637">
    <cfRule type="cellIs" dxfId="141" priority="15603" stopIfTrue="1" operator="equal">
      <formula>"cumple"</formula>
    </cfRule>
    <cfRule type="containsText" dxfId="140" priority="15604" stopIfTrue="1" operator="containsText" text="NO CUMPLE">
      <formula>NOT(ISERROR(SEARCH("NO CUMPLE",X637)))</formula>
    </cfRule>
  </conditionalFormatting>
  <conditionalFormatting sqref="AC617:AC622">
    <cfRule type="cellIs" dxfId="139" priority="15600" operator="equal">
      <formula>"NO ACREDITA"</formula>
    </cfRule>
    <cfRule type="cellIs" dxfId="138" priority="15601" stopIfTrue="1" operator="equal">
      <formula>"NO"</formula>
    </cfRule>
    <cfRule type="cellIs" dxfId="137" priority="15602" stopIfTrue="1" operator="equal">
      <formula>"SI"</formula>
    </cfRule>
  </conditionalFormatting>
  <conditionalFormatting sqref="E629:E630">
    <cfRule type="cellIs" dxfId="136" priority="15598" operator="greaterThan">
      <formula>0</formula>
    </cfRule>
    <cfRule type="cellIs" dxfId="135" priority="15599" operator="equal">
      <formula>0</formula>
    </cfRule>
  </conditionalFormatting>
  <conditionalFormatting sqref="G629">
    <cfRule type="cellIs" dxfId="134" priority="15597" stopIfTrue="1" operator="notBetween">
      <formula>"N/A"</formula>
      <formula>"REVISAR"</formula>
    </cfRule>
  </conditionalFormatting>
  <conditionalFormatting sqref="G629:G630">
    <cfRule type="cellIs" dxfId="133" priority="15596" operator="equal">
      <formula>"REVISAR"</formula>
    </cfRule>
  </conditionalFormatting>
  <conditionalFormatting sqref="E633">
    <cfRule type="cellIs" dxfId="132" priority="15595" operator="equal">
      <formula>"NO APLICA"</formula>
    </cfRule>
  </conditionalFormatting>
  <conditionalFormatting sqref="N628">
    <cfRule type="cellIs" dxfId="131" priority="15593" stopIfTrue="1" operator="equal">
      <formula>"cumple"</formula>
    </cfRule>
    <cfRule type="containsText" dxfId="130" priority="15594" stopIfTrue="1" operator="containsText" text="NO CUMPLE">
      <formula>NOT(ISERROR(SEARCH("NO CUMPLE",N628)))</formula>
    </cfRule>
  </conditionalFormatting>
  <conditionalFormatting sqref="N631:N636">
    <cfRule type="cellIs" dxfId="129" priority="15591" stopIfTrue="1" operator="equal">
      <formula>"cumple"</formula>
    </cfRule>
    <cfRule type="containsText" dxfId="128" priority="15592" stopIfTrue="1" operator="containsText" text="NO CUMPLE">
      <formula>NOT(ISERROR(SEARCH("NO CUMPLE",N631)))</formula>
    </cfRule>
  </conditionalFormatting>
  <conditionalFormatting sqref="N637">
    <cfRule type="cellIs" dxfId="127" priority="15589" stopIfTrue="1" operator="equal">
      <formula>"cumple"</formula>
    </cfRule>
    <cfRule type="containsText" dxfId="126" priority="15590" stopIfTrue="1" operator="containsText" text="NO CUMPLE">
      <formula>NOT(ISERROR(SEARCH("NO CUMPLE",N637)))</formula>
    </cfRule>
  </conditionalFormatting>
  <conditionalFormatting sqref="P644:R649 M644:N649">
    <cfRule type="cellIs" dxfId="125" priority="15587" stopIfTrue="1" operator="lessThan">
      <formula>0</formula>
    </cfRule>
  </conditionalFormatting>
  <conditionalFormatting sqref="U645 P644:R649 T645:T649 T644:U644 B644:N649">
    <cfRule type="cellIs" dxfId="124" priority="15586" stopIfTrue="1" operator="greaterThan">
      <formula>0</formula>
    </cfRule>
  </conditionalFormatting>
  <conditionalFormatting sqref="R645:R649">
    <cfRule type="cellIs" dxfId="123" priority="15585" stopIfTrue="1" operator="lessThan">
      <formula>0</formula>
    </cfRule>
  </conditionalFormatting>
  <conditionalFormatting sqref="O644:O649">
    <cfRule type="cellIs" dxfId="122" priority="15584" stopIfTrue="1" operator="greaterThan">
      <formula>0</formula>
    </cfRule>
  </conditionalFormatting>
  <conditionalFormatting sqref="U646">
    <cfRule type="cellIs" dxfId="121" priority="15583" stopIfTrue="1" operator="greaterThan">
      <formula>0</formula>
    </cfRule>
  </conditionalFormatting>
  <conditionalFormatting sqref="U647">
    <cfRule type="cellIs" dxfId="120" priority="15582" stopIfTrue="1" operator="greaterThan">
      <formula>0</formula>
    </cfRule>
  </conditionalFormatting>
  <conditionalFormatting sqref="U648">
    <cfRule type="cellIs" dxfId="119" priority="15581" stopIfTrue="1" operator="greaterThan">
      <formula>0</formula>
    </cfRule>
  </conditionalFormatting>
  <conditionalFormatting sqref="U649">
    <cfRule type="cellIs" dxfId="118" priority="15580" stopIfTrue="1" operator="greaterThan">
      <formula>0</formula>
    </cfRule>
  </conditionalFormatting>
  <conditionalFormatting sqref="S645:S649">
    <cfRule type="cellIs" dxfId="117" priority="15579" stopIfTrue="1" operator="lessThan">
      <formula>0</formula>
    </cfRule>
  </conditionalFormatting>
  <conditionalFormatting sqref="S644:S649">
    <cfRule type="cellIs" dxfId="116" priority="15578" stopIfTrue="1" operator="greaterThan">
      <formula>0</formula>
    </cfRule>
  </conditionalFormatting>
  <conditionalFormatting sqref="S644:S649">
    <cfRule type="cellIs" dxfId="115" priority="15577" stopIfTrue="1" operator="lessThan">
      <formula>0</formula>
    </cfRule>
  </conditionalFormatting>
  <conditionalFormatting sqref="B654">
    <cfRule type="cellIs" dxfId="114" priority="15575" stopIfTrue="1" operator="equal">
      <formula>"cumple"</formula>
    </cfRule>
    <cfRule type="containsText" dxfId="113" priority="15576" stopIfTrue="1" operator="containsText" text="NO CUMPLE">
      <formula>NOT(ISERROR(SEARCH("NO CUMPLE",B654)))</formula>
    </cfRule>
  </conditionalFormatting>
  <conditionalFormatting sqref="B655">
    <cfRule type="cellIs" dxfId="112" priority="15573" stopIfTrue="1" operator="equal">
      <formula>"cumple"</formula>
    </cfRule>
    <cfRule type="containsText" dxfId="111" priority="15574" stopIfTrue="1" operator="containsText" text="NO CUMPLE">
      <formula>NOT(ISERROR(SEARCH("NO CUMPLE",B655)))</formula>
    </cfRule>
  </conditionalFormatting>
  <conditionalFormatting sqref="B656">
    <cfRule type="cellIs" dxfId="110" priority="15571" stopIfTrue="1" operator="equal">
      <formula>"cumple"</formula>
    </cfRule>
    <cfRule type="containsText" dxfId="109" priority="15572" stopIfTrue="1" operator="containsText" text="NO CUMPLE">
      <formula>NOT(ISERROR(SEARCH("NO CUMPLE",B656)))</formula>
    </cfRule>
  </conditionalFormatting>
  <conditionalFormatting sqref="B658">
    <cfRule type="cellIs" dxfId="108" priority="15569" stopIfTrue="1" operator="equal">
      <formula>"cumple"</formula>
    </cfRule>
    <cfRule type="containsText" dxfId="107" priority="15570" stopIfTrue="1" operator="containsText" text="NO CUMPLE">
      <formula>NOT(ISERROR(SEARCH("NO CUMPLE",B658)))</formula>
    </cfRule>
  </conditionalFormatting>
  <conditionalFormatting sqref="B659">
    <cfRule type="cellIs" dxfId="106" priority="15567" stopIfTrue="1" operator="equal">
      <formula>"cumple"</formula>
    </cfRule>
    <cfRule type="containsText" dxfId="105" priority="15568" stopIfTrue="1" operator="containsText" text="NO CUMPLE">
      <formula>NOT(ISERROR(SEARCH("NO CUMPLE",B659)))</formula>
    </cfRule>
  </conditionalFormatting>
  <conditionalFormatting sqref="F656">
    <cfRule type="cellIs" dxfId="104" priority="15565" stopIfTrue="1" operator="equal">
      <formula>"cumple"</formula>
    </cfRule>
    <cfRule type="containsText" dxfId="103" priority="15566" stopIfTrue="1" operator="containsText" text="NO CUMPLE">
      <formula>NOT(ISERROR(SEARCH("NO CUMPLE",F656)))</formula>
    </cfRule>
  </conditionalFormatting>
  <conditionalFormatting sqref="E659:F659">
    <cfRule type="cellIs" dxfId="102" priority="15563" stopIfTrue="1" operator="equal">
      <formula>"cumple"</formula>
    </cfRule>
    <cfRule type="containsText" dxfId="101" priority="15564" stopIfTrue="1" operator="containsText" text="NO CUMPLE">
      <formula>NOT(ISERROR(SEARCH("NO CUMPLE",E659)))</formula>
    </cfRule>
  </conditionalFormatting>
  <conditionalFormatting sqref="G659">
    <cfRule type="cellIs" dxfId="100" priority="15561" stopIfTrue="1" operator="equal">
      <formula>"cumple"</formula>
    </cfRule>
    <cfRule type="containsText" dxfId="99" priority="15562" stopIfTrue="1" operator="containsText" text="NO CUMPLE">
      <formula>NOT(ISERROR(SEARCH("NO CUMPLE",G659)))</formula>
    </cfRule>
  </conditionalFormatting>
  <conditionalFormatting sqref="G660">
    <cfRule type="cellIs" dxfId="98" priority="15559" stopIfTrue="1" operator="equal">
      <formula>"cumple"</formula>
    </cfRule>
    <cfRule type="containsText" dxfId="97" priority="15560" stopIfTrue="1" operator="containsText" text="NO CUMPLE">
      <formula>NOT(ISERROR(SEARCH("NO CUMPLE",G660)))</formula>
    </cfRule>
  </conditionalFormatting>
  <conditionalFormatting sqref="H654">
    <cfRule type="cellIs" dxfId="96" priority="15557" stopIfTrue="1" operator="equal">
      <formula>"cumple"</formula>
    </cfRule>
    <cfRule type="containsText" dxfId="95" priority="15558" stopIfTrue="1" operator="containsText" text="NO CUMPLE">
      <formula>NOT(ISERROR(SEARCH("NO CUMPLE",H654)))</formula>
    </cfRule>
  </conditionalFormatting>
  <conditionalFormatting sqref="M655">
    <cfRule type="cellIs" dxfId="94" priority="15555" stopIfTrue="1" operator="equal">
      <formula>"cumple"</formula>
    </cfRule>
    <cfRule type="containsText" dxfId="93" priority="15556" stopIfTrue="1" operator="containsText" text="NO CUMPLE">
      <formula>NOT(ISERROR(SEARCH("NO CUMPLE",M655)))</formula>
    </cfRule>
  </conditionalFormatting>
  <conditionalFormatting sqref="J656:J657">
    <cfRule type="cellIs" dxfId="92" priority="15553" stopIfTrue="1" operator="equal">
      <formula>"cumple"</formula>
    </cfRule>
    <cfRule type="containsText" dxfId="91" priority="15554" stopIfTrue="1" operator="containsText" text="NO CUMPLE">
      <formula>NOT(ISERROR(SEARCH("NO CUMPLE",J656)))</formula>
    </cfRule>
  </conditionalFormatting>
  <conditionalFormatting sqref="K656:K657">
    <cfRule type="cellIs" dxfId="90" priority="15551" stopIfTrue="1" operator="equal">
      <formula>"cumple"</formula>
    </cfRule>
    <cfRule type="containsText" dxfId="89" priority="15552" stopIfTrue="1" operator="containsText" text="NO CUMPLE">
      <formula>NOT(ISERROR(SEARCH("NO CUMPLE",K656)))</formula>
    </cfRule>
  </conditionalFormatting>
  <conditionalFormatting sqref="L656:L657">
    <cfRule type="cellIs" dxfId="88" priority="15549" stopIfTrue="1" operator="equal">
      <formula>"cumple"</formula>
    </cfRule>
    <cfRule type="containsText" dxfId="87" priority="15550" stopIfTrue="1" operator="containsText" text="NO CUMPLE">
      <formula>NOT(ISERROR(SEARCH("NO CUMPLE",L656)))</formula>
    </cfRule>
  </conditionalFormatting>
  <conditionalFormatting sqref="L658:L663">
    <cfRule type="cellIs" dxfId="86" priority="15547" stopIfTrue="1" operator="equal">
      <formula>"cumple"</formula>
    </cfRule>
    <cfRule type="containsText" dxfId="85" priority="15548" stopIfTrue="1" operator="containsText" text="NO CUMPLE">
      <formula>NOT(ISERROR(SEARCH("NO CUMPLE",L658)))</formula>
    </cfRule>
  </conditionalFormatting>
  <conditionalFormatting sqref="M658">
    <cfRule type="cellIs" dxfId="84" priority="15545" stopIfTrue="1" operator="equal">
      <formula>"cumple"</formula>
    </cfRule>
    <cfRule type="containsText" dxfId="83" priority="15546" stopIfTrue="1" operator="containsText" text="NO CUMPLE">
      <formula>NOT(ISERROR(SEARCH("NO CUMPLE",M658)))</formula>
    </cfRule>
  </conditionalFormatting>
  <conditionalFormatting sqref="M659:M663">
    <cfRule type="cellIs" dxfId="82" priority="15543" stopIfTrue="1" operator="equal">
      <formula>"cumple"</formula>
    </cfRule>
    <cfRule type="containsText" dxfId="81" priority="15544" stopIfTrue="1" operator="containsText" text="NO CUMPLE">
      <formula>NOT(ISERROR(SEARCH("NO CUMPLE",M659)))</formula>
    </cfRule>
  </conditionalFormatting>
  <conditionalFormatting sqref="M664">
    <cfRule type="cellIs" dxfId="80" priority="15541" stopIfTrue="1" operator="equal">
      <formula>"cumple"</formula>
    </cfRule>
    <cfRule type="containsText" dxfId="79" priority="15542" stopIfTrue="1" operator="containsText" text="NO CUMPLE">
      <formula>NOT(ISERROR(SEARCH("NO CUMPLE",M664)))</formula>
    </cfRule>
  </conditionalFormatting>
  <conditionalFormatting sqref="H664">
    <cfRule type="cellIs" dxfId="78" priority="15539" stopIfTrue="1" operator="equal">
      <formula>"cumple"</formula>
    </cfRule>
    <cfRule type="containsText" dxfId="77" priority="15540" stopIfTrue="1" operator="containsText" text="NO CUMPLE">
      <formula>NOT(ISERROR(SEARCH("NO CUMPLE",H664)))</formula>
    </cfRule>
  </conditionalFormatting>
  <conditionalFormatting sqref="V644:V645">
    <cfRule type="cellIs" dxfId="76" priority="15538" stopIfTrue="1" operator="greaterThan">
      <formula>0</formula>
    </cfRule>
  </conditionalFormatting>
  <conditionalFormatting sqref="V646">
    <cfRule type="cellIs" dxfId="75" priority="15537" stopIfTrue="1" operator="greaterThan">
      <formula>0</formula>
    </cfRule>
  </conditionalFormatting>
  <conditionalFormatting sqref="V647">
    <cfRule type="cellIs" dxfId="74" priority="15536" stopIfTrue="1" operator="greaterThan">
      <formula>0</formula>
    </cfRule>
  </conditionalFormatting>
  <conditionalFormatting sqref="V648">
    <cfRule type="cellIs" dxfId="73" priority="15535" stopIfTrue="1" operator="greaterThan">
      <formula>0</formula>
    </cfRule>
  </conditionalFormatting>
  <conditionalFormatting sqref="V649">
    <cfRule type="cellIs" dxfId="72" priority="15534" stopIfTrue="1" operator="greaterThan">
      <formula>0</formula>
    </cfRule>
  </conditionalFormatting>
  <conditionalFormatting sqref="O655">
    <cfRule type="cellIs" dxfId="71" priority="15532" stopIfTrue="1" operator="equal">
      <formula>"cumple"</formula>
    </cfRule>
    <cfRule type="containsText" dxfId="70" priority="15533" stopIfTrue="1" operator="containsText" text="NO CUMPLE">
      <formula>NOT(ISERROR(SEARCH("NO CUMPLE",O655)))</formula>
    </cfRule>
  </conditionalFormatting>
  <conditionalFormatting sqref="X644:X649">
    <cfRule type="cellIs" dxfId="69" priority="15530" stopIfTrue="1" operator="equal">
      <formula>"NO"</formula>
    </cfRule>
    <cfRule type="cellIs" dxfId="68" priority="15531" stopIfTrue="1" operator="equal">
      <formula>"SI"</formula>
    </cfRule>
  </conditionalFormatting>
  <conditionalFormatting sqref="B661">
    <cfRule type="cellIs" dxfId="67" priority="15528" stopIfTrue="1" operator="equal">
      <formula>"cumple"</formula>
    </cfRule>
    <cfRule type="containsText" dxfId="66" priority="15529" stopIfTrue="1" operator="containsText" text="NO CUMPLE">
      <formula>NOT(ISERROR(SEARCH("NO CUMPLE",B661)))</formula>
    </cfRule>
  </conditionalFormatting>
  <conditionalFormatting sqref="B662">
    <cfRule type="cellIs" dxfId="65" priority="15526" stopIfTrue="1" operator="equal">
      <formula>"cumple"</formula>
    </cfRule>
    <cfRule type="containsText" dxfId="64" priority="15527" stopIfTrue="1" operator="containsText" text="NO CUMPLE">
      <formula>NOT(ISERROR(SEARCH("NO CUMPLE",B662)))</formula>
    </cfRule>
  </conditionalFormatting>
  <conditionalFormatting sqref="G662">
    <cfRule type="cellIs" dxfId="63" priority="15524" stopIfTrue="1" operator="equal">
      <formula>"cumple"</formula>
    </cfRule>
    <cfRule type="containsText" dxfId="62" priority="15525" stopIfTrue="1" operator="containsText" text="NO CUMPLE">
      <formula>NOT(ISERROR(SEARCH("NO CUMPLE",G662)))</formula>
    </cfRule>
  </conditionalFormatting>
  <conditionalFormatting sqref="G663">
    <cfRule type="cellIs" dxfId="61" priority="15522" stopIfTrue="1" operator="equal">
      <formula>"cumple"</formula>
    </cfRule>
    <cfRule type="containsText" dxfId="60" priority="15523" stopIfTrue="1" operator="containsText" text="NO CUMPLE">
      <formula>NOT(ISERROR(SEARCH("NO CUMPLE",G663)))</formula>
    </cfRule>
  </conditionalFormatting>
  <conditionalFormatting sqref="X658">
    <cfRule type="cellIs" dxfId="59" priority="15521" operator="equal">
      <formula>"VERIFICAR CUADRO"</formula>
    </cfRule>
  </conditionalFormatting>
  <conditionalFormatting sqref="AC658">
    <cfRule type="cellIs" dxfId="58" priority="15519" stopIfTrue="1" operator="equal">
      <formula>"cumple"</formula>
    </cfRule>
    <cfRule type="containsText" dxfId="57" priority="15520" stopIfTrue="1" operator="containsText" text="NO CUMPLE">
      <formula>NOT(ISERROR(SEARCH("NO CUMPLE",AC658)))</formula>
    </cfRule>
  </conditionalFormatting>
  <conditionalFormatting sqref="AC659:AC663">
    <cfRule type="cellIs" dxfId="56" priority="15517" stopIfTrue="1" operator="equal">
      <formula>"cumple"</formula>
    </cfRule>
    <cfRule type="containsText" dxfId="55" priority="15518" stopIfTrue="1" operator="containsText" text="NO CUMPLE">
      <formula>NOT(ISERROR(SEARCH("NO CUMPLE",AC659)))</formula>
    </cfRule>
  </conditionalFormatting>
  <conditionalFormatting sqref="X664">
    <cfRule type="cellIs" dxfId="54" priority="15515" stopIfTrue="1" operator="equal">
      <formula>"cumple"</formula>
    </cfRule>
    <cfRule type="containsText" dxfId="53" priority="15516" stopIfTrue="1" operator="containsText" text="NO CUMPLE">
      <formula>NOT(ISERROR(SEARCH("NO CUMPLE",X664)))</formula>
    </cfRule>
  </conditionalFormatting>
  <conditionalFormatting sqref="AC644:AC649">
    <cfRule type="cellIs" dxfId="52" priority="15512" operator="equal">
      <formula>"NO ACREDITA"</formula>
    </cfRule>
    <cfRule type="cellIs" dxfId="51" priority="15513" stopIfTrue="1" operator="equal">
      <formula>"NO"</formula>
    </cfRule>
    <cfRule type="cellIs" dxfId="50" priority="15514" stopIfTrue="1" operator="equal">
      <formula>"SI"</formula>
    </cfRule>
  </conditionalFormatting>
  <conditionalFormatting sqref="E656:E657">
    <cfRule type="cellIs" dxfId="49" priority="15510" operator="greaterThan">
      <formula>0</formula>
    </cfRule>
    <cfRule type="cellIs" dxfId="48" priority="15511" operator="equal">
      <formula>0</formula>
    </cfRule>
  </conditionalFormatting>
  <conditionalFormatting sqref="G656">
    <cfRule type="cellIs" dxfId="47" priority="15509" stopIfTrue="1" operator="notBetween">
      <formula>"N/A"</formula>
      <formula>"REVISAR"</formula>
    </cfRule>
  </conditionalFormatting>
  <conditionalFormatting sqref="G656:G657">
    <cfRule type="cellIs" dxfId="46" priority="15508" operator="equal">
      <formula>"REVISAR"</formula>
    </cfRule>
  </conditionalFormatting>
  <conditionalFormatting sqref="E660">
    <cfRule type="cellIs" dxfId="45" priority="15507" operator="equal">
      <formula>"NO APLICA"</formula>
    </cfRule>
  </conditionalFormatting>
  <conditionalFormatting sqref="N655">
    <cfRule type="cellIs" dxfId="44" priority="15505" stopIfTrue="1" operator="equal">
      <formula>"cumple"</formula>
    </cfRule>
    <cfRule type="containsText" dxfId="43" priority="15506" stopIfTrue="1" operator="containsText" text="NO CUMPLE">
      <formula>NOT(ISERROR(SEARCH("NO CUMPLE",N655)))</formula>
    </cfRule>
  </conditionalFormatting>
  <conditionalFormatting sqref="N658:N663">
    <cfRule type="cellIs" dxfId="42" priority="15503" stopIfTrue="1" operator="equal">
      <formula>"cumple"</formula>
    </cfRule>
    <cfRule type="containsText" dxfId="41" priority="15504" stopIfTrue="1" operator="containsText" text="NO CUMPLE">
      <formula>NOT(ISERROR(SEARCH("NO CUMPLE",N658)))</formula>
    </cfRule>
  </conditionalFormatting>
  <conditionalFormatting sqref="N664">
    <cfRule type="cellIs" dxfId="40" priority="15501" stopIfTrue="1" operator="equal">
      <formula>"cumple"</formula>
    </cfRule>
    <cfRule type="containsText" dxfId="39" priority="15502" stopIfTrue="1" operator="containsText" text="NO CUMPLE">
      <formula>NOT(ISERROR(SEARCH("NO CUMPLE",N664)))</formula>
    </cfRule>
  </conditionalFormatting>
  <conditionalFormatting sqref="C350">
    <cfRule type="cellIs" dxfId="14" priority="11" stopIfTrue="1" operator="greaterThan">
      <formula>0</formula>
    </cfRule>
  </conditionalFormatting>
  <conditionalFormatting sqref="B431">
    <cfRule type="cellIs" dxfId="13" priority="10" stopIfTrue="1" operator="greaterThan">
      <formula>0</formula>
    </cfRule>
  </conditionalFormatting>
  <conditionalFormatting sqref="J618">
    <cfRule type="cellIs" dxfId="12" priority="9" stopIfTrue="1" operator="greaterThan">
      <formula>0</formula>
    </cfRule>
  </conditionalFormatting>
  <conditionalFormatting sqref="U349">
    <cfRule type="cellIs" dxfId="11" priority="3" stopIfTrue="1" operator="greaterThan">
      <formula>0</formula>
    </cfRule>
  </conditionalFormatting>
  <conditionalFormatting sqref="U240">
    <cfRule type="cellIs" dxfId="10" priority="7" stopIfTrue="1" operator="greaterThan">
      <formula>0</formula>
    </cfRule>
  </conditionalFormatting>
  <conditionalFormatting sqref="R240">
    <cfRule type="cellIs" dxfId="9" priority="6" stopIfTrue="1" operator="lessThan">
      <formula>0</formula>
    </cfRule>
  </conditionalFormatting>
  <conditionalFormatting sqref="R240">
    <cfRule type="cellIs" dxfId="8" priority="5" stopIfTrue="1" operator="greaterThan">
      <formula>0</formula>
    </cfRule>
  </conditionalFormatting>
  <conditionalFormatting sqref="R240">
    <cfRule type="cellIs" dxfId="7" priority="4" stopIfTrue="1" operator="lessThan">
      <formula>0</formula>
    </cfRule>
  </conditionalFormatting>
  <conditionalFormatting sqref="U433">
    <cfRule type="cellIs" dxfId="6" priority="2" stopIfTrue="1" operator="greaterThan">
      <formula>0</formula>
    </cfRule>
  </conditionalFormatting>
  <conditionalFormatting sqref="U509">
    <cfRule type="cellIs" dxfId="0" priority="1" stopIfTrue="1" operator="greaterThan">
      <formula>0</formula>
    </cfRule>
  </conditionalFormatting>
  <dataValidations xWindow="1121" yWindow="798" count="8">
    <dataValidation operator="greaterThan" allowBlank="1" showInputMessage="1" showErrorMessage="1" sqref="K20:K25 K619:K622 K76:K81 K103:K108 K130:K135 K157:K162 K184:K189 K211:K216 K53 K265:K270 K292:K297 K319:K324 K644:K649 K241:K243 K401:K406 K350:K352 K455:K460 K482:K487 K509:K514 K536:K541 K563:K568 K590:K595 K431:K433 K346:K348 K428 K617 K47 K49 K51 K238:K239 K374:K375 K377:K379" xr:uid="{00000000-0002-0000-0300-000000000000}"/>
    <dataValidation type="list" allowBlank="1" showInputMessage="1" showErrorMessage="1" sqref="U30:V30 U59:V59 U86:V86 U113:V113 U140:V140 U167:V167 U194:V194 U221:V221 U248:V248 U275:V275 U302:V302 U329:V329 U357:V357 U384:V384 U411:V411 U438:V438 U465:V465 U492:V492 U519:V519 U546:V546 U573:V573 U600:V600 U627:V627 U654:V654" xr:uid="{00000000-0002-0000-0300-000001000000}">
      <formula1>Estado</formula1>
    </dataValidation>
    <dataValidation type="list" allowBlank="1" showInputMessage="1" showErrorMessage="1" sqref="H20:H25 H47:H54 H76:H81 H103:H108 H130:H135 H157:H162 H184:H189 H211:H216 H238:H243 H265:H270 H292:H297 H319:H324 H346:H352 H374:H379 H401:H406 H428:H433 H455:H460 H482:H487 H509:H514 H536:H541 H563:H568 H590:H595 H617:H622 H644:H649" xr:uid="{00000000-0002-0000-0300-000002000000}">
      <formula1>PEJECUCION</formula1>
    </dataValidation>
    <dataValidation type="list" allowBlank="1" showInputMessage="1" showErrorMessage="1" promptTitle="INSCRIPCIÓN EN EL RUP" prompt="En caso que se trate de PERSONAS NATURALES O JURÍDICAS EXTRANJERAS SIN DOMICILIO O SUCURSAL EN COLOMBIA, indicar N.A." sqref="O20:O25 O47:O54 O76:O81 O103:O108 O130:O135 O157:O162 O184:O189 O211:O216 O238:O243 O265:O270 O292:O297 O319:O324 O346:O352 O374:O379 O401:O406 O428:O433 O455:O460 O482:O487 O509:O514 O536:O541 O563:O568 O590:O595 O617:O622 O644:O649" xr:uid="{00000000-0002-0000-0300-000003000000}">
      <formula1>SINO</formula1>
    </dataValidation>
    <dataValidation type="list" allowBlank="1" showErrorMessage="1" sqref="P20:P25 P47:P54 P76:P81 P103:P108 P130:P135 P157:P162 P184:P189 P211:P216 P238:P243 P265:P270 P292:P297 P319:P324 P346:P352 P374:P379 P401:P406 P428:P433 P455:P460 P482:P487 P509:P514 P536:P541 P563:P568 P590:P595 P617:P622 P644:P649" xr:uid="{00000000-0002-0000-0300-000004000000}">
      <formula1>EXPERACEPTABLE</formula1>
    </dataValidation>
    <dataValidation type="list" allowBlank="1" showErrorMessage="1" sqref="Q20:Q25 Q47:Q54 Q76:Q81 Q103:Q108 Q130:Q135 Q157:Q162 Q184:Q189 Q211:Q216 Q238:Q243 Q265:Q270 Q292:Q297 Q319:Q324 Q346:Q352 Q374:Q379 Q401:Q406 Q428:Q433 Q455:Q460 Q482:Q487 Q509:Q514 Q536:Q541 Q563:Q568 Q590:Q595 Q617:Q622 Q644:Q649" xr:uid="{00000000-0002-0000-0300-000005000000}">
      <formula1>TIPODEVIA</formula1>
    </dataValidation>
    <dataValidation type="list" allowBlank="1" showInputMessage="1" showErrorMessage="1" sqref="AC20:AC25 AC47:AC54 AC76:AC81 AC103:AC108 AC130:AC135 AC157:AC162 AC184:AC189 AC211:AC216 AC238:AC243 AC265:AC270 AC292:AC297 AC319:AC324 AC346:AC352 AC374:AC379 AC401:AC406 AC428:AC433 AC455:AC460 AC482:AC487 AC509:AC514 AC536:AC541 AC563:AC568 AC590:AC595 AC617:AC622 AC644:AC649" xr:uid="{00000000-0002-0000-0300-000006000000}">
      <formula1>TIPOPAVIMENTO</formula1>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3:L68 L90:L95 L117:L122 L144:L149 L171:L176 L198:L203 L225:L230 L252:L257 L279:L284 L306:L311 L333:L338 L361:L366 L388:L393 L415:L420 L442:L447 L469:L474 L496:L501 L523:L528 L550:L555 L577:L582 L604:L609 L631:L636 L658:L663" xr:uid="{00000000-0002-0000-0300-000007000000}"/>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6"/>
  <headerFooter alignWithMargins="0"/>
  <legacyDrawing r:id="rId7"/>
  <extLst>
    <ext xmlns:x14="http://schemas.microsoft.com/office/spreadsheetml/2009/9/main" uri="{78C0D931-6437-407d-A8EE-F0AAD7539E65}">
      <x14:conditionalFormattings>
        <x14:conditionalFormatting xmlns:xm="http://schemas.microsoft.com/office/excel/2006/main">
          <x14:cfRule type="containsText" priority="70068" stopIfTrue="1" operator="containsText" id="{A60DE95C-230B-49FF-9919-608B69040B10}">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17436" stopIfTrue="1" operator="containsText" id="{659DFE2C-C3C2-4A97-928C-4E734C3DF8F2}">
            <xm:f>NOT(ISERROR(SEARCH("N/A",G61)))</xm:f>
            <xm:f>"N/A"</xm:f>
            <x14:dxf>
              <font>
                <b/>
                <i val="0"/>
                <color rgb="FFB80000"/>
              </font>
              <fill>
                <patternFill>
                  <bgColor rgb="FFFFD5D5"/>
                </patternFill>
              </fill>
            </x14:dxf>
          </x14:cfRule>
          <xm:sqref>G61</xm:sqref>
        </x14:conditionalFormatting>
        <x14:conditionalFormatting xmlns:xm="http://schemas.microsoft.com/office/excel/2006/main">
          <x14:cfRule type="containsText" priority="17348" stopIfTrue="1" operator="containsText" id="{2B674DCA-A432-4021-9288-F1691A34508D}">
            <xm:f>NOT(ISERROR(SEARCH("N/A",G88)))</xm:f>
            <xm:f>"N/A"</xm:f>
            <x14:dxf>
              <font>
                <b/>
                <i val="0"/>
                <color rgb="FFB80000"/>
              </font>
              <fill>
                <patternFill>
                  <bgColor rgb="FFFFD5D5"/>
                </patternFill>
              </fill>
            </x14:dxf>
          </x14:cfRule>
          <xm:sqref>G88</xm:sqref>
        </x14:conditionalFormatting>
        <x14:conditionalFormatting xmlns:xm="http://schemas.microsoft.com/office/excel/2006/main">
          <x14:cfRule type="containsText" priority="17260" stopIfTrue="1" operator="containsText" id="{69149E16-0BE7-4405-8CB3-70D6A4ACD812}">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17172" stopIfTrue="1" operator="containsText" id="{F5AA6FE1-5126-4416-A3D8-3741A2E06B52}">
            <xm:f>NOT(ISERROR(SEARCH("N/A",G142)))</xm:f>
            <xm:f>"N/A"</xm:f>
            <x14:dxf>
              <font>
                <b/>
                <i val="0"/>
                <color rgb="FFB80000"/>
              </font>
              <fill>
                <patternFill>
                  <bgColor rgb="FFFFD5D5"/>
                </patternFill>
              </fill>
            </x14:dxf>
          </x14:cfRule>
          <xm:sqref>G142</xm:sqref>
        </x14:conditionalFormatting>
        <x14:conditionalFormatting xmlns:xm="http://schemas.microsoft.com/office/excel/2006/main">
          <x14:cfRule type="containsText" priority="17084" stopIfTrue="1" operator="containsText" id="{E26D99A7-5502-477B-B937-E9447463E66C}">
            <xm:f>NOT(ISERROR(SEARCH("N/A",G169)))</xm:f>
            <xm:f>"N/A"</xm:f>
            <x14:dxf>
              <font>
                <b/>
                <i val="0"/>
                <color rgb="FFB80000"/>
              </font>
              <fill>
                <patternFill>
                  <bgColor rgb="FFFFD5D5"/>
                </patternFill>
              </fill>
            </x14:dxf>
          </x14:cfRule>
          <xm:sqref>G169</xm:sqref>
        </x14:conditionalFormatting>
        <x14:conditionalFormatting xmlns:xm="http://schemas.microsoft.com/office/excel/2006/main">
          <x14:cfRule type="containsText" priority="16996" stopIfTrue="1" operator="containsText" id="{17D91F8E-A5C5-45BC-B3BC-172C697B6946}">
            <xm:f>NOT(ISERROR(SEARCH("N/A",G196)))</xm:f>
            <xm:f>"N/A"</xm:f>
            <x14:dxf>
              <font>
                <b/>
                <i val="0"/>
                <color rgb="FFB80000"/>
              </font>
              <fill>
                <patternFill>
                  <bgColor rgb="FFFFD5D5"/>
                </patternFill>
              </fill>
            </x14:dxf>
          </x14:cfRule>
          <xm:sqref>G196</xm:sqref>
        </x14:conditionalFormatting>
        <x14:conditionalFormatting xmlns:xm="http://schemas.microsoft.com/office/excel/2006/main">
          <x14:cfRule type="containsText" priority="16908" stopIfTrue="1" operator="containsText" id="{14EE46AC-06C2-4E4A-BE0E-F5B5D21179D2}">
            <xm:f>NOT(ISERROR(SEARCH("N/A",G223)))</xm:f>
            <xm:f>"N/A"</xm:f>
            <x14:dxf>
              <font>
                <b/>
                <i val="0"/>
                <color rgb="FFB80000"/>
              </font>
              <fill>
                <patternFill>
                  <bgColor rgb="FFFFD5D5"/>
                </patternFill>
              </fill>
            </x14:dxf>
          </x14:cfRule>
          <xm:sqref>G223</xm:sqref>
        </x14:conditionalFormatting>
        <x14:conditionalFormatting xmlns:xm="http://schemas.microsoft.com/office/excel/2006/main">
          <x14:cfRule type="containsText" priority="16820" stopIfTrue="1" operator="containsText" id="{0506866F-0B09-4A05-83DA-A9082666361B}">
            <xm:f>NOT(ISERROR(SEARCH("N/A",G250)))</xm:f>
            <xm:f>"N/A"</xm:f>
            <x14:dxf>
              <font>
                <b/>
                <i val="0"/>
                <color rgb="FFB80000"/>
              </font>
              <fill>
                <patternFill>
                  <bgColor rgb="FFFFD5D5"/>
                </patternFill>
              </fill>
            </x14:dxf>
          </x14:cfRule>
          <xm:sqref>G250</xm:sqref>
        </x14:conditionalFormatting>
        <x14:conditionalFormatting xmlns:xm="http://schemas.microsoft.com/office/excel/2006/main">
          <x14:cfRule type="containsText" priority="16732" stopIfTrue="1" operator="containsText" id="{773FE044-A821-4C60-B3A5-EEB92E564E7D}">
            <xm:f>NOT(ISERROR(SEARCH("N/A",G277)))</xm:f>
            <xm:f>"N/A"</xm:f>
            <x14:dxf>
              <font>
                <b/>
                <i val="0"/>
                <color rgb="FFB80000"/>
              </font>
              <fill>
                <patternFill>
                  <bgColor rgb="FFFFD5D5"/>
                </patternFill>
              </fill>
            </x14:dxf>
          </x14:cfRule>
          <xm:sqref>G277</xm:sqref>
        </x14:conditionalFormatting>
        <x14:conditionalFormatting xmlns:xm="http://schemas.microsoft.com/office/excel/2006/main">
          <x14:cfRule type="containsText" priority="16644" stopIfTrue="1" operator="containsText" id="{509BE408-8236-4760-812A-457C49F0FA72}">
            <xm:f>NOT(ISERROR(SEARCH("N/A",G304)))</xm:f>
            <xm:f>"N/A"</xm:f>
            <x14:dxf>
              <font>
                <b/>
                <i val="0"/>
                <color rgb="FFB80000"/>
              </font>
              <fill>
                <patternFill>
                  <bgColor rgb="FFFFD5D5"/>
                </patternFill>
              </fill>
            </x14:dxf>
          </x14:cfRule>
          <xm:sqref>G304</xm:sqref>
        </x14:conditionalFormatting>
        <x14:conditionalFormatting xmlns:xm="http://schemas.microsoft.com/office/excel/2006/main">
          <x14:cfRule type="containsText" priority="16556" stopIfTrue="1" operator="containsText" id="{44DCCACA-0305-4F22-8C5D-F942699989F6}">
            <xm:f>NOT(ISERROR(SEARCH("N/A",G331)))</xm:f>
            <xm:f>"N/A"</xm:f>
            <x14:dxf>
              <font>
                <b/>
                <i val="0"/>
                <color rgb="FFB80000"/>
              </font>
              <fill>
                <patternFill>
                  <bgColor rgb="FFFFD5D5"/>
                </patternFill>
              </fill>
            </x14:dxf>
          </x14:cfRule>
          <xm:sqref>G331</xm:sqref>
        </x14:conditionalFormatting>
        <x14:conditionalFormatting xmlns:xm="http://schemas.microsoft.com/office/excel/2006/main">
          <x14:cfRule type="containsText" priority="16468" stopIfTrue="1" operator="containsText" id="{8BF05F0A-2CC5-42AC-9771-26A90E83A346}">
            <xm:f>NOT(ISERROR(SEARCH("N/A",G359)))</xm:f>
            <xm:f>"N/A"</xm:f>
            <x14:dxf>
              <font>
                <b/>
                <i val="0"/>
                <color rgb="FFB80000"/>
              </font>
              <fill>
                <patternFill>
                  <bgColor rgb="FFFFD5D5"/>
                </patternFill>
              </fill>
            </x14:dxf>
          </x14:cfRule>
          <xm:sqref>G359</xm:sqref>
        </x14:conditionalFormatting>
        <x14:conditionalFormatting xmlns:xm="http://schemas.microsoft.com/office/excel/2006/main">
          <x14:cfRule type="containsText" priority="16380" stopIfTrue="1" operator="containsText" id="{769A093E-55EE-42C9-A743-7CBC3DA2E5C1}">
            <xm:f>NOT(ISERROR(SEARCH("N/A",G386)))</xm:f>
            <xm:f>"N/A"</xm:f>
            <x14:dxf>
              <font>
                <b/>
                <i val="0"/>
                <color rgb="FFB80000"/>
              </font>
              <fill>
                <patternFill>
                  <bgColor rgb="FFFFD5D5"/>
                </patternFill>
              </fill>
            </x14:dxf>
          </x14:cfRule>
          <xm:sqref>G386</xm:sqref>
        </x14:conditionalFormatting>
        <x14:conditionalFormatting xmlns:xm="http://schemas.microsoft.com/office/excel/2006/main">
          <x14:cfRule type="containsText" priority="16292" stopIfTrue="1" operator="containsText" id="{CDB32B37-8B2C-4BD1-92FB-AB835229301B}">
            <xm:f>NOT(ISERROR(SEARCH("N/A",G413)))</xm:f>
            <xm:f>"N/A"</xm:f>
            <x14:dxf>
              <font>
                <b/>
                <i val="0"/>
                <color rgb="FFB80000"/>
              </font>
              <fill>
                <patternFill>
                  <bgColor rgb="FFFFD5D5"/>
                </patternFill>
              </fill>
            </x14:dxf>
          </x14:cfRule>
          <xm:sqref>G413</xm:sqref>
        </x14:conditionalFormatting>
        <x14:conditionalFormatting xmlns:xm="http://schemas.microsoft.com/office/excel/2006/main">
          <x14:cfRule type="containsText" priority="16204" stopIfTrue="1" operator="containsText" id="{C7510329-7B49-4B4B-9B4E-E56930F766E8}">
            <xm:f>NOT(ISERROR(SEARCH("N/A",G440)))</xm:f>
            <xm:f>"N/A"</xm:f>
            <x14:dxf>
              <font>
                <b/>
                <i val="0"/>
                <color rgb="FFB80000"/>
              </font>
              <fill>
                <patternFill>
                  <bgColor rgb="FFFFD5D5"/>
                </patternFill>
              </fill>
            </x14:dxf>
          </x14:cfRule>
          <xm:sqref>G440</xm:sqref>
        </x14:conditionalFormatting>
        <x14:conditionalFormatting xmlns:xm="http://schemas.microsoft.com/office/excel/2006/main">
          <x14:cfRule type="containsText" priority="16116" stopIfTrue="1" operator="containsText" id="{AE0E01F8-0B67-4B42-866C-243041493E97}">
            <xm:f>NOT(ISERROR(SEARCH("N/A",G467)))</xm:f>
            <xm:f>"N/A"</xm:f>
            <x14:dxf>
              <font>
                <b/>
                <i val="0"/>
                <color rgb="FFB80000"/>
              </font>
              <fill>
                <patternFill>
                  <bgColor rgb="FFFFD5D5"/>
                </patternFill>
              </fill>
            </x14:dxf>
          </x14:cfRule>
          <xm:sqref>G467</xm:sqref>
        </x14:conditionalFormatting>
        <x14:conditionalFormatting xmlns:xm="http://schemas.microsoft.com/office/excel/2006/main">
          <x14:cfRule type="containsText" priority="16028" stopIfTrue="1" operator="containsText" id="{0F401FB4-DF3A-4E6B-88B1-BD99F4DB26D0}">
            <xm:f>NOT(ISERROR(SEARCH("N/A",G494)))</xm:f>
            <xm:f>"N/A"</xm:f>
            <x14:dxf>
              <font>
                <b/>
                <i val="0"/>
                <color rgb="FFB80000"/>
              </font>
              <fill>
                <patternFill>
                  <bgColor rgb="FFFFD5D5"/>
                </patternFill>
              </fill>
            </x14:dxf>
          </x14:cfRule>
          <xm:sqref>G494</xm:sqref>
        </x14:conditionalFormatting>
        <x14:conditionalFormatting xmlns:xm="http://schemas.microsoft.com/office/excel/2006/main">
          <x14:cfRule type="containsText" priority="15940" stopIfTrue="1" operator="containsText" id="{D5D8C4C9-FE8E-453D-82AF-8D8942F7A58B}">
            <xm:f>NOT(ISERROR(SEARCH("N/A",G521)))</xm:f>
            <xm:f>"N/A"</xm:f>
            <x14:dxf>
              <font>
                <b/>
                <i val="0"/>
                <color rgb="FFB80000"/>
              </font>
              <fill>
                <patternFill>
                  <bgColor rgb="FFFFD5D5"/>
                </patternFill>
              </fill>
            </x14:dxf>
          </x14:cfRule>
          <xm:sqref>G521</xm:sqref>
        </x14:conditionalFormatting>
        <x14:conditionalFormatting xmlns:xm="http://schemas.microsoft.com/office/excel/2006/main">
          <x14:cfRule type="containsText" priority="15852" stopIfTrue="1" operator="containsText" id="{A9DEEB57-9C92-44D2-B54F-959DF90C34FE}">
            <xm:f>NOT(ISERROR(SEARCH("N/A",G548)))</xm:f>
            <xm:f>"N/A"</xm:f>
            <x14:dxf>
              <font>
                <b/>
                <i val="0"/>
                <color rgb="FFB80000"/>
              </font>
              <fill>
                <patternFill>
                  <bgColor rgb="FFFFD5D5"/>
                </patternFill>
              </fill>
            </x14:dxf>
          </x14:cfRule>
          <xm:sqref>G548</xm:sqref>
        </x14:conditionalFormatting>
        <x14:conditionalFormatting xmlns:xm="http://schemas.microsoft.com/office/excel/2006/main">
          <x14:cfRule type="containsText" priority="15764" stopIfTrue="1" operator="containsText" id="{12CCE168-B7A9-481A-8426-DA5B516E7223}">
            <xm:f>NOT(ISERROR(SEARCH("N/A",G575)))</xm:f>
            <xm:f>"N/A"</xm:f>
            <x14:dxf>
              <font>
                <b/>
                <i val="0"/>
                <color rgb="FFB80000"/>
              </font>
              <fill>
                <patternFill>
                  <bgColor rgb="FFFFD5D5"/>
                </patternFill>
              </fill>
            </x14:dxf>
          </x14:cfRule>
          <xm:sqref>G575</xm:sqref>
        </x14:conditionalFormatting>
        <x14:conditionalFormatting xmlns:xm="http://schemas.microsoft.com/office/excel/2006/main">
          <x14:cfRule type="containsText" priority="15676" stopIfTrue="1" operator="containsText" id="{76B189A2-4C69-4234-A133-684B26E33A44}">
            <xm:f>NOT(ISERROR(SEARCH("N/A",G602)))</xm:f>
            <xm:f>"N/A"</xm:f>
            <x14:dxf>
              <font>
                <b/>
                <i val="0"/>
                <color rgb="FFB80000"/>
              </font>
              <fill>
                <patternFill>
                  <bgColor rgb="FFFFD5D5"/>
                </patternFill>
              </fill>
            </x14:dxf>
          </x14:cfRule>
          <xm:sqref>G602</xm:sqref>
        </x14:conditionalFormatting>
        <x14:conditionalFormatting xmlns:xm="http://schemas.microsoft.com/office/excel/2006/main">
          <x14:cfRule type="containsText" priority="15588" stopIfTrue="1" operator="containsText" id="{63298F35-0C00-4B46-9AFE-74858A752980}">
            <xm:f>NOT(ISERROR(SEARCH("N/A",G629)))</xm:f>
            <xm:f>"N/A"</xm:f>
            <x14:dxf>
              <font>
                <b/>
                <i val="0"/>
                <color rgb="FFB80000"/>
              </font>
              <fill>
                <patternFill>
                  <bgColor rgb="FFFFD5D5"/>
                </patternFill>
              </fill>
            </x14:dxf>
          </x14:cfRule>
          <xm:sqref>G629</xm:sqref>
        </x14:conditionalFormatting>
        <x14:conditionalFormatting xmlns:xm="http://schemas.microsoft.com/office/excel/2006/main">
          <x14:cfRule type="containsText" priority="15500" stopIfTrue="1" operator="containsText" id="{CCE3C544-1D05-4224-AE77-F7C8C8DD5396}">
            <xm:f>NOT(ISERROR(SEARCH("N/A",G656)))</xm:f>
            <xm:f>"N/A"</xm:f>
            <x14:dxf>
              <font>
                <b/>
                <i val="0"/>
                <color rgb="FFB80000"/>
              </font>
              <fill>
                <patternFill>
                  <bgColor rgb="FFFFD5D5"/>
                </patternFill>
              </fill>
            </x14:dxf>
          </x14:cfRule>
          <xm:sqref>G656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H37"/>
  <sheetViews>
    <sheetView showGridLines="0" topLeftCell="A32" workbookViewId="0">
      <selection activeCell="H17" sqref="H17"/>
    </sheetView>
  </sheetViews>
  <sheetFormatPr baseColWidth="10" defaultColWidth="11" defaultRowHeight="12.5"/>
  <cols>
    <col min="1" max="1" width="1.08203125" style="15" customWidth="1"/>
    <col min="2" max="2" width="8.83203125" style="21" bestFit="1" customWidth="1"/>
    <col min="3" max="3" width="24.58203125" style="15" customWidth="1"/>
    <col min="4" max="4" width="13.25" style="15" customWidth="1"/>
    <col min="5" max="5" width="31.58203125" style="15" customWidth="1"/>
    <col min="6" max="6" width="24.58203125" style="15" customWidth="1"/>
    <col min="7" max="7" width="12.33203125" style="15" bestFit="1" customWidth="1"/>
    <col min="8" max="8" width="23.5" style="15" customWidth="1"/>
    <col min="9" max="16384" width="11" style="15"/>
  </cols>
  <sheetData>
    <row r="1" spans="1:8" s="47" customFormat="1" ht="15.5">
      <c r="A1" s="46"/>
      <c r="B1" s="367" t="str">
        <f>PRESUPUESTOS!B1</f>
        <v>INSTITUTO NACIONAL DE VÍAS</v>
      </c>
      <c r="C1" s="367"/>
      <c r="D1" s="367"/>
      <c r="E1" s="367"/>
      <c r="F1" s="367"/>
      <c r="G1" s="367"/>
      <c r="H1" s="367"/>
    </row>
    <row r="2" spans="1:8" s="47" customFormat="1" ht="15.5">
      <c r="A2" s="46"/>
      <c r="B2" s="367" t="str">
        <f>PRESUPUESTOS!B2</f>
        <v>DIRECCIÓN GENERAL</v>
      </c>
      <c r="C2" s="367"/>
      <c r="D2" s="367"/>
      <c r="E2" s="367"/>
      <c r="F2" s="367"/>
      <c r="G2" s="367"/>
      <c r="H2" s="367"/>
    </row>
    <row r="3" spans="1:8" s="47" customFormat="1" ht="15.5">
      <c r="A3" s="46"/>
      <c r="B3" s="367" t="str">
        <f>PRESUPUESTOS!B3</f>
        <v>DIRECCIÓN DE CONTRATACIÓN</v>
      </c>
      <c r="C3" s="367"/>
      <c r="D3" s="367"/>
      <c r="E3" s="367"/>
      <c r="F3" s="367"/>
      <c r="G3" s="367"/>
      <c r="H3" s="367"/>
    </row>
    <row r="4" spans="1:8" s="47" customFormat="1" ht="15.5">
      <c r="A4" s="46"/>
      <c r="B4" s="367" t="str">
        <f>PRESUPUESTOS!B4</f>
        <v>DIRECCIÓN OPERATIVA</v>
      </c>
      <c r="C4" s="367"/>
      <c r="D4" s="367"/>
      <c r="E4" s="367"/>
      <c r="F4" s="367"/>
      <c r="G4" s="367"/>
      <c r="H4" s="367"/>
    </row>
    <row r="5" spans="1:8" s="47" customFormat="1" ht="15.5">
      <c r="A5" s="46"/>
      <c r="B5" s="367" t="str">
        <f>PRESUPUESTOS!B5</f>
        <v>LP-DO-SRN-048-2019</v>
      </c>
      <c r="C5" s="367"/>
      <c r="D5" s="367"/>
      <c r="E5" s="367"/>
      <c r="F5" s="367"/>
      <c r="G5" s="367"/>
      <c r="H5" s="367"/>
    </row>
    <row r="6" spans="1:8" s="47" customFormat="1" ht="15.5">
      <c r="A6" s="46"/>
      <c r="B6" s="367" t="str">
        <f>PRESUPUESTOS!B6</f>
        <v>OBJETO: MANTENIMIENTO DE LA CARRETERA PUERTO RICO - MINA BLANCA, RUTA 65, TRAMO 6504, DEPARTAMENTO DE CAQUETÁ</v>
      </c>
      <c r="C6" s="367"/>
      <c r="D6" s="367"/>
      <c r="E6" s="367"/>
      <c r="F6" s="367"/>
      <c r="G6" s="367"/>
      <c r="H6" s="367"/>
    </row>
    <row r="7" spans="1:8" ht="13">
      <c r="B7" s="16"/>
      <c r="C7" s="17"/>
      <c r="D7" s="17"/>
      <c r="E7" s="17"/>
      <c r="F7" s="17"/>
      <c r="G7" s="18"/>
      <c r="H7" s="58"/>
    </row>
    <row r="8" spans="1:8" ht="13">
      <c r="B8" s="368" t="str">
        <f>"CUADRO No. 4"</f>
        <v>CUADRO No. 4</v>
      </c>
      <c r="C8" s="368"/>
      <c r="D8" s="368"/>
      <c r="E8" s="368"/>
      <c r="F8" s="368"/>
      <c r="G8" s="368"/>
      <c r="H8" s="368"/>
    </row>
    <row r="9" spans="1:8" ht="18">
      <c r="B9" s="369">
        <v>1</v>
      </c>
      <c r="C9" s="369"/>
      <c r="D9" s="369"/>
      <c r="E9" s="369"/>
      <c r="F9" s="369"/>
      <c r="G9" s="369"/>
      <c r="H9" s="369"/>
    </row>
    <row r="10" spans="1:8" ht="13" thickBot="1">
      <c r="B10" s="19"/>
      <c r="C10" s="20"/>
      <c r="D10" s="20"/>
      <c r="E10" s="20"/>
      <c r="F10" s="20"/>
      <c r="G10" s="20"/>
    </row>
    <row r="11" spans="1:8" ht="35.25" customHeight="1">
      <c r="B11" s="373" t="s">
        <v>22</v>
      </c>
      <c r="C11" s="375" t="s">
        <v>11</v>
      </c>
      <c r="D11" s="372"/>
      <c r="E11" s="372"/>
      <c r="F11" s="372"/>
      <c r="G11" s="372"/>
      <c r="H11" s="370" t="s">
        <v>23</v>
      </c>
    </row>
    <row r="12" spans="1:8" ht="71.25" customHeight="1" thickBot="1">
      <c r="B12" s="374"/>
      <c r="C12" s="376"/>
      <c r="D12" s="111" t="s">
        <v>44</v>
      </c>
      <c r="E12" s="111" t="s">
        <v>147</v>
      </c>
      <c r="F12" s="111" t="s">
        <v>106</v>
      </c>
      <c r="G12" s="111" t="s">
        <v>46</v>
      </c>
      <c r="H12" s="371"/>
    </row>
    <row r="13" spans="1:8" ht="3" customHeight="1">
      <c r="B13" s="118"/>
      <c r="C13" s="119"/>
      <c r="D13" s="119"/>
      <c r="E13" s="119"/>
      <c r="F13" s="119"/>
      <c r="G13" s="119"/>
      <c r="H13" s="120"/>
    </row>
    <row r="14" spans="1:8">
      <c r="B14" s="112">
        <f>PROPONENTES!C14</f>
        <v>1</v>
      </c>
      <c r="C14" s="166" t="str">
        <f>VLOOKUP(B14,PROPONENTES!$C$14:$D$37,2,FALSE)</f>
        <v>CONSTRUCTORA ANCLA LTDA</v>
      </c>
      <c r="D14" s="113" t="str">
        <f>IF(VLOOKUP("G"&amp;B14,EXPERIENCIA!$A$17:$U$1252,21,0)="RECHAZO","RECHAZO",IF(VLOOKUP("H"&amp;B14,EXPERIENCIA!$A$17:$U$1252,13,0)=1,IF(VLOOKUP("M"&amp;B14,EXPERIENCIA!$A$17:$U$1252,7,0)="CUMPLE","HÁBIL","NO HÁBIL"),IF(AND(VLOOKUP("M"&amp;B14,EXPERIENCIA!$A$17:$U$1252,7,0)="CUMPLE",VLOOKUP("Q"&amp;B14,EXPERIENCIA!$A$17:$U$1252,13,0)="CUMPLE"),"HÁBIL","NO HÁBIL")))</f>
        <v>HÁBIL</v>
      </c>
      <c r="E14" s="113" t="str">
        <f>IF(VLOOKUP("G"&amp;B14,EXPERIENCIA!$A$17:$U$1252,21,0)="RECHAZO","RECHAZO",IF(VLOOKUP("H"&amp;B14,EXPERIENCIA!$A$17:$U$1252,13,0)=1,"NO APLICA",IF(VLOOKUP("Q"&amp;B14,EXPERIENCIA!$A$17:$U$1252,14,0)="CUMPLE","HÁBIL","NO HÁBIL")))</f>
        <v>NO APLICA</v>
      </c>
      <c r="F14" s="113" t="str">
        <f>IF(VLOOKUP("G"&amp;B14,EXPERIENCIA!$A$17:$Z$1252,21,0)="RECHAZO","RECHAZO",IF(VLOOKUP("P"&amp;B14,EXPERIENCIA!$A$17:$Z$1252,7,0)="CUMPLE","HÁBIL","NO HÁBIL"))</f>
        <v>HÁBIL</v>
      </c>
      <c r="G14" s="114" t="str">
        <f>IF(COUNTIF(D14:F14,"")=3,"",IF(COUNTIF(D14:F14,"RECHAZO")&gt;0,"RECHAZO",IF(COUNTIF(D14:F14,"NO HÁBIL")&gt;0,"NO HÁBIL","HÁBIL")))</f>
        <v>HÁBIL</v>
      </c>
      <c r="H14" s="115"/>
    </row>
    <row r="15" spans="1:8">
      <c r="B15" s="116">
        <f>PROPONENTES!C15</f>
        <v>2</v>
      </c>
      <c r="C15" s="166" t="str">
        <f>VLOOKUP(B15,PROPONENTES!$C$14:$D$37,2,FALSE)</f>
        <v>CONSORCIO EL CEDRO</v>
      </c>
      <c r="D15" s="113" t="str">
        <f>IF(VLOOKUP("G"&amp;B15,EXPERIENCIA!$A$17:$U$1252,21,0)="RECHAZO","RECHAZO",IF(VLOOKUP("H"&amp;B15,EXPERIENCIA!$A$17:$U$1252,13,0)=1,IF(VLOOKUP("M"&amp;B15,EXPERIENCIA!$A$17:$U$1252,7,0)="CUMPLE","HÁBIL","NO HÁBIL"),IF(AND(VLOOKUP("M"&amp;B15,EXPERIENCIA!$A$17:$U$1252,7,0)="CUMPLE",VLOOKUP("Q"&amp;B15,EXPERIENCIA!$A$17:$U$1252,13,0)="CUMPLE"),"HÁBIL","NO HÁBIL")))</f>
        <v>HÁBIL</v>
      </c>
      <c r="E15" s="113" t="str">
        <f>IF(VLOOKUP("G"&amp;B15,EXPERIENCIA!$A$17:$U$1252,21,0)="RECHAZO","RECHAZO",IF(VLOOKUP("H"&amp;B15,EXPERIENCIA!$A$17:$U$1252,13,0)=1,"NO APLICA",IF(VLOOKUP("Q"&amp;B15,EXPERIENCIA!$A$17:$U$1252,14,0)="CUMPLE","HÁBIL","NO HÁBIL")))</f>
        <v>HÁBIL</v>
      </c>
      <c r="F15" s="113" t="str">
        <f>IF(VLOOKUP("G"&amp;B15,EXPERIENCIA!$A$17:$Z$1252,21,0)="RECHAZO","RECHAZO",IF(VLOOKUP("P"&amp;B15,EXPERIENCIA!$A$17:$Z$1252,7,0)="CUMPLE","HÁBIL","NO HÁBIL"))</f>
        <v>HÁBIL</v>
      </c>
      <c r="G15" s="114" t="str">
        <f t="shared" ref="G15:G37" si="0">IF(COUNTIF(D15:F15,"")=3,"",IF(COUNTIF(D15:F15,"RECHAZO")&gt;0,"RECHAZO",IF(COUNTIF(D15:F15,"NO HÁBIL")&gt;0,"NO HÁBIL","HÁBIL")))</f>
        <v>HÁBIL</v>
      </c>
      <c r="H15" s="117"/>
    </row>
    <row r="16" spans="1:8">
      <c r="B16" s="116">
        <f>PROPONENTES!C16</f>
        <v>3</v>
      </c>
      <c r="C16" s="166" t="str">
        <f>VLOOKUP(B16,PROPONENTES!$C$14:$D$37,2,FALSE)</f>
        <v>CONSORCIO 65 RUTA VIAL</v>
      </c>
      <c r="D16" s="113" t="str">
        <f>IF(VLOOKUP("G"&amp;B16,EXPERIENCIA!$A$17:$U$1252,21,0)="RECHAZO","RECHAZO",IF(VLOOKUP("H"&amp;B16,EXPERIENCIA!$A$17:$U$1252,13,0)=1,IF(VLOOKUP("M"&amp;B16,EXPERIENCIA!$A$17:$U$1252,7,0)="CUMPLE","HÁBIL","NO HÁBIL"),IF(AND(VLOOKUP("M"&amp;B16,EXPERIENCIA!$A$17:$U$1252,7,0)="CUMPLE",VLOOKUP("Q"&amp;B16,EXPERIENCIA!$A$17:$U$1252,13,0)="CUMPLE"),"HÁBIL","NO HÁBIL")))</f>
        <v>HÁBIL</v>
      </c>
      <c r="E16" s="113" t="str">
        <f>IF(VLOOKUP("G"&amp;B16,EXPERIENCIA!$A$17:$U$1252,21,0)="RECHAZO","RECHAZO",IF(VLOOKUP("H"&amp;B16,EXPERIENCIA!$A$17:$U$1252,13,0)=1,"NO APLICA",IF(VLOOKUP("Q"&amp;B16,EXPERIENCIA!$A$17:$U$1252,14,0)="CUMPLE","HÁBIL","NO HÁBIL")))</f>
        <v>HÁBIL</v>
      </c>
      <c r="F16" s="113" t="str">
        <f>IF(VLOOKUP("G"&amp;B16,EXPERIENCIA!$A$17:$Z$1252,21,0)="RECHAZO","RECHAZO",IF(VLOOKUP("P"&amp;B16,EXPERIENCIA!$A$17:$Z$1252,7,0)="CUMPLE","HÁBIL","NO HÁBIL"))</f>
        <v>HÁBIL</v>
      </c>
      <c r="G16" s="114" t="str">
        <f t="shared" si="0"/>
        <v>HÁBIL</v>
      </c>
      <c r="H16" s="117"/>
    </row>
    <row r="17" spans="2:8" ht="23">
      <c r="B17" s="112">
        <f>PROPONENTES!C17</f>
        <v>4</v>
      </c>
      <c r="C17" s="166" t="str">
        <f>VLOOKUP(B17,PROPONENTES!$C$14:$D$37,2,FALSE)</f>
        <v>JUAN CARLOS BRICEÑO CHAVES</v>
      </c>
      <c r="D17" s="113" t="str">
        <f>IF(VLOOKUP("G"&amp;B17,EXPERIENCIA!$A$17:$U$1252,21,0)="RECHAZO","RECHAZO",IF(VLOOKUP("H"&amp;B17,EXPERIENCIA!$A$17:$U$1252,13,0)=1,IF(VLOOKUP("M"&amp;B17,EXPERIENCIA!$A$17:$U$1252,7,0)="CUMPLE","HÁBIL","NO HÁBIL"),IF(AND(VLOOKUP("M"&amp;B17,EXPERIENCIA!$A$17:$U$1252,7,0)="CUMPLE",VLOOKUP("Q"&amp;B17,EXPERIENCIA!$A$17:$U$1252,13,0)="CUMPLE"),"HÁBIL","NO HÁBIL")))</f>
        <v>HÁBIL</v>
      </c>
      <c r="E17" s="113" t="str">
        <f>IF(VLOOKUP("G"&amp;B17,EXPERIENCIA!$A$17:$U$1252,21,0)="RECHAZO","RECHAZO",IF(VLOOKUP("H"&amp;B17,EXPERIENCIA!$A$17:$U$1252,13,0)=1,"NO APLICA",IF(VLOOKUP("Q"&amp;B17,EXPERIENCIA!$A$17:$U$1252,14,0)="CUMPLE","HÁBIL","NO HÁBIL")))</f>
        <v>NO APLICA</v>
      </c>
      <c r="F17" s="113" t="str">
        <f>IF(VLOOKUP("G"&amp;B17,EXPERIENCIA!$A$17:$Z$1252,21,0)="RECHAZO","RECHAZO",IF(VLOOKUP("P"&amp;B17,EXPERIENCIA!$A$17:$Z$1252,7,0)="CUMPLE","HÁBIL","NO HÁBIL"))</f>
        <v>HÁBIL</v>
      </c>
      <c r="G17" s="114" t="str">
        <f t="shared" si="0"/>
        <v>HÁBIL</v>
      </c>
      <c r="H17" s="117"/>
    </row>
    <row r="18" spans="2:8">
      <c r="B18" s="116">
        <f>PROPONENTES!C18</f>
        <v>5</v>
      </c>
      <c r="C18" s="166" t="str">
        <f>VLOOKUP(B18,PROPONENTES!$C$14:$D$37,2,FALSE)</f>
        <v>CONSORCIO PUERTO RICO</v>
      </c>
      <c r="D18" s="113" t="str">
        <f>IF(VLOOKUP("G"&amp;B18,EXPERIENCIA!$A$17:$U$1252,21,0)="RECHAZO","RECHAZO",IF(VLOOKUP("H"&amp;B18,EXPERIENCIA!$A$17:$U$1252,13,0)=1,IF(VLOOKUP("M"&amp;B18,EXPERIENCIA!$A$17:$U$1252,7,0)="CUMPLE","HÁBIL","NO HÁBIL"),IF(AND(VLOOKUP("M"&amp;B18,EXPERIENCIA!$A$17:$U$1252,7,0)="CUMPLE",VLOOKUP("Q"&amp;B18,EXPERIENCIA!$A$17:$U$1252,13,0)="CUMPLE"),"HÁBIL","NO HÁBIL")))</f>
        <v>HÁBIL</v>
      </c>
      <c r="E18" s="113" t="str">
        <f>IF(VLOOKUP("G"&amp;B18,EXPERIENCIA!$A$17:$U$1252,21,0)="RECHAZO","RECHAZO",IF(VLOOKUP("H"&amp;B18,EXPERIENCIA!$A$17:$U$1252,13,0)=1,"NO APLICA",IF(VLOOKUP("Q"&amp;B18,EXPERIENCIA!$A$17:$U$1252,14,0)="CUMPLE","HÁBIL","NO HÁBIL")))</f>
        <v>HÁBIL</v>
      </c>
      <c r="F18" s="113" t="str">
        <f>IF(VLOOKUP("G"&amp;B18,EXPERIENCIA!$A$17:$Z$1252,21,0)="RECHAZO","RECHAZO",IF(VLOOKUP("P"&amp;B18,EXPERIENCIA!$A$17:$Z$1252,7,0)="CUMPLE","HÁBIL","NO HÁBIL"))</f>
        <v>HÁBIL</v>
      </c>
      <c r="G18" s="114" t="str">
        <f t="shared" si="0"/>
        <v>HÁBIL</v>
      </c>
      <c r="H18" s="117"/>
    </row>
    <row r="19" spans="2:8">
      <c r="B19" s="116">
        <f>PROPONENTES!C19</f>
        <v>6</v>
      </c>
      <c r="C19" s="166" t="str">
        <f>VLOOKUP(B19,PROPONENTES!$C$14:$D$37,2,FALSE)</f>
        <v>CUMBRE INGENIERÍA S.A.S.</v>
      </c>
      <c r="D19" s="113" t="str">
        <f>IF(VLOOKUP("G"&amp;B19,EXPERIENCIA!$A$17:$U$1252,21,0)="RECHAZO","RECHAZO",IF(VLOOKUP("H"&amp;B19,EXPERIENCIA!$A$17:$U$1252,13,0)=1,IF(VLOOKUP("M"&amp;B19,EXPERIENCIA!$A$17:$U$1252,7,0)="CUMPLE","HÁBIL","NO HÁBIL"),IF(AND(VLOOKUP("M"&amp;B19,EXPERIENCIA!$A$17:$U$1252,7,0)="CUMPLE",VLOOKUP("Q"&amp;B19,EXPERIENCIA!$A$17:$U$1252,13,0)="CUMPLE"),"HÁBIL","NO HÁBIL")))</f>
        <v>HÁBIL</v>
      </c>
      <c r="E19" s="113" t="str">
        <f>IF(VLOOKUP("G"&amp;B19,EXPERIENCIA!$A$17:$U$1252,21,0)="RECHAZO","RECHAZO",IF(VLOOKUP("H"&amp;B19,EXPERIENCIA!$A$17:$U$1252,13,0)=1,"NO APLICA",IF(VLOOKUP("Q"&amp;B19,EXPERIENCIA!$A$17:$U$1252,14,0)="CUMPLE","HÁBIL","NO HÁBIL")))</f>
        <v>NO APLICA</v>
      </c>
      <c r="F19" s="113" t="str">
        <f>IF(VLOOKUP("G"&amp;B19,EXPERIENCIA!$A$17:$Z$1252,21,0)="RECHAZO","RECHAZO",IF(VLOOKUP("P"&amp;B19,EXPERIENCIA!$A$17:$Z$1252,7,0)="CUMPLE","HÁBIL","NO HÁBIL"))</f>
        <v>HÁBIL</v>
      </c>
      <c r="G19" s="114" t="str">
        <f t="shared" si="0"/>
        <v>HÁBIL</v>
      </c>
      <c r="H19" s="117"/>
    </row>
    <row r="20" spans="2:8">
      <c r="B20" s="112">
        <f>PROPONENTES!C20</f>
        <v>7</v>
      </c>
      <c r="C20" s="166" t="str">
        <f>VLOOKUP(B20,PROPONENTES!$C$14:$D$37,2,FALSE)</f>
        <v>ISAÍAS VARGAS GONZÁLEZ</v>
      </c>
      <c r="D20" s="113" t="str">
        <f>IF(VLOOKUP("G"&amp;B20,EXPERIENCIA!$A$17:$U$1252,21,0)="RECHAZO","RECHAZO",IF(VLOOKUP("H"&amp;B20,EXPERIENCIA!$A$17:$U$1252,13,0)=1,IF(VLOOKUP("M"&amp;B20,EXPERIENCIA!$A$17:$U$1252,7,0)="CUMPLE","HÁBIL","NO HÁBIL"),IF(AND(VLOOKUP("M"&amp;B20,EXPERIENCIA!$A$17:$U$1252,7,0)="CUMPLE",VLOOKUP("Q"&amp;B20,EXPERIENCIA!$A$17:$U$1252,13,0)="CUMPLE"),"HÁBIL","NO HÁBIL")))</f>
        <v>HÁBIL</v>
      </c>
      <c r="E20" s="113" t="str">
        <f>IF(VLOOKUP("G"&amp;B20,EXPERIENCIA!$A$17:$U$1252,21,0)="RECHAZO","RECHAZO",IF(VLOOKUP("H"&amp;B20,EXPERIENCIA!$A$17:$U$1252,13,0)=1,"NO APLICA",IF(VLOOKUP("Q"&amp;B20,EXPERIENCIA!$A$17:$U$1252,14,0)="CUMPLE","HÁBIL","NO HÁBIL")))</f>
        <v>NO APLICA</v>
      </c>
      <c r="F20" s="113" t="str">
        <f>IF(VLOOKUP("G"&amp;B20,EXPERIENCIA!$A$17:$Z$1252,21,0)="RECHAZO","RECHAZO",IF(VLOOKUP("P"&amp;B20,EXPERIENCIA!$A$17:$Z$1252,7,0)="CUMPLE","HÁBIL","NO HÁBIL"))</f>
        <v>HÁBIL</v>
      </c>
      <c r="G20" s="114" t="str">
        <f t="shared" si="0"/>
        <v>HÁBIL</v>
      </c>
      <c r="H20" s="117"/>
    </row>
    <row r="21" spans="2:8">
      <c r="B21" s="116">
        <f>PROPONENTES!C21</f>
        <v>8</v>
      </c>
      <c r="C21" s="166" t="str">
        <f>VLOOKUP(B21,PROPONENTES!$C$14:$D$37,2,FALSE)</f>
        <v>PROTECO INGENIERÍA S.A.S</v>
      </c>
      <c r="D21" s="113" t="str">
        <f>IF(VLOOKUP("G"&amp;B21,EXPERIENCIA!$A$17:$U$1252,21,0)="RECHAZO","RECHAZO",IF(VLOOKUP("H"&amp;B21,EXPERIENCIA!$A$17:$U$1252,13,0)=1,IF(VLOOKUP("M"&amp;B21,EXPERIENCIA!$A$17:$U$1252,7,0)="CUMPLE","HÁBIL","NO HÁBIL"),IF(AND(VLOOKUP("M"&amp;B21,EXPERIENCIA!$A$17:$U$1252,7,0)="CUMPLE",VLOOKUP("Q"&amp;B21,EXPERIENCIA!$A$17:$U$1252,13,0)="CUMPLE"),"HÁBIL","NO HÁBIL")))</f>
        <v>HÁBIL</v>
      </c>
      <c r="E21" s="113" t="str">
        <f>IF(VLOOKUP("G"&amp;B21,EXPERIENCIA!$A$17:$U$1252,21,0)="RECHAZO","RECHAZO",IF(VLOOKUP("H"&amp;B21,EXPERIENCIA!$A$17:$U$1252,13,0)=1,"NO APLICA",IF(VLOOKUP("Q"&amp;B21,EXPERIENCIA!$A$17:$U$1252,14,0)="CUMPLE","HÁBIL","NO HÁBIL")))</f>
        <v>NO APLICA</v>
      </c>
      <c r="F21" s="113" t="str">
        <f>IF(VLOOKUP("G"&amp;B21,EXPERIENCIA!$A$17:$Z$1252,21,0)="RECHAZO","RECHAZO",IF(VLOOKUP("P"&amp;B21,EXPERIENCIA!$A$17:$Z$1252,7,0)="CUMPLE","HÁBIL","NO HÁBIL"))</f>
        <v>HÁBIL</v>
      </c>
      <c r="G21" s="114" t="str">
        <f t="shared" si="0"/>
        <v>HÁBIL</v>
      </c>
      <c r="H21" s="117"/>
    </row>
    <row r="22" spans="2:8">
      <c r="B22" s="116">
        <f>PROPONENTES!C22</f>
        <v>9</v>
      </c>
      <c r="C22" s="166" t="str">
        <f>VLOOKUP(B22,PROPONENTES!$C$14:$D$37,2,FALSE)</f>
        <v>CONSORCIO JAM.</v>
      </c>
      <c r="D22" s="113" t="str">
        <f>IF(VLOOKUP("G"&amp;B22,EXPERIENCIA!$A$17:$U$1252,21,0)="RECHAZO","RECHAZO",IF(VLOOKUP("H"&amp;B22,EXPERIENCIA!$A$17:$U$1252,13,0)=1,IF(VLOOKUP("M"&amp;B22,EXPERIENCIA!$A$17:$U$1252,7,0)="CUMPLE","HÁBIL","NO HÁBIL"),IF(AND(VLOOKUP("M"&amp;B22,EXPERIENCIA!$A$17:$U$1252,7,0)="CUMPLE",VLOOKUP("Q"&amp;B22,EXPERIENCIA!$A$17:$U$1252,13,0)="CUMPLE"),"HÁBIL","NO HÁBIL")))</f>
        <v>HÁBIL</v>
      </c>
      <c r="E22" s="113" t="str">
        <f>IF(VLOOKUP("G"&amp;B22,EXPERIENCIA!$A$17:$U$1252,21,0)="RECHAZO","RECHAZO",IF(VLOOKUP("H"&amp;B22,EXPERIENCIA!$A$17:$U$1252,13,0)=1,"NO APLICA",IF(VLOOKUP("Q"&amp;B22,EXPERIENCIA!$A$17:$U$1252,14,0)="CUMPLE","HÁBIL","NO HÁBIL")))</f>
        <v>HÁBIL</v>
      </c>
      <c r="F22" s="113" t="str">
        <f>IF(VLOOKUP("G"&amp;B22,EXPERIENCIA!$A$17:$Z$1252,21,0)="RECHAZO","RECHAZO",IF(VLOOKUP("P"&amp;B22,EXPERIENCIA!$A$17:$Z$1252,7,0)="CUMPLE","HÁBIL","NO HÁBIL"))</f>
        <v>HÁBIL</v>
      </c>
      <c r="G22" s="114" t="str">
        <f t="shared" si="0"/>
        <v>HÁBIL</v>
      </c>
      <c r="H22" s="117"/>
    </row>
    <row r="23" spans="2:8" ht="23">
      <c r="B23" s="112">
        <f>PROPONENTES!C23</f>
        <v>10</v>
      </c>
      <c r="C23" s="166" t="str">
        <f>VLOOKUP(B23,PROPONENTES!$C$14:$D$37,2,FALSE)</f>
        <v>UNIÓN TEMPORAL CAQUETÁ 2019</v>
      </c>
      <c r="D23" s="113" t="str">
        <f>IF(VLOOKUP("G"&amp;B23,EXPERIENCIA!$A$17:$U$1252,21,0)="RECHAZO","RECHAZO",IF(VLOOKUP("H"&amp;B23,EXPERIENCIA!$A$17:$U$1252,13,0)=1,IF(VLOOKUP("M"&amp;B23,EXPERIENCIA!$A$17:$U$1252,7,0)="CUMPLE","HÁBIL","NO HÁBIL"),IF(AND(VLOOKUP("M"&amp;B23,EXPERIENCIA!$A$17:$U$1252,7,0)="CUMPLE",VLOOKUP("Q"&amp;B23,EXPERIENCIA!$A$17:$U$1252,13,0)="CUMPLE"),"HÁBIL","NO HÁBIL")))</f>
        <v>HÁBIL</v>
      </c>
      <c r="E23" s="113" t="str">
        <f>IF(VLOOKUP("G"&amp;B23,EXPERIENCIA!$A$17:$U$1252,21,0)="RECHAZO","RECHAZO",IF(VLOOKUP("H"&amp;B23,EXPERIENCIA!$A$17:$U$1252,13,0)=1,"NO APLICA",IF(VLOOKUP("Q"&amp;B23,EXPERIENCIA!$A$17:$U$1252,14,0)="CUMPLE","HÁBIL","NO HÁBIL")))</f>
        <v>HÁBIL</v>
      </c>
      <c r="F23" s="113" t="str">
        <f>IF(VLOOKUP("G"&amp;B23,EXPERIENCIA!$A$17:$Z$1252,21,0)="RECHAZO","RECHAZO",IF(VLOOKUP("P"&amp;B23,EXPERIENCIA!$A$17:$Z$1252,7,0)="CUMPLE","HÁBIL","NO HÁBIL"))</f>
        <v>HÁBIL</v>
      </c>
      <c r="G23" s="114" t="str">
        <f t="shared" si="0"/>
        <v>HÁBIL</v>
      </c>
      <c r="H23" s="117"/>
    </row>
    <row r="24" spans="2:8" ht="23">
      <c r="B24" s="116">
        <f>PROPONENTES!C24</f>
        <v>11</v>
      </c>
      <c r="C24" s="166" t="str">
        <f>VLOOKUP(B24,PROPONENTES!$C$14:$D$37,2,FALSE)</f>
        <v>UNIÓN TEMPORAL VÍAS PUERTO RICO C&amp;E</v>
      </c>
      <c r="D24" s="113" t="str">
        <f>IF(VLOOKUP("G"&amp;B24,EXPERIENCIA!$A$17:$U$1252,21,0)="RECHAZO","RECHAZO",IF(VLOOKUP("H"&amp;B24,EXPERIENCIA!$A$17:$U$1252,13,0)=1,IF(VLOOKUP("M"&amp;B24,EXPERIENCIA!$A$17:$U$1252,7,0)="CUMPLE","HÁBIL","NO HÁBIL"),IF(AND(VLOOKUP("M"&amp;B24,EXPERIENCIA!$A$17:$U$1252,7,0)="CUMPLE",VLOOKUP("Q"&amp;B24,EXPERIENCIA!$A$17:$U$1252,13,0)="CUMPLE"),"HÁBIL","NO HÁBIL")))</f>
        <v>NO HÁBIL</v>
      </c>
      <c r="E24" s="113" t="str">
        <f>IF(VLOOKUP("G"&amp;B24,EXPERIENCIA!$A$17:$U$1252,21,0)="RECHAZO","RECHAZO",IF(VLOOKUP("H"&amp;B24,EXPERIENCIA!$A$17:$U$1252,13,0)=1,"NO APLICA",IF(VLOOKUP("Q"&amp;B24,EXPERIENCIA!$A$17:$U$1252,14,0)="CUMPLE","HÁBIL","NO HÁBIL")))</f>
        <v>NO HÁBIL</v>
      </c>
      <c r="F24" s="113" t="str">
        <f>IF(VLOOKUP("G"&amp;B24,EXPERIENCIA!$A$17:$Z$1252,21,0)="RECHAZO","RECHAZO",IF(VLOOKUP("P"&amp;B24,EXPERIENCIA!$A$17:$Z$1252,7,0)="CUMPLE","HÁBIL","NO HÁBIL"))</f>
        <v>NO HÁBIL</v>
      </c>
      <c r="G24" s="114" t="str">
        <f t="shared" si="0"/>
        <v>NO HÁBIL</v>
      </c>
      <c r="H24" s="117"/>
    </row>
    <row r="25" spans="2:8" ht="34.5">
      <c r="B25" s="116">
        <f>PROPONENTES!C25</f>
        <v>12</v>
      </c>
      <c r="C25" s="166" t="str">
        <f>VLOOKUP(B25,PROPONENTES!$C$14:$D$37,2,FALSE)</f>
        <v>CONSULTORÍA Y
CONSTRUCCIÓN S.A.S. – CON &amp; CON</v>
      </c>
      <c r="D25" s="113" t="str">
        <f>IF(VLOOKUP("G"&amp;B25,EXPERIENCIA!$A$17:$U$1252,21,0)="RECHAZO","RECHAZO",IF(VLOOKUP("H"&amp;B25,EXPERIENCIA!$A$17:$U$1252,13,0)=1,IF(VLOOKUP("M"&amp;B25,EXPERIENCIA!$A$17:$U$1252,7,0)="CUMPLE","HÁBIL","NO HÁBIL"),IF(AND(VLOOKUP("M"&amp;B25,EXPERIENCIA!$A$17:$U$1252,7,0)="CUMPLE",VLOOKUP("Q"&amp;B25,EXPERIENCIA!$A$17:$U$1252,13,0)="CUMPLE"),"HÁBIL","NO HÁBIL")))</f>
        <v>HÁBIL</v>
      </c>
      <c r="E25" s="113" t="str">
        <f>IF(VLOOKUP("G"&amp;B25,EXPERIENCIA!$A$17:$U$1252,21,0)="RECHAZO","RECHAZO",IF(VLOOKUP("H"&amp;B25,EXPERIENCIA!$A$17:$U$1252,13,0)=1,"NO APLICA",IF(VLOOKUP("Q"&amp;B25,EXPERIENCIA!$A$17:$U$1252,14,0)="CUMPLE","HÁBIL","NO HÁBIL")))</f>
        <v>NO APLICA</v>
      </c>
      <c r="F25" s="113" t="str">
        <f>IF(VLOOKUP("G"&amp;B25,EXPERIENCIA!$A$17:$Z$1252,21,0)="RECHAZO","RECHAZO",IF(VLOOKUP("P"&amp;B25,EXPERIENCIA!$A$17:$Z$1252,7,0)="CUMPLE","HÁBIL","NO HÁBIL"))</f>
        <v>HÁBIL</v>
      </c>
      <c r="G25" s="114" t="str">
        <f t="shared" si="0"/>
        <v>HÁBIL</v>
      </c>
      <c r="H25" s="117"/>
    </row>
    <row r="26" spans="2:8" ht="23">
      <c r="B26" s="112">
        <f>PROPONENTES!C26</f>
        <v>13</v>
      </c>
      <c r="C26" s="166" t="str">
        <f>VLOOKUP(B26,PROPONENTES!$C$14:$D$37,2,FALSE)</f>
        <v>UNIÓN TEMPORAL VÍAS COLOMBIA</v>
      </c>
      <c r="D26" s="113" t="str">
        <f>IF(VLOOKUP("G"&amp;B26,EXPERIENCIA!$A$17:$U$1252,21,0)="RECHAZO","RECHAZO",IF(VLOOKUP("H"&amp;B26,EXPERIENCIA!$A$17:$U$1252,13,0)=1,IF(VLOOKUP("M"&amp;B26,EXPERIENCIA!$A$17:$U$1252,7,0)="CUMPLE","HÁBIL","NO HÁBIL"),IF(AND(VLOOKUP("M"&amp;B26,EXPERIENCIA!$A$17:$U$1252,7,0)="CUMPLE",VLOOKUP("Q"&amp;B26,EXPERIENCIA!$A$17:$U$1252,13,0)="CUMPLE"),"HÁBIL","NO HÁBIL")))</f>
        <v>HÁBIL</v>
      </c>
      <c r="E26" s="113" t="str">
        <f>IF(VLOOKUP("G"&amp;B26,EXPERIENCIA!$A$17:$U$1252,21,0)="RECHAZO","RECHAZO",IF(VLOOKUP("H"&amp;B26,EXPERIENCIA!$A$17:$U$1252,13,0)=1,"NO APLICA",IF(VLOOKUP("Q"&amp;B26,EXPERIENCIA!$A$17:$U$1252,14,0)="CUMPLE","HÁBIL","NO HÁBIL")))</f>
        <v>HÁBIL</v>
      </c>
      <c r="F26" s="113" t="str">
        <f>IF(VLOOKUP("G"&amp;B26,EXPERIENCIA!$A$17:$Z$1252,21,0)="RECHAZO","RECHAZO",IF(VLOOKUP("P"&amp;B26,EXPERIENCIA!$A$17:$Z$1252,7,0)="CUMPLE","HÁBIL","NO HÁBIL"))</f>
        <v>HÁBIL</v>
      </c>
      <c r="G26" s="114" t="str">
        <f t="shared" si="0"/>
        <v>HÁBIL</v>
      </c>
      <c r="H26" s="117"/>
    </row>
    <row r="27" spans="2:8" ht="26.5" customHeight="1">
      <c r="B27" s="116">
        <f>PROPONENTES!C27</f>
        <v>14</v>
      </c>
      <c r="C27" s="166" t="str">
        <f>VLOOKUP(B27,PROPONENTES!$C$14:$D$37,2,FALSE)</f>
        <v>UNIÓN TEMPORAL VÍAS COLOMBIA 1</v>
      </c>
      <c r="D27" s="113" t="str">
        <f>IF(VLOOKUP("G"&amp;B27,EXPERIENCIA!$A$17:$U$1252,21,0)="RECHAZO","RECHAZO",IF(VLOOKUP("H"&amp;B27,EXPERIENCIA!$A$17:$U$1252,13,0)=1,IF(VLOOKUP("M"&amp;B27,EXPERIENCIA!$A$17:$U$1252,7,0)="CUMPLE","HÁBIL","NO HÁBIL"),IF(AND(VLOOKUP("M"&amp;B27,EXPERIENCIA!$A$17:$U$1252,7,0)="CUMPLE",VLOOKUP("Q"&amp;B27,EXPERIENCIA!$A$17:$U$1252,13,0)="CUMPLE"),"HÁBIL","NO HÁBIL")))</f>
        <v>HÁBIL</v>
      </c>
      <c r="E27" s="113" t="str">
        <f>IF(VLOOKUP("G"&amp;B27,EXPERIENCIA!$A$17:$U$1252,21,0)="RECHAZO","RECHAZO",IF(VLOOKUP("H"&amp;B27,EXPERIENCIA!$A$17:$U$1252,13,0)=1,"NO APLICA",IF(VLOOKUP("Q"&amp;B27,EXPERIENCIA!$A$17:$U$1252,14,0)="CUMPLE","HÁBIL","NO HÁBIL")))</f>
        <v>HÁBIL</v>
      </c>
      <c r="F27" s="113" t="str">
        <f>IF(VLOOKUP("G"&amp;B27,EXPERIENCIA!$A$17:$Z$1252,21,0)="RECHAZO","RECHAZO",IF(VLOOKUP("P"&amp;B27,EXPERIENCIA!$A$17:$Z$1252,7,0)="CUMPLE","HÁBIL","NO HÁBIL"))</f>
        <v>HÁBIL</v>
      </c>
      <c r="G27" s="114" t="str">
        <f t="shared" si="0"/>
        <v>HÁBIL</v>
      </c>
      <c r="H27" s="117"/>
    </row>
    <row r="28" spans="2:8">
      <c r="B28" s="116">
        <f>PROPONENTES!C28</f>
        <v>15</v>
      </c>
      <c r="C28" s="166" t="str">
        <f>VLOOKUP(B28,PROPONENTES!$C$14:$D$37,2,FALSE)</f>
        <v>DP Ingenieros</v>
      </c>
      <c r="D28" s="113" t="str">
        <f>IF(VLOOKUP("G"&amp;B28,EXPERIENCIA!$A$17:$U$1252,21,0)="RECHAZO","RECHAZO",IF(VLOOKUP("H"&amp;B28,EXPERIENCIA!$A$17:$U$1252,13,0)=1,IF(VLOOKUP("M"&amp;B28,EXPERIENCIA!$A$17:$U$1252,7,0)="CUMPLE","HÁBIL","NO HÁBIL"),IF(AND(VLOOKUP("M"&amp;B28,EXPERIENCIA!$A$17:$U$1252,7,0)="CUMPLE",VLOOKUP("Q"&amp;B28,EXPERIENCIA!$A$17:$U$1252,13,0)="CUMPLE"),"HÁBIL","NO HÁBIL")))</f>
        <v>HÁBIL</v>
      </c>
      <c r="E28" s="113" t="str">
        <f>IF(VLOOKUP("G"&amp;B28,EXPERIENCIA!$A$17:$U$1252,21,0)="RECHAZO","RECHAZO",IF(VLOOKUP("H"&amp;B28,EXPERIENCIA!$A$17:$U$1252,13,0)=1,"NO APLICA",IF(VLOOKUP("Q"&amp;B28,EXPERIENCIA!$A$17:$U$1252,14,0)="CUMPLE","HÁBIL","NO HÁBIL")))</f>
        <v>NO APLICA</v>
      </c>
      <c r="F28" s="113" t="str">
        <f>IF(VLOOKUP("G"&amp;B28,EXPERIENCIA!$A$17:$Z$1252,21,0)="RECHAZO","RECHAZO",IF(VLOOKUP("P"&amp;B28,EXPERIENCIA!$A$17:$Z$1252,7,0)="CUMPLE","HÁBIL","NO HÁBIL"))</f>
        <v>HÁBIL</v>
      </c>
      <c r="G28" s="114" t="str">
        <f t="shared" si="0"/>
        <v>HÁBIL</v>
      </c>
      <c r="H28" s="117"/>
    </row>
    <row r="29" spans="2:8">
      <c r="B29" s="112">
        <f>PROPONENTES!C29</f>
        <v>16</v>
      </c>
      <c r="C29" s="166" t="str">
        <f>VLOOKUP(B29,PROPONENTES!$C$14:$D$37,2,FALSE)</f>
        <v>CONSORCIO SAN JUDAS TADEO</v>
      </c>
      <c r="D29" s="113" t="str">
        <f>IF(VLOOKUP("G"&amp;B29,EXPERIENCIA!$A$17:$U$1252,21,0)="RECHAZO","RECHAZO",IF(VLOOKUP("H"&amp;B29,EXPERIENCIA!$A$17:$U$1252,13,0)=1,IF(VLOOKUP("M"&amp;B29,EXPERIENCIA!$A$17:$U$1252,7,0)="CUMPLE","HÁBIL","NO HÁBIL"),IF(AND(VLOOKUP("M"&amp;B29,EXPERIENCIA!$A$17:$U$1252,7,0)="CUMPLE",VLOOKUP("Q"&amp;B29,EXPERIENCIA!$A$17:$U$1252,13,0)="CUMPLE"),"HÁBIL","NO HÁBIL")))</f>
        <v>HÁBIL</v>
      </c>
      <c r="E29" s="113" t="str">
        <f>IF(VLOOKUP("G"&amp;B29,EXPERIENCIA!$A$17:$U$1252,21,0)="RECHAZO","RECHAZO",IF(VLOOKUP("H"&amp;B29,EXPERIENCIA!$A$17:$U$1252,13,0)=1,"NO APLICA",IF(VLOOKUP("Q"&amp;B29,EXPERIENCIA!$A$17:$U$1252,14,0)="CUMPLE","HÁBIL","NO HÁBIL")))</f>
        <v>HÁBIL</v>
      </c>
      <c r="F29" s="113" t="str">
        <f>IF(VLOOKUP("G"&amp;B29,EXPERIENCIA!$A$17:$Z$1252,21,0)="RECHAZO","RECHAZO",IF(VLOOKUP("P"&amp;B29,EXPERIENCIA!$A$17:$Z$1252,7,0)="CUMPLE","HÁBIL","NO HÁBIL"))</f>
        <v>HÁBIL</v>
      </c>
      <c r="G29" s="114" t="str">
        <f t="shared" si="0"/>
        <v>HÁBIL</v>
      </c>
      <c r="H29" s="117"/>
    </row>
    <row r="30" spans="2:8" ht="31.5" customHeight="1">
      <c r="B30" s="116">
        <f>PROPONENTES!C30</f>
        <v>17</v>
      </c>
      <c r="C30" s="166" t="str">
        <f>VLOOKUP(B30,PROPONENTES!$C$14:$D$37,2,FALSE)</f>
        <v>CONSORCIO INVIAS 48 CAQUETÁ DM</v>
      </c>
      <c r="D30" s="113" t="str">
        <f>IF(VLOOKUP("G"&amp;B30,EXPERIENCIA!$A$17:$U$1252,21,0)="RECHAZO","RECHAZO",IF(VLOOKUP("H"&amp;B30,EXPERIENCIA!$A$17:$U$1252,13,0)=1,IF(VLOOKUP("M"&amp;B30,EXPERIENCIA!$A$17:$U$1252,7,0)="CUMPLE","HÁBIL","NO HÁBIL"),IF(AND(VLOOKUP("M"&amp;B30,EXPERIENCIA!$A$17:$U$1252,7,0)="CUMPLE",VLOOKUP("Q"&amp;B30,EXPERIENCIA!$A$17:$U$1252,13,0)="CUMPLE"),"HÁBIL","NO HÁBIL")))</f>
        <v>HÁBIL</v>
      </c>
      <c r="E30" s="113" t="str">
        <f>IF(VLOOKUP("G"&amp;B30,EXPERIENCIA!$A$17:$U$1252,21,0)="RECHAZO","RECHAZO",IF(VLOOKUP("H"&amp;B30,EXPERIENCIA!$A$17:$U$1252,13,0)=1,"NO APLICA",IF(VLOOKUP("Q"&amp;B30,EXPERIENCIA!$A$17:$U$1252,14,0)="CUMPLE","HÁBIL","NO HÁBIL")))</f>
        <v>HÁBIL</v>
      </c>
      <c r="F30" s="113" t="str">
        <f>IF(VLOOKUP("G"&amp;B30,EXPERIENCIA!$A$17:$Z$1252,21,0)="RECHAZO","RECHAZO",IF(VLOOKUP("P"&amp;B30,EXPERIENCIA!$A$17:$Z$1252,7,0)="CUMPLE","HÁBIL","NO HÁBIL"))</f>
        <v>HÁBIL</v>
      </c>
      <c r="G30" s="114" t="str">
        <f t="shared" si="0"/>
        <v>HÁBIL</v>
      </c>
      <c r="H30" s="117"/>
    </row>
    <row r="31" spans="2:8">
      <c r="B31" s="116">
        <f>PROPONENTES!C31</f>
        <v>18</v>
      </c>
      <c r="C31" s="166" t="str">
        <f>VLOOKUP(B31,PROPONENTES!$C$14:$D$37,2,FALSE)</f>
        <v>CONSORCIO MINA BLANCA 11</v>
      </c>
      <c r="D31" s="113" t="str">
        <f>IF(VLOOKUP("G"&amp;B31,EXPERIENCIA!$A$17:$U$1252,21,0)="RECHAZO","RECHAZO",IF(VLOOKUP("H"&amp;B31,EXPERIENCIA!$A$17:$U$1252,13,0)=1,IF(VLOOKUP("M"&amp;B31,EXPERIENCIA!$A$17:$U$1252,7,0)="CUMPLE","HÁBIL","NO HÁBIL"),IF(AND(VLOOKUP("M"&amp;B31,EXPERIENCIA!$A$17:$U$1252,7,0)="CUMPLE",VLOOKUP("Q"&amp;B31,EXPERIENCIA!$A$17:$U$1252,13,0)="CUMPLE"),"HÁBIL","NO HÁBIL")))</f>
        <v>HÁBIL</v>
      </c>
      <c r="E31" s="113" t="str">
        <f>IF(VLOOKUP("G"&amp;B31,EXPERIENCIA!$A$17:$U$1252,21,0)="RECHAZO","RECHAZO",IF(VLOOKUP("H"&amp;B31,EXPERIENCIA!$A$17:$U$1252,13,0)=1,"NO APLICA",IF(VLOOKUP("Q"&amp;B31,EXPERIENCIA!$A$17:$U$1252,14,0)="CUMPLE","HÁBIL","NO HÁBIL")))</f>
        <v>HÁBIL</v>
      </c>
      <c r="F31" s="113" t="str">
        <f>IF(VLOOKUP("G"&amp;B31,EXPERIENCIA!$A$17:$Z$1252,21,0)="RECHAZO","RECHAZO",IF(VLOOKUP("P"&amp;B31,EXPERIENCIA!$A$17:$Z$1252,7,0)="CUMPLE","HÁBIL","NO HÁBIL"))</f>
        <v>HÁBIL</v>
      </c>
      <c r="G31" s="114" t="str">
        <f t="shared" si="0"/>
        <v>HÁBIL</v>
      </c>
      <c r="H31" s="117"/>
    </row>
    <row r="32" spans="2:8">
      <c r="B32" s="112">
        <f>PROPONENTES!C32</f>
        <v>19</v>
      </c>
      <c r="C32" s="166" t="str">
        <f>VLOOKUP(B32,PROPONENTES!$C$14:$D$37,2,FALSE)</f>
        <v>CONSORCIO VIAS JUVER</v>
      </c>
      <c r="D32" s="113" t="str">
        <f>IF(VLOOKUP("G"&amp;B32,EXPERIENCIA!$A$17:$U$1252,21,0)="RECHAZO","RECHAZO",IF(VLOOKUP("H"&amp;B32,EXPERIENCIA!$A$17:$U$1252,13,0)=1,IF(VLOOKUP("M"&amp;B32,EXPERIENCIA!$A$17:$U$1252,7,0)="CUMPLE","HÁBIL","NO HÁBIL"),IF(AND(VLOOKUP("M"&amp;B32,EXPERIENCIA!$A$17:$U$1252,7,0)="CUMPLE",VLOOKUP("Q"&amp;B32,EXPERIENCIA!$A$17:$U$1252,13,0)="CUMPLE"),"HÁBIL","NO HÁBIL")))</f>
        <v>HÁBIL</v>
      </c>
      <c r="E32" s="113" t="str">
        <f>IF(VLOOKUP("G"&amp;B32,EXPERIENCIA!$A$17:$U$1252,21,0)="RECHAZO","RECHAZO",IF(VLOOKUP("H"&amp;B32,EXPERIENCIA!$A$17:$U$1252,13,0)=1,"NO APLICA",IF(VLOOKUP("Q"&amp;B32,EXPERIENCIA!$A$17:$U$1252,14,0)="CUMPLE","HÁBIL","NO HÁBIL")))</f>
        <v>HÁBIL</v>
      </c>
      <c r="F32" s="113" t="str">
        <f>IF(VLOOKUP("G"&amp;B32,EXPERIENCIA!$A$17:$Z$1252,21,0)="RECHAZO","RECHAZO",IF(VLOOKUP("P"&amp;B32,EXPERIENCIA!$A$17:$Z$1252,7,0)="CUMPLE","HÁBIL","NO HÁBIL"))</f>
        <v>HÁBIL</v>
      </c>
      <c r="G32" s="114" t="str">
        <f t="shared" si="0"/>
        <v>HÁBIL</v>
      </c>
      <c r="H32" s="117"/>
    </row>
    <row r="33" spans="2:8">
      <c r="B33" s="116">
        <f>PROPONENTES!C33</f>
        <v>20</v>
      </c>
      <c r="C33" s="166" t="str">
        <f>VLOOKUP(B33,PROPONENTES!$C$14:$D$37,2,FALSE)</f>
        <v>CONSORCIO MINA BLANCA</v>
      </c>
      <c r="D33" s="113" t="str">
        <f>IF(VLOOKUP("G"&amp;B33,EXPERIENCIA!$A$17:$U$1252,21,0)="RECHAZO","RECHAZO",IF(VLOOKUP("H"&amp;B33,EXPERIENCIA!$A$17:$U$1252,13,0)=1,IF(VLOOKUP("M"&amp;B33,EXPERIENCIA!$A$17:$U$1252,7,0)="CUMPLE","HÁBIL","NO HÁBIL"),IF(AND(VLOOKUP("M"&amp;B33,EXPERIENCIA!$A$17:$U$1252,7,0)="CUMPLE",VLOOKUP("Q"&amp;B33,EXPERIENCIA!$A$17:$U$1252,13,0)="CUMPLE"),"HÁBIL","NO HÁBIL")))</f>
        <v>HÁBIL</v>
      </c>
      <c r="E33" s="113" t="str">
        <f>IF(VLOOKUP("G"&amp;B33,EXPERIENCIA!$A$17:$U$1252,21,0)="RECHAZO","RECHAZO",IF(VLOOKUP("H"&amp;B33,EXPERIENCIA!$A$17:$U$1252,13,0)=1,"NO APLICA",IF(VLOOKUP("Q"&amp;B33,EXPERIENCIA!$A$17:$U$1252,14,0)="CUMPLE","HÁBIL","NO HÁBIL")))</f>
        <v>HÁBIL</v>
      </c>
      <c r="F33" s="113" t="str">
        <f>IF(VLOOKUP("G"&amp;B33,EXPERIENCIA!$A$17:$Z$1252,21,0)="RECHAZO","RECHAZO",IF(VLOOKUP("P"&amp;B33,EXPERIENCIA!$A$17:$Z$1252,7,0)="CUMPLE","HÁBIL","NO HÁBIL"))</f>
        <v>HÁBIL</v>
      </c>
      <c r="G33" s="114" t="str">
        <f t="shared" si="0"/>
        <v>HÁBIL</v>
      </c>
      <c r="H33" s="117"/>
    </row>
    <row r="34" spans="2:8">
      <c r="B34" s="116">
        <f>PROPONENTES!C34</f>
        <v>21</v>
      </c>
      <c r="C34" s="166" t="str">
        <f>VLOOKUP(B34,PROPONENTES!$C$14:$D$37,2,FALSE)</f>
        <v xml:space="preserve">CIPAVI LTDA </v>
      </c>
      <c r="D34" s="113" t="str">
        <f>IF(VLOOKUP("G"&amp;B34,EXPERIENCIA!$A$17:$U$1252,21,0)="RECHAZO","RECHAZO",IF(VLOOKUP("H"&amp;B34,EXPERIENCIA!$A$17:$U$1252,13,0)=1,IF(VLOOKUP("M"&amp;B34,EXPERIENCIA!$A$17:$U$1252,7,0)="CUMPLE","HÁBIL","NO HÁBIL"),IF(AND(VLOOKUP("M"&amp;B34,EXPERIENCIA!$A$17:$U$1252,7,0)="CUMPLE",VLOOKUP("Q"&amp;B34,EXPERIENCIA!$A$17:$U$1252,13,0)="CUMPLE"),"HÁBIL","NO HÁBIL")))</f>
        <v>NO HÁBIL</v>
      </c>
      <c r="E34" s="113" t="str">
        <f>IF(VLOOKUP("G"&amp;B34,EXPERIENCIA!$A$17:$U$1252,21,0)="RECHAZO","RECHAZO",IF(VLOOKUP("H"&amp;B34,EXPERIENCIA!$A$17:$U$1252,13,0)=1,"NO APLICA",IF(VLOOKUP("Q"&amp;B34,EXPERIENCIA!$A$17:$U$1252,14,0)="CUMPLE","HÁBIL","NO HÁBIL")))</f>
        <v>NO APLICA</v>
      </c>
      <c r="F34" s="113" t="str">
        <f>IF(VLOOKUP("G"&amp;B34,EXPERIENCIA!$A$17:$Z$1252,21,0)="RECHAZO","RECHAZO",IF(VLOOKUP("P"&amp;B34,EXPERIENCIA!$A$17:$Z$1252,7,0)="CUMPLE","HÁBIL","NO HÁBIL"))</f>
        <v>NO HÁBIL</v>
      </c>
      <c r="G34" s="114" t="str">
        <f t="shared" si="0"/>
        <v>NO HÁBIL</v>
      </c>
      <c r="H34" s="117"/>
    </row>
    <row r="35" spans="2:8" ht="25" customHeight="1">
      <c r="B35" s="112">
        <f>PROPONENTES!C35</f>
        <v>22</v>
      </c>
      <c r="C35" s="166" t="str">
        <f>VLOOKUP(B35,PROPONENTES!$C$14:$D$37,2,FALSE)</f>
        <v>UNION TEMPORAL VIAL PUERTO RICO 2019.</v>
      </c>
      <c r="D35" s="113" t="str">
        <f>IF(VLOOKUP("G"&amp;B35,EXPERIENCIA!$A$17:$U$1252,21,0)="RECHAZO","RECHAZO",IF(VLOOKUP("H"&amp;B35,EXPERIENCIA!$A$17:$U$1252,13,0)=1,IF(VLOOKUP("M"&amp;B35,EXPERIENCIA!$A$17:$U$1252,7,0)="CUMPLE","HÁBIL","NO HÁBIL"),IF(AND(VLOOKUP("M"&amp;B35,EXPERIENCIA!$A$17:$U$1252,7,0)="CUMPLE",VLOOKUP("Q"&amp;B35,EXPERIENCIA!$A$17:$U$1252,13,0)="CUMPLE"),"HÁBIL","NO HÁBIL")))</f>
        <v>HÁBIL</v>
      </c>
      <c r="E35" s="113" t="str">
        <f>IF(VLOOKUP("G"&amp;B35,EXPERIENCIA!$A$17:$U$1252,21,0)="RECHAZO","RECHAZO",IF(VLOOKUP("H"&amp;B35,EXPERIENCIA!$A$17:$U$1252,13,0)=1,"NO APLICA",IF(VLOOKUP("Q"&amp;B35,EXPERIENCIA!$A$17:$U$1252,14,0)="CUMPLE","HÁBIL","NO HÁBIL")))</f>
        <v>HÁBIL</v>
      </c>
      <c r="F35" s="113" t="str">
        <f>IF(VLOOKUP("G"&amp;B35,EXPERIENCIA!$A$17:$Z$1252,21,0)="RECHAZO","RECHAZO",IF(VLOOKUP("P"&amp;B35,EXPERIENCIA!$A$17:$Z$1252,7,0)="CUMPLE","HÁBIL","NO HÁBIL"))</f>
        <v>HÁBIL</v>
      </c>
      <c r="G35" s="114" t="str">
        <f t="shared" si="0"/>
        <v>HÁBIL</v>
      </c>
      <c r="H35" s="117"/>
    </row>
    <row r="36" spans="2:8">
      <c r="B36" s="116">
        <f>PROPONENTES!C36</f>
        <v>23</v>
      </c>
      <c r="C36" s="166" t="str">
        <f>VLOOKUP(B36,PROPONENTES!$C$14:$D$37,2,FALSE)</f>
        <v>CONSORCIO CAQUETÁ S&amp;S.</v>
      </c>
      <c r="D36" s="113" t="str">
        <f>IF(VLOOKUP("G"&amp;B36,EXPERIENCIA!$A$17:$U$1252,21,0)="RECHAZO","RECHAZO",IF(VLOOKUP("H"&amp;B36,EXPERIENCIA!$A$17:$U$1252,13,0)=1,IF(VLOOKUP("M"&amp;B36,EXPERIENCIA!$A$17:$U$1252,7,0)="CUMPLE","HÁBIL","NO HÁBIL"),IF(AND(VLOOKUP("M"&amp;B36,EXPERIENCIA!$A$17:$U$1252,7,0)="CUMPLE",VLOOKUP("Q"&amp;B36,EXPERIENCIA!$A$17:$U$1252,13,0)="CUMPLE"),"HÁBIL","NO HÁBIL")))</f>
        <v>HÁBIL</v>
      </c>
      <c r="E36" s="113" t="str">
        <f>IF(VLOOKUP("G"&amp;B36,EXPERIENCIA!$A$17:$U$1252,21,0)="RECHAZO","RECHAZO",IF(VLOOKUP("H"&amp;B36,EXPERIENCIA!$A$17:$U$1252,13,0)=1,"NO APLICA",IF(VLOOKUP("Q"&amp;B36,EXPERIENCIA!$A$17:$U$1252,14,0)="CUMPLE","HÁBIL","NO HÁBIL")))</f>
        <v>HÁBIL</v>
      </c>
      <c r="F36" s="113" t="str">
        <f>IF(VLOOKUP("G"&amp;B36,EXPERIENCIA!$A$17:$Z$1252,21,0)="RECHAZO","RECHAZO",IF(VLOOKUP("P"&amp;B36,EXPERIENCIA!$A$17:$Z$1252,7,0)="CUMPLE","HÁBIL","NO HÁBIL"))</f>
        <v>HÁBIL</v>
      </c>
      <c r="G36" s="114" t="str">
        <f t="shared" si="0"/>
        <v>HÁBIL</v>
      </c>
      <c r="H36" s="117"/>
    </row>
    <row r="37" spans="2:8">
      <c r="B37" s="116">
        <f>PROPONENTES!C37</f>
        <v>24</v>
      </c>
      <c r="C37" s="166" t="str">
        <f>VLOOKUP(B37,PROPONENTES!$C$14:$D$37,2,FALSE)</f>
        <v>CONSORCIO VIAL 2019</v>
      </c>
      <c r="D37" s="113" t="str">
        <f>IF(VLOOKUP("G"&amp;B37,EXPERIENCIA!$A$17:$U$1252,21,0)="RECHAZO","RECHAZO",IF(VLOOKUP("H"&amp;B37,EXPERIENCIA!$A$17:$U$1252,13,0)=1,IF(VLOOKUP("M"&amp;B37,EXPERIENCIA!$A$17:$U$1252,7,0)="CUMPLE","HÁBIL","NO HÁBIL"),IF(AND(VLOOKUP("M"&amp;B37,EXPERIENCIA!$A$17:$U$1252,7,0)="CUMPLE",VLOOKUP("Q"&amp;B37,EXPERIENCIA!$A$17:$U$1252,13,0)="CUMPLE"),"HÁBIL","NO HÁBIL")))</f>
        <v>HÁBIL</v>
      </c>
      <c r="E37" s="113" t="str">
        <f>IF(VLOOKUP("G"&amp;B37,EXPERIENCIA!$A$17:$U$1252,21,0)="RECHAZO","RECHAZO",IF(VLOOKUP("H"&amp;B37,EXPERIENCIA!$A$17:$U$1252,13,0)=1,"NO APLICA",IF(VLOOKUP("Q"&amp;B37,EXPERIENCIA!$A$17:$U$1252,14,0)="CUMPLE","HÁBIL","NO HÁBIL")))</f>
        <v>HÁBIL</v>
      </c>
      <c r="F37" s="113" t="str">
        <f>IF(VLOOKUP("G"&amp;B37,EXPERIENCIA!$A$17:$Z$1252,21,0)="RECHAZO","RECHAZO",IF(VLOOKUP("P"&amp;B37,EXPERIENCIA!$A$17:$Z$1252,7,0)="CUMPLE","HÁBIL","NO HÁBIL"))</f>
        <v>HÁBIL</v>
      </c>
      <c r="G37" s="114" t="str">
        <f t="shared" si="0"/>
        <v>HÁBIL</v>
      </c>
      <c r="H37" s="117"/>
    </row>
  </sheetData>
  <sheetProtection insertRows="0" deleteRows="0" selectLockedCells="1"/>
  <mergeCells count="12">
    <mergeCell ref="B8:H8"/>
    <mergeCell ref="B9:H9"/>
    <mergeCell ref="H11:H12"/>
    <mergeCell ref="D11:G11"/>
    <mergeCell ref="B11:B12"/>
    <mergeCell ref="C11:C12"/>
    <mergeCell ref="B6:H6"/>
    <mergeCell ref="B1:H1"/>
    <mergeCell ref="B2:H2"/>
    <mergeCell ref="B3:H3"/>
    <mergeCell ref="B4:H4"/>
    <mergeCell ref="B5:H5"/>
  </mergeCells>
  <conditionalFormatting sqref="B14:H37">
    <cfRule type="expression" dxfId="5" priority="9" stopIfTrue="1">
      <formula>MOD(ROW(),2)</formula>
    </cfRule>
  </conditionalFormatting>
  <conditionalFormatting sqref="D14:G37">
    <cfRule type="cellIs" dxfId="4" priority="4" stopIfTrue="1" operator="equal">
      <formula>"HÁBIL"</formula>
    </cfRule>
    <cfRule type="cellIs" dxfId="3" priority="5" stopIfTrue="1" operator="equal">
      <formula>"NO HÁBIL"</formula>
    </cfRule>
    <cfRule type="cellIs" dxfId="2" priority="8" stopIfTrue="1" operator="equal">
      <formula>"RECHAZO"</formula>
    </cfRule>
  </conditionalFormatting>
  <conditionalFormatting sqref="E14:F37">
    <cfRule type="cellIs" dxfId="1" priority="2"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1"/>
  <dimension ref="A1:J32"/>
  <sheetViews>
    <sheetView topLeftCell="C1" workbookViewId="0">
      <selection activeCell="J2" sqref="J2:J5"/>
    </sheetView>
  </sheetViews>
  <sheetFormatPr baseColWidth="10" defaultColWidth="11" defaultRowHeight="14.5"/>
  <cols>
    <col min="1" max="1" width="3.25" style="177" bestFit="1" customWidth="1"/>
    <col min="2" max="2" width="75" style="177" customWidth="1"/>
    <col min="3" max="3" width="19.33203125" style="177" customWidth="1"/>
    <col min="4" max="5" width="11" style="177"/>
    <col min="6" max="6" width="15.75" style="177" bestFit="1" customWidth="1"/>
    <col min="7" max="7" width="20" style="177" bestFit="1" customWidth="1"/>
    <col min="8" max="8" width="18.5" style="177" bestFit="1" customWidth="1"/>
    <col min="9" max="10" width="16.58203125" style="177" customWidth="1"/>
    <col min="11" max="16384" width="11" style="177"/>
  </cols>
  <sheetData>
    <row r="1" spans="1:10" ht="15" thickTop="1">
      <c r="A1" s="53" t="s">
        <v>21</v>
      </c>
      <c r="B1" s="54" t="s">
        <v>14</v>
      </c>
      <c r="C1" s="180" t="s">
        <v>33</v>
      </c>
      <c r="D1" s="180" t="s">
        <v>47</v>
      </c>
      <c r="E1" s="180" t="s">
        <v>49</v>
      </c>
      <c r="F1" s="180" t="s">
        <v>91</v>
      </c>
      <c r="G1" s="180" t="s">
        <v>92</v>
      </c>
      <c r="H1" s="180" t="s">
        <v>94</v>
      </c>
      <c r="I1" s="180" t="s">
        <v>96</v>
      </c>
      <c r="J1" s="180" t="s">
        <v>124</v>
      </c>
    </row>
    <row r="2" spans="1:10">
      <c r="A2" s="55">
        <v>1</v>
      </c>
      <c r="B2" s="67" t="s">
        <v>13</v>
      </c>
      <c r="C2" s="181" t="s">
        <v>34</v>
      </c>
      <c r="D2" s="252" t="s">
        <v>121</v>
      </c>
      <c r="E2" s="181" t="s">
        <v>50</v>
      </c>
      <c r="F2" s="181" t="s">
        <v>115</v>
      </c>
      <c r="G2" s="181" t="s">
        <v>50</v>
      </c>
      <c r="H2" s="181" t="s">
        <v>109</v>
      </c>
      <c r="I2" s="181" t="s">
        <v>50</v>
      </c>
      <c r="J2" s="181" t="s">
        <v>125</v>
      </c>
    </row>
    <row r="3" spans="1:10">
      <c r="A3" s="56">
        <v>2</v>
      </c>
      <c r="B3" s="51" t="s">
        <v>66</v>
      </c>
      <c r="C3" s="181" t="s">
        <v>35</v>
      </c>
      <c r="D3" s="178"/>
      <c r="E3" s="181" t="s">
        <v>51</v>
      </c>
      <c r="F3" s="181" t="s">
        <v>114</v>
      </c>
      <c r="G3" s="181" t="s">
        <v>51</v>
      </c>
      <c r="H3" s="181" t="s">
        <v>110</v>
      </c>
      <c r="I3" s="181" t="s">
        <v>51</v>
      </c>
      <c r="J3" s="181" t="s">
        <v>126</v>
      </c>
    </row>
    <row r="4" spans="1:10">
      <c r="A4" s="56">
        <v>3</v>
      </c>
      <c r="B4" s="51" t="s">
        <v>67</v>
      </c>
      <c r="C4" s="181" t="s">
        <v>79</v>
      </c>
      <c r="D4" s="178"/>
      <c r="E4" s="181" t="s">
        <v>52</v>
      </c>
      <c r="H4" s="181" t="s">
        <v>111</v>
      </c>
      <c r="I4" s="181" t="s">
        <v>95</v>
      </c>
      <c r="J4" s="181" t="s">
        <v>127</v>
      </c>
    </row>
    <row r="5" spans="1:10">
      <c r="A5" s="56">
        <v>4</v>
      </c>
      <c r="B5" s="51" t="s">
        <v>61</v>
      </c>
      <c r="C5" s="181" t="s">
        <v>80</v>
      </c>
      <c r="D5" s="178"/>
      <c r="E5" s="181"/>
      <c r="H5" s="181" t="s">
        <v>112</v>
      </c>
      <c r="J5" s="181" t="s">
        <v>80</v>
      </c>
    </row>
    <row r="6" spans="1:10">
      <c r="A6" s="56">
        <v>5</v>
      </c>
      <c r="B6" s="51" t="s">
        <v>62</v>
      </c>
      <c r="H6" s="181" t="s">
        <v>114</v>
      </c>
    </row>
    <row r="7" spans="1:10">
      <c r="A7" s="56">
        <v>6</v>
      </c>
      <c r="B7" s="51" t="s">
        <v>63</v>
      </c>
      <c r="H7" s="181" t="s">
        <v>113</v>
      </c>
    </row>
    <row r="8" spans="1:10">
      <c r="A8" s="56">
        <v>7</v>
      </c>
      <c r="B8" s="51" t="s">
        <v>69</v>
      </c>
    </row>
    <row r="9" spans="1:10">
      <c r="A9" s="56">
        <v>8</v>
      </c>
      <c r="B9" s="51" t="s">
        <v>70</v>
      </c>
    </row>
    <row r="10" spans="1:10">
      <c r="A10" s="56">
        <v>9</v>
      </c>
      <c r="B10" s="51" t="s">
        <v>71</v>
      </c>
    </row>
    <row r="11" spans="1:10">
      <c r="A11" s="56">
        <v>10</v>
      </c>
      <c r="B11" s="49" t="s">
        <v>68</v>
      </c>
      <c r="E11" s="179"/>
    </row>
    <row r="12" spans="1:10">
      <c r="A12" s="56">
        <v>11</v>
      </c>
      <c r="B12" s="49" t="s">
        <v>64</v>
      </c>
    </row>
    <row r="13" spans="1:10">
      <c r="A13" s="56">
        <v>12</v>
      </c>
      <c r="B13" s="49" t="s">
        <v>65</v>
      </c>
    </row>
    <row r="14" spans="1:10">
      <c r="A14" s="56">
        <v>13</v>
      </c>
      <c r="B14" s="49" t="s">
        <v>72</v>
      </c>
    </row>
    <row r="15" spans="1:10">
      <c r="A15" s="56">
        <v>14</v>
      </c>
      <c r="B15" s="49" t="s">
        <v>73</v>
      </c>
    </row>
    <row r="16" spans="1:10">
      <c r="A16" s="56">
        <v>15</v>
      </c>
      <c r="B16" s="49" t="s">
        <v>74</v>
      </c>
    </row>
    <row r="17" spans="1:2">
      <c r="A17" s="56">
        <v>16</v>
      </c>
      <c r="B17" s="50"/>
    </row>
    <row r="18" spans="1:2">
      <c r="A18" s="56">
        <v>17</v>
      </c>
      <c r="B18" s="50"/>
    </row>
    <row r="19" spans="1:2">
      <c r="A19" s="56">
        <v>18</v>
      </c>
      <c r="B19" s="50"/>
    </row>
    <row r="20" spans="1:2">
      <c r="A20" s="56">
        <v>19</v>
      </c>
      <c r="B20" s="50"/>
    </row>
    <row r="21" spans="1:2">
      <c r="A21" s="56">
        <v>20</v>
      </c>
      <c r="B21" s="50"/>
    </row>
    <row r="22" spans="1:2">
      <c r="A22" s="56">
        <v>21</v>
      </c>
      <c r="B22" s="50"/>
    </row>
    <row r="23" spans="1:2">
      <c r="A23" s="56">
        <v>22</v>
      </c>
      <c r="B23" s="50"/>
    </row>
    <row r="24" spans="1:2">
      <c r="A24" s="56">
        <v>23</v>
      </c>
      <c r="B24" s="50"/>
    </row>
    <row r="25" spans="1:2">
      <c r="A25" s="56">
        <v>24</v>
      </c>
      <c r="B25" s="50"/>
    </row>
    <row r="26" spans="1:2">
      <c r="A26" s="56">
        <v>25</v>
      </c>
      <c r="B26" s="50"/>
    </row>
    <row r="27" spans="1:2">
      <c r="A27" s="56">
        <v>26</v>
      </c>
      <c r="B27" s="50"/>
    </row>
    <row r="28" spans="1:2">
      <c r="A28" s="56">
        <v>27</v>
      </c>
      <c r="B28" s="50"/>
    </row>
    <row r="29" spans="1:2">
      <c r="A29" s="56">
        <v>28</v>
      </c>
      <c r="B29" s="50"/>
    </row>
    <row r="30" spans="1:2">
      <c r="A30" s="56">
        <v>29</v>
      </c>
      <c r="B30" s="50"/>
    </row>
    <row r="31" spans="1:2" ht="15" thickBot="1">
      <c r="A31" s="57">
        <v>30</v>
      </c>
      <c r="B31" s="52"/>
    </row>
    <row r="32" spans="1:2" ht="15" thickTop="1"/>
  </sheetData>
  <pageMargins left="0.7" right="0.7" top="0.75" bottom="0.75" header="0.3" footer="0.3"/>
  <pageSetup scale="7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6"/>
  <dimension ref="A1:HH502"/>
  <sheetViews>
    <sheetView topLeftCell="A16" workbookViewId="0">
      <selection activeCell="E35" sqref="E35"/>
    </sheetView>
  </sheetViews>
  <sheetFormatPr baseColWidth="10" defaultColWidth="11" defaultRowHeight="12.5"/>
  <cols>
    <col min="1" max="1" width="11" style="208"/>
    <col min="2" max="2" width="1.58203125" style="208" customWidth="1"/>
    <col min="3" max="3" width="12.33203125" style="208" bestFit="1" customWidth="1"/>
    <col min="4" max="4" width="8.83203125" style="208" customWidth="1"/>
    <col min="5" max="5" width="11.5" style="218" bestFit="1" customWidth="1"/>
    <col min="6" max="6" width="11" style="209"/>
    <col min="7" max="7" width="11" style="216"/>
    <col min="8" max="8" width="74.75" style="213" bestFit="1" customWidth="1"/>
    <col min="9" max="16384" width="11" style="213"/>
  </cols>
  <sheetData>
    <row r="1" spans="1:8">
      <c r="A1" s="377" t="s">
        <v>5</v>
      </c>
      <c r="B1" s="377"/>
      <c r="C1" s="377"/>
      <c r="D1" s="207" t="s">
        <v>6</v>
      </c>
      <c r="E1" s="218" t="s">
        <v>38</v>
      </c>
      <c r="G1" s="213"/>
    </row>
    <row r="2" spans="1:8">
      <c r="A2" s="210">
        <v>29222</v>
      </c>
      <c r="B2" s="211"/>
      <c r="C2" s="211">
        <v>29587</v>
      </c>
      <c r="D2" s="212">
        <v>4500</v>
      </c>
      <c r="E2" s="219"/>
      <c r="G2" s="213"/>
    </row>
    <row r="3" spans="1:8">
      <c r="A3" s="211">
        <v>29588</v>
      </c>
      <c r="B3" s="211"/>
      <c r="C3" s="211">
        <v>29952</v>
      </c>
      <c r="D3" s="212">
        <v>5700</v>
      </c>
      <c r="E3" s="220">
        <f>+D3/D2-1</f>
        <v>0.26666666666666661</v>
      </c>
      <c r="G3" s="213"/>
    </row>
    <row r="4" spans="1:8">
      <c r="A4" s="211">
        <v>29953</v>
      </c>
      <c r="B4" s="211"/>
      <c r="C4" s="211">
        <v>30317</v>
      </c>
      <c r="D4" s="212">
        <v>7410</v>
      </c>
      <c r="E4" s="220">
        <f t="shared" ref="E4:E28" si="0">+D4/D3-1</f>
        <v>0.30000000000000004</v>
      </c>
      <c r="G4" s="213"/>
    </row>
    <row r="5" spans="1:8">
      <c r="A5" s="211">
        <v>30318</v>
      </c>
      <c r="B5" s="211"/>
      <c r="C5" s="211">
        <v>30682</v>
      </c>
      <c r="D5" s="212">
        <v>9261</v>
      </c>
      <c r="E5" s="220">
        <f t="shared" si="0"/>
        <v>0.24979757085020249</v>
      </c>
      <c r="G5" s="213"/>
    </row>
    <row r="6" spans="1:8">
      <c r="A6" s="211">
        <v>30683</v>
      </c>
      <c r="B6" s="211"/>
      <c r="C6" s="211">
        <v>31048</v>
      </c>
      <c r="D6" s="212">
        <v>11298</v>
      </c>
      <c r="E6" s="220">
        <f t="shared" si="0"/>
        <v>0.21995464852607705</v>
      </c>
      <c r="G6" s="213"/>
    </row>
    <row r="7" spans="1:8">
      <c r="A7" s="210">
        <v>31049</v>
      </c>
      <c r="B7" s="211"/>
      <c r="C7" s="211">
        <v>31413</v>
      </c>
      <c r="D7" s="212">
        <v>13557.6</v>
      </c>
      <c r="E7" s="220">
        <f t="shared" si="0"/>
        <v>0.19999999999999996</v>
      </c>
      <c r="G7" s="213"/>
    </row>
    <row r="8" spans="1:8">
      <c r="A8" s="211">
        <v>31414</v>
      </c>
      <c r="B8" s="211"/>
      <c r="C8" s="211">
        <v>31778</v>
      </c>
      <c r="D8" s="212">
        <v>16611.400000000001</v>
      </c>
      <c r="E8" s="220">
        <f t="shared" si="0"/>
        <v>0.22524635628724865</v>
      </c>
      <c r="G8" s="213"/>
    </row>
    <row r="9" spans="1:8">
      <c r="A9" s="211">
        <v>31779</v>
      </c>
      <c r="B9" s="211"/>
      <c r="C9" s="211">
        <v>32143</v>
      </c>
      <c r="D9" s="212">
        <v>20509.8</v>
      </c>
      <c r="E9" s="220">
        <f t="shared" si="0"/>
        <v>0.23468220619574498</v>
      </c>
      <c r="G9" s="213"/>
    </row>
    <row r="10" spans="1:8">
      <c r="A10" s="211">
        <v>32144</v>
      </c>
      <c r="B10" s="211"/>
      <c r="C10" s="211">
        <v>32508</v>
      </c>
      <c r="D10" s="212">
        <v>25637.4</v>
      </c>
      <c r="E10" s="220">
        <f t="shared" si="0"/>
        <v>0.25000731357692429</v>
      </c>
      <c r="G10" s="213"/>
    </row>
    <row r="11" spans="1:8">
      <c r="A11" s="211">
        <v>32509</v>
      </c>
      <c r="B11" s="211"/>
      <c r="C11" s="211">
        <v>32873</v>
      </c>
      <c r="D11" s="212">
        <v>32559.599999999999</v>
      </c>
      <c r="E11" s="220">
        <f t="shared" si="0"/>
        <v>0.27000397856256853</v>
      </c>
      <c r="G11" s="213"/>
    </row>
    <row r="12" spans="1:8" ht="13" thickBot="1">
      <c r="A12" s="210">
        <v>32874</v>
      </c>
      <c r="B12" s="211"/>
      <c r="C12" s="211">
        <v>33238</v>
      </c>
      <c r="D12" s="212">
        <v>41025</v>
      </c>
      <c r="E12" s="220">
        <f t="shared" si="0"/>
        <v>0.25999705156083008</v>
      </c>
      <c r="G12" s="214"/>
      <c r="H12" s="215"/>
    </row>
    <row r="13" spans="1:8" ht="13" thickTop="1">
      <c r="A13" s="211">
        <v>33239</v>
      </c>
      <c r="B13" s="211"/>
      <c r="C13" s="211">
        <v>33603</v>
      </c>
      <c r="D13" s="212">
        <v>51720</v>
      </c>
      <c r="E13" s="220">
        <f t="shared" si="0"/>
        <v>0.26069469835466186</v>
      </c>
      <c r="G13" s="63" t="s">
        <v>25</v>
      </c>
      <c r="H13" s="64" t="s">
        <v>26</v>
      </c>
    </row>
    <row r="14" spans="1:8" ht="13.5" thickBot="1">
      <c r="A14" s="211">
        <v>33604</v>
      </c>
      <c r="B14" s="211"/>
      <c r="C14" s="211">
        <v>33969</v>
      </c>
      <c r="D14" s="212">
        <v>65190</v>
      </c>
      <c r="E14" s="220">
        <f t="shared" si="0"/>
        <v>0.26044083526682127</v>
      </c>
      <c r="G14" s="65">
        <f ca="1">TODAY()</f>
        <v>43776</v>
      </c>
      <c r="H14" s="66">
        <f ca="1">LOOKUP(G14,A2:A100,D2:D100)</f>
        <v>828116</v>
      </c>
    </row>
    <row r="15" spans="1:8" ht="13.5" thickTop="1" thickBot="1">
      <c r="A15" s="211">
        <v>33970</v>
      </c>
      <c r="B15" s="211"/>
      <c r="C15" s="211">
        <v>34334</v>
      </c>
      <c r="D15" s="212">
        <v>81510</v>
      </c>
      <c r="E15" s="220">
        <f t="shared" si="0"/>
        <v>0.25034514496088356</v>
      </c>
    </row>
    <row r="16" spans="1:8" ht="15" thickTop="1">
      <c r="A16" s="211">
        <v>34335</v>
      </c>
      <c r="B16" s="211"/>
      <c r="C16" s="211">
        <v>34699</v>
      </c>
      <c r="D16" s="212">
        <v>98700</v>
      </c>
      <c r="E16" s="220">
        <f t="shared" si="0"/>
        <v>0.21089436878910561</v>
      </c>
      <c r="G16" s="68" t="s">
        <v>32</v>
      </c>
    </row>
    <row r="17" spans="1:7" ht="14.5">
      <c r="A17" s="210">
        <v>34700</v>
      </c>
      <c r="B17" s="211"/>
      <c r="C17" s="211">
        <v>35064</v>
      </c>
      <c r="D17" s="212">
        <v>118933.5</v>
      </c>
      <c r="E17" s="220">
        <f t="shared" si="0"/>
        <v>0.20500000000000007</v>
      </c>
      <c r="G17" s="69" t="s">
        <v>30</v>
      </c>
    </row>
    <row r="18" spans="1:7" ht="15" thickBot="1">
      <c r="A18" s="211">
        <v>35065</v>
      </c>
      <c r="B18" s="211"/>
      <c r="C18" s="211">
        <v>35430</v>
      </c>
      <c r="D18" s="212">
        <v>142125</v>
      </c>
      <c r="E18" s="220">
        <f t="shared" si="0"/>
        <v>0.19499552270806797</v>
      </c>
      <c r="G18" s="70" t="s">
        <v>31</v>
      </c>
    </row>
    <row r="19" spans="1:7" ht="13" thickTop="1">
      <c r="A19" s="211">
        <v>35431</v>
      </c>
      <c r="B19" s="211"/>
      <c r="C19" s="211">
        <v>35795</v>
      </c>
      <c r="D19" s="212">
        <v>172005</v>
      </c>
      <c r="E19" s="220">
        <f t="shared" si="0"/>
        <v>0.21023746701846968</v>
      </c>
    </row>
    <row r="20" spans="1:7">
      <c r="A20" s="211">
        <v>35796</v>
      </c>
      <c r="B20" s="211"/>
      <c r="C20" s="211">
        <v>36160</v>
      </c>
      <c r="D20" s="212">
        <v>203826</v>
      </c>
      <c r="E20" s="220">
        <f t="shared" si="0"/>
        <v>0.1850004360338362</v>
      </c>
    </row>
    <row r="21" spans="1:7">
      <c r="A21" s="211">
        <v>36161</v>
      </c>
      <c r="B21" s="211"/>
      <c r="C21" s="211">
        <v>36525</v>
      </c>
      <c r="D21" s="212">
        <v>236460</v>
      </c>
      <c r="E21" s="220">
        <f t="shared" si="0"/>
        <v>0.16010715021636091</v>
      </c>
    </row>
    <row r="22" spans="1:7">
      <c r="A22" s="210">
        <v>36526</v>
      </c>
      <c r="B22" s="211"/>
      <c r="C22" s="211">
        <v>36891</v>
      </c>
      <c r="D22" s="212">
        <v>260100</v>
      </c>
      <c r="E22" s="220">
        <f t="shared" si="0"/>
        <v>9.9974625729510214E-2</v>
      </c>
    </row>
    <row r="23" spans="1:7">
      <c r="A23" s="211">
        <v>36892</v>
      </c>
      <c r="B23" s="211"/>
      <c r="C23" s="211">
        <v>37256</v>
      </c>
      <c r="D23" s="212">
        <v>286000</v>
      </c>
      <c r="E23" s="220">
        <f t="shared" si="0"/>
        <v>9.9577085736255233E-2</v>
      </c>
    </row>
    <row r="24" spans="1:7">
      <c r="A24" s="211">
        <v>37257</v>
      </c>
      <c r="B24" s="211"/>
      <c r="C24" s="211">
        <v>37621</v>
      </c>
      <c r="D24" s="212">
        <v>309000</v>
      </c>
      <c r="E24" s="220">
        <f t="shared" si="0"/>
        <v>8.0419580419580416E-2</v>
      </c>
    </row>
    <row r="25" spans="1:7">
      <c r="A25" s="211">
        <v>37622</v>
      </c>
      <c r="B25" s="211"/>
      <c r="C25" s="211">
        <v>37986</v>
      </c>
      <c r="D25" s="212">
        <v>332000</v>
      </c>
      <c r="E25" s="220">
        <f t="shared" si="0"/>
        <v>7.4433656957928696E-2</v>
      </c>
    </row>
    <row r="26" spans="1:7">
      <c r="A26" s="211">
        <v>37987</v>
      </c>
      <c r="B26" s="211"/>
      <c r="C26" s="211">
        <v>38352</v>
      </c>
      <c r="D26" s="212">
        <v>358000</v>
      </c>
      <c r="E26" s="220">
        <f t="shared" si="0"/>
        <v>7.8313253012048278E-2</v>
      </c>
    </row>
    <row r="27" spans="1:7">
      <c r="A27" s="210">
        <v>38353</v>
      </c>
      <c r="B27" s="211"/>
      <c r="C27" s="211">
        <v>38717</v>
      </c>
      <c r="D27" s="212">
        <v>381500</v>
      </c>
      <c r="E27" s="220">
        <f t="shared" si="0"/>
        <v>6.5642458100558576E-2</v>
      </c>
    </row>
    <row r="28" spans="1:7">
      <c r="A28" s="211">
        <v>38718</v>
      </c>
      <c r="B28" s="211"/>
      <c r="C28" s="211">
        <v>39082</v>
      </c>
      <c r="D28" s="212">
        <v>408000</v>
      </c>
      <c r="E28" s="220">
        <f t="shared" si="0"/>
        <v>6.9462647444298753E-2</v>
      </c>
    </row>
    <row r="29" spans="1:7">
      <c r="A29" s="211">
        <v>39083</v>
      </c>
      <c r="B29" s="211"/>
      <c r="C29" s="211">
        <v>39447</v>
      </c>
      <c r="D29" s="212">
        <v>433700</v>
      </c>
      <c r="E29" s="220">
        <f t="shared" ref="E29:E36" si="1">+D29/D28-1</f>
        <v>6.2990196078431371E-2</v>
      </c>
    </row>
    <row r="30" spans="1:7">
      <c r="A30" s="211">
        <v>39448</v>
      </c>
      <c r="C30" s="211">
        <v>39813</v>
      </c>
      <c r="D30" s="212">
        <v>461500</v>
      </c>
      <c r="E30" s="220">
        <f t="shared" si="1"/>
        <v>6.4099608023979737E-2</v>
      </c>
    </row>
    <row r="31" spans="1:7">
      <c r="A31" s="211">
        <v>39814</v>
      </c>
      <c r="C31" s="211">
        <v>40178</v>
      </c>
      <c r="D31" s="212">
        <v>496900</v>
      </c>
      <c r="E31" s="220">
        <f t="shared" si="1"/>
        <v>7.6706392199350049E-2</v>
      </c>
    </row>
    <row r="32" spans="1:7">
      <c r="A32" s="210">
        <v>40179</v>
      </c>
      <c r="C32" s="211">
        <v>40543</v>
      </c>
      <c r="D32" s="212">
        <v>515000</v>
      </c>
      <c r="E32" s="220">
        <f t="shared" si="1"/>
        <v>3.6425840209297622E-2</v>
      </c>
    </row>
    <row r="33" spans="1:5">
      <c r="A33" s="211">
        <v>40544</v>
      </c>
      <c r="C33" s="211">
        <v>40908</v>
      </c>
      <c r="D33" s="212">
        <v>535600</v>
      </c>
      <c r="E33" s="220">
        <f t="shared" si="1"/>
        <v>4.0000000000000036E-2</v>
      </c>
    </row>
    <row r="34" spans="1:5">
      <c r="A34" s="211">
        <v>40909</v>
      </c>
      <c r="C34" s="211">
        <v>41274</v>
      </c>
      <c r="D34" s="212">
        <v>566700</v>
      </c>
      <c r="E34" s="220">
        <f t="shared" si="1"/>
        <v>5.8065720687079825E-2</v>
      </c>
    </row>
    <row r="35" spans="1:5">
      <c r="A35" s="211">
        <v>41275</v>
      </c>
      <c r="C35" s="211">
        <v>41639</v>
      </c>
      <c r="D35" s="212">
        <v>589500</v>
      </c>
      <c r="E35" s="220">
        <f t="shared" si="1"/>
        <v>4.0232927474854518E-2</v>
      </c>
    </row>
    <row r="36" spans="1:5">
      <c r="A36" s="211">
        <v>41640</v>
      </c>
      <c r="C36" s="211">
        <v>42004</v>
      </c>
      <c r="D36" s="212">
        <v>616000</v>
      </c>
      <c r="E36" s="220">
        <f t="shared" si="1"/>
        <v>4.495335029686176E-2</v>
      </c>
    </row>
    <row r="37" spans="1:5">
      <c r="A37" s="211">
        <v>42005</v>
      </c>
      <c r="C37" s="211">
        <v>42369</v>
      </c>
      <c r="D37" s="212">
        <v>644350</v>
      </c>
      <c r="E37" s="220">
        <f>IF(D37="","",D37/D36-1)</f>
        <v>4.6022727272727382E-2</v>
      </c>
    </row>
    <row r="38" spans="1:5">
      <c r="A38" s="211">
        <v>42370</v>
      </c>
      <c r="C38" s="211">
        <v>42735</v>
      </c>
      <c r="D38" s="212">
        <v>689454</v>
      </c>
      <c r="E38" s="220">
        <f t="shared" ref="E38:E101" si="2">IF(D38="","",D38/D37-1)</f>
        <v>6.9999224024210438E-2</v>
      </c>
    </row>
    <row r="39" spans="1:5">
      <c r="A39" s="211">
        <v>42736</v>
      </c>
      <c r="C39" s="211">
        <v>43100</v>
      </c>
      <c r="D39" s="212">
        <v>737717</v>
      </c>
      <c r="E39" s="220">
        <f t="shared" si="2"/>
        <v>7.0001769516167878E-2</v>
      </c>
    </row>
    <row r="40" spans="1:5">
      <c r="A40" s="211">
        <v>43101</v>
      </c>
      <c r="C40" s="211">
        <v>43465</v>
      </c>
      <c r="D40" s="212">
        <v>781242</v>
      </c>
      <c r="E40" s="220">
        <f t="shared" si="2"/>
        <v>5.8999589273393438E-2</v>
      </c>
    </row>
    <row r="41" spans="1:5">
      <c r="A41" s="211">
        <v>43466</v>
      </c>
      <c r="C41" s="211">
        <v>43830</v>
      </c>
      <c r="D41" s="212">
        <v>828116</v>
      </c>
      <c r="E41" s="220">
        <f t="shared" si="2"/>
        <v>5.9999334393184167E-2</v>
      </c>
    </row>
    <row r="42" spans="1:5">
      <c r="E42" s="220" t="str">
        <f t="shared" si="2"/>
        <v/>
      </c>
    </row>
    <row r="43" spans="1:5">
      <c r="E43" s="220" t="str">
        <f t="shared" si="2"/>
        <v/>
      </c>
    </row>
    <row r="44" spans="1:5">
      <c r="E44" s="220" t="str">
        <f t="shared" si="2"/>
        <v/>
      </c>
    </row>
    <row r="45" spans="1:5">
      <c r="E45" s="220" t="str">
        <f t="shared" si="2"/>
        <v/>
      </c>
    </row>
    <row r="46" spans="1:5">
      <c r="E46" s="220" t="str">
        <f t="shared" si="2"/>
        <v/>
      </c>
    </row>
    <row r="47" spans="1:5">
      <c r="E47" s="220" t="str">
        <f t="shared" si="2"/>
        <v/>
      </c>
    </row>
    <row r="48" spans="1:5">
      <c r="E48" s="220" t="str">
        <f t="shared" si="2"/>
        <v/>
      </c>
    </row>
    <row r="49" spans="5:5">
      <c r="E49" s="220" t="str">
        <f t="shared" si="2"/>
        <v/>
      </c>
    </row>
    <row r="50" spans="5:5">
      <c r="E50" s="220" t="str">
        <f t="shared" si="2"/>
        <v/>
      </c>
    </row>
    <row r="51" spans="5:5">
      <c r="E51" s="220" t="str">
        <f t="shared" si="2"/>
        <v/>
      </c>
    </row>
    <row r="52" spans="5:5">
      <c r="E52" s="220" t="str">
        <f t="shared" si="2"/>
        <v/>
      </c>
    </row>
    <row r="53" spans="5:5">
      <c r="E53" s="220" t="str">
        <f t="shared" si="2"/>
        <v/>
      </c>
    </row>
    <row r="54" spans="5:5">
      <c r="E54" s="220" t="str">
        <f t="shared" si="2"/>
        <v/>
      </c>
    </row>
    <row r="55" spans="5:5">
      <c r="E55" s="220" t="str">
        <f t="shared" si="2"/>
        <v/>
      </c>
    </row>
    <row r="56" spans="5:5">
      <c r="E56" s="220" t="str">
        <f t="shared" si="2"/>
        <v/>
      </c>
    </row>
    <row r="57" spans="5:5">
      <c r="E57" s="220" t="str">
        <f t="shared" si="2"/>
        <v/>
      </c>
    </row>
    <row r="58" spans="5:5">
      <c r="E58" s="220" t="str">
        <f t="shared" si="2"/>
        <v/>
      </c>
    </row>
    <row r="59" spans="5:5">
      <c r="E59" s="220" t="str">
        <f t="shared" si="2"/>
        <v/>
      </c>
    </row>
    <row r="60" spans="5:5">
      <c r="E60" s="220" t="str">
        <f t="shared" si="2"/>
        <v/>
      </c>
    </row>
    <row r="61" spans="5:5">
      <c r="E61" s="220" t="str">
        <f t="shared" si="2"/>
        <v/>
      </c>
    </row>
    <row r="62" spans="5:5">
      <c r="E62" s="220" t="str">
        <f t="shared" si="2"/>
        <v/>
      </c>
    </row>
    <row r="63" spans="5:5">
      <c r="E63" s="220" t="str">
        <f t="shared" si="2"/>
        <v/>
      </c>
    </row>
    <row r="64" spans="5:5">
      <c r="E64" s="220" t="str">
        <f t="shared" si="2"/>
        <v/>
      </c>
    </row>
    <row r="65" spans="5:5">
      <c r="E65" s="220" t="str">
        <f t="shared" si="2"/>
        <v/>
      </c>
    </row>
    <row r="66" spans="5:5">
      <c r="E66" s="220" t="str">
        <f t="shared" si="2"/>
        <v/>
      </c>
    </row>
    <row r="67" spans="5:5">
      <c r="E67" s="220" t="str">
        <f t="shared" si="2"/>
        <v/>
      </c>
    </row>
    <row r="68" spans="5:5">
      <c r="E68" s="220" t="str">
        <f t="shared" si="2"/>
        <v/>
      </c>
    </row>
    <row r="69" spans="5:5">
      <c r="E69" s="220" t="str">
        <f t="shared" si="2"/>
        <v/>
      </c>
    </row>
    <row r="70" spans="5:5">
      <c r="E70" s="220" t="str">
        <f t="shared" si="2"/>
        <v/>
      </c>
    </row>
    <row r="71" spans="5:5">
      <c r="E71" s="220" t="str">
        <f t="shared" si="2"/>
        <v/>
      </c>
    </row>
    <row r="72" spans="5:5">
      <c r="E72" s="220" t="str">
        <f t="shared" si="2"/>
        <v/>
      </c>
    </row>
    <row r="73" spans="5:5">
      <c r="E73" s="220" t="str">
        <f t="shared" si="2"/>
        <v/>
      </c>
    </row>
    <row r="74" spans="5:5">
      <c r="E74" s="220" t="str">
        <f t="shared" si="2"/>
        <v/>
      </c>
    </row>
    <row r="75" spans="5:5">
      <c r="E75" s="220" t="str">
        <f t="shared" si="2"/>
        <v/>
      </c>
    </row>
    <row r="76" spans="5:5">
      <c r="E76" s="220" t="str">
        <f t="shared" si="2"/>
        <v/>
      </c>
    </row>
    <row r="77" spans="5:5">
      <c r="E77" s="220" t="str">
        <f t="shared" si="2"/>
        <v/>
      </c>
    </row>
    <row r="78" spans="5:5">
      <c r="E78" s="220" t="str">
        <f t="shared" si="2"/>
        <v/>
      </c>
    </row>
    <row r="79" spans="5:5">
      <c r="E79" s="220" t="str">
        <f t="shared" si="2"/>
        <v/>
      </c>
    </row>
    <row r="80" spans="5:5">
      <c r="E80" s="220" t="str">
        <f t="shared" si="2"/>
        <v/>
      </c>
    </row>
    <row r="81" spans="5:5">
      <c r="E81" s="220" t="str">
        <f t="shared" si="2"/>
        <v/>
      </c>
    </row>
    <row r="82" spans="5:5">
      <c r="E82" s="220" t="str">
        <f t="shared" si="2"/>
        <v/>
      </c>
    </row>
    <row r="83" spans="5:5">
      <c r="E83" s="220" t="str">
        <f t="shared" si="2"/>
        <v/>
      </c>
    </row>
    <row r="84" spans="5:5">
      <c r="E84" s="220" t="str">
        <f t="shared" si="2"/>
        <v/>
      </c>
    </row>
    <row r="85" spans="5:5">
      <c r="E85" s="220" t="str">
        <f t="shared" si="2"/>
        <v/>
      </c>
    </row>
    <row r="86" spans="5:5">
      <c r="E86" s="220" t="str">
        <f t="shared" si="2"/>
        <v/>
      </c>
    </row>
    <row r="87" spans="5:5">
      <c r="E87" s="220" t="str">
        <f t="shared" si="2"/>
        <v/>
      </c>
    </row>
    <row r="88" spans="5:5">
      <c r="E88" s="220" t="str">
        <f t="shared" si="2"/>
        <v/>
      </c>
    </row>
    <row r="89" spans="5:5">
      <c r="E89" s="220" t="str">
        <f t="shared" si="2"/>
        <v/>
      </c>
    </row>
    <row r="90" spans="5:5">
      <c r="E90" s="220" t="str">
        <f t="shared" si="2"/>
        <v/>
      </c>
    </row>
    <row r="91" spans="5:5">
      <c r="E91" s="220" t="str">
        <f t="shared" si="2"/>
        <v/>
      </c>
    </row>
    <row r="92" spans="5:5">
      <c r="E92" s="220" t="str">
        <f t="shared" si="2"/>
        <v/>
      </c>
    </row>
    <row r="93" spans="5:5">
      <c r="E93" s="220" t="str">
        <f t="shared" si="2"/>
        <v/>
      </c>
    </row>
    <row r="94" spans="5:5">
      <c r="E94" s="220" t="str">
        <f t="shared" si="2"/>
        <v/>
      </c>
    </row>
    <row r="95" spans="5:5">
      <c r="E95" s="220" t="str">
        <f t="shared" si="2"/>
        <v/>
      </c>
    </row>
    <row r="96" spans="5:5">
      <c r="E96" s="220" t="str">
        <f t="shared" si="2"/>
        <v/>
      </c>
    </row>
    <row r="97" spans="5:5">
      <c r="E97" s="220" t="str">
        <f t="shared" si="2"/>
        <v/>
      </c>
    </row>
    <row r="98" spans="5:5">
      <c r="E98" s="220" t="str">
        <f t="shared" si="2"/>
        <v/>
      </c>
    </row>
    <row r="99" spans="5:5">
      <c r="E99" s="220" t="str">
        <f t="shared" si="2"/>
        <v/>
      </c>
    </row>
    <row r="100" spans="5:5">
      <c r="E100" s="220" t="str">
        <f t="shared" si="2"/>
        <v/>
      </c>
    </row>
    <row r="101" spans="5:5">
      <c r="E101" s="220" t="str">
        <f t="shared" si="2"/>
        <v/>
      </c>
    </row>
    <row r="102" spans="5:5">
      <c r="E102" s="220" t="str">
        <f t="shared" ref="E102:E165" si="3">IF(D102="","",D102/D101-1)</f>
        <v/>
      </c>
    </row>
    <row r="103" spans="5:5">
      <c r="E103" s="220" t="str">
        <f t="shared" si="3"/>
        <v/>
      </c>
    </row>
    <row r="104" spans="5:5">
      <c r="E104" s="220" t="str">
        <f t="shared" si="3"/>
        <v/>
      </c>
    </row>
    <row r="105" spans="5:5">
      <c r="E105" s="220" t="str">
        <f t="shared" si="3"/>
        <v/>
      </c>
    </row>
    <row r="106" spans="5:5">
      <c r="E106" s="220" t="str">
        <f t="shared" si="3"/>
        <v/>
      </c>
    </row>
    <row r="107" spans="5:5">
      <c r="E107" s="220" t="str">
        <f t="shared" si="3"/>
        <v/>
      </c>
    </row>
    <row r="108" spans="5:5">
      <c r="E108" s="220" t="str">
        <f t="shared" si="3"/>
        <v/>
      </c>
    </row>
    <row r="109" spans="5:5">
      <c r="E109" s="220" t="str">
        <f t="shared" si="3"/>
        <v/>
      </c>
    </row>
    <row r="110" spans="5:5">
      <c r="E110" s="220" t="str">
        <f t="shared" si="3"/>
        <v/>
      </c>
    </row>
    <row r="111" spans="5:5">
      <c r="E111" s="220" t="str">
        <f t="shared" si="3"/>
        <v/>
      </c>
    </row>
    <row r="112" spans="5:5">
      <c r="E112" s="220" t="str">
        <f t="shared" si="3"/>
        <v/>
      </c>
    </row>
    <row r="113" spans="5:5">
      <c r="E113" s="220" t="str">
        <f t="shared" si="3"/>
        <v/>
      </c>
    </row>
    <row r="114" spans="5:5">
      <c r="E114" s="220" t="str">
        <f t="shared" si="3"/>
        <v/>
      </c>
    </row>
    <row r="115" spans="5:5">
      <c r="E115" s="220" t="str">
        <f t="shared" si="3"/>
        <v/>
      </c>
    </row>
    <row r="116" spans="5:5">
      <c r="E116" s="220" t="str">
        <f t="shared" si="3"/>
        <v/>
      </c>
    </row>
    <row r="117" spans="5:5">
      <c r="E117" s="220" t="str">
        <f t="shared" si="3"/>
        <v/>
      </c>
    </row>
    <row r="118" spans="5:5">
      <c r="E118" s="220" t="str">
        <f t="shared" si="3"/>
        <v/>
      </c>
    </row>
    <row r="119" spans="5:5">
      <c r="E119" s="220" t="str">
        <f t="shared" si="3"/>
        <v/>
      </c>
    </row>
    <row r="120" spans="5:5">
      <c r="E120" s="220" t="str">
        <f t="shared" si="3"/>
        <v/>
      </c>
    </row>
    <row r="121" spans="5:5">
      <c r="E121" s="220" t="str">
        <f t="shared" si="3"/>
        <v/>
      </c>
    </row>
    <row r="122" spans="5:5">
      <c r="E122" s="220" t="str">
        <f t="shared" si="3"/>
        <v/>
      </c>
    </row>
    <row r="123" spans="5:5">
      <c r="E123" s="220" t="str">
        <f t="shared" si="3"/>
        <v/>
      </c>
    </row>
    <row r="124" spans="5:5">
      <c r="E124" s="220" t="str">
        <f t="shared" si="3"/>
        <v/>
      </c>
    </row>
    <row r="125" spans="5:5">
      <c r="E125" s="220" t="str">
        <f t="shared" si="3"/>
        <v/>
      </c>
    </row>
    <row r="126" spans="5:5">
      <c r="E126" s="220" t="str">
        <f t="shared" si="3"/>
        <v/>
      </c>
    </row>
    <row r="127" spans="5:5">
      <c r="E127" s="220" t="str">
        <f t="shared" si="3"/>
        <v/>
      </c>
    </row>
    <row r="128" spans="5:5">
      <c r="E128" s="220" t="str">
        <f t="shared" si="3"/>
        <v/>
      </c>
    </row>
    <row r="129" spans="5:5">
      <c r="E129" s="220" t="str">
        <f t="shared" si="3"/>
        <v/>
      </c>
    </row>
    <row r="130" spans="5:5">
      <c r="E130" s="220" t="str">
        <f t="shared" si="3"/>
        <v/>
      </c>
    </row>
    <row r="131" spans="5:5">
      <c r="E131" s="220" t="str">
        <f t="shared" si="3"/>
        <v/>
      </c>
    </row>
    <row r="132" spans="5:5">
      <c r="E132" s="220" t="str">
        <f t="shared" si="3"/>
        <v/>
      </c>
    </row>
    <row r="133" spans="5:5">
      <c r="E133" s="220" t="str">
        <f t="shared" si="3"/>
        <v/>
      </c>
    </row>
    <row r="134" spans="5:5">
      <c r="E134" s="220" t="str">
        <f t="shared" si="3"/>
        <v/>
      </c>
    </row>
    <row r="135" spans="5:5">
      <c r="E135" s="220" t="str">
        <f t="shared" si="3"/>
        <v/>
      </c>
    </row>
    <row r="136" spans="5:5">
      <c r="E136" s="220" t="str">
        <f t="shared" si="3"/>
        <v/>
      </c>
    </row>
    <row r="137" spans="5:5">
      <c r="E137" s="220" t="str">
        <f t="shared" si="3"/>
        <v/>
      </c>
    </row>
    <row r="138" spans="5:5">
      <c r="E138" s="220" t="str">
        <f t="shared" si="3"/>
        <v/>
      </c>
    </row>
    <row r="139" spans="5:5">
      <c r="E139" s="220" t="str">
        <f t="shared" si="3"/>
        <v/>
      </c>
    </row>
    <row r="140" spans="5:5">
      <c r="E140" s="220" t="str">
        <f t="shared" si="3"/>
        <v/>
      </c>
    </row>
    <row r="141" spans="5:5">
      <c r="E141" s="220" t="str">
        <f t="shared" si="3"/>
        <v/>
      </c>
    </row>
    <row r="142" spans="5:5">
      <c r="E142" s="220" t="str">
        <f t="shared" si="3"/>
        <v/>
      </c>
    </row>
    <row r="143" spans="5:5">
      <c r="E143" s="220" t="str">
        <f t="shared" si="3"/>
        <v/>
      </c>
    </row>
    <row r="144" spans="5:5">
      <c r="E144" s="220" t="str">
        <f t="shared" si="3"/>
        <v/>
      </c>
    </row>
    <row r="145" spans="5:5">
      <c r="E145" s="220" t="str">
        <f t="shared" si="3"/>
        <v/>
      </c>
    </row>
    <row r="146" spans="5:5">
      <c r="E146" s="220" t="str">
        <f t="shared" si="3"/>
        <v/>
      </c>
    </row>
    <row r="147" spans="5:5">
      <c r="E147" s="220" t="str">
        <f t="shared" si="3"/>
        <v/>
      </c>
    </row>
    <row r="148" spans="5:5">
      <c r="E148" s="220" t="str">
        <f t="shared" si="3"/>
        <v/>
      </c>
    </row>
    <row r="149" spans="5:5">
      <c r="E149" s="220" t="str">
        <f t="shared" si="3"/>
        <v/>
      </c>
    </row>
    <row r="150" spans="5:5">
      <c r="E150" s="220" t="str">
        <f t="shared" si="3"/>
        <v/>
      </c>
    </row>
    <row r="151" spans="5:5">
      <c r="E151" s="220" t="str">
        <f t="shared" si="3"/>
        <v/>
      </c>
    </row>
    <row r="152" spans="5:5">
      <c r="E152" s="220" t="str">
        <f t="shared" si="3"/>
        <v/>
      </c>
    </row>
    <row r="153" spans="5:5">
      <c r="E153" s="220" t="str">
        <f t="shared" si="3"/>
        <v/>
      </c>
    </row>
    <row r="154" spans="5:5">
      <c r="E154" s="220" t="str">
        <f t="shared" si="3"/>
        <v/>
      </c>
    </row>
    <row r="155" spans="5:5">
      <c r="E155" s="220" t="str">
        <f t="shared" si="3"/>
        <v/>
      </c>
    </row>
    <row r="156" spans="5:5">
      <c r="E156" s="220" t="str">
        <f t="shared" si="3"/>
        <v/>
      </c>
    </row>
    <row r="157" spans="5:5">
      <c r="E157" s="220" t="str">
        <f t="shared" si="3"/>
        <v/>
      </c>
    </row>
    <row r="158" spans="5:5">
      <c r="E158" s="220" t="str">
        <f t="shared" si="3"/>
        <v/>
      </c>
    </row>
    <row r="159" spans="5:5">
      <c r="E159" s="220" t="str">
        <f t="shared" si="3"/>
        <v/>
      </c>
    </row>
    <row r="160" spans="5:5">
      <c r="E160" s="220" t="str">
        <f t="shared" si="3"/>
        <v/>
      </c>
    </row>
    <row r="161" spans="5:5">
      <c r="E161" s="220" t="str">
        <f t="shared" si="3"/>
        <v/>
      </c>
    </row>
    <row r="162" spans="5:5">
      <c r="E162" s="220" t="str">
        <f t="shared" si="3"/>
        <v/>
      </c>
    </row>
    <row r="163" spans="5:5">
      <c r="E163" s="220" t="str">
        <f t="shared" si="3"/>
        <v/>
      </c>
    </row>
    <row r="164" spans="5:5">
      <c r="E164" s="220" t="str">
        <f t="shared" si="3"/>
        <v/>
      </c>
    </row>
    <row r="165" spans="5:5">
      <c r="E165" s="220" t="str">
        <f t="shared" si="3"/>
        <v/>
      </c>
    </row>
    <row r="166" spans="5:5">
      <c r="E166" s="220" t="str">
        <f t="shared" ref="E166:E229" si="4">IF(D166="","",D166/D165-1)</f>
        <v/>
      </c>
    </row>
    <row r="167" spans="5:5">
      <c r="E167" s="220" t="str">
        <f t="shared" si="4"/>
        <v/>
      </c>
    </row>
    <row r="168" spans="5:5">
      <c r="E168" s="220" t="str">
        <f t="shared" si="4"/>
        <v/>
      </c>
    </row>
    <row r="169" spans="5:5">
      <c r="E169" s="220" t="str">
        <f t="shared" si="4"/>
        <v/>
      </c>
    </row>
    <row r="170" spans="5:5">
      <c r="E170" s="220" t="str">
        <f t="shared" si="4"/>
        <v/>
      </c>
    </row>
    <row r="171" spans="5:5">
      <c r="E171" s="220" t="str">
        <f t="shared" si="4"/>
        <v/>
      </c>
    </row>
    <row r="172" spans="5:5">
      <c r="E172" s="220" t="str">
        <f t="shared" si="4"/>
        <v/>
      </c>
    </row>
    <row r="173" spans="5:5">
      <c r="E173" s="220" t="str">
        <f t="shared" si="4"/>
        <v/>
      </c>
    </row>
    <row r="174" spans="5:5">
      <c r="E174" s="220" t="str">
        <f t="shared" si="4"/>
        <v/>
      </c>
    </row>
    <row r="175" spans="5:5">
      <c r="E175" s="220" t="str">
        <f t="shared" si="4"/>
        <v/>
      </c>
    </row>
    <row r="176" spans="5:5">
      <c r="E176" s="220" t="str">
        <f t="shared" si="4"/>
        <v/>
      </c>
    </row>
    <row r="177" spans="5:5">
      <c r="E177" s="220" t="str">
        <f t="shared" si="4"/>
        <v/>
      </c>
    </row>
    <row r="178" spans="5:5">
      <c r="E178" s="220" t="str">
        <f t="shared" si="4"/>
        <v/>
      </c>
    </row>
    <row r="179" spans="5:5">
      <c r="E179" s="220" t="str">
        <f t="shared" si="4"/>
        <v/>
      </c>
    </row>
    <row r="180" spans="5:5">
      <c r="E180" s="220" t="str">
        <f t="shared" si="4"/>
        <v/>
      </c>
    </row>
    <row r="181" spans="5:5">
      <c r="E181" s="220" t="str">
        <f t="shared" si="4"/>
        <v/>
      </c>
    </row>
    <row r="182" spans="5:5">
      <c r="E182" s="220" t="str">
        <f t="shared" si="4"/>
        <v/>
      </c>
    </row>
    <row r="183" spans="5:5">
      <c r="E183" s="220" t="str">
        <f t="shared" si="4"/>
        <v/>
      </c>
    </row>
    <row r="184" spans="5:5">
      <c r="E184" s="220" t="str">
        <f t="shared" si="4"/>
        <v/>
      </c>
    </row>
    <row r="185" spans="5:5">
      <c r="E185" s="220" t="str">
        <f t="shared" si="4"/>
        <v/>
      </c>
    </row>
    <row r="186" spans="5:5">
      <c r="E186" s="220" t="str">
        <f t="shared" si="4"/>
        <v/>
      </c>
    </row>
    <row r="187" spans="5:5">
      <c r="E187" s="220" t="str">
        <f t="shared" si="4"/>
        <v/>
      </c>
    </row>
    <row r="188" spans="5:5">
      <c r="E188" s="220" t="str">
        <f t="shared" si="4"/>
        <v/>
      </c>
    </row>
    <row r="189" spans="5:5">
      <c r="E189" s="220" t="str">
        <f t="shared" si="4"/>
        <v/>
      </c>
    </row>
    <row r="190" spans="5:5">
      <c r="E190" s="220" t="str">
        <f t="shared" si="4"/>
        <v/>
      </c>
    </row>
    <row r="191" spans="5:5">
      <c r="E191" s="220" t="str">
        <f t="shared" si="4"/>
        <v/>
      </c>
    </row>
    <row r="192" spans="5:5">
      <c r="E192" s="220" t="str">
        <f t="shared" si="4"/>
        <v/>
      </c>
    </row>
    <row r="193" spans="5:5">
      <c r="E193" s="220" t="str">
        <f t="shared" si="4"/>
        <v/>
      </c>
    </row>
    <row r="194" spans="5:5">
      <c r="E194" s="220" t="str">
        <f t="shared" si="4"/>
        <v/>
      </c>
    </row>
    <row r="195" spans="5:5">
      <c r="E195" s="220" t="str">
        <f t="shared" si="4"/>
        <v/>
      </c>
    </row>
    <row r="196" spans="5:5">
      <c r="E196" s="220" t="str">
        <f t="shared" si="4"/>
        <v/>
      </c>
    </row>
    <row r="197" spans="5:5">
      <c r="E197" s="220" t="str">
        <f t="shared" si="4"/>
        <v/>
      </c>
    </row>
    <row r="198" spans="5:5">
      <c r="E198" s="220" t="str">
        <f t="shared" si="4"/>
        <v/>
      </c>
    </row>
    <row r="199" spans="5:5">
      <c r="E199" s="220" t="str">
        <f t="shared" si="4"/>
        <v/>
      </c>
    </row>
    <row r="200" spans="5:5">
      <c r="E200" s="220" t="str">
        <f t="shared" si="4"/>
        <v/>
      </c>
    </row>
    <row r="201" spans="5:5">
      <c r="E201" s="220" t="str">
        <f t="shared" si="4"/>
        <v/>
      </c>
    </row>
    <row r="202" spans="5:5">
      <c r="E202" s="220" t="str">
        <f t="shared" si="4"/>
        <v/>
      </c>
    </row>
    <row r="203" spans="5:5">
      <c r="E203" s="220" t="str">
        <f t="shared" si="4"/>
        <v/>
      </c>
    </row>
    <row r="204" spans="5:5">
      <c r="E204" s="220" t="str">
        <f t="shared" si="4"/>
        <v/>
      </c>
    </row>
    <row r="205" spans="5:5">
      <c r="E205" s="220" t="str">
        <f t="shared" si="4"/>
        <v/>
      </c>
    </row>
    <row r="206" spans="5:5">
      <c r="E206" s="220" t="str">
        <f t="shared" si="4"/>
        <v/>
      </c>
    </row>
    <row r="207" spans="5:5">
      <c r="E207" s="220" t="str">
        <f t="shared" si="4"/>
        <v/>
      </c>
    </row>
    <row r="208" spans="5:5">
      <c r="E208" s="220" t="str">
        <f t="shared" si="4"/>
        <v/>
      </c>
    </row>
    <row r="209" spans="5:5">
      <c r="E209" s="220" t="str">
        <f t="shared" si="4"/>
        <v/>
      </c>
    </row>
    <row r="210" spans="5:5">
      <c r="E210" s="220" t="str">
        <f t="shared" si="4"/>
        <v/>
      </c>
    </row>
    <row r="211" spans="5:5">
      <c r="E211" s="220" t="str">
        <f t="shared" si="4"/>
        <v/>
      </c>
    </row>
    <row r="212" spans="5:5">
      <c r="E212" s="220" t="str">
        <f t="shared" si="4"/>
        <v/>
      </c>
    </row>
    <row r="213" spans="5:5">
      <c r="E213" s="220" t="str">
        <f t="shared" si="4"/>
        <v/>
      </c>
    </row>
    <row r="214" spans="5:5">
      <c r="E214" s="220" t="str">
        <f t="shared" si="4"/>
        <v/>
      </c>
    </row>
    <row r="215" spans="5:5">
      <c r="E215" s="220" t="str">
        <f t="shared" si="4"/>
        <v/>
      </c>
    </row>
    <row r="216" spans="5:5">
      <c r="E216" s="220" t="str">
        <f t="shared" si="4"/>
        <v/>
      </c>
    </row>
    <row r="217" spans="5:5">
      <c r="E217" s="220" t="str">
        <f t="shared" si="4"/>
        <v/>
      </c>
    </row>
    <row r="218" spans="5:5">
      <c r="E218" s="220" t="str">
        <f t="shared" si="4"/>
        <v/>
      </c>
    </row>
    <row r="219" spans="5:5">
      <c r="E219" s="220" t="str">
        <f t="shared" si="4"/>
        <v/>
      </c>
    </row>
    <row r="220" spans="5:5">
      <c r="E220" s="220" t="str">
        <f t="shared" si="4"/>
        <v/>
      </c>
    </row>
    <row r="221" spans="5:5">
      <c r="E221" s="220" t="str">
        <f t="shared" si="4"/>
        <v/>
      </c>
    </row>
    <row r="222" spans="5:5">
      <c r="E222" s="220" t="str">
        <f t="shared" si="4"/>
        <v/>
      </c>
    </row>
    <row r="223" spans="5:5">
      <c r="E223" s="220" t="str">
        <f t="shared" si="4"/>
        <v/>
      </c>
    </row>
    <row r="224" spans="5:5">
      <c r="E224" s="220" t="str">
        <f t="shared" si="4"/>
        <v/>
      </c>
    </row>
    <row r="225" spans="5:5">
      <c r="E225" s="220" t="str">
        <f t="shared" si="4"/>
        <v/>
      </c>
    </row>
    <row r="226" spans="5:5">
      <c r="E226" s="220" t="str">
        <f t="shared" si="4"/>
        <v/>
      </c>
    </row>
    <row r="227" spans="5:5">
      <c r="E227" s="220" t="str">
        <f t="shared" si="4"/>
        <v/>
      </c>
    </row>
    <row r="228" spans="5:5">
      <c r="E228" s="220" t="str">
        <f t="shared" si="4"/>
        <v/>
      </c>
    </row>
    <row r="229" spans="5:5">
      <c r="E229" s="220" t="str">
        <f t="shared" si="4"/>
        <v/>
      </c>
    </row>
    <row r="230" spans="5:5">
      <c r="E230" s="220" t="str">
        <f t="shared" ref="E230:E293" si="5">IF(D230="","",D230/D229-1)</f>
        <v/>
      </c>
    </row>
    <row r="231" spans="5:5">
      <c r="E231" s="220" t="str">
        <f t="shared" si="5"/>
        <v/>
      </c>
    </row>
    <row r="232" spans="5:5">
      <c r="E232" s="220" t="str">
        <f t="shared" si="5"/>
        <v/>
      </c>
    </row>
    <row r="233" spans="5:5">
      <c r="E233" s="220" t="str">
        <f t="shared" si="5"/>
        <v/>
      </c>
    </row>
    <row r="234" spans="5:5">
      <c r="E234" s="220" t="str">
        <f t="shared" si="5"/>
        <v/>
      </c>
    </row>
    <row r="235" spans="5:5">
      <c r="E235" s="220" t="str">
        <f t="shared" si="5"/>
        <v/>
      </c>
    </row>
    <row r="236" spans="5:5">
      <c r="E236" s="220" t="str">
        <f t="shared" si="5"/>
        <v/>
      </c>
    </row>
    <row r="237" spans="5:5">
      <c r="E237" s="220" t="str">
        <f t="shared" si="5"/>
        <v/>
      </c>
    </row>
    <row r="238" spans="5:5">
      <c r="E238" s="220" t="str">
        <f t="shared" si="5"/>
        <v/>
      </c>
    </row>
    <row r="239" spans="5:5">
      <c r="E239" s="220" t="str">
        <f t="shared" si="5"/>
        <v/>
      </c>
    </row>
    <row r="240" spans="5:5">
      <c r="E240" s="220" t="str">
        <f t="shared" si="5"/>
        <v/>
      </c>
    </row>
    <row r="241" spans="5:5">
      <c r="E241" s="220" t="str">
        <f t="shared" si="5"/>
        <v/>
      </c>
    </row>
    <row r="242" spans="5:5">
      <c r="E242" s="220" t="str">
        <f t="shared" si="5"/>
        <v/>
      </c>
    </row>
    <row r="243" spans="5:5">
      <c r="E243" s="220" t="str">
        <f t="shared" si="5"/>
        <v/>
      </c>
    </row>
    <row r="244" spans="5:5">
      <c r="E244" s="220" t="str">
        <f t="shared" si="5"/>
        <v/>
      </c>
    </row>
    <row r="245" spans="5:5">
      <c r="E245" s="220" t="str">
        <f t="shared" si="5"/>
        <v/>
      </c>
    </row>
    <row r="246" spans="5:5">
      <c r="E246" s="220" t="str">
        <f t="shared" si="5"/>
        <v/>
      </c>
    </row>
    <row r="247" spans="5:5">
      <c r="E247" s="220" t="str">
        <f t="shared" si="5"/>
        <v/>
      </c>
    </row>
    <row r="248" spans="5:5">
      <c r="E248" s="220" t="str">
        <f t="shared" si="5"/>
        <v/>
      </c>
    </row>
    <row r="249" spans="5:5">
      <c r="E249" s="220" t="str">
        <f t="shared" si="5"/>
        <v/>
      </c>
    </row>
    <row r="250" spans="5:5">
      <c r="E250" s="220" t="str">
        <f t="shared" si="5"/>
        <v/>
      </c>
    </row>
    <row r="251" spans="5:5">
      <c r="E251" s="220" t="str">
        <f t="shared" si="5"/>
        <v/>
      </c>
    </row>
    <row r="252" spans="5:5">
      <c r="E252" s="220" t="str">
        <f t="shared" si="5"/>
        <v/>
      </c>
    </row>
    <row r="253" spans="5:5">
      <c r="E253" s="220" t="str">
        <f t="shared" si="5"/>
        <v/>
      </c>
    </row>
    <row r="254" spans="5:5">
      <c r="E254" s="220" t="str">
        <f t="shared" si="5"/>
        <v/>
      </c>
    </row>
    <row r="255" spans="5:5">
      <c r="E255" s="220" t="str">
        <f t="shared" si="5"/>
        <v/>
      </c>
    </row>
    <row r="256" spans="5:5">
      <c r="E256" s="220" t="str">
        <f t="shared" si="5"/>
        <v/>
      </c>
    </row>
    <row r="257" spans="5:5">
      <c r="E257" s="220" t="str">
        <f t="shared" si="5"/>
        <v/>
      </c>
    </row>
    <row r="258" spans="5:5">
      <c r="E258" s="220" t="str">
        <f t="shared" si="5"/>
        <v/>
      </c>
    </row>
    <row r="259" spans="5:5">
      <c r="E259" s="220" t="str">
        <f t="shared" si="5"/>
        <v/>
      </c>
    </row>
    <row r="260" spans="5:5">
      <c r="E260" s="220" t="str">
        <f t="shared" si="5"/>
        <v/>
      </c>
    </row>
    <row r="261" spans="5:5">
      <c r="E261" s="220" t="str">
        <f t="shared" si="5"/>
        <v/>
      </c>
    </row>
    <row r="262" spans="5:5">
      <c r="E262" s="220" t="str">
        <f t="shared" si="5"/>
        <v/>
      </c>
    </row>
    <row r="263" spans="5:5">
      <c r="E263" s="220" t="str">
        <f t="shared" si="5"/>
        <v/>
      </c>
    </row>
    <row r="264" spans="5:5">
      <c r="E264" s="220" t="str">
        <f t="shared" si="5"/>
        <v/>
      </c>
    </row>
    <row r="265" spans="5:5">
      <c r="E265" s="220" t="str">
        <f t="shared" si="5"/>
        <v/>
      </c>
    </row>
    <row r="266" spans="5:5">
      <c r="E266" s="220" t="str">
        <f t="shared" si="5"/>
        <v/>
      </c>
    </row>
    <row r="267" spans="5:5">
      <c r="E267" s="220" t="str">
        <f t="shared" si="5"/>
        <v/>
      </c>
    </row>
    <row r="268" spans="5:5">
      <c r="E268" s="220" t="str">
        <f t="shared" si="5"/>
        <v/>
      </c>
    </row>
    <row r="269" spans="5:5">
      <c r="E269" s="220" t="str">
        <f t="shared" si="5"/>
        <v/>
      </c>
    </row>
    <row r="270" spans="5:5">
      <c r="E270" s="220" t="str">
        <f t="shared" si="5"/>
        <v/>
      </c>
    </row>
    <row r="271" spans="5:5">
      <c r="E271" s="220" t="str">
        <f t="shared" si="5"/>
        <v/>
      </c>
    </row>
    <row r="272" spans="5:5">
      <c r="E272" s="220" t="str">
        <f t="shared" si="5"/>
        <v/>
      </c>
    </row>
    <row r="273" spans="5:5">
      <c r="E273" s="220" t="str">
        <f t="shared" si="5"/>
        <v/>
      </c>
    </row>
    <row r="274" spans="5:5">
      <c r="E274" s="220" t="str">
        <f t="shared" si="5"/>
        <v/>
      </c>
    </row>
    <row r="275" spans="5:5">
      <c r="E275" s="220" t="str">
        <f t="shared" si="5"/>
        <v/>
      </c>
    </row>
    <row r="276" spans="5:5">
      <c r="E276" s="220" t="str">
        <f t="shared" si="5"/>
        <v/>
      </c>
    </row>
    <row r="277" spans="5:5">
      <c r="E277" s="220" t="str">
        <f t="shared" si="5"/>
        <v/>
      </c>
    </row>
    <row r="278" spans="5:5">
      <c r="E278" s="220" t="str">
        <f t="shared" si="5"/>
        <v/>
      </c>
    </row>
    <row r="279" spans="5:5">
      <c r="E279" s="220" t="str">
        <f t="shared" si="5"/>
        <v/>
      </c>
    </row>
    <row r="280" spans="5:5">
      <c r="E280" s="220" t="str">
        <f t="shared" si="5"/>
        <v/>
      </c>
    </row>
    <row r="281" spans="5:5">
      <c r="E281" s="220" t="str">
        <f t="shared" si="5"/>
        <v/>
      </c>
    </row>
    <row r="282" spans="5:5">
      <c r="E282" s="220" t="str">
        <f t="shared" si="5"/>
        <v/>
      </c>
    </row>
    <row r="283" spans="5:5">
      <c r="E283" s="220" t="str">
        <f t="shared" si="5"/>
        <v/>
      </c>
    </row>
    <row r="284" spans="5:5">
      <c r="E284" s="220" t="str">
        <f t="shared" si="5"/>
        <v/>
      </c>
    </row>
    <row r="285" spans="5:5">
      <c r="E285" s="220" t="str">
        <f t="shared" si="5"/>
        <v/>
      </c>
    </row>
    <row r="286" spans="5:5">
      <c r="E286" s="220" t="str">
        <f t="shared" si="5"/>
        <v/>
      </c>
    </row>
    <row r="287" spans="5:5">
      <c r="E287" s="220" t="str">
        <f t="shared" si="5"/>
        <v/>
      </c>
    </row>
    <row r="288" spans="5:5">
      <c r="E288" s="220" t="str">
        <f t="shared" si="5"/>
        <v/>
      </c>
    </row>
    <row r="289" spans="5:5">
      <c r="E289" s="220" t="str">
        <f t="shared" si="5"/>
        <v/>
      </c>
    </row>
    <row r="290" spans="5:5">
      <c r="E290" s="220" t="str">
        <f t="shared" si="5"/>
        <v/>
      </c>
    </row>
    <row r="291" spans="5:5">
      <c r="E291" s="220" t="str">
        <f t="shared" si="5"/>
        <v/>
      </c>
    </row>
    <row r="292" spans="5:5">
      <c r="E292" s="220" t="str">
        <f t="shared" si="5"/>
        <v/>
      </c>
    </row>
    <row r="293" spans="5:5">
      <c r="E293" s="220" t="str">
        <f t="shared" si="5"/>
        <v/>
      </c>
    </row>
    <row r="294" spans="5:5">
      <c r="E294" s="220" t="str">
        <f t="shared" ref="E294:E357" si="6">IF(D294="","",D294/D293-1)</f>
        <v/>
      </c>
    </row>
    <row r="295" spans="5:5">
      <c r="E295" s="220" t="str">
        <f t="shared" si="6"/>
        <v/>
      </c>
    </row>
    <row r="296" spans="5:5">
      <c r="E296" s="220" t="str">
        <f t="shared" si="6"/>
        <v/>
      </c>
    </row>
    <row r="297" spans="5:5">
      <c r="E297" s="220" t="str">
        <f t="shared" si="6"/>
        <v/>
      </c>
    </row>
    <row r="298" spans="5:5">
      <c r="E298" s="220" t="str">
        <f t="shared" si="6"/>
        <v/>
      </c>
    </row>
    <row r="299" spans="5:5">
      <c r="E299" s="220" t="str">
        <f t="shared" si="6"/>
        <v/>
      </c>
    </row>
    <row r="300" spans="5:5">
      <c r="E300" s="220" t="str">
        <f t="shared" si="6"/>
        <v/>
      </c>
    </row>
    <row r="301" spans="5:5">
      <c r="E301" s="220" t="str">
        <f t="shared" si="6"/>
        <v/>
      </c>
    </row>
    <row r="302" spans="5:5">
      <c r="E302" s="220" t="str">
        <f t="shared" si="6"/>
        <v/>
      </c>
    </row>
    <row r="303" spans="5:5">
      <c r="E303" s="220" t="str">
        <f t="shared" si="6"/>
        <v/>
      </c>
    </row>
    <row r="304" spans="5:5">
      <c r="E304" s="220" t="str">
        <f t="shared" si="6"/>
        <v/>
      </c>
    </row>
    <row r="305" spans="5:5">
      <c r="E305" s="220" t="str">
        <f t="shared" si="6"/>
        <v/>
      </c>
    </row>
    <row r="306" spans="5:5">
      <c r="E306" s="220" t="str">
        <f t="shared" si="6"/>
        <v/>
      </c>
    </row>
    <row r="307" spans="5:5">
      <c r="E307" s="220" t="str">
        <f t="shared" si="6"/>
        <v/>
      </c>
    </row>
    <row r="308" spans="5:5">
      <c r="E308" s="220" t="str">
        <f t="shared" si="6"/>
        <v/>
      </c>
    </row>
    <row r="309" spans="5:5">
      <c r="E309" s="220" t="str">
        <f t="shared" si="6"/>
        <v/>
      </c>
    </row>
    <row r="310" spans="5:5">
      <c r="E310" s="220" t="str">
        <f t="shared" si="6"/>
        <v/>
      </c>
    </row>
    <row r="311" spans="5:5">
      <c r="E311" s="220" t="str">
        <f t="shared" si="6"/>
        <v/>
      </c>
    </row>
    <row r="312" spans="5:5">
      <c r="E312" s="220" t="str">
        <f t="shared" si="6"/>
        <v/>
      </c>
    </row>
    <row r="313" spans="5:5">
      <c r="E313" s="220" t="str">
        <f t="shared" si="6"/>
        <v/>
      </c>
    </row>
    <row r="314" spans="5:5">
      <c r="E314" s="220" t="str">
        <f t="shared" si="6"/>
        <v/>
      </c>
    </row>
    <row r="315" spans="5:5">
      <c r="E315" s="220" t="str">
        <f t="shared" si="6"/>
        <v/>
      </c>
    </row>
    <row r="316" spans="5:5">
      <c r="E316" s="220" t="str">
        <f t="shared" si="6"/>
        <v/>
      </c>
    </row>
    <row r="317" spans="5:5">
      <c r="E317" s="220" t="str">
        <f t="shared" si="6"/>
        <v/>
      </c>
    </row>
    <row r="318" spans="5:5">
      <c r="E318" s="220" t="str">
        <f t="shared" si="6"/>
        <v/>
      </c>
    </row>
    <row r="319" spans="5:5">
      <c r="E319" s="220" t="str">
        <f t="shared" si="6"/>
        <v/>
      </c>
    </row>
    <row r="320" spans="5:5">
      <c r="E320" s="220" t="str">
        <f t="shared" si="6"/>
        <v/>
      </c>
    </row>
    <row r="321" spans="5:5">
      <c r="E321" s="220" t="str">
        <f t="shared" si="6"/>
        <v/>
      </c>
    </row>
    <row r="322" spans="5:5">
      <c r="E322" s="220" t="str">
        <f t="shared" si="6"/>
        <v/>
      </c>
    </row>
    <row r="323" spans="5:5">
      <c r="E323" s="220" t="str">
        <f t="shared" si="6"/>
        <v/>
      </c>
    </row>
    <row r="324" spans="5:5">
      <c r="E324" s="220" t="str">
        <f t="shared" si="6"/>
        <v/>
      </c>
    </row>
    <row r="325" spans="5:5">
      <c r="E325" s="220" t="str">
        <f t="shared" si="6"/>
        <v/>
      </c>
    </row>
    <row r="326" spans="5:5">
      <c r="E326" s="220" t="str">
        <f t="shared" si="6"/>
        <v/>
      </c>
    </row>
    <row r="327" spans="5:5">
      <c r="E327" s="220" t="str">
        <f t="shared" si="6"/>
        <v/>
      </c>
    </row>
    <row r="328" spans="5:5">
      <c r="E328" s="220" t="str">
        <f t="shared" si="6"/>
        <v/>
      </c>
    </row>
    <row r="329" spans="5:5">
      <c r="E329" s="220" t="str">
        <f t="shared" si="6"/>
        <v/>
      </c>
    </row>
    <row r="330" spans="5:5">
      <c r="E330" s="220" t="str">
        <f t="shared" si="6"/>
        <v/>
      </c>
    </row>
    <row r="331" spans="5:5">
      <c r="E331" s="220" t="str">
        <f t="shared" si="6"/>
        <v/>
      </c>
    </row>
    <row r="332" spans="5:5">
      <c r="E332" s="220" t="str">
        <f t="shared" si="6"/>
        <v/>
      </c>
    </row>
    <row r="333" spans="5:5">
      <c r="E333" s="220" t="str">
        <f t="shared" si="6"/>
        <v/>
      </c>
    </row>
    <row r="334" spans="5:5">
      <c r="E334" s="220" t="str">
        <f t="shared" si="6"/>
        <v/>
      </c>
    </row>
    <row r="335" spans="5:5">
      <c r="E335" s="220" t="str">
        <f t="shared" si="6"/>
        <v/>
      </c>
    </row>
    <row r="336" spans="5:5">
      <c r="E336" s="220" t="str">
        <f t="shared" si="6"/>
        <v/>
      </c>
    </row>
    <row r="337" spans="5:5">
      <c r="E337" s="220" t="str">
        <f t="shared" si="6"/>
        <v/>
      </c>
    </row>
    <row r="338" spans="5:5">
      <c r="E338" s="220" t="str">
        <f t="shared" si="6"/>
        <v/>
      </c>
    </row>
    <row r="339" spans="5:5">
      <c r="E339" s="220" t="str">
        <f t="shared" si="6"/>
        <v/>
      </c>
    </row>
    <row r="340" spans="5:5">
      <c r="E340" s="220" t="str">
        <f t="shared" si="6"/>
        <v/>
      </c>
    </row>
    <row r="341" spans="5:5">
      <c r="E341" s="220" t="str">
        <f t="shared" si="6"/>
        <v/>
      </c>
    </row>
    <row r="342" spans="5:5">
      <c r="E342" s="220" t="str">
        <f t="shared" si="6"/>
        <v/>
      </c>
    </row>
    <row r="343" spans="5:5">
      <c r="E343" s="220" t="str">
        <f t="shared" si="6"/>
        <v/>
      </c>
    </row>
    <row r="344" spans="5:5">
      <c r="E344" s="220" t="str">
        <f t="shared" si="6"/>
        <v/>
      </c>
    </row>
    <row r="345" spans="5:5">
      <c r="E345" s="220" t="str">
        <f t="shared" si="6"/>
        <v/>
      </c>
    </row>
    <row r="346" spans="5:5">
      <c r="E346" s="220" t="str">
        <f t="shared" si="6"/>
        <v/>
      </c>
    </row>
    <row r="347" spans="5:5">
      <c r="E347" s="220" t="str">
        <f t="shared" si="6"/>
        <v/>
      </c>
    </row>
    <row r="348" spans="5:5">
      <c r="E348" s="220" t="str">
        <f t="shared" si="6"/>
        <v/>
      </c>
    </row>
    <row r="349" spans="5:5">
      <c r="E349" s="220" t="str">
        <f t="shared" si="6"/>
        <v/>
      </c>
    </row>
    <row r="350" spans="5:5">
      <c r="E350" s="220" t="str">
        <f t="shared" si="6"/>
        <v/>
      </c>
    </row>
    <row r="351" spans="5:5">
      <c r="E351" s="220" t="str">
        <f t="shared" si="6"/>
        <v/>
      </c>
    </row>
    <row r="352" spans="5:5">
      <c r="E352" s="220" t="str">
        <f t="shared" si="6"/>
        <v/>
      </c>
    </row>
    <row r="353" spans="5:5">
      <c r="E353" s="220" t="str">
        <f t="shared" si="6"/>
        <v/>
      </c>
    </row>
    <row r="354" spans="5:5">
      <c r="E354" s="220" t="str">
        <f t="shared" si="6"/>
        <v/>
      </c>
    </row>
    <row r="355" spans="5:5">
      <c r="E355" s="220" t="str">
        <f t="shared" si="6"/>
        <v/>
      </c>
    </row>
    <row r="356" spans="5:5">
      <c r="E356" s="220" t="str">
        <f t="shared" si="6"/>
        <v/>
      </c>
    </row>
    <row r="357" spans="5:5">
      <c r="E357" s="220" t="str">
        <f t="shared" si="6"/>
        <v/>
      </c>
    </row>
    <row r="358" spans="5:5">
      <c r="E358" s="220" t="str">
        <f t="shared" ref="E358:E377" si="7">IF(D358="","",D358/D357-1)</f>
        <v/>
      </c>
    </row>
    <row r="359" spans="5:5">
      <c r="E359" s="220" t="str">
        <f t="shared" si="7"/>
        <v/>
      </c>
    </row>
    <row r="360" spans="5:5">
      <c r="E360" s="220" t="str">
        <f t="shared" si="7"/>
        <v/>
      </c>
    </row>
    <row r="361" spans="5:5">
      <c r="E361" s="220" t="str">
        <f t="shared" si="7"/>
        <v/>
      </c>
    </row>
    <row r="362" spans="5:5">
      <c r="E362" s="220" t="str">
        <f t="shared" si="7"/>
        <v/>
      </c>
    </row>
    <row r="363" spans="5:5">
      <c r="E363" s="220" t="str">
        <f t="shared" si="7"/>
        <v/>
      </c>
    </row>
    <row r="364" spans="5:5">
      <c r="E364" s="220" t="str">
        <f t="shared" si="7"/>
        <v/>
      </c>
    </row>
    <row r="365" spans="5:5">
      <c r="E365" s="220" t="str">
        <f t="shared" si="7"/>
        <v/>
      </c>
    </row>
    <row r="366" spans="5:5">
      <c r="E366" s="220" t="str">
        <f t="shared" si="7"/>
        <v/>
      </c>
    </row>
    <row r="367" spans="5:5">
      <c r="E367" s="220" t="str">
        <f t="shared" si="7"/>
        <v/>
      </c>
    </row>
    <row r="368" spans="5:5">
      <c r="E368" s="220" t="str">
        <f t="shared" si="7"/>
        <v/>
      </c>
    </row>
    <row r="369" spans="5:5">
      <c r="E369" s="220" t="str">
        <f t="shared" si="7"/>
        <v/>
      </c>
    </row>
    <row r="370" spans="5:5">
      <c r="E370" s="220" t="str">
        <f t="shared" si="7"/>
        <v/>
      </c>
    </row>
    <row r="371" spans="5:5">
      <c r="E371" s="220" t="str">
        <f t="shared" si="7"/>
        <v/>
      </c>
    </row>
    <row r="372" spans="5:5">
      <c r="E372" s="220" t="str">
        <f t="shared" si="7"/>
        <v/>
      </c>
    </row>
    <row r="373" spans="5:5">
      <c r="E373" s="220" t="str">
        <f t="shared" si="7"/>
        <v/>
      </c>
    </row>
    <row r="374" spans="5:5">
      <c r="E374" s="220" t="str">
        <f t="shared" si="7"/>
        <v/>
      </c>
    </row>
    <row r="375" spans="5:5">
      <c r="E375" s="220" t="str">
        <f t="shared" si="7"/>
        <v/>
      </c>
    </row>
    <row r="376" spans="5:5">
      <c r="E376" s="220" t="str">
        <f t="shared" si="7"/>
        <v/>
      </c>
    </row>
    <row r="377" spans="5:5">
      <c r="E377" s="220" t="str">
        <f t="shared" si="7"/>
        <v/>
      </c>
    </row>
    <row r="500" spans="216:216">
      <c r="HH500" s="217">
        <v>39703</v>
      </c>
    </row>
    <row r="501" spans="216:216">
      <c r="HH501" s="213">
        <v>22</v>
      </c>
    </row>
    <row r="502" spans="216:216">
      <c r="HH502" s="213">
        <v>11</v>
      </c>
    </row>
  </sheetData>
  <sheetProtection selectLockedCells="1"/>
  <customSheetViews>
    <customSheetView guid="{9F94E489-9692-4C63-A554-7FBA98A324C0}" state="veryHidden">
      <selection activeCell="I12" sqref="I12"/>
      <pageMargins left="0.75" right="0.75" top="1" bottom="1" header="0" footer="0"/>
      <pageSetup orientation="portrait" horizontalDpi="300" verticalDpi="300" r:id="rId1"/>
      <headerFooter alignWithMargins="0"/>
    </customSheetView>
    <customSheetView guid="{0CBEA09E-24B8-4CE5-A052-7237E9208379}" state="veryHidden" showRuler="0">
      <pageMargins left="0.75" right="0.75" top="1" bottom="1" header="0" footer="0"/>
      <headerFooter alignWithMargins="0"/>
    </customSheetView>
    <customSheetView guid="{6E71BEFB-61B2-401E-9961-32884E4CD56C}" state="veryHidden" showRuler="0">
      <selection activeCell="I12" sqref="I12"/>
      <pageMargins left="0.75" right="0.75" top="1" bottom="1" header="0" footer="0"/>
      <pageSetup orientation="portrait" horizontalDpi="300" verticalDpi="300" r:id="rId2"/>
      <headerFooter alignWithMargins="0"/>
    </customSheetView>
    <customSheetView guid="{74BDB053-C30B-49CC-8134-2CE4C1966D2C}" state="veryHidden" showRuler="0">
      <selection activeCell="I12" sqref="I12"/>
      <pageMargins left="0.75" right="0.75" top="1" bottom="1" header="0" footer="0"/>
      <pageSetup orientation="portrait" horizontalDpi="300" verticalDpi="300" r:id="rId3"/>
      <headerFooter alignWithMargins="0"/>
    </customSheetView>
    <customSheetView guid="{40B815EE-4446-47D1-839D-2EFF5F5EF0E5}" state="veryHidden" showRuler="0">
      <selection activeCell="D11" sqref="D11"/>
      <pageMargins left="0.75" right="0.75" top="1" bottom="1" header="0" footer="0"/>
      <pageSetup orientation="portrait" horizontalDpi="300" verticalDpi="300" r:id="rId4"/>
      <headerFooter alignWithMargins="0"/>
    </customSheetView>
    <customSheetView guid="{52F59514-34F3-4352-A05C-5BB41CEA0827}" state="veryHidden" showRuler="0">
      <selection activeCell="H18" sqref="H18"/>
      <pageMargins left="0.75" right="0.75" top="1" bottom="1" header="0" footer="0"/>
      <pageSetup orientation="portrait" horizontalDpi="300" verticalDpi="300" r:id="rId5"/>
      <headerFooter alignWithMargins="0"/>
    </customSheetView>
  </customSheetViews>
  <mergeCells count="1">
    <mergeCell ref="A1:C1"/>
  </mergeCells>
  <phoneticPr fontId="4" type="noConversion"/>
  <pageMargins left="0.75" right="0.75" top="1" bottom="1" header="0" footer="0"/>
  <pageSetup orientation="portrait" horizontalDpi="300" verticalDpi="300"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24</vt:i4>
      </vt:variant>
    </vt:vector>
  </HeadingPairs>
  <TitlesOfParts>
    <vt:vector size="29"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CUMPLIMIENTO</vt:lpstr>
      <vt:lpstr>CUMPLIMIENTOLP</vt:lpstr>
      <vt:lpstr>DEPENDENCIAS</vt:lpstr>
      <vt:lpstr>Estado</vt:lpstr>
      <vt:lpstr>EXPERACEPTABLE</vt:lpstr>
      <vt:lpstr>fcierre</vt:lpstr>
      <vt:lpstr>PEJECUCION</vt:lpstr>
      <vt:lpstr>PORCREQCTO</vt:lpstr>
      <vt:lpstr>PORPOM</vt:lpstr>
      <vt:lpstr>POSMMLV</vt:lpstr>
      <vt:lpstr>SALACTUAL</vt:lpstr>
      <vt:lpstr>SINO</vt:lpstr>
      <vt:lpstr>TIPODEVIA</vt:lpstr>
      <vt:lpstr>TIPOPAVIMENTO</vt:lpstr>
      <vt:lpstr>EXPERIENCIA!Títulos_a_imprimir</vt:lpstr>
      <vt:lpstr>INTEGRANTES!Títulos_a_imprimir</vt:lpstr>
      <vt:lpstr>PROPONENTES!Títulos_a_imprimir</vt:lpstr>
      <vt:lpstr>RESUMEN!Títulos_a_imprimir</vt:lpstr>
      <vt:lpstr>VALIDEZANCHOCALZADA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2019</dc:creator>
  <cp:lastModifiedBy>juan gabriel medina parra</cp:lastModifiedBy>
  <cp:lastPrinted>2012-03-15T22:38:01Z</cp:lastPrinted>
  <dcterms:created xsi:type="dcterms:W3CDTF">2008-03-09T16:23:10Z</dcterms:created>
  <dcterms:modified xsi:type="dcterms:W3CDTF">2019-11-07T22:05:22Z</dcterms:modified>
</cp:coreProperties>
</file>