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EsteLibro"/>
  <mc:AlternateContent xmlns:mc="http://schemas.openxmlformats.org/markup-compatibility/2006">
    <mc:Choice Requires="x15">
      <x15ac:absPath xmlns:x15ac="http://schemas.microsoft.com/office/spreadsheetml/2010/11/ac" url="E:\LP-DT-MAG-002-2019\EVALUACION\"/>
    </mc:Choice>
  </mc:AlternateContent>
  <xr:revisionPtr revIDLastSave="0" documentId="13_ncr:1_{74DBF5C7-7CE1-4FAC-A11C-692B8DEC8587}" xr6:coauthVersionLast="41" xr6:coauthVersionMax="41" xr10:uidLastSave="{00000000-0000-0000-0000-000000000000}"/>
  <bookViews>
    <workbookView xWindow="-120" yWindow="-120" windowWidth="29040" windowHeight="15840" tabRatio="650" firstSheet="1" activeTab="3" xr2:uid="{00000000-000D-0000-FFFF-FFFF00000000}"/>
  </bookViews>
  <sheets>
    <sheet name="Verificaciones" sheetId="1" state="hidden" r:id="rId1"/>
    <sheet name="POA" sheetId="6" r:id="rId2"/>
    <sheet name="Puntajes" sheetId="14" r:id="rId3"/>
    <sheet name="Capacidad Financiera" sheetId="4" r:id="rId4"/>
    <sheet name="Puntaje Exp" sheetId="17" r:id="rId5"/>
    <sheet name="Puntaje CT" sheetId="16" r:id="rId6"/>
    <sheet name="Puntaje CF" sheetId="18" r:id="rId7"/>
    <sheet name="Saldo CtosEjecución" sheetId="19" r:id="rId8"/>
    <sheet name="Cap Organización" sheetId="20" r:id="rId9"/>
    <sheet name="Capacidad Residual" sheetId="5" r:id="rId10"/>
    <sheet name="Hoja1" sheetId="21" r:id="rId11"/>
    <sheet name="PO" sheetId="7" state="hidden" r:id="rId12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3">'Capacidad Financiera'!$B$1:$Z$11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3" hidden="1">'Capacidad Financiera'!$B$1:$Z$11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4" l="1"/>
  <c r="E12" i="4"/>
  <c r="F12" i="4"/>
  <c r="U12" i="4" s="1"/>
  <c r="G12" i="4"/>
  <c r="S12" i="4" s="1"/>
  <c r="T12" i="4" s="1"/>
  <c r="H12" i="4"/>
  <c r="L12" i="4"/>
  <c r="AE12" i="4" s="1"/>
  <c r="AF12" i="4" s="1"/>
  <c r="M12" i="4"/>
  <c r="O12" i="4"/>
  <c r="R12" i="4"/>
  <c r="W12" i="4"/>
  <c r="X12" i="4"/>
  <c r="Y12" i="4" s="1"/>
  <c r="I13" i="4"/>
  <c r="J13" i="4"/>
  <c r="K13" i="4"/>
  <c r="O13" i="4"/>
  <c r="Q13" i="4"/>
  <c r="R13" i="4"/>
  <c r="AA13" i="4"/>
  <c r="AB13" i="4" s="1"/>
  <c r="I14" i="4"/>
  <c r="J14" i="4"/>
  <c r="K14" i="4"/>
  <c r="O14" i="4"/>
  <c r="Q14" i="4"/>
  <c r="R14" i="4"/>
  <c r="AA14" i="4"/>
  <c r="AB14" i="4" s="1"/>
  <c r="I15" i="4"/>
  <c r="J15" i="4"/>
  <c r="K15" i="4"/>
  <c r="O15" i="4"/>
  <c r="Q15" i="4"/>
  <c r="R15" i="4"/>
  <c r="S15" i="4"/>
  <c r="U15" i="4"/>
  <c r="V15" i="4" s="1"/>
  <c r="W15" i="4"/>
  <c r="X15" i="4"/>
  <c r="Y15" i="4" s="1"/>
  <c r="AC15" i="4"/>
  <c r="AD15" i="4" s="1"/>
  <c r="AE15" i="4"/>
  <c r="I16" i="4"/>
  <c r="J16" i="4"/>
  <c r="K16" i="4"/>
  <c r="AC16" i="4" s="1"/>
  <c r="Q16" i="4"/>
  <c r="R16" i="4"/>
  <c r="S16" i="4"/>
  <c r="U16" i="4"/>
  <c r="W16" i="4"/>
  <c r="X16" i="4"/>
  <c r="Y16" i="4" s="1"/>
  <c r="AE16" i="4"/>
  <c r="I18" i="4"/>
  <c r="J18" i="4"/>
  <c r="K18" i="4"/>
  <c r="AC18" i="4" s="1"/>
  <c r="Q18" i="4"/>
  <c r="R18" i="4"/>
  <c r="S18" i="4"/>
  <c r="U18" i="4"/>
  <c r="W18" i="4"/>
  <c r="X18" i="4"/>
  <c r="Y18" i="4" s="1"/>
  <c r="AE18" i="4"/>
  <c r="I19" i="4"/>
  <c r="J19" i="4"/>
  <c r="K19" i="4"/>
  <c r="AC19" i="4" s="1"/>
  <c r="Q19" i="4"/>
  <c r="R19" i="4"/>
  <c r="S19" i="4"/>
  <c r="U19" i="4"/>
  <c r="W19" i="4"/>
  <c r="X19" i="4"/>
  <c r="Y19" i="4" s="1"/>
  <c r="AE19" i="4"/>
  <c r="AF19" i="4"/>
  <c r="I23" i="4"/>
  <c r="J23" i="4"/>
  <c r="K23" i="4"/>
  <c r="O23" i="4"/>
  <c r="Q23" i="4"/>
  <c r="R23" i="4"/>
  <c r="S23" i="4"/>
  <c r="U23" i="4"/>
  <c r="V23" i="4" s="1"/>
  <c r="W23" i="4"/>
  <c r="X23" i="4"/>
  <c r="Y23" i="4" s="1"/>
  <c r="AC23" i="4"/>
  <c r="AE23" i="4"/>
  <c r="AF23" i="4" s="1"/>
  <c r="C9" i="17"/>
  <c r="D9" i="17" s="1"/>
  <c r="F9" i="17"/>
  <c r="H9" i="17"/>
  <c r="C10" i="17"/>
  <c r="D10" i="17" s="1"/>
  <c r="C11" i="17"/>
  <c r="D11" i="17" s="1"/>
  <c r="H12" i="17"/>
  <c r="H13" i="17"/>
  <c r="V12" i="4" l="1"/>
  <c r="Z12" i="4" s="1"/>
  <c r="V13" i="4"/>
  <c r="T14" i="4"/>
  <c r="AF14" i="4"/>
  <c r="T13" i="4"/>
  <c r="AF13" i="4"/>
  <c r="T19" i="4"/>
  <c r="V18" i="4"/>
  <c r="V14" i="4"/>
  <c r="AF18" i="4"/>
  <c r="T18" i="4"/>
  <c r="Z18" i="4" s="1"/>
  <c r="AD16" i="4"/>
  <c r="V16" i="4"/>
  <c r="AF16" i="4"/>
  <c r="T16" i="4"/>
  <c r="Z16" i="4" s="1"/>
  <c r="AF15" i="4"/>
  <c r="AG15" i="4" s="1"/>
  <c r="T15" i="4"/>
  <c r="Z15" i="4" s="1"/>
  <c r="Y14" i="4"/>
  <c r="Y13" i="4"/>
  <c r="Q12" i="4"/>
  <c r="K12" i="4"/>
  <c r="AC12" i="4" s="1"/>
  <c r="AD12" i="4" s="1"/>
  <c r="AG12" i="4" s="1"/>
  <c r="I12" i="4"/>
  <c r="J12" i="4"/>
  <c r="AD13" i="4"/>
  <c r="AD14" i="4"/>
  <c r="AD23" i="4"/>
  <c r="AG23" i="4" s="1"/>
  <c r="T23" i="4"/>
  <c r="Z23" i="4" s="1"/>
  <c r="AD18" i="4"/>
  <c r="AD19" i="4"/>
  <c r="AG19" i="4" s="1"/>
  <c r="V19" i="4"/>
  <c r="E11" i="17"/>
  <c r="G11" i="17" s="1"/>
  <c r="E10" i="17"/>
  <c r="G10" i="17" s="1"/>
  <c r="E9" i="17"/>
  <c r="N17" i="5"/>
  <c r="AG13" i="4" l="1"/>
  <c r="AG14" i="4"/>
  <c r="Z19" i="4"/>
  <c r="AG18" i="4"/>
  <c r="AG16" i="4"/>
  <c r="G9" i="17"/>
  <c r="I9" i="17" s="1"/>
  <c r="J9" i="17" s="1"/>
  <c r="F16" i="16"/>
  <c r="F17" i="5"/>
  <c r="I17" i="5" l="1"/>
  <c r="G17" i="5"/>
  <c r="H17" i="5"/>
  <c r="J17" i="5" l="1"/>
  <c r="E9" i="16"/>
  <c r="F12" i="16"/>
  <c r="F15" i="16" l="1"/>
  <c r="E17" i="20"/>
  <c r="N16" i="5"/>
  <c r="N15" i="5"/>
  <c r="N14" i="5"/>
  <c r="H20" i="17" l="1"/>
  <c r="K17" i="4" l="1"/>
  <c r="F17" i="17"/>
  <c r="E17" i="16" l="1"/>
  <c r="F17" i="16" s="1"/>
  <c r="L20" i="4"/>
  <c r="M20" i="4"/>
  <c r="F20" i="4"/>
  <c r="G20" i="4"/>
  <c r="H20" i="4"/>
  <c r="E20" i="4"/>
  <c r="F14" i="16"/>
  <c r="R17" i="4"/>
  <c r="I17" i="4"/>
  <c r="F13" i="16"/>
  <c r="J17" i="4"/>
  <c r="E9" i="20" l="1"/>
  <c r="E9" i="19"/>
  <c r="H14" i="17" l="1"/>
  <c r="H15" i="17" s="1"/>
  <c r="H17" i="17" l="1"/>
  <c r="H19" i="17" s="1"/>
  <c r="H16" i="17"/>
  <c r="D2" i="6"/>
  <c r="F21" i="5"/>
  <c r="G21" i="5" s="1"/>
  <c r="M20" i="5"/>
  <c r="N20" i="5" s="1"/>
  <c r="F20" i="5"/>
  <c r="I20" i="5" s="1"/>
  <c r="J20" i="5" s="1"/>
  <c r="M19" i="5"/>
  <c r="N19" i="5" s="1"/>
  <c r="F19" i="5"/>
  <c r="G18" i="5"/>
  <c r="F16" i="5"/>
  <c r="G16" i="5" s="1"/>
  <c r="G15" i="5"/>
  <c r="F14" i="5"/>
  <c r="F13" i="5"/>
  <c r="G13" i="5" s="1"/>
  <c r="R22" i="4"/>
  <c r="Q22" i="4"/>
  <c r="O22" i="4"/>
  <c r="AA22" i="4"/>
  <c r="AB22" i="4" s="1"/>
  <c r="R21" i="4"/>
  <c r="Q21" i="4"/>
  <c r="O21" i="4"/>
  <c r="AA21" i="4"/>
  <c r="AB21" i="4" s="1"/>
  <c r="B21" i="4"/>
  <c r="W20" i="4"/>
  <c r="R20" i="4"/>
  <c r="O20" i="4"/>
  <c r="D20" i="4"/>
  <c r="W17" i="4"/>
  <c r="E12" i="17" l="1"/>
  <c r="E13" i="17"/>
  <c r="D12" i="17"/>
  <c r="D13" i="17"/>
  <c r="C18" i="20"/>
  <c r="D16" i="18"/>
  <c r="D16" i="19"/>
  <c r="D16" i="20"/>
  <c r="E16" i="17"/>
  <c r="D17" i="5"/>
  <c r="D16" i="16"/>
  <c r="E17" i="5"/>
  <c r="D16" i="17"/>
  <c r="G16" i="17" s="1"/>
  <c r="I21" i="4"/>
  <c r="H20" i="5"/>
  <c r="G20" i="5"/>
  <c r="C18" i="16"/>
  <c r="C19" i="20"/>
  <c r="C19" i="19"/>
  <c r="C20" i="5"/>
  <c r="C19" i="18"/>
  <c r="C19" i="16"/>
  <c r="C19" i="17"/>
  <c r="H19" i="5"/>
  <c r="G19" i="5"/>
  <c r="U17" i="4"/>
  <c r="I19" i="5"/>
  <c r="J19" i="5" s="1"/>
  <c r="I22" i="4"/>
  <c r="C18" i="18"/>
  <c r="G14" i="5"/>
  <c r="I14" i="5"/>
  <c r="C18" i="17"/>
  <c r="C18" i="19"/>
  <c r="C19" i="5"/>
  <c r="I13" i="5"/>
  <c r="N18" i="5"/>
  <c r="Q17" i="4"/>
  <c r="Q20" i="4"/>
  <c r="N13" i="5"/>
  <c r="N21" i="5"/>
  <c r="I21" i="5"/>
  <c r="I18" i="5"/>
  <c r="I16" i="5"/>
  <c r="I15" i="5"/>
  <c r="J21" i="4"/>
  <c r="J22" i="4"/>
  <c r="K21" i="4"/>
  <c r="K22" i="4"/>
  <c r="X17" i="4"/>
  <c r="G13" i="17" l="1"/>
  <c r="I13" i="17" s="1"/>
  <c r="J13" i="17" s="1"/>
  <c r="G12" i="17"/>
  <c r="I12" i="17" s="1"/>
  <c r="J12" i="17" s="1"/>
  <c r="F16" i="18"/>
  <c r="E16" i="18"/>
  <c r="I16" i="17"/>
  <c r="J16" i="17" s="1"/>
  <c r="K24" i="4"/>
  <c r="K20" i="4"/>
  <c r="AC20" i="4" s="1"/>
  <c r="S20" i="4"/>
  <c r="T20" i="4" s="1"/>
  <c r="X20" i="4"/>
  <c r="Y20" i="4" s="1"/>
  <c r="AE20" i="4"/>
  <c r="AF22" i="4" s="1"/>
  <c r="I20" i="4"/>
  <c r="S17" i="4"/>
  <c r="U20" i="4"/>
  <c r="V20" i="4" s="1"/>
  <c r="V17" i="4"/>
  <c r="AE17" i="4"/>
  <c r="J20" i="4"/>
  <c r="AC17" i="4"/>
  <c r="Y17" i="4"/>
  <c r="I3" i="6"/>
  <c r="I4" i="6"/>
  <c r="I5" i="6"/>
  <c r="I2" i="6"/>
  <c r="H5" i="6"/>
  <c r="H4" i="6"/>
  <c r="H3" i="6"/>
  <c r="H2" i="6"/>
  <c r="Y22" i="4" l="1"/>
  <c r="G16" i="18"/>
  <c r="H16" i="18" s="1"/>
  <c r="Z20" i="4"/>
  <c r="Y21" i="4"/>
  <c r="AF20" i="4"/>
  <c r="AF21" i="4"/>
  <c r="T22" i="4"/>
  <c r="T21" i="4"/>
  <c r="V22" i="4"/>
  <c r="AF17" i="4"/>
  <c r="T17" i="4"/>
  <c r="Z17" i="4" s="1"/>
  <c r="V21" i="4"/>
  <c r="AD22" i="4"/>
  <c r="AG22" i="4" s="1"/>
  <c r="AD21" i="4"/>
  <c r="AD20" i="4"/>
  <c r="AD17" i="4"/>
  <c r="AG20" i="4" l="1"/>
  <c r="AG21" i="4"/>
  <c r="AG17" i="4"/>
  <c r="H18" i="5"/>
  <c r="J18" i="5" s="1"/>
  <c r="H13" i="5"/>
  <c r="J13" i="5" s="1"/>
  <c r="H16" i="5"/>
  <c r="J16" i="5" s="1"/>
  <c r="H14" i="5"/>
  <c r="J14" i="5" s="1"/>
  <c r="H21" i="5"/>
  <c r="J21" i="5" s="1"/>
  <c r="H15" i="5"/>
  <c r="J15" i="5" s="1"/>
  <c r="E19" i="5" l="1"/>
  <c r="D18" i="18" l="1"/>
  <c r="E18" i="18" s="1"/>
  <c r="D18" i="16"/>
  <c r="D18" i="17"/>
  <c r="E19" i="17"/>
  <c r="D19" i="19"/>
  <c r="D19" i="5"/>
  <c r="D19" i="18"/>
  <c r="E19" i="18" s="1"/>
  <c r="D18" i="19"/>
  <c r="D20" i="5"/>
  <c r="D19" i="20"/>
  <c r="E18" i="17"/>
  <c r="E20" i="5"/>
  <c r="D19" i="16"/>
  <c r="D19" i="17"/>
  <c r="D18" i="20"/>
  <c r="D13" i="19"/>
  <c r="D14" i="5"/>
  <c r="D14" i="18"/>
  <c r="E17" i="18" l="1"/>
  <c r="G19" i="17"/>
  <c r="F14" i="18"/>
  <c r="E14" i="18"/>
  <c r="F18" i="18"/>
  <c r="F19" i="18"/>
  <c r="G18" i="17"/>
  <c r="E13" i="5"/>
  <c r="D20" i="20"/>
  <c r="D15" i="16"/>
  <c r="D17" i="20"/>
  <c r="D14" i="17"/>
  <c r="D12" i="18"/>
  <c r="D15" i="19"/>
  <c r="E18" i="5"/>
  <c r="E20" i="17"/>
  <c r="E14" i="17"/>
  <c r="D20" i="17"/>
  <c r="D14" i="19"/>
  <c r="D15" i="20"/>
  <c r="E15" i="17"/>
  <c r="D20" i="18"/>
  <c r="D12" i="16"/>
  <c r="D15" i="18"/>
  <c r="E17" i="17"/>
  <c r="D14" i="16"/>
  <c r="D21" i="5"/>
  <c r="D15" i="5"/>
  <c r="D17" i="16"/>
  <c r="D13" i="18"/>
  <c r="D13" i="16"/>
  <c r="D20" i="19"/>
  <c r="E21" i="5"/>
  <c r="D17" i="18"/>
  <c r="D14" i="20"/>
  <c r="E14" i="5"/>
  <c r="D13" i="20"/>
  <c r="D20" i="16"/>
  <c r="F20" i="16" s="1"/>
  <c r="D15" i="17"/>
  <c r="D17" i="19"/>
  <c r="E16" i="5"/>
  <c r="D17" i="17"/>
  <c r="D16" i="5"/>
  <c r="D12" i="19"/>
  <c r="D13" i="5"/>
  <c r="E15" i="5"/>
  <c r="D12" i="20"/>
  <c r="D18" i="5"/>
  <c r="F12" i="5"/>
  <c r="H12" i="5" s="1"/>
  <c r="F11" i="5"/>
  <c r="G11" i="5" s="1"/>
  <c r="G20" i="17" l="1"/>
  <c r="I20" i="17" s="1"/>
  <c r="J20" i="17" s="1"/>
  <c r="F20" i="18"/>
  <c r="E20" i="18"/>
  <c r="F17" i="18"/>
  <c r="G17" i="17"/>
  <c r="I17" i="17" s="1"/>
  <c r="J17" i="17" s="1"/>
  <c r="G15" i="17"/>
  <c r="I15" i="17" s="1"/>
  <c r="J15" i="17" s="1"/>
  <c r="G14" i="17"/>
  <c r="I14" i="17" s="1"/>
  <c r="J14" i="17" s="1"/>
  <c r="E15" i="18"/>
  <c r="F15" i="18"/>
  <c r="G14" i="18"/>
  <c r="H14" i="18" s="1"/>
  <c r="P15" i="5" s="1"/>
  <c r="F13" i="18"/>
  <c r="E13" i="18"/>
  <c r="F12" i="18"/>
  <c r="E12" i="18"/>
  <c r="G12" i="5"/>
  <c r="H11" i="5"/>
  <c r="G15" i="18" l="1"/>
  <c r="H15" i="18" s="1"/>
  <c r="P16" i="5" s="1"/>
  <c r="G13" i="18"/>
  <c r="H13" i="18" s="1"/>
  <c r="P14" i="5" s="1"/>
  <c r="G12" i="18"/>
  <c r="H12" i="18" s="1"/>
  <c r="P13" i="5" s="1"/>
  <c r="G17" i="18"/>
  <c r="H17" i="18" s="1"/>
  <c r="G20" i="18"/>
  <c r="H20" i="18" s="1"/>
  <c r="P21" i="5" s="1"/>
  <c r="C9" i="20"/>
  <c r="C4" i="20"/>
  <c r="D9" i="20" l="1"/>
  <c r="C9" i="19"/>
  <c r="C4" i="19"/>
  <c r="D9" i="19" l="1"/>
  <c r="C9" i="18"/>
  <c r="C4" i="18"/>
  <c r="D9" i="18" l="1"/>
  <c r="C4" i="17"/>
  <c r="C4" i="16" l="1"/>
  <c r="C4" i="5"/>
  <c r="C9" i="16" l="1"/>
  <c r="D9" i="16" l="1"/>
  <c r="F9" i="16" s="1"/>
  <c r="I12" i="5"/>
  <c r="I11" i="5"/>
  <c r="F10" i="5"/>
  <c r="G10" i="5" s="1"/>
  <c r="I10" i="5" l="1"/>
  <c r="H10" i="5"/>
  <c r="J12" i="5"/>
  <c r="J11" i="5"/>
  <c r="C10" i="20" l="1"/>
  <c r="J10" i="5"/>
  <c r="C10" i="18"/>
  <c r="C10" i="19"/>
  <c r="C10" i="16"/>
  <c r="D10" i="19" l="1"/>
  <c r="D10" i="20"/>
  <c r="D10" i="18"/>
  <c r="E10" i="18" s="1"/>
  <c r="D10" i="16"/>
  <c r="F10" i="18" l="1"/>
  <c r="M12" i="5" l="1"/>
  <c r="N12" i="5" s="1"/>
  <c r="M11" i="5"/>
  <c r="N11" i="5" s="1"/>
  <c r="C10" i="5"/>
  <c r="C11" i="5"/>
  <c r="K11" i="5" s="1"/>
  <c r="B101" i="7"/>
  <c r="H8" i="1"/>
  <c r="K8" i="1"/>
  <c r="U8" i="1"/>
  <c r="W8" i="1"/>
  <c r="H9" i="1"/>
  <c r="T9" i="1" s="1"/>
  <c r="K9" i="1"/>
  <c r="M9" i="1" s="1"/>
  <c r="V9" i="1"/>
  <c r="W9" i="1"/>
  <c r="H10" i="1"/>
  <c r="T10" i="1" s="1"/>
  <c r="K10" i="1"/>
  <c r="M10" i="1" s="1"/>
  <c r="U10" i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9" i="1"/>
  <c r="U21" i="1" l="1"/>
  <c r="U18" i="1"/>
  <c r="M19" i="1"/>
  <c r="N10" i="5"/>
  <c r="Q10" i="5"/>
  <c r="K10" i="5"/>
  <c r="O10" i="5"/>
  <c r="D10" i="5"/>
  <c r="U12" i="1"/>
  <c r="U25" i="1"/>
  <c r="L8" i="1"/>
  <c r="U31" i="1"/>
  <c r="U20" i="1"/>
  <c r="U16" i="1"/>
  <c r="L11" i="5"/>
  <c r="D11" i="5"/>
  <c r="U24" i="1"/>
  <c r="M17" i="1"/>
  <c r="M14" i="1"/>
  <c r="U23" i="1"/>
  <c r="M30" i="1"/>
  <c r="E10" i="5"/>
  <c r="T8" i="1"/>
  <c r="C11" i="19"/>
  <c r="Q17" i="5" s="1"/>
  <c r="C11" i="20"/>
  <c r="Q11" i="5"/>
  <c r="O11" i="5"/>
  <c r="P11" i="5"/>
  <c r="E11" i="5"/>
  <c r="C11" i="18"/>
  <c r="P18" i="5" s="1"/>
  <c r="C12" i="5"/>
  <c r="D12" i="5" s="1"/>
  <c r="C11" i="16"/>
  <c r="O17" i="5" s="1"/>
  <c r="V8" i="1"/>
  <c r="M8" i="1"/>
  <c r="U29" i="1"/>
  <c r="M28" i="1"/>
  <c r="U13" i="1"/>
  <c r="U26" i="1"/>
  <c r="K17" i="5" l="1"/>
  <c r="K21" i="5"/>
  <c r="Q13" i="5"/>
  <c r="Q16" i="5"/>
  <c r="Q14" i="5"/>
  <c r="Q18" i="5"/>
  <c r="Q15" i="5"/>
  <c r="Q21" i="5"/>
  <c r="L14" i="5"/>
  <c r="L16" i="5"/>
  <c r="L21" i="5"/>
  <c r="L18" i="5"/>
  <c r="L15" i="5"/>
  <c r="L13" i="5"/>
  <c r="O14" i="5"/>
  <c r="O13" i="5"/>
  <c r="O16" i="5"/>
  <c r="O18" i="5"/>
  <c r="O15" i="5"/>
  <c r="O21" i="5"/>
  <c r="K13" i="5"/>
  <c r="K15" i="5"/>
  <c r="K18" i="5"/>
  <c r="K14" i="5"/>
  <c r="K16" i="5"/>
  <c r="R11" i="5"/>
  <c r="D11" i="16"/>
  <c r="D11" i="18"/>
  <c r="E11" i="18" s="1"/>
  <c r="E9" i="18" s="1"/>
  <c r="D11" i="20"/>
  <c r="K19" i="5"/>
  <c r="K20" i="5"/>
  <c r="D11" i="19"/>
  <c r="Q19" i="5"/>
  <c r="Q20" i="5"/>
  <c r="K12" i="5"/>
  <c r="E12" i="5"/>
  <c r="Q12" i="5"/>
  <c r="R21" i="5" l="1"/>
  <c r="S21" i="5" s="1"/>
  <c r="R18" i="5"/>
  <c r="R16" i="5"/>
  <c r="R14" i="5"/>
  <c r="S14" i="5" s="1"/>
  <c r="R15" i="5"/>
  <c r="R13" i="5"/>
  <c r="O20" i="5"/>
  <c r="O19" i="5"/>
  <c r="O12" i="5"/>
  <c r="F11" i="18"/>
  <c r="F9" i="18" l="1"/>
  <c r="G9" i="18" s="1"/>
  <c r="P17" i="5"/>
  <c r="L10" i="5"/>
  <c r="L17" i="5"/>
  <c r="R17" i="5" s="1"/>
  <c r="S17" i="5" s="1"/>
  <c r="H9" i="18"/>
  <c r="P10" i="5" s="1"/>
  <c r="P20" i="5"/>
  <c r="P19" i="5"/>
  <c r="P12" i="5"/>
  <c r="R10" i="5" l="1"/>
  <c r="L12" i="5"/>
  <c r="R12" i="5" l="1"/>
  <c r="S10" i="5" s="1"/>
  <c r="L19" i="5"/>
  <c r="R19" i="5" s="1"/>
  <c r="L20" i="5"/>
  <c r="R20" i="5" s="1"/>
  <c r="S18" i="5" l="1"/>
  <c r="S16" i="5"/>
  <c r="S15" i="5"/>
  <c r="S13" i="5"/>
</calcChain>
</file>

<file path=xl/sharedStrings.xml><?xml version="1.0" encoding="utf-8"?>
<sst xmlns="http://schemas.openxmlformats.org/spreadsheetml/2006/main" count="322" uniqueCount="261">
  <si>
    <t>N</t>
  </si>
  <si>
    <t>PLAZO</t>
  </si>
  <si>
    <t>(%)</t>
  </si>
  <si>
    <t>En Pesos Colombianos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</si>
  <si>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</si>
  <si>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</si>
  <si>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</si>
  <si>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</si>
  <si>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</si>
  <si>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</si>
  <si>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</si>
  <si>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</si>
  <si>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</si>
  <si>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</si>
  <si>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</si>
  <si>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</si>
  <si>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</si>
  <si>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</si>
  <si>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</si>
  <si>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</si>
  <si>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</si>
  <si>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</si>
  <si>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</si>
  <si>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</si>
  <si>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</si>
  <si>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</si>
  <si>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</si>
  <si>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</si>
  <si>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</si>
  <si>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</si>
  <si>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</si>
  <si>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</si>
  <si>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</si>
  <si>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</si>
  <si>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</si>
  <si>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</si>
  <si>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</si>
  <si>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</si>
  <si>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</si>
  <si>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</si>
  <si>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</si>
  <si>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</si>
  <si>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</si>
  <si>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</si>
  <si>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</si>
  <si>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</si>
  <si>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</si>
  <si>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</si>
  <si>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</si>
  <si>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</si>
  <si>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</si>
  <si>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</si>
  <si>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</si>
  <si>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</si>
  <si>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</si>
  <si>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</si>
  <si>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</si>
  <si>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</si>
  <si>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</si>
  <si>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</si>
  <si>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</si>
  <si>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</si>
  <si>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</si>
  <si>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</si>
  <si>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</si>
  <si>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</si>
  <si>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</si>
  <si>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</si>
  <si>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</si>
  <si>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</si>
  <si>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</si>
  <si>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</si>
  <si>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</si>
  <si>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</si>
  <si>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</si>
  <si>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</si>
  <si>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</si>
  <si>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</si>
  <si>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</si>
  <si>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</si>
  <si>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</si>
  <si>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</si>
  <si>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</si>
  <si>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</si>
  <si>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</si>
  <si>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</si>
  <si>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</si>
  <si>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</si>
  <si>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</si>
  <si>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</si>
  <si>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</si>
  <si>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</si>
  <si>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</si>
  <si>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</si>
  <si>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</si>
  <si>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</si>
  <si>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</si>
  <si>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</si>
  <si>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</si>
  <si>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</si>
  <si>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</si>
  <si>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</si>
  <si>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</si>
  <si>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</si>
  <si>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</si>
  <si>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</si>
  <si>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</si>
  <si>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</si>
  <si>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</si>
  <si>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</si>
  <si>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</si>
  <si>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</si>
  <si>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</si>
  <si>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</si>
  <si>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</si>
  <si>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</si>
  <si>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</si>
  <si>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</si>
  <si>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</si>
  <si>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</si>
  <si>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</si>
  <si>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</si>
  <si>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</si>
  <si>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</si>
  <si>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</si>
  <si>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</si>
  <si>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</si>
  <si>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</si>
  <si>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</si>
  <si>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</si>
  <si>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</si>
  <si>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</si>
  <si>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</si>
  <si>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</si>
  <si>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</si>
  <si>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</si>
  <si>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</si>
  <si>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</si>
  <si>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</si>
  <si>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</si>
  <si>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</si>
  <si>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</si>
  <si>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</si>
  <si>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</si>
  <si>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</si>
  <si>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</si>
  <si>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</si>
  <si>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</si>
  <si>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</si>
  <si>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</si>
  <si>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</si>
  <si>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</si>
  <si>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</si>
  <si>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</si>
  <si>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</si>
  <si>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</si>
  <si>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</si>
  <si>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</si>
  <si>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</si>
  <si>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</si>
  <si>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</si>
  <si>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</si>
  <si>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</si>
  <si>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</si>
  <si>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</si>
  <si>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</si>
  <si>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</si>
  <si>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</si>
  <si>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</si>
  <si>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</si>
  <si>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</si>
  <si>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</si>
  <si>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</si>
  <si>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</si>
  <si>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</si>
  <si>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>HABIL/NO HABIL</t>
  </si>
  <si>
    <t>HABIL  / 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</si>
  <si>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</si>
  <si>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</si>
  <si>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</si>
  <si>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</si>
  <si>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</si>
  <si>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</si>
  <si>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</si>
  <si>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</si>
  <si>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</si>
  <si>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</si>
  <si>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</si>
  <si>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PRESUPUESTO OFICIAL ESTIMADO (POE)</t>
  </si>
  <si>
    <t>Anticipo</t>
  </si>
  <si>
    <t>CAPACIDAD RESIDUAL DEL PROCESO DE CONTRATACION</t>
  </si>
  <si>
    <t xml:space="preserve">CAPACIDAD DE ORGANIZACIÓN </t>
  </si>
  <si>
    <t xml:space="preserve">EXPERIENCIA         </t>
  </si>
  <si>
    <t>CAPACIDAD FINANCIERA</t>
  </si>
  <si>
    <t>CAPACIDAD RESIDUAL DEL PROPONENTE</t>
  </si>
  <si>
    <t>Formula: Si el plazo es menor a 12 meses (POE - Anticipo), si el plazo es mayor a 12 meses [(POE- Anticipo)/Plazo]x12</t>
  </si>
  <si>
    <t>INSTITUTO NACIONAL DE VIAS</t>
  </si>
  <si>
    <t>CAPACIDAD RESIDUAL</t>
  </si>
  <si>
    <t>EXPERIENCIA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</si>
  <si>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</si>
  <si>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</si>
  <si>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Porcentaje de Participación para este Proceso</t>
  </si>
  <si>
    <t>Mayor a</t>
  </si>
  <si>
    <t>Puntaje</t>
  </si>
  <si>
    <t>Menor o Igual a</t>
  </si>
  <si>
    <t>Mayores</t>
  </si>
  <si>
    <t>CAPACIDAD TÉCNICA</t>
  </si>
  <si>
    <t>Desde</t>
  </si>
  <si>
    <t>Hasta</t>
  </si>
  <si>
    <t>PUNTAJE POR CAPACIDAD TÉCNICA</t>
  </si>
  <si>
    <t>DIRECCIÓN DE CONTRATACIÓN</t>
  </si>
  <si>
    <t>Rangos: 
Desde 1 hasta 5 = 20 Puntos
Desde 6 hasta 10 = 30 Puntos
Desde 11 hasta mayores = 40 Puntos</t>
  </si>
  <si>
    <t>PUNTAJE POR EXPERIENCIA</t>
  </si>
  <si>
    <t>Porcentaje de Participación para este Proceso
(A)</t>
  </si>
  <si>
    <t>RESULTADO   
B / (C * A)</t>
  </si>
  <si>
    <t>Rangos:
Mayor a 0 y Menor o Igual a 3 = 60 Puntos 
Mayor a 3 y Menor o Igual a 6 = 80 Puntos
Mayor a 6 y Menor o Igual a 10 = 100 Puntos
Mayor a 10 y Mayores = 120 Puntos</t>
  </si>
  <si>
    <t>Módulo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</si>
  <si>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</si>
  <si>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</si>
  <si>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</si>
  <si>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</si>
  <si>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</si>
  <si>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</si>
  <si>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</si>
  <si>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</si>
  <si>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</si>
  <si>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>En Pesos</t>
  </si>
  <si>
    <t>SALDOS CONTRATOS EN EJECUCIÓN</t>
  </si>
  <si>
    <t xml:space="preserve">CAPACIDAD RESIDUAL DE CONTRATACIÓN 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</si>
  <si>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</si>
  <si>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 xml:space="preserve">VALOR TOTAL DE LOS CONTRATOS EJECUTADOS
</t>
  </si>
  <si>
    <t>VALOR TOTAL DE LOS CONTRATOS EJECUTADOS EN SMMLV
(B)</t>
  </si>
  <si>
    <t>PRESUPUESTO OFICIAL ESTIMADO (POE) EN SMMLV
(C)</t>
  </si>
  <si>
    <t>CAPITAL DE TRABAJO
(Activo Corriente - Pasivo Corriente)</t>
  </si>
  <si>
    <t>PATRIMONIO
(Activo Total - Pasivo Total)</t>
  </si>
  <si>
    <t>PLAZO (P)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</si>
  <si>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</si>
  <si>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</si>
  <si>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</si>
  <si>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</si>
  <si>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ROE=UO/Pat.ROE&gt;=0,00</t>
  </si>
  <si>
    <t>Fórmula:                        ROE=UO/Act.Tot.&gt;=0,00</t>
  </si>
  <si>
    <t>Capital de Trabajo Demandado</t>
  </si>
  <si>
    <t>% Requerido Patrimonio</t>
  </si>
  <si>
    <t>SMMLV 2019</t>
  </si>
  <si>
    <t>Fórmula: Liquidez=AC/PC&gt;=0,42</t>
  </si>
  <si>
    <t>COBOL</t>
  </si>
  <si>
    <t>COOTRASCIBOL</t>
  </si>
  <si>
    <t>COOTRASERVIM</t>
  </si>
  <si>
    <t>COOTRAVAR</t>
  </si>
  <si>
    <t>DIRECCIÓN TERRITORIAL MAGDALENA</t>
  </si>
  <si>
    <t>MANTENIMIENTO VIAL JJ S.A.S</t>
  </si>
  <si>
    <t>COOTRASIERRA</t>
  </si>
  <si>
    <t>COOPERATIVA DE TRABAJO ASOCIADO DE SALAMINA</t>
  </si>
  <si>
    <t>CONSORCIO MV MAGDALENA 2019</t>
  </si>
  <si>
    <t>CIVILTEC S.A.S</t>
  </si>
  <si>
    <t>BGDSA S.A.S</t>
  </si>
  <si>
    <t>COOPIRAGUA</t>
  </si>
  <si>
    <r>
      <t xml:space="preserve">Formula: CO * </t>
    </r>
    <r>
      <rPr>
        <b/>
        <sz val="8"/>
        <rFont val="Calibri"/>
        <family val="2"/>
      </rPr>
      <t>[(E+CT+CF)/100] - SCE</t>
    </r>
  </si>
  <si>
    <t>COOTENEGRAN</t>
  </si>
  <si>
    <t>EVALUACIÓN FINANCIERA LP-DT-MAG-002-2019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</si>
</sst>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-* #,##0.000_-;\-* #,##0.000_-;_-* &quot;-&quot;_-;_-@_-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8"/>
      <name val="Tahoma"/>
      <family val="2"/>
    </font>
    <font>
      <sz val="10"/>
      <name val="Arial"/>
      <family val="2"/>
    </font>
    <font>
      <b/>
      <sz val="14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4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9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37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41" fontId="38" fillId="0" borderId="0" applyFont="0" applyFill="0" applyBorder="0" applyAlignment="0" applyProtection="0"/>
  </cellStyleXfs>
  <cellXfs count="356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169" fontId="20" fillId="5" borderId="9" xfId="1" applyFont="1" applyFill="1" applyBorder="1" applyAlignment="1">
      <alignment horizontal="center" vertical="center"/>
    </xf>
    <xf numFmtId="0" fontId="17" fillId="3" borderId="3" xfId="0" quotePrefix="1" applyFont="1" applyFill="1" applyBorder="1" applyAlignment="1">
      <alignment horizontal="left" vertical="center" wrapText="1"/>
    </xf>
    <xf numFmtId="0" fontId="17" fillId="3" borderId="19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169" fontId="14" fillId="6" borderId="6" xfId="1" applyFont="1" applyFill="1" applyBorder="1" applyAlignment="1">
      <alignment horizontal="center" vertical="center" wrapText="1"/>
    </xf>
    <xf numFmtId="0" fontId="14" fillId="6" borderId="14" xfId="0" applyNumberFormat="1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167" fontId="23" fillId="6" borderId="6" xfId="1" applyNumberFormat="1" applyFont="1" applyFill="1" applyBorder="1" applyAlignment="1">
      <alignment horizontal="center" vertical="center" wrapText="1"/>
    </xf>
    <xf numFmtId="169" fontId="4" fillId="7" borderId="6" xfId="1" applyFont="1" applyFill="1" applyBorder="1" applyAlignment="1">
      <alignment horizontal="center" vertical="center"/>
    </xf>
    <xf numFmtId="171" fontId="23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 wrapText="1"/>
    </xf>
    <xf numFmtId="169" fontId="17" fillId="0" borderId="6" xfId="1" applyFont="1" applyFill="1" applyBorder="1" applyAlignment="1">
      <alignment horizontal="center" vertical="center" wrapText="1"/>
    </xf>
    <xf numFmtId="0" fontId="17" fillId="7" borderId="21" xfId="0" applyNumberFormat="1" applyFont="1" applyFill="1" applyBorder="1" applyAlignment="1">
      <alignment horizontal="center" vertical="center" wrapText="1"/>
    </xf>
    <xf numFmtId="0" fontId="21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4" fontId="20" fillId="3" borderId="15" xfId="3" applyNumberFormat="1" applyFont="1" applyFill="1" applyBorder="1" applyAlignment="1">
      <alignment horizontal="center" vertical="center" wrapText="1"/>
    </xf>
    <xf numFmtId="0" fontId="20" fillId="3" borderId="15" xfId="3" applyFont="1" applyFill="1" applyBorder="1" applyAlignment="1">
      <alignment horizontal="center" vertical="center" wrapText="1"/>
    </xf>
    <xf numFmtId="10" fontId="26" fillId="6" borderId="6" xfId="3" applyNumberFormat="1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0" fontId="26" fillId="7" borderId="21" xfId="4" applyNumberFormat="1" applyFont="1" applyFill="1" applyBorder="1" applyAlignment="1">
      <alignment horizontal="center" vertical="center" wrapText="1"/>
    </xf>
    <xf numFmtId="169" fontId="26" fillId="7" borderId="15" xfId="1" applyFont="1" applyFill="1" applyBorder="1" applyAlignment="1">
      <alignment horizontal="center" vertical="center" wrapText="1"/>
    </xf>
    <xf numFmtId="10" fontId="26" fillId="7" borderId="15" xfId="3" applyNumberFormat="1" applyFont="1" applyFill="1" applyBorder="1" applyAlignment="1">
      <alignment horizontal="center" vertical="center" wrapText="1"/>
    </xf>
    <xf numFmtId="169" fontId="26" fillId="7" borderId="15" xfId="3" applyNumberFormat="1" applyFont="1" applyFill="1" applyBorder="1" applyAlignment="1">
      <alignment horizontal="center" vertical="center" wrapText="1"/>
    </xf>
    <xf numFmtId="171" fontId="26" fillId="7" borderId="15" xfId="1" applyNumberFormat="1" applyFont="1" applyFill="1" applyBorder="1" applyAlignment="1">
      <alignment horizontal="center" vertical="center" wrapText="1"/>
    </xf>
    <xf numFmtId="0" fontId="27" fillId="6" borderId="14" xfId="4" applyNumberFormat="1" applyFont="1" applyFill="1" applyBorder="1" applyAlignment="1">
      <alignment horizontal="center" vertical="center" wrapText="1"/>
    </xf>
    <xf numFmtId="9" fontId="21" fillId="7" borderId="15" xfId="6" applyFont="1" applyFill="1" applyBorder="1" applyAlignment="1">
      <alignment horizontal="center" vertical="center" wrapText="1"/>
    </xf>
    <xf numFmtId="9" fontId="22" fillId="6" borderId="6" xfId="6" applyFont="1" applyFill="1" applyBorder="1" applyAlignment="1">
      <alignment horizontal="center" vertical="center" wrapText="1"/>
    </xf>
    <xf numFmtId="171" fontId="23" fillId="11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6" xfId="0" applyFont="1" applyFill="1" applyBorder="1" applyAlignment="1">
      <alignment vertical="center" wrapText="1"/>
    </xf>
    <xf numFmtId="168" fontId="17" fillId="3" borderId="27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2" borderId="17" xfId="0" applyFont="1" applyFill="1" applyBorder="1"/>
    <xf numFmtId="0" fontId="17" fillId="4" borderId="20" xfId="0" applyFont="1" applyFill="1" applyBorder="1" applyAlignment="1">
      <alignment horizontal="center" vertical="center"/>
    </xf>
    <xf numFmtId="0" fontId="17" fillId="4" borderId="20" xfId="0" quotePrefix="1" applyFont="1" applyFill="1" applyBorder="1" applyAlignment="1">
      <alignment horizontal="center" vertical="center"/>
    </xf>
    <xf numFmtId="167" fontId="17" fillId="4" borderId="20" xfId="0" applyNumberFormat="1" applyFont="1" applyFill="1" applyBorder="1" applyAlignment="1">
      <alignment horizontal="center" vertical="center" wrapText="1"/>
    </xf>
    <xf numFmtId="0" fontId="17" fillId="13" borderId="18" xfId="0" applyFont="1" applyFill="1" applyBorder="1" applyAlignment="1">
      <alignment horizontal="center" vertical="center" wrapText="1"/>
    </xf>
    <xf numFmtId="169" fontId="17" fillId="3" borderId="10" xfId="1" applyFont="1" applyFill="1" applyBorder="1" applyAlignment="1">
      <alignment horizontal="center" vertical="center" wrapText="1"/>
    </xf>
    <xf numFmtId="172" fontId="18" fillId="0" borderId="6" xfId="6" applyNumberFormat="1" applyFont="1" applyFill="1" applyBorder="1" applyAlignment="1">
      <alignment horizontal="center" vertical="center" wrapText="1"/>
    </xf>
    <xf numFmtId="169" fontId="4" fillId="12" borderId="37" xfId="1" applyFont="1" applyFill="1" applyBorder="1"/>
    <xf numFmtId="0" fontId="4" fillId="0" borderId="38" xfId="0" applyFont="1" applyFill="1" applyBorder="1"/>
    <xf numFmtId="0" fontId="24" fillId="5" borderId="39" xfId="0" applyFont="1" applyFill="1" applyBorder="1" applyAlignment="1">
      <alignment horizontal="center" vertical="center" wrapText="1"/>
    </xf>
    <xf numFmtId="0" fontId="24" fillId="5" borderId="27" xfId="0" applyFont="1" applyFill="1" applyBorder="1" applyAlignment="1">
      <alignment horizontal="center" vertical="center" wrapText="1"/>
    </xf>
    <xf numFmtId="0" fontId="24" fillId="5" borderId="17" xfId="0" applyFont="1" applyFill="1" applyBorder="1" applyAlignment="1">
      <alignment horizontal="center" vertical="center" wrapText="1"/>
    </xf>
    <xf numFmtId="0" fontId="17" fillId="3" borderId="34" xfId="0" applyFont="1" applyFill="1" applyBorder="1" applyAlignment="1">
      <alignment horizontal="center" vertical="center"/>
    </xf>
    <xf numFmtId="172" fontId="17" fillId="3" borderId="3" xfId="6" quotePrefix="1" applyNumberFormat="1" applyFont="1" applyFill="1" applyBorder="1" applyAlignment="1">
      <alignment horizontal="left" vertical="center" wrapText="1"/>
    </xf>
    <xf numFmtId="172" fontId="17" fillId="3" borderId="18" xfId="6" applyNumberFormat="1" applyFont="1" applyFill="1" applyBorder="1" applyAlignment="1">
      <alignment horizontal="center" vertical="center"/>
    </xf>
    <xf numFmtId="172" fontId="23" fillId="6" borderId="6" xfId="6" applyNumberFormat="1" applyFont="1" applyFill="1" applyBorder="1" applyAlignment="1">
      <alignment horizontal="center" vertical="center" wrapText="1"/>
    </xf>
    <xf numFmtId="0" fontId="20" fillId="11" borderId="15" xfId="3" applyFont="1" applyFill="1" applyBorder="1" applyAlignment="1">
      <alignment horizontal="center" vertical="center" wrapText="1"/>
    </xf>
    <xf numFmtId="0" fontId="20" fillId="3" borderId="41" xfId="3" applyFont="1" applyFill="1" applyBorder="1" applyAlignment="1">
      <alignment horizontal="center" vertical="center" wrapText="1"/>
    </xf>
    <xf numFmtId="169" fontId="26" fillId="6" borderId="7" xfId="1" applyFont="1" applyFill="1" applyBorder="1" applyAlignment="1">
      <alignment horizontal="center" vertical="center" wrapText="1"/>
    </xf>
    <xf numFmtId="0" fontId="20" fillId="11" borderId="41" xfId="3" applyFont="1" applyFill="1" applyBorder="1" applyAlignment="1">
      <alignment horizontal="center" vertical="center" wrapText="1"/>
    </xf>
    <xf numFmtId="169" fontId="27" fillId="0" borderId="44" xfId="1" applyFont="1" applyFill="1" applyBorder="1" applyAlignment="1">
      <alignment horizontal="center" vertical="center" wrapText="1"/>
    </xf>
    <xf numFmtId="169" fontId="26" fillId="7" borderId="44" xfId="1" applyFont="1" applyFill="1" applyBorder="1" applyAlignment="1">
      <alignment horizontal="center" vertical="center" wrapText="1"/>
    </xf>
    <xf numFmtId="171" fontId="26" fillId="7" borderId="44" xfId="1" applyNumberFormat="1" applyFont="1" applyFill="1" applyBorder="1" applyAlignment="1">
      <alignment horizontal="center" vertical="center" wrapText="1"/>
    </xf>
    <xf numFmtId="0" fontId="5" fillId="10" borderId="0" xfId="0" applyFont="1" applyFill="1"/>
    <xf numFmtId="0" fontId="4" fillId="10" borderId="0" xfId="0" applyFont="1" applyFill="1"/>
    <xf numFmtId="169" fontId="5" fillId="10" borderId="0" xfId="0" applyNumberFormat="1" applyFont="1" applyFill="1"/>
    <xf numFmtId="0" fontId="5" fillId="10" borderId="0" xfId="0" applyFont="1" applyFill="1" applyAlignment="1">
      <alignment horizontal="center"/>
    </xf>
    <xf numFmtId="169" fontId="5" fillId="10" borderId="0" xfId="1" applyFont="1" applyFill="1" applyAlignment="1">
      <alignment horizontal="center"/>
    </xf>
    <xf numFmtId="167" fontId="5" fillId="10" borderId="0" xfId="0" applyNumberFormat="1" applyFont="1" applyFill="1" applyAlignment="1">
      <alignment horizontal="center"/>
    </xf>
    <xf numFmtId="172" fontId="5" fillId="10" borderId="0" xfId="6" applyNumberFormat="1" applyFont="1" applyFill="1"/>
    <xf numFmtId="9" fontId="17" fillId="10" borderId="5" xfId="0" applyNumberFormat="1" applyFont="1" applyFill="1" applyBorder="1" applyAlignment="1">
      <alignment vertical="center"/>
    </xf>
    <xf numFmtId="9" fontId="17" fillId="10" borderId="1" xfId="0" applyNumberFormat="1" applyFont="1" applyFill="1" applyBorder="1" applyAlignment="1">
      <alignment vertical="center"/>
    </xf>
    <xf numFmtId="9" fontId="17" fillId="10" borderId="0" xfId="0" applyNumberFormat="1" applyFont="1" applyFill="1" applyBorder="1" applyAlignment="1">
      <alignment vertical="center"/>
    </xf>
    <xf numFmtId="0" fontId="5" fillId="10" borderId="1" xfId="0" applyFont="1" applyFill="1" applyBorder="1" applyAlignment="1"/>
    <xf numFmtId="0" fontId="5" fillId="10" borderId="8" xfId="0" applyFont="1" applyFill="1" applyBorder="1" applyAlignment="1"/>
    <xf numFmtId="172" fontId="5" fillId="10" borderId="0" xfId="6" applyNumberFormat="1" applyFont="1" applyFill="1" applyBorder="1"/>
    <xf numFmtId="0" fontId="5" fillId="10" borderId="0" xfId="0" applyFont="1" applyFill="1" applyBorder="1"/>
    <xf numFmtId="0" fontId="5" fillId="10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0" xfId="0" applyFill="1"/>
    <xf numFmtId="0" fontId="4" fillId="10" borderId="0" xfId="0" applyFont="1" applyFill="1" applyAlignment="1">
      <alignment horizontal="center" vertical="center"/>
    </xf>
    <xf numFmtId="0" fontId="27" fillId="10" borderId="0" xfId="0" applyFont="1" applyFill="1" applyBorder="1"/>
    <xf numFmtId="169" fontId="27" fillId="10" borderId="0" xfId="1" applyFont="1" applyFill="1" applyBorder="1"/>
    <xf numFmtId="9" fontId="27" fillId="10" borderId="0" xfId="6" applyFont="1" applyFill="1" applyBorder="1"/>
    <xf numFmtId="0" fontId="27" fillId="10" borderId="0" xfId="0" applyNumberFormat="1" applyFont="1" applyFill="1" applyBorder="1" applyAlignment="1">
      <alignment horizontal="center" vertical="center" wrapText="1"/>
    </xf>
    <xf numFmtId="0" fontId="27" fillId="10" borderId="0" xfId="0" applyFont="1" applyFill="1" applyBorder="1" applyAlignment="1">
      <alignment horizontal="center" vertical="center" wrapText="1"/>
    </xf>
    <xf numFmtId="10" fontId="26" fillId="10" borderId="0" xfId="3" applyNumberFormat="1" applyFont="1" applyFill="1" applyBorder="1" applyAlignment="1">
      <alignment horizontal="center" vertical="center" wrapText="1"/>
    </xf>
    <xf numFmtId="169" fontId="26" fillId="10" borderId="0" xfId="3" applyNumberFormat="1" applyFont="1" applyFill="1" applyBorder="1" applyAlignment="1">
      <alignment horizontal="center" vertical="center" wrapText="1"/>
    </xf>
    <xf numFmtId="4" fontId="26" fillId="10" borderId="0" xfId="3" applyNumberFormat="1" applyFont="1" applyFill="1" applyBorder="1" applyAlignment="1">
      <alignment horizontal="center" vertical="center" wrapText="1"/>
    </xf>
    <xf numFmtId="171" fontId="23" fillId="10" borderId="0" xfId="1" applyNumberFormat="1" applyFont="1" applyFill="1" applyBorder="1" applyAlignment="1">
      <alignment horizontal="center" vertical="center"/>
    </xf>
    <xf numFmtId="173" fontId="26" fillId="10" borderId="0" xfId="3" applyNumberFormat="1" applyFont="1" applyFill="1" applyBorder="1" applyAlignment="1">
      <alignment horizontal="center" vertical="center" wrapText="1"/>
    </xf>
    <xf numFmtId="169" fontId="0" fillId="10" borderId="0" xfId="1" applyFont="1" applyFill="1"/>
    <xf numFmtId="9" fontId="0" fillId="10" borderId="0" xfId="6" applyFont="1" applyFill="1"/>
    <xf numFmtId="169" fontId="4" fillId="10" borderId="0" xfId="1" applyFont="1" applyFill="1" applyAlignment="1">
      <alignment horizontal="center" vertical="center"/>
    </xf>
    <xf numFmtId="9" fontId="4" fillId="10" borderId="0" xfId="6" applyFont="1" applyFill="1" applyAlignment="1">
      <alignment horizontal="center" vertical="center"/>
    </xf>
    <xf numFmtId="0" fontId="4" fillId="10" borderId="0" xfId="0" applyFont="1" applyFill="1" applyBorder="1" applyAlignment="1">
      <alignment horizontal="center" vertical="center"/>
    </xf>
    <xf numFmtId="9" fontId="17" fillId="10" borderId="1" xfId="0" applyNumberFormat="1" applyFont="1" applyFill="1" applyBorder="1" applyAlignment="1">
      <alignment horizontal="center" vertical="center"/>
    </xf>
    <xf numFmtId="171" fontId="23" fillId="7" borderId="44" xfId="1" applyNumberFormat="1" applyFont="1" applyFill="1" applyBorder="1" applyAlignment="1">
      <alignment horizontal="center" vertical="center"/>
    </xf>
    <xf numFmtId="171" fontId="23" fillId="7" borderId="23" xfId="1" applyNumberFormat="1" applyFont="1" applyFill="1" applyBorder="1" applyAlignment="1">
      <alignment horizontal="center" vertical="center"/>
    </xf>
    <xf numFmtId="169" fontId="26" fillId="7" borderId="44" xfId="3" applyNumberFormat="1" applyFont="1" applyFill="1" applyBorder="1" applyAlignment="1">
      <alignment horizontal="center" vertical="center" wrapText="1"/>
    </xf>
    <xf numFmtId="0" fontId="0" fillId="10" borderId="45" xfId="0" applyFill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0" fontId="0" fillId="10" borderId="47" xfId="0" applyFill="1" applyBorder="1" applyAlignment="1">
      <alignment horizontal="center" vertical="center"/>
    </xf>
    <xf numFmtId="0" fontId="3" fillId="10" borderId="47" xfId="0" applyFont="1" applyFill="1" applyBorder="1" applyAlignment="1">
      <alignment horizontal="center" vertical="center"/>
    </xf>
    <xf numFmtId="0" fontId="0" fillId="10" borderId="48" xfId="0" applyFill="1" applyBorder="1" applyAlignment="1">
      <alignment horizontal="center" vertical="center"/>
    </xf>
    <xf numFmtId="0" fontId="3" fillId="10" borderId="48" xfId="0" applyFont="1" applyFill="1" applyBorder="1" applyAlignment="1">
      <alignment horizontal="center" vertical="center"/>
    </xf>
    <xf numFmtId="2" fontId="0" fillId="10" borderId="48" xfId="0" applyNumberFormat="1" applyFill="1" applyBorder="1" applyAlignment="1">
      <alignment horizontal="center" vertical="center"/>
    </xf>
    <xf numFmtId="2" fontId="0" fillId="10" borderId="46" xfId="0" applyNumberFormat="1" applyFill="1" applyBorder="1" applyAlignment="1">
      <alignment horizontal="center" vertical="center"/>
    </xf>
    <xf numFmtId="0" fontId="4" fillId="9" borderId="33" xfId="0" applyFont="1" applyFill="1" applyBorder="1" applyAlignment="1">
      <alignment horizontal="center" vertical="center"/>
    </xf>
    <xf numFmtId="0" fontId="4" fillId="9" borderId="34" xfId="0" applyFont="1" applyFill="1" applyBorder="1" applyAlignment="1">
      <alignment horizontal="center" vertical="center"/>
    </xf>
    <xf numFmtId="0" fontId="4" fillId="9" borderId="18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167" fontId="5" fillId="10" borderId="0" xfId="0" applyNumberFormat="1" applyFont="1" applyFill="1" applyAlignment="1">
      <alignment horizontal="center" vertical="center"/>
    </xf>
    <xf numFmtId="3" fontId="26" fillId="7" borderId="15" xfId="1" applyNumberFormat="1" applyFont="1" applyFill="1" applyBorder="1" applyAlignment="1">
      <alignment horizontal="center" vertical="center" wrapText="1"/>
    </xf>
    <xf numFmtId="3" fontId="26" fillId="7" borderId="16" xfId="1" applyNumberFormat="1" applyFont="1" applyFill="1" applyBorder="1" applyAlignment="1">
      <alignment horizontal="center" vertical="center" wrapText="1"/>
    </xf>
    <xf numFmtId="3" fontId="26" fillId="7" borderId="44" xfId="1" applyNumberFormat="1" applyFont="1" applyFill="1" applyBorder="1" applyAlignment="1">
      <alignment horizontal="center" vertical="center" wrapText="1"/>
    </xf>
    <xf numFmtId="10" fontId="26" fillId="6" borderId="44" xfId="3" applyNumberFormat="1" applyFont="1" applyFill="1" applyBorder="1" applyAlignment="1">
      <alignment horizontal="center" vertical="center" wrapText="1"/>
    </xf>
    <xf numFmtId="169" fontId="26" fillId="7" borderId="16" xfId="1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4" fontId="26" fillId="7" borderId="15" xfId="1" applyNumberFormat="1" applyFont="1" applyFill="1" applyBorder="1" applyAlignment="1">
      <alignment horizontal="center" vertical="center" wrapText="1"/>
    </xf>
    <xf numFmtId="4" fontId="26" fillId="6" borderId="44" xfId="1" applyNumberFormat="1" applyFont="1" applyFill="1" applyBorder="1" applyAlignment="1">
      <alignment horizontal="center" vertical="center" wrapText="1"/>
    </xf>
    <xf numFmtId="4" fontId="26" fillId="6" borderId="17" xfId="1" applyNumberFormat="1" applyFont="1" applyFill="1" applyBorder="1" applyAlignment="1">
      <alignment horizontal="center" vertical="center" wrapText="1"/>
    </xf>
    <xf numFmtId="168" fontId="26" fillId="6" borderId="44" xfId="2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168" fontId="26" fillId="6" borderId="17" xfId="2" applyFont="1" applyFill="1" applyBorder="1" applyAlignment="1">
      <alignment horizontal="center" vertical="center" wrapText="1"/>
    </xf>
    <xf numFmtId="0" fontId="4" fillId="15" borderId="16" xfId="3" applyFont="1" applyFill="1" applyBorder="1" applyAlignment="1">
      <alignment horizontal="center" vertical="center" wrapText="1"/>
    </xf>
    <xf numFmtId="168" fontId="26" fillId="6" borderId="6" xfId="2" applyFont="1" applyFill="1" applyBorder="1" applyAlignment="1">
      <alignment horizontal="center" vertical="center" wrapText="1"/>
    </xf>
    <xf numFmtId="169" fontId="14" fillId="6" borderId="44" xfId="1" applyFont="1" applyFill="1" applyBorder="1" applyAlignment="1">
      <alignment horizontal="center" vertical="center" wrapText="1"/>
    </xf>
    <xf numFmtId="169" fontId="23" fillId="7" borderId="15" xfId="1" applyNumberFormat="1" applyFont="1" applyFill="1" applyBorder="1" applyAlignment="1">
      <alignment horizontal="center" vertical="center"/>
    </xf>
    <xf numFmtId="169" fontId="23" fillId="7" borderId="23" xfId="1" applyNumberFormat="1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 wrapText="1"/>
    </xf>
    <xf numFmtId="0" fontId="24" fillId="9" borderId="39" xfId="0" applyFont="1" applyFill="1" applyBorder="1" applyAlignment="1">
      <alignment horizontal="center" vertical="center" wrapText="1"/>
    </xf>
    <xf numFmtId="169" fontId="18" fillId="7" borderId="15" xfId="1" applyFont="1" applyFill="1" applyBorder="1" applyAlignment="1">
      <alignment horizontal="center" vertical="center" wrapText="1"/>
    </xf>
    <xf numFmtId="0" fontId="17" fillId="4" borderId="20" xfId="0" applyFont="1" applyFill="1" applyBorder="1" applyAlignment="1">
      <alignment horizontal="center" vertical="center"/>
    </xf>
    <xf numFmtId="4" fontId="20" fillId="5" borderId="9" xfId="6" applyNumberFormat="1" applyFont="1" applyFill="1" applyBorder="1" applyAlignment="1">
      <alignment horizontal="center" vertical="center"/>
    </xf>
    <xf numFmtId="9" fontId="22" fillId="6" borderId="44" xfId="6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9" borderId="44" xfId="0" applyFont="1" applyFill="1" applyBorder="1" applyAlignment="1">
      <alignment horizontal="center" vertical="center" wrapText="1"/>
    </xf>
    <xf numFmtId="0" fontId="0" fillId="10" borderId="0" xfId="0" applyFill="1" applyAlignment="1">
      <alignment wrapText="1"/>
    </xf>
    <xf numFmtId="0" fontId="0" fillId="0" borderId="6" xfId="0" applyBorder="1" applyAlignment="1">
      <alignment horizontal="center" vertical="center" wrapText="1"/>
    </xf>
    <xf numFmtId="169" fontId="28" fillId="10" borderId="6" xfId="1" applyFont="1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168" fontId="0" fillId="10" borderId="0" xfId="2" applyFont="1" applyFill="1" applyAlignment="1">
      <alignment horizontal="center" vertical="center" wrapText="1"/>
    </xf>
    <xf numFmtId="168" fontId="0" fillId="10" borderId="44" xfId="2" applyFont="1" applyFill="1" applyBorder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9" fontId="0" fillId="10" borderId="0" xfId="6" applyFont="1" applyFill="1" applyAlignment="1">
      <alignment horizontal="center" vertical="center" wrapText="1"/>
    </xf>
    <xf numFmtId="169" fontId="0" fillId="10" borderId="0" xfId="1" applyFont="1" applyFill="1" applyAlignment="1">
      <alignment horizontal="center" vertical="center" wrapText="1"/>
    </xf>
    <xf numFmtId="169" fontId="0" fillId="10" borderId="44" xfId="1" applyFont="1" applyFill="1" applyBorder="1" applyAlignment="1">
      <alignment horizontal="center" vertical="center" wrapText="1"/>
    </xf>
    <xf numFmtId="169" fontId="0" fillId="10" borderId="0" xfId="1" applyFont="1" applyFill="1" applyAlignment="1">
      <alignment wrapText="1"/>
    </xf>
    <xf numFmtId="10" fontId="0" fillId="10" borderId="44" xfId="6" applyNumberFormat="1" applyFont="1" applyFill="1" applyBorder="1" applyAlignment="1">
      <alignment horizontal="center" vertical="center" wrapText="1"/>
    </xf>
    <xf numFmtId="169" fontId="26" fillId="0" borderId="44" xfId="3" applyNumberFormat="1" applyFont="1" applyFill="1" applyBorder="1" applyAlignment="1">
      <alignment horizontal="center" vertical="center" wrapText="1"/>
    </xf>
    <xf numFmtId="0" fontId="27" fillId="6" borderId="44" xfId="4" applyNumberFormat="1" applyFont="1" applyFill="1" applyBorder="1" applyAlignment="1">
      <alignment horizontal="center" vertical="center" wrapText="1"/>
    </xf>
    <xf numFmtId="0" fontId="26" fillId="7" borderId="44" xfId="4" applyNumberFormat="1" applyFont="1" applyFill="1" applyBorder="1" applyAlignment="1">
      <alignment horizontal="center" vertical="center" wrapText="1"/>
    </xf>
    <xf numFmtId="4" fontId="26" fillId="7" borderId="44" xfId="1" applyNumberFormat="1" applyFont="1" applyFill="1" applyBorder="1" applyAlignment="1">
      <alignment horizontal="center" vertical="center" wrapText="1"/>
    </xf>
    <xf numFmtId="4" fontId="26" fillId="0" borderId="44" xfId="1" applyNumberFormat="1" applyFont="1" applyFill="1" applyBorder="1" applyAlignment="1">
      <alignment horizontal="center" vertical="center" wrapText="1"/>
    </xf>
    <xf numFmtId="41" fontId="26" fillId="7" borderId="15" xfId="33" applyFont="1" applyFill="1" applyBorder="1" applyAlignment="1">
      <alignment horizontal="center" vertical="center" wrapText="1"/>
    </xf>
    <xf numFmtId="41" fontId="0" fillId="10" borderId="0" xfId="6" applyNumberFormat="1" applyFont="1" applyFill="1"/>
    <xf numFmtId="41" fontId="26" fillId="7" borderId="41" xfId="33" applyFont="1" applyFill="1" applyBorder="1" applyAlignment="1">
      <alignment horizontal="center" vertical="center" wrapText="1"/>
    </xf>
    <xf numFmtId="174" fontId="26" fillId="7" borderId="16" xfId="33" applyNumberFormat="1" applyFont="1" applyFill="1" applyBorder="1" applyAlignment="1">
      <alignment horizontal="center" vertical="center" wrapText="1"/>
    </xf>
    <xf numFmtId="174" fontId="26" fillId="6" borderId="17" xfId="33" applyNumberFormat="1" applyFont="1" applyFill="1" applyBorder="1" applyAlignment="1">
      <alignment horizontal="center" vertical="center" wrapText="1"/>
    </xf>
    <xf numFmtId="41" fontId="26" fillId="6" borderId="44" xfId="33" applyFont="1" applyFill="1" applyBorder="1" applyAlignment="1">
      <alignment horizontal="center" vertical="center" wrapText="1"/>
    </xf>
    <xf numFmtId="3" fontId="26" fillId="0" borderId="44" xfId="1" applyNumberFormat="1" applyFont="1" applyFill="1" applyBorder="1" applyAlignment="1">
      <alignment horizontal="center" vertical="center" wrapText="1"/>
    </xf>
    <xf numFmtId="4" fontId="26" fillId="6" borderId="6" xfId="1" applyNumberFormat="1" applyFont="1" applyFill="1" applyBorder="1" applyAlignment="1">
      <alignment horizontal="right" vertical="center" wrapText="1"/>
    </xf>
    <xf numFmtId="3" fontId="26" fillId="6" borderId="6" xfId="1" applyNumberFormat="1" applyFont="1" applyFill="1" applyBorder="1" applyAlignment="1">
      <alignment horizontal="right" vertical="center" wrapText="1"/>
    </xf>
    <xf numFmtId="169" fontId="17" fillId="0" borderId="15" xfId="1" applyFont="1" applyFill="1" applyBorder="1" applyAlignment="1">
      <alignment horizontal="center" vertical="center" wrapText="1"/>
    </xf>
    <xf numFmtId="41" fontId="21" fillId="0" borderId="0" xfId="33" applyFont="1" applyAlignment="1">
      <alignment horizontal="center"/>
    </xf>
    <xf numFmtId="41" fontId="39" fillId="0" borderId="0" xfId="33" applyFont="1" applyAlignment="1">
      <alignment horizontal="center"/>
    </xf>
    <xf numFmtId="10" fontId="26" fillId="7" borderId="44" xfId="3" applyNumberFormat="1" applyFont="1" applyFill="1" applyBorder="1" applyAlignment="1">
      <alignment horizontal="center" vertical="center" wrapText="1"/>
    </xf>
    <xf numFmtId="0" fontId="20" fillId="14" borderId="44" xfId="3" applyFont="1" applyFill="1" applyBorder="1" applyAlignment="1">
      <alignment horizontal="center" vertical="center" wrapText="1"/>
    </xf>
    <xf numFmtId="0" fontId="20" fillId="14" borderId="17" xfId="3" applyFont="1" applyFill="1" applyBorder="1" applyAlignment="1">
      <alignment horizontal="center" vertical="center" wrapText="1"/>
    </xf>
    <xf numFmtId="0" fontId="26" fillId="7" borderId="14" xfId="4" applyNumberFormat="1" applyFont="1" applyFill="1" applyBorder="1" applyAlignment="1">
      <alignment horizontal="center" vertical="center" wrapText="1"/>
    </xf>
    <xf numFmtId="4" fontId="26" fillId="7" borderId="17" xfId="1" applyNumberFormat="1" applyFont="1" applyFill="1" applyBorder="1" applyAlignment="1">
      <alignment horizontal="center" vertical="center" wrapText="1"/>
    </xf>
    <xf numFmtId="4" fontId="26" fillId="0" borderId="17" xfId="1" applyNumberFormat="1" applyFont="1" applyFill="1" applyBorder="1" applyAlignment="1">
      <alignment horizontal="center" vertical="center" wrapText="1"/>
    </xf>
    <xf numFmtId="0" fontId="26" fillId="7" borderId="11" xfId="4" applyNumberFormat="1" applyFont="1" applyFill="1" applyBorder="1" applyAlignment="1">
      <alignment horizontal="center" vertical="center" wrapText="1"/>
    </xf>
    <xf numFmtId="169" fontId="26" fillId="7" borderId="12" xfId="1" applyFont="1" applyFill="1" applyBorder="1" applyAlignment="1">
      <alignment horizontal="center" vertical="center" wrapText="1"/>
    </xf>
    <xf numFmtId="10" fontId="26" fillId="7" borderId="12" xfId="3" applyNumberFormat="1" applyFont="1" applyFill="1" applyBorder="1" applyAlignment="1">
      <alignment horizontal="center" vertical="center" wrapText="1"/>
    </xf>
    <xf numFmtId="169" fontId="26" fillId="7" borderId="12" xfId="3" applyNumberFormat="1" applyFont="1" applyFill="1" applyBorder="1" applyAlignment="1">
      <alignment horizontal="center" vertical="center" wrapText="1"/>
    </xf>
    <xf numFmtId="4" fontId="26" fillId="7" borderId="12" xfId="1" applyNumberFormat="1" applyFont="1" applyFill="1" applyBorder="1" applyAlignment="1">
      <alignment horizontal="center" vertical="center" wrapText="1"/>
    </xf>
    <xf numFmtId="4" fontId="26" fillId="7" borderId="13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4" fillId="3" borderId="30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31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4" fillId="10" borderId="33" xfId="0" applyFont="1" applyFill="1" applyBorder="1" applyAlignment="1">
      <alignment horizontal="center" vertical="center"/>
    </xf>
    <xf numFmtId="0" fontId="4" fillId="10" borderId="20" xfId="0" applyFont="1" applyFill="1" applyBorder="1" applyAlignment="1">
      <alignment horizontal="center" vertical="center"/>
    </xf>
    <xf numFmtId="0" fontId="4" fillId="10" borderId="34" xfId="0" applyFont="1" applyFill="1" applyBorder="1" applyAlignment="1">
      <alignment horizontal="center" vertical="center"/>
    </xf>
    <xf numFmtId="0" fontId="0" fillId="10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32" fillId="6" borderId="0" xfId="0" applyFont="1" applyFill="1" applyAlignment="1">
      <alignment horizontal="center"/>
    </xf>
    <xf numFmtId="0" fontId="33" fillId="6" borderId="0" xfId="0" applyFont="1" applyFill="1" applyAlignment="1">
      <alignment horizontal="center"/>
    </xf>
    <xf numFmtId="167" fontId="17" fillId="3" borderId="32" xfId="0" applyNumberFormat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textRotation="90"/>
    </xf>
    <xf numFmtId="0" fontId="17" fillId="3" borderId="31" xfId="0" applyFont="1" applyFill="1" applyBorder="1" applyAlignment="1">
      <alignment horizontal="center" vertical="center" textRotation="90"/>
    </xf>
    <xf numFmtId="167" fontId="17" fillId="13" borderId="32" xfId="0" applyNumberFormat="1" applyFont="1" applyFill="1" applyBorder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textRotation="90"/>
    </xf>
    <xf numFmtId="0" fontId="17" fillId="3" borderId="10" xfId="0" applyFont="1" applyFill="1" applyBorder="1" applyAlignment="1">
      <alignment horizontal="center" vertical="center" textRotation="90"/>
    </xf>
    <xf numFmtId="0" fontId="17" fillId="3" borderId="9" xfId="0" applyFont="1" applyFill="1" applyBorder="1" applyAlignment="1">
      <alignment horizontal="center" vertical="center" textRotation="90"/>
    </xf>
    <xf numFmtId="9" fontId="17" fillId="3" borderId="10" xfId="6" applyFont="1" applyFill="1" applyBorder="1" applyAlignment="1">
      <alignment horizontal="center" vertical="center" wrapText="1"/>
    </xf>
    <xf numFmtId="169" fontId="17" fillId="3" borderId="32" xfId="1" applyFont="1" applyFill="1" applyBorder="1" applyAlignment="1">
      <alignment horizontal="center" vertical="center" wrapText="1"/>
    </xf>
    <xf numFmtId="9" fontId="17" fillId="3" borderId="19" xfId="6" applyFont="1" applyFill="1" applyBorder="1" applyAlignment="1">
      <alignment horizontal="center" vertical="center" wrapText="1"/>
    </xf>
    <xf numFmtId="9" fontId="17" fillId="3" borderId="32" xfId="6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19" fillId="4" borderId="20" xfId="0" applyFont="1" applyFill="1" applyBorder="1" applyAlignment="1">
      <alignment horizontal="center" vertical="center" wrapText="1"/>
    </xf>
    <xf numFmtId="0" fontId="19" fillId="4" borderId="34" xfId="0" applyFont="1" applyFill="1" applyBorder="1" applyAlignment="1">
      <alignment horizontal="center" vertical="center" wrapText="1"/>
    </xf>
    <xf numFmtId="167" fontId="17" fillId="4" borderId="33" xfId="0" applyNumberFormat="1" applyFont="1" applyFill="1" applyBorder="1" applyAlignment="1">
      <alignment horizontal="center" vertical="center" wrapText="1"/>
    </xf>
    <xf numFmtId="167" fontId="17" fillId="4" borderId="34" xfId="0" applyNumberFormat="1" applyFont="1" applyFill="1" applyBorder="1" applyAlignment="1">
      <alignment horizontal="center" vertical="center" wrapText="1"/>
    </xf>
    <xf numFmtId="0" fontId="17" fillId="4" borderId="33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0" fillId="3" borderId="19" xfId="0" applyFont="1" applyFill="1" applyBorder="1" applyAlignment="1">
      <alignment horizontal="center" vertical="center" textRotation="90" wrapText="1"/>
    </xf>
    <xf numFmtId="0" fontId="0" fillId="0" borderId="32" xfId="0" applyBorder="1" applyAlignment="1">
      <alignment textRotation="90"/>
    </xf>
    <xf numFmtId="0" fontId="17" fillId="13" borderId="19" xfId="0" applyFont="1" applyFill="1" applyBorder="1" applyAlignment="1">
      <alignment horizontal="center" vertical="center" textRotation="90"/>
    </xf>
    <xf numFmtId="0" fontId="17" fillId="13" borderId="32" xfId="0" applyFont="1" applyFill="1" applyBorder="1" applyAlignment="1">
      <alignment horizontal="center" vertical="center" textRotation="90"/>
    </xf>
    <xf numFmtId="0" fontId="17" fillId="13" borderId="31" xfId="0" applyFont="1" applyFill="1" applyBorder="1" applyAlignment="1">
      <alignment horizontal="center" vertical="center" textRotation="90"/>
    </xf>
    <xf numFmtId="0" fontId="17" fillId="3" borderId="32" xfId="0" applyFont="1" applyFill="1" applyBorder="1" applyAlignment="1">
      <alignment horizontal="center" vertical="center" wrapText="1"/>
    </xf>
    <xf numFmtId="0" fontId="17" fillId="3" borderId="31" xfId="0" applyFont="1" applyFill="1" applyBorder="1" applyAlignment="1">
      <alignment horizontal="center" vertical="center" wrapText="1"/>
    </xf>
    <xf numFmtId="0" fontId="20" fillId="3" borderId="5" xfId="0" quotePrefix="1" applyFont="1" applyFill="1" applyBorder="1" applyAlignment="1">
      <alignment horizontal="center" vertical="center" wrapText="1"/>
    </xf>
    <xf numFmtId="0" fontId="20" fillId="3" borderId="8" xfId="0" quotePrefix="1" applyFont="1" applyFill="1" applyBorder="1" applyAlignment="1">
      <alignment horizontal="center" vertical="center" wrapText="1"/>
    </xf>
    <xf numFmtId="0" fontId="17" fillId="3" borderId="19" xfId="0" applyFont="1" applyFill="1" applyBorder="1" applyAlignment="1">
      <alignment horizontal="center" vertical="center" wrapText="1"/>
    </xf>
    <xf numFmtId="167" fontId="17" fillId="13" borderId="19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9" fontId="17" fillId="8" borderId="19" xfId="6" applyFont="1" applyFill="1" applyBorder="1" applyAlignment="1">
      <alignment horizontal="center" vertical="center" wrapText="1"/>
    </xf>
    <xf numFmtId="9" fontId="17" fillId="8" borderId="32" xfId="6" applyFont="1" applyFill="1" applyBorder="1" applyAlignment="1">
      <alignment horizontal="center" vertical="center" wrapText="1"/>
    </xf>
    <xf numFmtId="0" fontId="17" fillId="3" borderId="32" xfId="0" quotePrefix="1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  <xf numFmtId="0" fontId="17" fillId="3" borderId="30" xfId="0" applyFont="1" applyFill="1" applyBorder="1" applyAlignment="1">
      <alignment horizontal="center" vertical="center" wrapText="1"/>
    </xf>
    <xf numFmtId="0" fontId="20" fillId="14" borderId="15" xfId="3" applyFont="1" applyFill="1" applyBorder="1" applyAlignment="1">
      <alignment horizontal="center" vertical="center" wrapText="1"/>
    </xf>
    <xf numFmtId="0" fontId="20" fillId="14" borderId="16" xfId="3" applyFont="1" applyFill="1" applyBorder="1" applyAlignment="1">
      <alignment horizontal="center" vertical="center" wrapText="1"/>
    </xf>
    <xf numFmtId="0" fontId="31" fillId="10" borderId="0" xfId="0" applyNumberFormat="1" applyFont="1" applyFill="1" applyBorder="1" applyAlignment="1">
      <alignment horizontal="center" vertical="center" wrapText="1"/>
    </xf>
    <xf numFmtId="0" fontId="34" fillId="10" borderId="0" xfId="0" applyNumberFormat="1" applyFont="1" applyFill="1" applyBorder="1" applyAlignment="1">
      <alignment horizontal="center" vertical="center" wrapText="1"/>
    </xf>
    <xf numFmtId="0" fontId="4" fillId="10" borderId="0" xfId="0" applyNumberFormat="1" applyFont="1" applyFill="1" applyBorder="1" applyAlignment="1">
      <alignment horizontal="center" vertical="center" wrapText="1"/>
    </xf>
    <xf numFmtId="0" fontId="20" fillId="14" borderId="21" xfId="4" applyFont="1" applyFill="1" applyBorder="1" applyAlignment="1">
      <alignment horizontal="center" vertical="center" textRotation="90" wrapText="1"/>
    </xf>
    <xf numFmtId="0" fontId="20" fillId="14" borderId="14" xfId="4" applyFont="1" applyFill="1" applyBorder="1" applyAlignment="1">
      <alignment horizontal="center" vertical="center" textRotation="90" wrapText="1"/>
    </xf>
    <xf numFmtId="9" fontId="17" fillId="14" borderId="15" xfId="6" applyFont="1" applyFill="1" applyBorder="1" applyAlignment="1">
      <alignment horizontal="center" vertical="center" wrapText="1"/>
    </xf>
    <xf numFmtId="9" fontId="17" fillId="14" borderId="44" xfId="6" applyFont="1" applyFill="1" applyBorder="1" applyAlignment="1">
      <alignment horizontal="center" vertical="center" wrapText="1"/>
    </xf>
    <xf numFmtId="4" fontId="20" fillId="14" borderId="15" xfId="3" applyNumberFormat="1" applyFont="1" applyFill="1" applyBorder="1" applyAlignment="1">
      <alignment horizontal="center" vertical="center" wrapText="1"/>
    </xf>
    <xf numFmtId="4" fontId="20" fillId="14" borderId="44" xfId="3" applyNumberFormat="1" applyFont="1" applyFill="1" applyBorder="1" applyAlignment="1">
      <alignment horizontal="center" vertical="center" wrapText="1"/>
    </xf>
    <xf numFmtId="0" fontId="20" fillId="14" borderId="35" xfId="4" applyFont="1" applyFill="1" applyBorder="1" applyAlignment="1">
      <alignment horizontal="center" vertical="center" textRotation="90" wrapText="1"/>
    </xf>
    <xf numFmtId="0" fontId="20" fillId="14" borderId="42" xfId="4" applyFont="1" applyFill="1" applyBorder="1" applyAlignment="1">
      <alignment horizontal="center" vertical="center" textRotation="90" wrapText="1"/>
    </xf>
    <xf numFmtId="9" fontId="17" fillId="14" borderId="22" xfId="6" applyFont="1" applyFill="1" applyBorder="1" applyAlignment="1">
      <alignment horizontal="center" vertical="center" wrapText="1"/>
    </xf>
    <xf numFmtId="9" fontId="17" fillId="14" borderId="43" xfId="6" applyFont="1" applyFill="1" applyBorder="1" applyAlignment="1">
      <alignment horizontal="center" vertical="center" wrapText="1"/>
    </xf>
    <xf numFmtId="4" fontId="20" fillId="14" borderId="22" xfId="3" applyNumberFormat="1" applyFont="1" applyFill="1" applyBorder="1" applyAlignment="1">
      <alignment horizontal="center" vertical="center" wrapText="1"/>
    </xf>
    <xf numFmtId="4" fontId="20" fillId="14" borderId="43" xfId="3" applyNumberFormat="1" applyFont="1" applyFill="1" applyBorder="1" applyAlignment="1">
      <alignment horizontal="center" vertical="center" wrapText="1"/>
    </xf>
    <xf numFmtId="0" fontId="20" fillId="14" borderId="22" xfId="3" applyFont="1" applyFill="1" applyBorder="1" applyAlignment="1">
      <alignment horizontal="center" vertical="center" wrapText="1"/>
    </xf>
    <xf numFmtId="0" fontId="20" fillId="14" borderId="43" xfId="3" applyFont="1" applyFill="1" applyBorder="1" applyAlignment="1">
      <alignment horizontal="center" vertical="center" wrapText="1"/>
    </xf>
    <xf numFmtId="0" fontId="20" fillId="14" borderId="39" xfId="3" applyFont="1" applyFill="1" applyBorder="1" applyAlignment="1">
      <alignment horizontal="center" vertical="center" wrapText="1"/>
    </xf>
    <xf numFmtId="0" fontId="20" fillId="14" borderId="40" xfId="3" applyFont="1" applyFill="1" applyBorder="1" applyAlignment="1">
      <alignment horizontal="center" vertical="center" wrapText="1"/>
    </xf>
    <xf numFmtId="0" fontId="20" fillId="3" borderId="35" xfId="4" applyFont="1" applyFill="1" applyBorder="1" applyAlignment="1">
      <alignment horizontal="center" vertical="center" textRotation="90" wrapText="1"/>
    </xf>
    <xf numFmtId="0" fontId="20" fillId="3" borderId="36" xfId="4" applyFont="1" applyFill="1" applyBorder="1" applyAlignment="1">
      <alignment horizontal="center" vertical="center" textRotation="90" wrapText="1"/>
    </xf>
    <xf numFmtId="0" fontId="20" fillId="3" borderId="42" xfId="4" applyFont="1" applyFill="1" applyBorder="1" applyAlignment="1">
      <alignment horizontal="center" vertical="center" textRotation="90" wrapText="1"/>
    </xf>
    <xf numFmtId="9" fontId="17" fillId="3" borderId="22" xfId="6" applyFont="1" applyFill="1" applyBorder="1" applyAlignment="1">
      <alignment horizontal="center" vertical="center" wrapText="1"/>
    </xf>
    <xf numFmtId="9" fontId="17" fillId="3" borderId="25" xfId="6" applyFont="1" applyFill="1" applyBorder="1" applyAlignment="1">
      <alignment horizontal="center" vertical="center" wrapText="1"/>
    </xf>
    <xf numFmtId="9" fontId="17" fillId="3" borderId="43" xfId="6" applyFont="1" applyFill="1" applyBorder="1" applyAlignment="1">
      <alignment horizontal="center" vertical="center" wrapText="1"/>
    </xf>
    <xf numFmtId="4" fontId="20" fillId="3" borderId="24" xfId="3" applyNumberFormat="1" applyFont="1" applyFill="1" applyBorder="1" applyAlignment="1">
      <alignment horizontal="center" vertical="center" wrapText="1"/>
    </xf>
    <xf numFmtId="4" fontId="20" fillId="3" borderId="43" xfId="3" applyNumberFormat="1" applyFont="1" applyFill="1" applyBorder="1" applyAlignment="1">
      <alignment horizontal="center" vertical="center" wrapText="1"/>
    </xf>
    <xf numFmtId="171" fontId="17" fillId="3" borderId="22" xfId="1" applyNumberFormat="1" applyFont="1" applyFill="1" applyBorder="1" applyAlignment="1">
      <alignment horizontal="center" vertical="center" textRotation="90"/>
    </xf>
    <xf numFmtId="171" fontId="17" fillId="3" borderId="25" xfId="1" applyNumberFormat="1" applyFont="1" applyFill="1" applyBorder="1" applyAlignment="1">
      <alignment horizontal="center" vertical="center" textRotation="90"/>
    </xf>
    <xf numFmtId="171" fontId="17" fillId="3" borderId="43" xfId="1" applyNumberFormat="1" applyFont="1" applyFill="1" applyBorder="1" applyAlignment="1">
      <alignment horizontal="center" vertical="center" textRotation="90"/>
    </xf>
    <xf numFmtId="0" fontId="17" fillId="3" borderId="22" xfId="0" applyFont="1" applyFill="1" applyBorder="1" applyAlignment="1">
      <alignment horizontal="center" vertical="center" textRotation="90" wrapText="1"/>
    </xf>
    <xf numFmtId="0" fontId="17" fillId="3" borderId="25" xfId="0" applyFont="1" applyFill="1" applyBorder="1" applyAlignment="1">
      <alignment horizontal="center" vertical="center" textRotation="90" wrapText="1"/>
    </xf>
    <xf numFmtId="0" fontId="17" fillId="3" borderId="43" xfId="0" applyFont="1" applyFill="1" applyBorder="1" applyAlignment="1">
      <alignment horizontal="center" vertical="center" textRotation="90" wrapText="1"/>
    </xf>
    <xf numFmtId="0" fontId="4" fillId="15" borderId="27" xfId="3" applyFont="1" applyFill="1" applyBorder="1" applyAlignment="1">
      <alignment horizontal="center" vertical="center" wrapText="1"/>
    </xf>
    <xf numFmtId="0" fontId="4" fillId="15" borderId="40" xfId="3" applyFont="1" applyFill="1" applyBorder="1" applyAlignment="1">
      <alignment horizontal="center" vertical="center" wrapText="1"/>
    </xf>
    <xf numFmtId="0" fontId="20" fillId="11" borderId="24" xfId="3" applyFont="1" applyFill="1" applyBorder="1" applyAlignment="1">
      <alignment horizontal="center" vertical="center" wrapText="1"/>
    </xf>
    <xf numFmtId="0" fontId="20" fillId="11" borderId="43" xfId="3" applyFont="1" applyFill="1" applyBorder="1" applyAlignment="1">
      <alignment horizontal="center" vertical="center" wrapText="1"/>
    </xf>
    <xf numFmtId="0" fontId="20" fillId="3" borderId="24" xfId="3" applyFont="1" applyFill="1" applyBorder="1" applyAlignment="1">
      <alignment horizontal="center" vertical="center" wrapText="1"/>
    </xf>
    <xf numFmtId="0" fontId="20" fillId="3" borderId="43" xfId="3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C000000}"/>
    <cellStyle name="Normal" xfId="0" builtinId="0"/>
    <cellStyle name="Normal 10" xfId="20" xr:uid="{00000000-0005-0000-0000-00000E000000}"/>
    <cellStyle name="Normal 11 45 9" xfId="27" xr:uid="{00000000-0005-0000-0000-00000F000000}"/>
    <cellStyle name="Normal 12 2" xfId="26" xr:uid="{00000000-0005-0000-0000-000010000000}"/>
    <cellStyle name="Normal 2" xfId="7" xr:uid="{00000000-0005-0000-0000-000011000000}"/>
    <cellStyle name="Normal 2 2" xfId="3" xr:uid="{00000000-0005-0000-0000-000012000000}"/>
    <cellStyle name="Normal 3" xfId="4" xr:uid="{00000000-0005-0000-0000-000013000000}"/>
    <cellStyle name="Normal 4" xfId="8" xr:uid="{00000000-0005-0000-0000-000014000000}"/>
    <cellStyle name="Normal 4 3 2" xfId="16" xr:uid="{00000000-0005-0000-0000-000015000000}"/>
    <cellStyle name="Normal 5" xfId="10" xr:uid="{00000000-0005-0000-0000-000016000000}"/>
    <cellStyle name="Normal 68 2 2" xfId="31" xr:uid="{00000000-0005-0000-0000-000017000000}"/>
    <cellStyle name="Normal 73" xfId="18" xr:uid="{00000000-0005-0000-0000-000018000000}"/>
    <cellStyle name="Normal_Los 100 Grupos Tramos - 4 ABR 2005" xfId="5" xr:uid="{00000000-0005-0000-0000-000019000000}"/>
    <cellStyle name="Porcentaje" xfId="6" builtinId="5"/>
    <cellStyle name="Porcentaje 2" xfId="19" xr:uid="{00000000-0005-0000-0000-00001B000000}"/>
    <cellStyle name="Porcentaje 3" xfId="15" xr:uid="{00000000-0005-0000-0000-00001C000000}"/>
    <cellStyle name="Porcentaje 3 2 2" xfId="17" xr:uid="{00000000-0005-0000-0000-00001D000000}"/>
    <cellStyle name="Porcentaje 8" xfId="25" xr:uid="{00000000-0005-0000-0000-00001E000000}"/>
    <cellStyle name="Porcentaje 8 2" xfId="29" xr:uid="{00000000-0005-0000-0000-00001F000000}"/>
    <cellStyle name="Porcentual 2" xfId="12" xr:uid="{00000000-0005-0000-0000-000020000000}"/>
    <cellStyle name="Porcentual 2 2" xfId="32" xr:uid="{00000000-0005-0000-0000-000021000000}"/>
  </cellStyles>
  <dxfs count="357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3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4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5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6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7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  <a:ext uri="{FF2B5EF4-FFF2-40B4-BE49-F238E27FC236}">
                  <a16:creationId xmlns:a16="http://schemas.microsoft.com/office/drawing/2014/main" id="{00000000-0008-0000-0800-0000018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2</xdr:row>
          <xdr:rowOff>114300</xdr:rowOff>
        </xdr:from>
        <xdr:to>
          <xdr:col>1</xdr:col>
          <xdr:colOff>628650</xdr:colOff>
          <xdr:row>4</xdr:row>
          <xdr:rowOff>19050</xdr:rowOff>
        </xdr:to>
        <xdr:sp macro="" textlink="">
          <xdr:nvSpPr>
            <xdr:cNvPr id="8202" name="Button 10" hidden="1">
              <a:extLst>
                <a:ext uri="{63B3BB69-23CF-44E3-9099-C40C66FF867C}">
                  <a14:compatExt spid="_x0000_s8202"/>
                </a:ext>
                <a:ext uri="{FF2B5EF4-FFF2-40B4-BE49-F238E27FC236}">
                  <a16:creationId xmlns:a16="http://schemas.microsoft.com/office/drawing/2014/main" id="{00000000-0008-0000-0900-00000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6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260" t="s">
        <v>5</v>
      </c>
      <c r="C4" s="261"/>
      <c r="D4" s="264" t="s">
        <v>6</v>
      </c>
      <c r="E4" s="266" t="s">
        <v>108</v>
      </c>
      <c r="F4" s="267"/>
      <c r="G4" s="267"/>
      <c r="H4" s="267"/>
      <c r="I4" s="267"/>
      <c r="J4" s="267"/>
      <c r="K4" s="267"/>
      <c r="L4" s="267"/>
      <c r="M4" s="267"/>
      <c r="N4" s="267"/>
      <c r="O4" s="268"/>
      <c r="P4" s="257" t="s">
        <v>112</v>
      </c>
      <c r="Q4" s="258"/>
      <c r="R4" s="258"/>
      <c r="S4" s="259"/>
      <c r="T4" s="257" t="s">
        <v>113</v>
      </c>
      <c r="U4" s="258"/>
      <c r="V4" s="258"/>
      <c r="W4" s="259"/>
    </row>
    <row r="5" spans="1:32" ht="39" thickBot="1" x14ac:dyDescent="0.25">
      <c r="B5" s="262"/>
      <c r="C5" s="263"/>
      <c r="D5" s="265"/>
      <c r="E5" s="34" t="s">
        <v>97</v>
      </c>
      <c r="F5" s="35" t="s">
        <v>98</v>
      </c>
      <c r="G5" s="35" t="s">
        <v>99</v>
      </c>
      <c r="H5" s="35" t="s">
        <v>100</v>
      </c>
      <c r="I5" s="35" t="s">
        <v>101</v>
      </c>
      <c r="J5" s="35" t="s">
        <v>102</v>
      </c>
      <c r="K5" s="35" t="s">
        <v>103</v>
      </c>
      <c r="L5" s="35" t="s">
        <v>104</v>
      </c>
      <c r="M5" s="35" t="s">
        <v>105</v>
      </c>
      <c r="N5" s="35" t="s">
        <v>106</v>
      </c>
      <c r="O5" s="36" t="s">
        <v>107</v>
      </c>
      <c r="P5" s="37" t="s">
        <v>109</v>
      </c>
      <c r="Q5" s="38" t="s">
        <v>103</v>
      </c>
      <c r="R5" s="38" t="s">
        <v>110</v>
      </c>
      <c r="S5" s="39" t="s">
        <v>111</v>
      </c>
      <c r="T5" s="37" t="s">
        <v>109</v>
      </c>
      <c r="U5" s="38" t="s">
        <v>103</v>
      </c>
      <c r="V5" s="38" t="s">
        <v>110</v>
      </c>
      <c r="W5" s="39" t="s">
        <v>111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269">
        <v>1</v>
      </c>
      <c r="C7" s="51"/>
      <c r="D7" s="70" t="s">
        <v>123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270"/>
      <c r="C8" s="68">
        <v>1.1000000000000001</v>
      </c>
      <c r="D8" s="62" t="s">
        <v>124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270"/>
      <c r="C9" s="68">
        <v>1.2</v>
      </c>
      <c r="D9" s="62" t="s">
        <v>125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270"/>
      <c r="C10" s="68">
        <v>1.3</v>
      </c>
      <c r="D10" s="62" t="s">
        <v>126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270"/>
      <c r="C11" s="68">
        <v>1.4</v>
      </c>
      <c r="D11" s="62" t="s">
        <v>127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270"/>
      <c r="C12" s="68">
        <v>1.5</v>
      </c>
      <c r="D12" s="62" t="s">
        <v>128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270"/>
      <c r="C13" s="68">
        <v>1.6</v>
      </c>
      <c r="D13" s="62" t="s">
        <v>129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130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270">
        <v>3</v>
      </c>
      <c r="C15" s="68"/>
      <c r="D15" s="64" t="s">
        <v>131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270"/>
      <c r="C16" s="68">
        <v>3.1</v>
      </c>
      <c r="D16" s="62" t="s">
        <v>132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270"/>
      <c r="C17" s="68">
        <v>3.2</v>
      </c>
      <c r="D17" s="62" t="s">
        <v>133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270"/>
      <c r="C18" s="68">
        <v>3.3</v>
      </c>
      <c r="D18" s="62" t="s">
        <v>134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270"/>
      <c r="C19" s="68">
        <v>3.4</v>
      </c>
      <c r="D19" s="62" t="s">
        <v>135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270"/>
      <c r="C20" s="68">
        <v>3.5</v>
      </c>
      <c r="D20" s="62" t="s">
        <v>136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270"/>
      <c r="C21" s="68">
        <v>3.6</v>
      </c>
      <c r="D21" s="62" t="s">
        <v>137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270">
        <v>4</v>
      </c>
      <c r="C22" s="68"/>
      <c r="D22" s="64" t="s">
        <v>138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270"/>
      <c r="C23" s="68">
        <v>4.0999999999999996</v>
      </c>
      <c r="D23" s="62" t="s">
        <v>139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270"/>
      <c r="C24" s="68">
        <v>4.2</v>
      </c>
      <c r="D24" s="62" t="s">
        <v>140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270"/>
      <c r="C25" s="68">
        <v>4.3</v>
      </c>
      <c r="D25" s="62" t="s">
        <v>141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270"/>
      <c r="C26" s="68">
        <v>4.4000000000000004</v>
      </c>
      <c r="D26" s="62" t="s">
        <v>142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270">
        <v>5</v>
      </c>
      <c r="C27" s="68"/>
      <c r="D27" s="64" t="s">
        <v>143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270"/>
      <c r="C28" s="68">
        <v>5.0999999999999996</v>
      </c>
      <c r="D28" s="62" t="s">
        <v>144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270"/>
      <c r="C29" s="68">
        <v>5.2</v>
      </c>
      <c r="D29" s="62" t="s">
        <v>145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270"/>
      <c r="C30" s="68">
        <v>5.3</v>
      </c>
      <c r="D30" s="62" t="s">
        <v>146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270"/>
      <c r="C31" s="68">
        <v>5.4</v>
      </c>
      <c r="D31" s="62" t="s">
        <v>147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4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255" t="s">
        <v>148</v>
      </c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6"/>
      <c r="T35" s="256"/>
      <c r="U35" s="256"/>
      <c r="V35" s="256"/>
      <c r="W35" s="33"/>
    </row>
    <row r="36" spans="2:23" x14ac:dyDescent="0.2">
      <c r="B36" s="2"/>
      <c r="C36" s="256"/>
      <c r="D36" s="256"/>
      <c r="E36" s="256"/>
      <c r="F36" s="256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33"/>
    </row>
    <row r="37" spans="2:23" x14ac:dyDescent="0.2">
      <c r="B37" s="2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33"/>
    </row>
    <row r="38" spans="2:23" x14ac:dyDescent="0.2">
      <c r="B38" s="2"/>
      <c r="C38" s="256"/>
      <c r="D38" s="256"/>
      <c r="E38" s="256"/>
      <c r="F38" s="256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356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M13"/>
  <sheetViews>
    <sheetView workbookViewId="0">
      <selection activeCell="F19" sqref="F19"/>
    </sheetView>
  </sheetViews>
  <sheetFormatPr baseColWidth="10" defaultRowHeight="12.75" x14ac:dyDescent="0.2"/>
  <cols>
    <col min="1" max="1" width="11.42578125" style="220"/>
    <col min="2" max="2" width="18.5703125" style="220" bestFit="1" customWidth="1"/>
    <col min="3" max="3" width="11.42578125" style="220"/>
    <col min="4" max="4" width="18.140625" style="220" customWidth="1"/>
    <col min="5" max="5" width="4.7109375" style="220" customWidth="1"/>
    <col min="6" max="6" width="12.85546875" style="220" bestFit="1" customWidth="1"/>
    <col min="7" max="7" width="4.7109375" style="214" customWidth="1"/>
    <col min="8" max="8" width="15.42578125" style="214" customWidth="1"/>
    <col min="9" max="9" width="14.7109375" style="214" customWidth="1"/>
    <col min="10" max="10" width="4.7109375" style="214" customWidth="1"/>
    <col min="11" max="11" width="11.42578125" style="214"/>
    <col min="12" max="12" width="12.85546875" style="224" bestFit="1" customWidth="1"/>
    <col min="13" max="13" width="13.85546875" style="224" bestFit="1" customWidth="1"/>
    <col min="14" max="16384" width="11.42578125" style="214"/>
  </cols>
  <sheetData>
    <row r="1" spans="1:11" ht="41.25" customHeight="1" x14ac:dyDescent="0.2">
      <c r="A1" s="211" t="s">
        <v>164</v>
      </c>
      <c r="B1" s="211" t="s">
        <v>165</v>
      </c>
      <c r="C1" s="211" t="s">
        <v>0</v>
      </c>
      <c r="D1" s="211" t="s">
        <v>189</v>
      </c>
      <c r="E1" s="212"/>
      <c r="F1" s="213" t="s">
        <v>244</v>
      </c>
      <c r="H1" s="213" t="s">
        <v>242</v>
      </c>
      <c r="I1" s="213" t="s">
        <v>104</v>
      </c>
      <c r="K1" s="213" t="s">
        <v>243</v>
      </c>
    </row>
    <row r="2" spans="1:11" ht="16.5" x14ac:dyDescent="0.3">
      <c r="A2" s="215">
        <v>4</v>
      </c>
      <c r="B2" s="241">
        <v>593658691</v>
      </c>
      <c r="C2" s="217">
        <v>33</v>
      </c>
      <c r="D2" s="216">
        <f>+B2*0.4</f>
        <v>237463476.40000001</v>
      </c>
      <c r="E2" s="218"/>
      <c r="F2" s="219">
        <v>828116</v>
      </c>
      <c r="H2" s="223">
        <f>+IF(OR(B2="",PlazoM1=""),"",B2/PlazoM1)</f>
        <v>17989657.303030305</v>
      </c>
      <c r="I2" s="223">
        <f>IF(OR(B2="",$K$2=""),"",B2*$K$2)</f>
        <v>59365869.100000001</v>
      </c>
      <c r="K2" s="225">
        <v>0.1</v>
      </c>
    </row>
    <row r="3" spans="1:11" x14ac:dyDescent="0.2">
      <c r="A3" s="215"/>
      <c r="B3" s="216"/>
      <c r="C3" s="217"/>
      <c r="D3" s="216"/>
      <c r="H3" s="223" t="str">
        <f>+IF(OR(B3="",PlazoM2=""),"",B3/PlazoM2)</f>
        <v/>
      </c>
      <c r="I3" s="223" t="str">
        <f t="shared" ref="I3:I5" si="0">IF(OR(B3="",$K$2=""),"",B3*$K$2)</f>
        <v/>
      </c>
    </row>
    <row r="4" spans="1:11" x14ac:dyDescent="0.2">
      <c r="A4" s="215"/>
      <c r="B4" s="216"/>
      <c r="C4" s="217"/>
      <c r="D4" s="216"/>
      <c r="H4" s="223" t="str">
        <f>+IF(OR(B4="",PlazoM3=""),"",B4/PlazoM3)</f>
        <v/>
      </c>
      <c r="I4" s="223" t="str">
        <f t="shared" si="0"/>
        <v/>
      </c>
    </row>
    <row r="5" spans="1:11" x14ac:dyDescent="0.2">
      <c r="A5" s="215"/>
      <c r="B5" s="216"/>
      <c r="C5" s="217"/>
      <c r="D5" s="216"/>
      <c r="H5" s="223" t="str">
        <f>+IF(OR(B5="",PlazoM4=""),"",B5/PlazoM4)</f>
        <v/>
      </c>
      <c r="I5" s="223" t="str">
        <f t="shared" si="0"/>
        <v/>
      </c>
    </row>
    <row r="6" spans="1:11" x14ac:dyDescent="0.2">
      <c r="E6" s="221"/>
    </row>
    <row r="7" spans="1:11" x14ac:dyDescent="0.2">
      <c r="D7" s="222"/>
    </row>
    <row r="13" spans="1:11" ht="18" x14ac:dyDescent="0.25">
      <c r="B13" s="242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5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</sheetPr>
  <dimension ref="B1:H16"/>
  <sheetViews>
    <sheetView workbookViewId="0">
      <selection activeCell="K24" sqref="K24"/>
    </sheetView>
  </sheetViews>
  <sheetFormatPr baseColWidth="10" defaultRowHeight="12.75" x14ac:dyDescent="0.2"/>
  <cols>
    <col min="1" max="2" width="11.42578125" style="148"/>
    <col min="3" max="3" width="15.28515625" style="148" bestFit="1" customWidth="1"/>
    <col min="4" max="6" width="11.42578125" style="148"/>
    <col min="7" max="7" width="11.42578125" style="148" customWidth="1"/>
    <col min="8" max="16384" width="11.42578125" style="148"/>
  </cols>
  <sheetData>
    <row r="1" spans="2:8" ht="13.5" thickBot="1" x14ac:dyDescent="0.25"/>
    <row r="2" spans="2:8" ht="13.5" thickBot="1" x14ac:dyDescent="0.25">
      <c r="B2" s="271" t="s">
        <v>198</v>
      </c>
      <c r="C2" s="272"/>
      <c r="D2" s="273"/>
      <c r="F2" s="271" t="s">
        <v>206</v>
      </c>
      <c r="G2" s="272"/>
      <c r="H2" s="273"/>
    </row>
    <row r="3" spans="2:8" ht="13.5" thickBot="1" x14ac:dyDescent="0.25">
      <c r="B3" s="178" t="s">
        <v>202</v>
      </c>
      <c r="C3" s="180" t="s">
        <v>204</v>
      </c>
      <c r="D3" s="179" t="s">
        <v>203</v>
      </c>
      <c r="F3" s="178" t="s">
        <v>207</v>
      </c>
      <c r="G3" s="180" t="s">
        <v>208</v>
      </c>
      <c r="H3" s="179" t="s">
        <v>203</v>
      </c>
    </row>
    <row r="4" spans="2:8" x14ac:dyDescent="0.2">
      <c r="B4" s="170">
        <v>0</v>
      </c>
      <c r="C4" s="170">
        <v>3</v>
      </c>
      <c r="D4" s="170">
        <v>60</v>
      </c>
      <c r="F4" s="170">
        <v>1</v>
      </c>
      <c r="G4" s="170">
        <v>5</v>
      </c>
      <c r="H4" s="170">
        <v>20</v>
      </c>
    </row>
    <row r="5" spans="2:8" x14ac:dyDescent="0.2">
      <c r="B5" s="171">
        <v>3</v>
      </c>
      <c r="C5" s="171">
        <v>6</v>
      </c>
      <c r="D5" s="171">
        <v>80</v>
      </c>
      <c r="F5" s="171">
        <v>6</v>
      </c>
      <c r="G5" s="171">
        <v>10</v>
      </c>
      <c r="H5" s="171">
        <v>30</v>
      </c>
    </row>
    <row r="6" spans="2:8" ht="13.5" thickBot="1" x14ac:dyDescent="0.25">
      <c r="B6" s="171">
        <v>6</v>
      </c>
      <c r="C6" s="171">
        <v>10</v>
      </c>
      <c r="D6" s="171">
        <v>100</v>
      </c>
      <c r="F6" s="172">
        <v>11</v>
      </c>
      <c r="G6" s="173" t="s">
        <v>205</v>
      </c>
      <c r="H6" s="172">
        <v>40</v>
      </c>
    </row>
    <row r="7" spans="2:8" ht="13.5" thickBot="1" x14ac:dyDescent="0.25">
      <c r="B7" s="172">
        <v>10</v>
      </c>
      <c r="C7" s="173" t="s">
        <v>205</v>
      </c>
      <c r="D7" s="172">
        <v>120</v>
      </c>
      <c r="F7" s="181"/>
      <c r="G7" s="182"/>
      <c r="H7" s="181"/>
    </row>
    <row r="9" spans="2:8" ht="13.5" thickBot="1" x14ac:dyDescent="0.25"/>
    <row r="10" spans="2:8" ht="13.5" thickBot="1" x14ac:dyDescent="0.25">
      <c r="B10" s="271" t="s">
        <v>193</v>
      </c>
      <c r="C10" s="272"/>
      <c r="D10" s="273"/>
    </row>
    <row r="11" spans="2:8" ht="13.5" thickBot="1" x14ac:dyDescent="0.25">
      <c r="B11" s="178" t="s">
        <v>202</v>
      </c>
      <c r="C11" s="180" t="s">
        <v>204</v>
      </c>
      <c r="D11" s="179" t="s">
        <v>203</v>
      </c>
    </row>
    <row r="12" spans="2:8" x14ac:dyDescent="0.2">
      <c r="B12" s="170">
        <v>0</v>
      </c>
      <c r="C12" s="170">
        <v>0.5</v>
      </c>
      <c r="D12" s="170">
        <v>20</v>
      </c>
    </row>
    <row r="13" spans="2:8" x14ac:dyDescent="0.2">
      <c r="B13" s="171">
        <v>0.5</v>
      </c>
      <c r="C13" s="171">
        <v>0.75</v>
      </c>
      <c r="D13" s="171">
        <v>25</v>
      </c>
    </row>
    <row r="14" spans="2:8" x14ac:dyDescent="0.2">
      <c r="B14" s="171">
        <v>0.75</v>
      </c>
      <c r="C14" s="177">
        <v>1</v>
      </c>
      <c r="D14" s="171">
        <v>30</v>
      </c>
    </row>
    <row r="15" spans="2:8" x14ac:dyDescent="0.2">
      <c r="B15" s="176">
        <v>1</v>
      </c>
      <c r="C15" s="175">
        <v>1.5</v>
      </c>
      <c r="D15" s="174">
        <v>35</v>
      </c>
    </row>
    <row r="16" spans="2:8" ht="13.5" thickBot="1" x14ac:dyDescent="0.25">
      <c r="B16" s="172">
        <v>1.5</v>
      </c>
      <c r="C16" s="173" t="s">
        <v>205</v>
      </c>
      <c r="D16" s="172">
        <v>40</v>
      </c>
    </row>
  </sheetData>
  <mergeCells count="3">
    <mergeCell ref="B2:D2"/>
    <mergeCell ref="B10:D10"/>
    <mergeCell ref="F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AG24"/>
  <sheetViews>
    <sheetView tabSelected="1" topLeftCell="A4" zoomScale="80" zoomScaleNormal="80" zoomScaleSheetLayoutView="100" workbookViewId="0">
      <selection activeCell="N21" sqref="N21"/>
    </sheetView>
  </sheetViews>
  <sheetFormatPr baseColWidth="10" defaultRowHeight="18" customHeight="1" x14ac:dyDescent="0.2"/>
  <cols>
    <col min="1" max="1" width="19.85546875" style="131" customWidth="1"/>
    <col min="2" max="2" width="8.85546875" style="131" bestFit="1" customWidth="1"/>
    <col min="3" max="3" width="37" style="131" customWidth="1"/>
    <col min="4" max="4" width="17.42578125" style="131" customWidth="1"/>
    <col min="5" max="5" width="25" style="131" customWidth="1"/>
    <col min="6" max="6" width="26.7109375" style="134" customWidth="1"/>
    <col min="7" max="7" width="25" style="134" bestFit="1" customWidth="1"/>
    <col min="8" max="9" width="23.140625" style="134" customWidth="1"/>
    <col min="10" max="10" width="28.7109375" style="135" customWidth="1"/>
    <col min="11" max="11" width="28.28515625" style="135" customWidth="1"/>
    <col min="12" max="12" width="23" style="135" customWidth="1"/>
    <col min="13" max="13" width="20.85546875" style="135" customWidth="1"/>
    <col min="14" max="14" width="4.140625" style="136" bestFit="1" customWidth="1"/>
    <col min="15" max="15" width="8" style="136" bestFit="1" customWidth="1"/>
    <col min="16" max="16" width="8" style="136" hidden="1" customWidth="1"/>
    <col min="17" max="17" width="19.5703125" style="136" hidden="1" customWidth="1"/>
    <col min="18" max="18" width="21.7109375" style="136" bestFit="1" customWidth="1"/>
    <col min="19" max="19" width="17.28515625" style="136" customWidth="1"/>
    <col min="20" max="20" width="14.7109375" style="136" customWidth="1"/>
    <col min="21" max="21" width="17.5703125" style="136" customWidth="1"/>
    <col min="22" max="22" width="21.7109375" style="136" customWidth="1"/>
    <col min="23" max="23" width="20.42578125" style="136" hidden="1" customWidth="1"/>
    <col min="24" max="24" width="19.42578125" style="136" customWidth="1"/>
    <col min="25" max="25" width="14.7109375" style="136" customWidth="1"/>
    <col min="26" max="26" width="15.85546875" style="134" customWidth="1"/>
    <col min="27" max="27" width="15.5703125" style="131" hidden="1" customWidth="1"/>
    <col min="28" max="28" width="15.85546875" style="131" hidden="1" customWidth="1"/>
    <col min="29" max="29" width="14.5703125" style="137" customWidth="1"/>
    <col min="30" max="30" width="14.5703125" style="131" customWidth="1"/>
    <col min="31" max="31" width="14.5703125" style="137" customWidth="1"/>
    <col min="32" max="32" width="14.5703125" style="131" customWidth="1"/>
    <col min="33" max="33" width="17.42578125" style="131" customWidth="1"/>
    <col min="34" max="16384" width="11.42578125" style="131"/>
  </cols>
  <sheetData>
    <row r="1" spans="1:33" ht="18" customHeight="1" x14ac:dyDescent="0.2"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  <c r="Z1" s="274"/>
    </row>
    <row r="2" spans="1:33" s="132" customFormat="1" ht="23.25" x14ac:dyDescent="0.35">
      <c r="B2" s="277" t="s">
        <v>149</v>
      </c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277"/>
      <c r="AB2" s="277"/>
      <c r="AC2" s="277"/>
      <c r="AD2" s="277"/>
      <c r="AE2" s="277"/>
      <c r="AF2" s="277"/>
      <c r="AG2" s="277"/>
    </row>
    <row r="3" spans="1:33" s="132" customFormat="1" x14ac:dyDescent="0.25">
      <c r="B3" s="276" t="s">
        <v>210</v>
      </c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</row>
    <row r="4" spans="1:33" ht="18" customHeight="1" x14ac:dyDescent="0.25">
      <c r="B4" s="275" t="s">
        <v>250</v>
      </c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</row>
    <row r="5" spans="1:33" ht="18" customHeight="1" x14ac:dyDescent="0.2">
      <c r="B5" s="297" t="s">
        <v>260</v>
      </c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297"/>
      <c r="AC5" s="297"/>
      <c r="AD5" s="297"/>
      <c r="AE5" s="297"/>
      <c r="AF5" s="297"/>
      <c r="AG5" s="297"/>
    </row>
    <row r="6" spans="1:33" ht="18" customHeight="1" thickBot="1" x14ac:dyDescent="0.25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</row>
    <row r="7" spans="1:33" ht="44.25" customHeight="1" thickBot="1" x14ac:dyDescent="0.25">
      <c r="B7" s="290" t="s">
        <v>151</v>
      </c>
      <c r="C7" s="291"/>
      <c r="D7" s="292"/>
      <c r="E7" s="295" t="s">
        <v>161</v>
      </c>
      <c r="F7" s="296"/>
      <c r="G7" s="296"/>
      <c r="H7" s="296"/>
      <c r="I7" s="296"/>
      <c r="J7" s="296"/>
      <c r="K7" s="208"/>
      <c r="L7" s="109"/>
      <c r="M7" s="109"/>
      <c r="N7" s="109"/>
      <c r="O7" s="147"/>
      <c r="P7" s="109"/>
      <c r="Q7" s="109"/>
      <c r="R7" s="110"/>
      <c r="S7" s="293" t="s">
        <v>163</v>
      </c>
      <c r="T7" s="294"/>
      <c r="U7" s="293" t="s">
        <v>150</v>
      </c>
      <c r="V7" s="294"/>
      <c r="W7" s="111"/>
      <c r="X7" s="293" t="s">
        <v>179</v>
      </c>
      <c r="Y7" s="294"/>
      <c r="Z7" s="112" t="s">
        <v>181</v>
      </c>
      <c r="AA7" s="313" t="s">
        <v>171</v>
      </c>
      <c r="AB7" s="314"/>
      <c r="AC7" s="293" t="s">
        <v>183</v>
      </c>
      <c r="AD7" s="294"/>
      <c r="AE7" s="293" t="s">
        <v>185</v>
      </c>
      <c r="AF7" s="294"/>
      <c r="AG7" s="112" t="s">
        <v>182</v>
      </c>
    </row>
    <row r="8" spans="1:33" ht="56.25" customHeight="1" x14ac:dyDescent="0.2">
      <c r="B8" s="298" t="s">
        <v>157</v>
      </c>
      <c r="C8" s="286" t="s">
        <v>156</v>
      </c>
      <c r="D8" s="310" t="s">
        <v>167</v>
      </c>
      <c r="E8" s="288" t="s">
        <v>159</v>
      </c>
      <c r="F8" s="307" t="s">
        <v>154</v>
      </c>
      <c r="G8" s="307" t="s">
        <v>158</v>
      </c>
      <c r="H8" s="303" t="s">
        <v>155</v>
      </c>
      <c r="I8" s="287" t="s">
        <v>233</v>
      </c>
      <c r="J8" s="287" t="s">
        <v>234</v>
      </c>
      <c r="K8" s="287" t="s">
        <v>238</v>
      </c>
      <c r="L8" s="113"/>
      <c r="M8" s="113"/>
      <c r="N8" s="283" t="s">
        <v>162</v>
      </c>
      <c r="O8" s="279" t="s">
        <v>235</v>
      </c>
      <c r="P8" s="300" t="s">
        <v>168</v>
      </c>
      <c r="Q8" s="282" t="s">
        <v>169</v>
      </c>
      <c r="R8" s="278" t="s">
        <v>166</v>
      </c>
      <c r="S8" s="305" t="s">
        <v>245</v>
      </c>
      <c r="T8" s="306"/>
      <c r="U8" s="305" t="s">
        <v>236</v>
      </c>
      <c r="V8" s="306"/>
      <c r="W8" s="308" t="s">
        <v>170</v>
      </c>
      <c r="X8" s="305" t="s">
        <v>237</v>
      </c>
      <c r="Y8" s="306"/>
      <c r="Z8" s="303" t="s">
        <v>175</v>
      </c>
      <c r="AA8" s="101" t="s">
        <v>172</v>
      </c>
      <c r="AB8" s="102">
        <v>535600</v>
      </c>
      <c r="AC8" s="305" t="s">
        <v>240</v>
      </c>
      <c r="AD8" s="306"/>
      <c r="AE8" s="305" t="s">
        <v>241</v>
      </c>
      <c r="AF8" s="306"/>
      <c r="AG8" s="303" t="s">
        <v>175</v>
      </c>
    </row>
    <row r="9" spans="1:33" ht="54" customHeight="1" thickBot="1" x14ac:dyDescent="0.25">
      <c r="B9" s="299"/>
      <c r="C9" s="286"/>
      <c r="D9" s="311"/>
      <c r="E9" s="289"/>
      <c r="F9" s="312"/>
      <c r="G9" s="303"/>
      <c r="H9" s="312"/>
      <c r="I9" s="287"/>
      <c r="J9" s="287"/>
      <c r="K9" s="287"/>
      <c r="L9" s="113" t="s">
        <v>177</v>
      </c>
      <c r="M9" s="113" t="s">
        <v>178</v>
      </c>
      <c r="N9" s="284"/>
      <c r="O9" s="280"/>
      <c r="P9" s="301"/>
      <c r="Q9" s="282"/>
      <c r="R9" s="278"/>
      <c r="S9" s="72" t="s">
        <v>160</v>
      </c>
      <c r="T9" s="71">
        <v>0.42</v>
      </c>
      <c r="U9" s="72" t="s">
        <v>187</v>
      </c>
      <c r="V9" s="71">
        <v>0.7</v>
      </c>
      <c r="W9" s="282"/>
      <c r="X9" s="72" t="s">
        <v>180</v>
      </c>
      <c r="Y9" s="71">
        <v>1</v>
      </c>
      <c r="Z9" s="303"/>
      <c r="AA9" s="103" t="s">
        <v>173</v>
      </c>
      <c r="AB9" s="104">
        <v>566700</v>
      </c>
      <c r="AC9" s="121" t="s">
        <v>184</v>
      </c>
      <c r="AD9" s="209">
        <v>0</v>
      </c>
      <c r="AE9" s="121" t="s">
        <v>186</v>
      </c>
      <c r="AF9" s="209">
        <v>0</v>
      </c>
      <c r="AG9" s="303"/>
    </row>
    <row r="10" spans="1:33" ht="44.25" customHeight="1" thickBot="1" x14ac:dyDescent="0.25">
      <c r="B10" s="299"/>
      <c r="C10" s="286"/>
      <c r="D10" s="311"/>
      <c r="E10" s="289"/>
      <c r="F10" s="312"/>
      <c r="G10" s="303"/>
      <c r="H10" s="312"/>
      <c r="I10" s="287"/>
      <c r="J10" s="287"/>
      <c r="K10" s="287"/>
      <c r="L10" s="113"/>
      <c r="M10" s="113"/>
      <c r="N10" s="285"/>
      <c r="O10" s="281"/>
      <c r="P10" s="302"/>
      <c r="Q10" s="282"/>
      <c r="R10" s="278"/>
      <c r="S10" s="73" t="s">
        <v>153</v>
      </c>
      <c r="T10" s="74" t="s">
        <v>152</v>
      </c>
      <c r="U10" s="73" t="s">
        <v>153</v>
      </c>
      <c r="V10" s="74" t="s">
        <v>152</v>
      </c>
      <c r="W10" s="309"/>
      <c r="X10" s="73" t="s">
        <v>153</v>
      </c>
      <c r="Y10" s="74" t="s">
        <v>152</v>
      </c>
      <c r="Z10" s="304"/>
      <c r="AA10" s="105" t="s">
        <v>174</v>
      </c>
      <c r="AB10" s="106">
        <v>30000</v>
      </c>
      <c r="AC10" s="122" t="s">
        <v>153</v>
      </c>
      <c r="AD10" s="120" t="s">
        <v>152</v>
      </c>
      <c r="AE10" s="122" t="s">
        <v>153</v>
      </c>
      <c r="AF10" s="120" t="s">
        <v>152</v>
      </c>
      <c r="AG10" s="304"/>
    </row>
    <row r="11" spans="1:33" ht="18" customHeight="1" thickBot="1" x14ac:dyDescent="0.25">
      <c r="B11" s="138"/>
      <c r="C11" s="139"/>
      <c r="D11" s="139"/>
      <c r="E11" s="139"/>
      <c r="F11" s="139"/>
      <c r="G11" s="139"/>
      <c r="H11" s="139"/>
      <c r="I11" s="139"/>
      <c r="J11" s="139"/>
      <c r="K11" s="139"/>
      <c r="L11" s="139"/>
      <c r="M11" s="139"/>
      <c r="N11" s="139"/>
      <c r="O11" s="166"/>
      <c r="P11" s="139"/>
      <c r="Q11" s="139"/>
      <c r="R11" s="139"/>
      <c r="S11" s="139"/>
      <c r="T11" s="139"/>
      <c r="U11" s="139"/>
      <c r="V11" s="139"/>
      <c r="W11" s="139"/>
      <c r="X11" s="139"/>
      <c r="Y11" s="139"/>
      <c r="Z11" s="140"/>
      <c r="AA11" s="141"/>
      <c r="AB11" s="142"/>
      <c r="AC11" s="143"/>
      <c r="AD11" s="144"/>
      <c r="AE11" s="143"/>
      <c r="AF11" s="144"/>
      <c r="AG11" s="145"/>
    </row>
    <row r="12" spans="1:33" ht="36" hidden="1" customHeight="1" x14ac:dyDescent="0.25">
      <c r="B12" s="84">
        <v>1</v>
      </c>
      <c r="C12" s="85" t="s">
        <v>246</v>
      </c>
      <c r="D12" s="98">
        <f>IF(SUM(D13:D14)=0,"",SUM(D13:D14))</f>
        <v>1</v>
      </c>
      <c r="E12" s="86">
        <f t="shared" ref="E12:G12" si="0">IF(ISERROR(SUM(E13:E14)),"",SUM(E13:E14))</f>
        <v>143619247</v>
      </c>
      <c r="F12" s="86">
        <f t="shared" si="0"/>
        <v>293646247</v>
      </c>
      <c r="G12" s="86">
        <f t="shared" si="0"/>
        <v>4050000</v>
      </c>
      <c r="H12" s="86">
        <f>IF(ISERROR(SUM(H13:H14)),"",SUM(H13:H14))</f>
        <v>4050000</v>
      </c>
      <c r="I12" s="86">
        <f>IF(ISERROR(SUM(I13:I14)),"",SUM(I13:I14))</f>
        <v>139569247</v>
      </c>
      <c r="J12" s="86">
        <f>IF(ISERROR(SUM(J13:J14)),"",SUM(J13:J14))</f>
        <v>289596247</v>
      </c>
      <c r="K12" s="86">
        <f t="shared" ref="K12" si="1">IF(ISERROR(SUM(K13:K14)),"",SUM(K13:K14))</f>
        <v>289596247</v>
      </c>
      <c r="L12" s="86">
        <f>IF(ISERROR(SUM(L13:L14)),"",SUM(L13:L14))</f>
        <v>378273547</v>
      </c>
      <c r="M12" s="86">
        <f>IF(ISERROR(SUM(M13:M14)),"",SUM(M13:M14))</f>
        <v>5187</v>
      </c>
      <c r="N12" s="80">
        <v>7</v>
      </c>
      <c r="O12" s="203" t="str">
        <f>IF(ISERROR(VLOOKUP(N12,POA!$A$2:$C$16,3,0)),"",VLOOKUP(N12,POA!$A$2:$C$16,3,0))</f>
        <v/>
      </c>
      <c r="P12" s="100"/>
      <c r="Q12" s="80">
        <f>+SUM(Q13:Q14)</f>
        <v>0</v>
      </c>
      <c r="R12" s="81" t="str">
        <f>IF(ISERROR(VLOOKUP(N12,POA!$A$2:$C$16,2,0)),"",VLOOKUP(N12,POA!$A$2:$C$16,2,0))</f>
        <v/>
      </c>
      <c r="S12" s="86">
        <f>IF(ISERROR(SUM(E12/G12)),0,SUM(E12/G12))</f>
        <v>35.4615424691358</v>
      </c>
      <c r="T12" s="87" t="str">
        <f>IF(OR(S12=0,N12="",R12=""),"",IF(S12&gt;=$T$9,"HABIL","NO HABIL"))</f>
        <v/>
      </c>
      <c r="U12" s="207">
        <f>IF(ISERROR(SUM(H12/F12)),0,SUM(H12/F12))</f>
        <v>1.37921054376697E-2</v>
      </c>
      <c r="V12" s="87" t="str">
        <f>IF(OR(U12=0,N12="",R12=""),"",IF(U12&lt;=$V$9,"HABIL","NO HABIL"))</f>
        <v/>
      </c>
      <c r="W12" s="80">
        <f>+SUM(W13:W14)</f>
        <v>0</v>
      </c>
      <c r="X12" s="207">
        <f>IF(ISERROR(SUM(L12/M12)),0,SUM(L12/M12))</f>
        <v>72927.230962020432</v>
      </c>
      <c r="Y12" s="87" t="str">
        <f>IF(OR(X12=0,N12="",R12=""),"",IF(X12&gt;=$Y$9,"HABIL","NO HABIL"))</f>
        <v/>
      </c>
      <c r="Z12" s="87" t="str">
        <f>IF(OR(T12="",V12="",Y12=""),"",IF(T12="NO HABIL","NO HABIL",IF(V12="NO HABIL","NO HABIL",IF(Y12="NO HABIL","NO HABIL",IF(Y12="NO HABIL","NO HABIL","HABIL")))))</f>
        <v/>
      </c>
      <c r="AA12" s="116"/>
      <c r="AB12" s="107"/>
      <c r="AC12" s="207">
        <f>IF(ISERROR(SUM(L12/K12)),0,SUM(L12/K12))</f>
        <v>1.306210114663537</v>
      </c>
      <c r="AD12" s="87" t="str">
        <f>IF(OR(AC12=0,N12="",R12=""),"",IF(AC12&gt;=$AD$9,"HABIL","NO HABIL"))</f>
        <v/>
      </c>
      <c r="AE12" s="207">
        <f>IF(ISERROR(SUM(L12/F12)),0,SUM(L12/F12))</f>
        <v>1.2881947270383469</v>
      </c>
      <c r="AF12" s="87" t="str">
        <f>IF(OR(AE12=0,N12="",R12=""),"",IF(AE12&gt;=$AF$9,"HABIL","NO HABIL"))</f>
        <v/>
      </c>
      <c r="AG12" s="117" t="str">
        <f>IF(OR(AD12="",AF12=""),"",IF(AD12="NO HABIL","NO HABIL",IF(AF12="NO HABIL","NO HABIL",IF(AF12="NO HABIL","NO HABIL","HABIL"))))</f>
        <v/>
      </c>
    </row>
    <row r="13" spans="1:33" ht="16.5" hidden="1" x14ac:dyDescent="0.25">
      <c r="A13" s="133"/>
      <c r="B13" s="76">
        <v>1.1000000000000001</v>
      </c>
      <c r="C13" s="77" t="s">
        <v>247</v>
      </c>
      <c r="D13" s="210">
        <v>0.6</v>
      </c>
      <c r="E13" s="75">
        <v>43190000</v>
      </c>
      <c r="F13" s="75">
        <v>107800000</v>
      </c>
      <c r="G13" s="75">
        <v>550000</v>
      </c>
      <c r="H13" s="75">
        <v>550000</v>
      </c>
      <c r="I13" s="202">
        <f t="shared" ref="I13:I18" si="2">IF(ISERROR(E13-G13),"",E13-G13)</f>
        <v>42640000</v>
      </c>
      <c r="J13" s="75">
        <f t="shared" ref="J13:J18" si="3">IF(ISERROR(F13-H13),"",F13-H13)</f>
        <v>107250000</v>
      </c>
      <c r="K13" s="202">
        <f t="shared" ref="K13:K18" si="4">IF(ISERROR(F13-H13),"",F13-H13)</f>
        <v>107250000</v>
      </c>
      <c r="L13" s="202">
        <v>4869322</v>
      </c>
      <c r="M13" s="202">
        <v>1</v>
      </c>
      <c r="N13" s="168"/>
      <c r="O13" s="204" t="str">
        <f>IF(ISERROR(VLOOKUP(N13,POA!$A$2:$C$16,3,0)),"",VLOOKUP(N13,POA!$A$2:$C$16,3,0))</f>
        <v/>
      </c>
      <c r="P13" s="78"/>
      <c r="Q13" s="78" t="str">
        <f>IF(ISERROR(VLOOKUP(P13,POA!$A$2:$F$16,4,0)),"",VLOOKUP(P13,POA!$A$2:$F$16,4,0))</f>
        <v/>
      </c>
      <c r="R13" s="79" t="str">
        <f>IF(ISERROR(VLOOKUP(N13,POA!$A$2:$C$16,2,0)),"",VLOOKUP(N13,POA!$A$2:$C$16,2,0))</f>
        <v/>
      </c>
      <c r="S13" s="83"/>
      <c r="T13" s="82" t="str">
        <f>IF(OR(S12=0,N13="",R13=""),"",IF(S12&gt;=$T$9,"HABIL","NO HABIL"))</f>
        <v/>
      </c>
      <c r="U13" s="114"/>
      <c r="V13" s="82" t="str">
        <f>IF(OR(U12=0,N13="",R13=""),"",IF(U12&lt;=$V$9,"HABIL","NO HABIL"))</f>
        <v/>
      </c>
      <c r="W13" s="78" t="s">
        <v>239</v>
      </c>
      <c r="X13" s="78"/>
      <c r="Y13" s="82" t="str">
        <f>IF(OR(X12=0,N13="",R13=""),"",IF(X12&gt;=$Y$9,"HABIL","NO HABIL"))</f>
        <v/>
      </c>
      <c r="Z13" s="82"/>
      <c r="AA13" s="115">
        <f>IF(ISERROR(F13/$AB$9),"",F13/$AB$9)</f>
        <v>190.22410446444326</v>
      </c>
      <c r="AB13" s="108" t="str">
        <f>+IF(AA13&lt;$AB$10,"MIPYME","NO CUMPLE")</f>
        <v>MIPYME</v>
      </c>
      <c r="AC13" s="123"/>
      <c r="AD13" s="82" t="str">
        <f>IF(OR(AC12=0,N13="",R13=""),"",IF(AC12&gt;=$AD$9,"HABIL","NO HABIL"))</f>
        <v/>
      </c>
      <c r="AE13" s="123"/>
      <c r="AF13" s="82" t="str">
        <f>IF(OR(AE12=0,N13="",R13=""),"",IF(AE12&gt;=$AF$9,"HABIL","NO HABIL"))</f>
        <v/>
      </c>
      <c r="AG13" s="118" t="str">
        <f>IF(OR(AD13="",AF13=""),"",IF(AD13="NO HABIL","NO HABIL",IF(AF13="NO HABIL","NO HABIL",IF(AF13="NO HABIL","NO HABIL","HABIL"))))</f>
        <v/>
      </c>
    </row>
    <row r="14" spans="1:33" ht="17.25" hidden="1" thickBot="1" x14ac:dyDescent="0.3">
      <c r="A14" s="133"/>
      <c r="B14" s="76">
        <v>1.2</v>
      </c>
      <c r="C14" s="99" t="s">
        <v>248</v>
      </c>
      <c r="D14" s="210">
        <v>0.4</v>
      </c>
      <c r="E14" s="75">
        <v>100429247</v>
      </c>
      <c r="F14" s="75">
        <v>185846247</v>
      </c>
      <c r="G14" s="75">
        <v>3500000</v>
      </c>
      <c r="H14" s="75">
        <v>3500000</v>
      </c>
      <c r="I14" s="202">
        <f t="shared" si="2"/>
        <v>96929247</v>
      </c>
      <c r="J14" s="75">
        <f t="shared" si="3"/>
        <v>182346247</v>
      </c>
      <c r="K14" s="202">
        <f t="shared" si="4"/>
        <v>182346247</v>
      </c>
      <c r="L14" s="202">
        <v>373404225</v>
      </c>
      <c r="M14" s="202">
        <v>5186</v>
      </c>
      <c r="N14" s="167"/>
      <c r="O14" s="167" t="str">
        <f>IF(ISERROR(VLOOKUP(N14,POA!$A$2:$C$16,3,0)),"",VLOOKUP(N14,POA!$A$2:$C$16,3,0))</f>
        <v/>
      </c>
      <c r="P14" s="78"/>
      <c r="Q14" s="78" t="str">
        <f>IF(ISERROR(VLOOKUP(P14,POA!$A$2:$F$16,4,0)),"",VLOOKUP(P14,POA!$A$2:$F$16,4,0))</f>
        <v/>
      </c>
      <c r="R14" s="79" t="str">
        <f>IF(ISERROR(VLOOKUP(N14,POA!$A$2:$C$16,2,0)),"",VLOOKUP(N14,POA!$A$2:$C$16,2,0))</f>
        <v/>
      </c>
      <c r="S14" s="83"/>
      <c r="T14" s="82" t="str">
        <f>IF(OR(S12=0,N14="",R14=""),"",IF(S12&gt;=$T$9,"HABIL","NO HABIL"))</f>
        <v/>
      </c>
      <c r="U14" s="114"/>
      <c r="V14" s="82" t="str">
        <f>IF(OR(U12=0,N14="",R14=""),"",IF(U12&lt;=$V$9,"HABIL","NO HABIL"))</f>
        <v/>
      </c>
      <c r="W14" s="78" t="s">
        <v>239</v>
      </c>
      <c r="X14" s="78"/>
      <c r="Y14" s="82" t="str">
        <f>IF(OR(X12=0,N14="",R14=""),"",IF(X12&gt;=$Y$9,"HABIL","NO HABIL"))</f>
        <v/>
      </c>
      <c r="Z14" s="82"/>
      <c r="AA14" s="115">
        <f>IF(ISERROR(F14/$AB$9),"",F14/$AB$9)</f>
        <v>327.94467443091582</v>
      </c>
      <c r="AB14" s="108" t="str">
        <f t="shared" ref="AB14" si="5">+IF(AA14&lt;$AB$10,"MIPYME","NO CUMPLE")</f>
        <v>MIPYME</v>
      </c>
      <c r="AC14" s="123"/>
      <c r="AD14" s="82" t="str">
        <f>IF(OR(AC12=0,N14="",R14=""),"",IF(AC12&gt;=$AD$9,"HABIL","NO HABIL"))</f>
        <v/>
      </c>
      <c r="AE14" s="123"/>
      <c r="AF14" s="82" t="str">
        <f>IF(OR(AE12=0,N14="",R14=""),"",IF(AE12&gt;=$AF$9,"HABIL","NO HABIL"))</f>
        <v/>
      </c>
      <c r="AG14" s="119" t="str">
        <f t="shared" ref="AG14" si="6">IF(OR(AD14="",AF14=""),"",IF(AD14="NO HABIL","NO HABIL",IF(AF14="NO HABIL","NO HABIL",IF(AF14="NO HABIL","NO HABIL","HABIL"))))</f>
        <v/>
      </c>
    </row>
    <row r="15" spans="1:33" ht="18" hidden="1" customHeight="1" thickBot="1" x14ac:dyDescent="0.3">
      <c r="B15" s="84">
        <v>2</v>
      </c>
      <c r="C15" s="85" t="s">
        <v>249</v>
      </c>
      <c r="D15" s="98">
        <v>1</v>
      </c>
      <c r="E15" s="86">
        <v>28500000</v>
      </c>
      <c r="F15" s="86">
        <v>50900000</v>
      </c>
      <c r="G15" s="86">
        <v>9000000</v>
      </c>
      <c r="H15" s="86">
        <v>9000000</v>
      </c>
      <c r="I15" s="86">
        <f t="shared" si="2"/>
        <v>19500000</v>
      </c>
      <c r="J15" s="86">
        <f t="shared" si="3"/>
        <v>41900000</v>
      </c>
      <c r="K15" s="86">
        <f t="shared" si="4"/>
        <v>41900000</v>
      </c>
      <c r="L15" s="86">
        <v>2291000</v>
      </c>
      <c r="M15" s="86">
        <v>1</v>
      </c>
      <c r="N15" s="80">
        <v>7</v>
      </c>
      <c r="O15" s="203" t="str">
        <f>IF(ISERROR(VLOOKUP(N15,POA!$A$2:$C$16,3,0)),"",VLOOKUP(N15,POA!$A$2:$C$16,3,0))</f>
        <v/>
      </c>
      <c r="P15" s="100"/>
      <c r="Q15" s="80" t="e">
        <f>+SUM(#REF!)</f>
        <v>#REF!</v>
      </c>
      <c r="R15" s="81" t="str">
        <f>IF(ISERROR(VLOOKUP(N15,POA!$A$2:$C$16,2,0)),"",VLOOKUP(N15,POA!$A$2:$C$16,2,0))</f>
        <v/>
      </c>
      <c r="S15" s="86">
        <f t="shared" ref="S15:S20" si="7">IF(ISERROR(SUM(E15/G15)),0,SUM(E15/G15))</f>
        <v>3.1666666666666665</v>
      </c>
      <c r="T15" s="87" t="str">
        <f t="shared" ref="T15:T20" si="8">IF(OR(S15=0,N15="",R15=""),"",IF(S15&gt;=$T$9,"HABIL","NO HABIL"))</f>
        <v/>
      </c>
      <c r="U15" s="207">
        <f t="shared" ref="U15:U20" si="9">IF(ISERROR(SUM(H15/F15)),0,SUM(H15/F15))</f>
        <v>0.17681728880157171</v>
      </c>
      <c r="V15" s="87" t="str">
        <f t="shared" ref="V15:V20" si="10">IF(OR(U15=0,N15="",R15=""),"",IF(U15&lt;=$V$9,"HABIL","NO HABIL"))</f>
        <v/>
      </c>
      <c r="W15" s="80" t="e">
        <f>+SUM(#REF!)</f>
        <v>#REF!</v>
      </c>
      <c r="X15" s="207">
        <f t="shared" ref="X15:X20" si="11">IF(ISERROR(SUM(L15/M15)),0,SUM(L15/M15))</f>
        <v>2291000</v>
      </c>
      <c r="Y15" s="87" t="str">
        <f t="shared" ref="Y15:Y20" si="12">IF(OR(X15=0,N15="",R15=""),"",IF(X15&gt;=$Y$9,"HABIL","NO HABIL"))</f>
        <v/>
      </c>
      <c r="Z15" s="87" t="str">
        <f t="shared" ref="Z15:Z20" si="13">IF(OR(T15="",V15="",Y15=""),"",IF(T15="NO HABIL","NO HABIL",IF(V15="NO HABIL","NO HABIL",IF(Y15="NO HABIL","NO HABIL",IF(Y15="NO HABIL","NO HABIL","HABIL")))))</f>
        <v/>
      </c>
      <c r="AA15" s="116"/>
      <c r="AB15" s="107"/>
      <c r="AC15" s="207">
        <f t="shared" ref="AC15:AC20" si="14">IF(ISERROR(SUM(L15/K15)),0,SUM(L15/K15))</f>
        <v>5.4677804295942718E-2</v>
      </c>
      <c r="AD15" s="87" t="str">
        <f t="shared" ref="AD15:AD20" si="15">IF(OR(AC15=0,N15="",R15=""),"",IF(AC15&gt;=$AD$9,"HABIL","NO HABIL"))</f>
        <v/>
      </c>
      <c r="AE15" s="207">
        <f t="shared" ref="AE15:AE20" si="16">IF(ISERROR(SUM(L15/F15)),0,SUM(L15/F15))</f>
        <v>4.5009823182711198E-2</v>
      </c>
      <c r="AF15" s="87" t="str">
        <f t="shared" ref="AF15:AF20" si="17">IF(OR(AE15=0,N15="",R15=""),"",IF(AE15&gt;=$AF$9,"HABIL","NO HABIL"))</f>
        <v/>
      </c>
      <c r="AG15" s="117" t="str">
        <f t="shared" ref="AG15" si="18">IF(OR(AD15="",AF15=""),"",IF(AD15="NO HABIL","NO HABIL",IF(AF15="NO HABIL","NO HABIL",IF(AF15="NO HABIL","NO HABIL","HABIL"))))</f>
        <v/>
      </c>
    </row>
    <row r="16" spans="1:33" ht="18" hidden="1" customHeight="1" thickBot="1" x14ac:dyDescent="0.3">
      <c r="B16" s="84">
        <v>3</v>
      </c>
      <c r="C16" s="85" t="s">
        <v>251</v>
      </c>
      <c r="D16" s="98">
        <v>1</v>
      </c>
      <c r="E16" s="86">
        <v>1000000</v>
      </c>
      <c r="F16" s="86">
        <v>1000000</v>
      </c>
      <c r="G16" s="86">
        <v>1</v>
      </c>
      <c r="H16" s="86">
        <v>1</v>
      </c>
      <c r="I16" s="86">
        <f t="shared" si="2"/>
        <v>999999</v>
      </c>
      <c r="J16" s="86">
        <f t="shared" si="3"/>
        <v>999999</v>
      </c>
      <c r="K16" s="86">
        <f t="shared" si="4"/>
        <v>999999</v>
      </c>
      <c r="L16" s="86">
        <v>1</v>
      </c>
      <c r="M16" s="86">
        <v>1</v>
      </c>
      <c r="N16" s="80">
        <v>7</v>
      </c>
      <c r="O16" s="203">
        <v>33</v>
      </c>
      <c r="P16" s="100"/>
      <c r="Q16" s="80" t="e">
        <f>+SUM(#REF!)</f>
        <v>#REF!</v>
      </c>
      <c r="R16" s="81" t="str">
        <f>IF(ISERROR(VLOOKUP(N16,POA!$A$2:$C$16,2,0)),"",VLOOKUP(N16,POA!$A$2:$C$16,2,0))</f>
        <v/>
      </c>
      <c r="S16" s="86">
        <f t="shared" si="7"/>
        <v>1000000</v>
      </c>
      <c r="T16" s="87" t="str">
        <f t="shared" si="8"/>
        <v/>
      </c>
      <c r="U16" s="207">
        <f t="shared" si="9"/>
        <v>9.9999999999999995E-7</v>
      </c>
      <c r="V16" s="87" t="str">
        <f t="shared" si="10"/>
        <v/>
      </c>
      <c r="W16" s="80" t="e">
        <f>+SUM(#REF!)</f>
        <v>#REF!</v>
      </c>
      <c r="X16" s="207">
        <f t="shared" si="11"/>
        <v>1</v>
      </c>
      <c r="Y16" s="87" t="str">
        <f t="shared" si="12"/>
        <v/>
      </c>
      <c r="Z16" s="87" t="str">
        <f t="shared" si="13"/>
        <v/>
      </c>
      <c r="AA16" s="116"/>
      <c r="AB16" s="107"/>
      <c r="AC16" s="207">
        <f t="shared" si="14"/>
        <v>1.0000010000009999E-6</v>
      </c>
      <c r="AD16" s="87" t="str">
        <f t="shared" si="15"/>
        <v/>
      </c>
      <c r="AE16" s="207">
        <f t="shared" si="16"/>
        <v>9.9999999999999995E-7</v>
      </c>
      <c r="AF16" s="87" t="str">
        <f t="shared" si="17"/>
        <v/>
      </c>
      <c r="AG16" s="117" t="str">
        <f t="shared" ref="AG16" si="19">IF(OR(AD16="",AF16=""),"",IF(AD16="NO HABIL","NO HABIL",IF(AF16="NO HABIL","NO HABIL",IF(AF16="NO HABIL","NO HABIL","HABIL"))))</f>
        <v/>
      </c>
    </row>
    <row r="17" spans="2:33" ht="18" customHeight="1" thickBot="1" x14ac:dyDescent="0.3">
      <c r="B17" s="84">
        <v>4</v>
      </c>
      <c r="C17" s="85" t="s">
        <v>252</v>
      </c>
      <c r="D17" s="98">
        <v>1</v>
      </c>
      <c r="E17" s="86">
        <v>14517343</v>
      </c>
      <c r="F17" s="86">
        <v>53196119</v>
      </c>
      <c r="G17" s="86">
        <v>11955171</v>
      </c>
      <c r="H17" s="86">
        <v>11955171</v>
      </c>
      <c r="I17" s="86">
        <f t="shared" si="2"/>
        <v>2562172</v>
      </c>
      <c r="J17" s="86">
        <f t="shared" si="3"/>
        <v>41240948</v>
      </c>
      <c r="K17" s="86">
        <f t="shared" si="4"/>
        <v>41240948</v>
      </c>
      <c r="L17" s="86">
        <v>886919</v>
      </c>
      <c r="M17" s="86">
        <v>1</v>
      </c>
      <c r="N17" s="80">
        <v>4</v>
      </c>
      <c r="O17" s="203">
        <v>33</v>
      </c>
      <c r="P17" s="100"/>
      <c r="Q17" s="80" t="e">
        <f>+SUM(#REF!)</f>
        <v>#REF!</v>
      </c>
      <c r="R17" s="81">
        <f>IF(ISERROR(VLOOKUP(N17,POA!$A$2:$C$16,2,0)),"",VLOOKUP(N17,POA!$A$2:$C$16,2,0))</f>
        <v>593658691</v>
      </c>
      <c r="S17" s="86">
        <f t="shared" si="7"/>
        <v>1.2143149604468226</v>
      </c>
      <c r="T17" s="87" t="str">
        <f t="shared" si="8"/>
        <v>HABIL</v>
      </c>
      <c r="U17" s="207">
        <f t="shared" si="9"/>
        <v>0.22473765426383832</v>
      </c>
      <c r="V17" s="87" t="str">
        <f t="shared" si="10"/>
        <v>HABIL</v>
      </c>
      <c r="W17" s="80" t="e">
        <f>+SUM(#REF!)</f>
        <v>#REF!</v>
      </c>
      <c r="X17" s="207">
        <f t="shared" si="11"/>
        <v>886919</v>
      </c>
      <c r="Y17" s="87" t="str">
        <f t="shared" si="12"/>
        <v>HABIL</v>
      </c>
      <c r="Z17" s="87" t="str">
        <f t="shared" si="13"/>
        <v>HABIL</v>
      </c>
      <c r="AA17" s="116"/>
      <c r="AB17" s="107"/>
      <c r="AC17" s="207">
        <f t="shared" si="14"/>
        <v>2.1505785948470437E-2</v>
      </c>
      <c r="AD17" s="87" t="str">
        <f t="shared" si="15"/>
        <v>HABIL</v>
      </c>
      <c r="AE17" s="207">
        <f t="shared" si="16"/>
        <v>1.6672626061310977E-2</v>
      </c>
      <c r="AF17" s="87" t="str">
        <f t="shared" si="17"/>
        <v>HABIL</v>
      </c>
      <c r="AG17" s="117" t="str">
        <f t="shared" ref="AG17" si="20">IF(OR(AD17="",AF17=""),"",IF(AD17="NO HABIL","NO HABIL",IF(AF17="NO HABIL","NO HABIL",IF(AF17="NO HABIL","NO HABIL","HABIL"))))</f>
        <v>HABIL</v>
      </c>
    </row>
    <row r="18" spans="2:33" ht="36" hidden="1" customHeight="1" thickBot="1" x14ac:dyDescent="0.3">
      <c r="B18" s="84">
        <v>5</v>
      </c>
      <c r="C18" s="85" t="s">
        <v>253</v>
      </c>
      <c r="D18" s="98">
        <v>1</v>
      </c>
      <c r="E18" s="86">
        <v>80545000</v>
      </c>
      <c r="F18" s="86">
        <v>136302400</v>
      </c>
      <c r="G18" s="86">
        <v>19027700</v>
      </c>
      <c r="H18" s="86">
        <v>23874400</v>
      </c>
      <c r="I18" s="86">
        <f t="shared" si="2"/>
        <v>61517300</v>
      </c>
      <c r="J18" s="86">
        <f t="shared" si="3"/>
        <v>112428000</v>
      </c>
      <c r="K18" s="86">
        <f t="shared" si="4"/>
        <v>112428000</v>
      </c>
      <c r="L18" s="86">
        <v>58396000</v>
      </c>
      <c r="M18" s="86">
        <v>6000000</v>
      </c>
      <c r="N18" s="80">
        <v>7</v>
      </c>
      <c r="O18" s="203">
        <v>33</v>
      </c>
      <c r="P18" s="100"/>
      <c r="Q18" s="80" t="e">
        <f>+SUM(#REF!)</f>
        <v>#REF!</v>
      </c>
      <c r="R18" s="81" t="str">
        <f>IF(ISERROR(VLOOKUP(N18,POA!$A$2:$C$16,2,0)),"",VLOOKUP(N18,POA!$A$2:$C$16,2,0))</f>
        <v/>
      </c>
      <c r="S18" s="86">
        <f t="shared" si="7"/>
        <v>4.2330392007441784</v>
      </c>
      <c r="T18" s="87" t="str">
        <f t="shared" si="8"/>
        <v/>
      </c>
      <c r="U18" s="207">
        <f t="shared" si="9"/>
        <v>0.17515759076876122</v>
      </c>
      <c r="V18" s="87" t="str">
        <f t="shared" si="10"/>
        <v/>
      </c>
      <c r="W18" s="80" t="e">
        <f>+SUM(#REF!)</f>
        <v>#REF!</v>
      </c>
      <c r="X18" s="207">
        <f t="shared" si="11"/>
        <v>9.7326666666666668</v>
      </c>
      <c r="Y18" s="87" t="str">
        <f t="shared" si="12"/>
        <v/>
      </c>
      <c r="Z18" s="87" t="str">
        <f t="shared" si="13"/>
        <v/>
      </c>
      <c r="AA18" s="116"/>
      <c r="AB18" s="107"/>
      <c r="AC18" s="207">
        <f t="shared" si="14"/>
        <v>0.51940797666061833</v>
      </c>
      <c r="AD18" s="87" t="str">
        <f t="shared" si="15"/>
        <v/>
      </c>
      <c r="AE18" s="207">
        <f t="shared" si="16"/>
        <v>0.4284297268426675</v>
      </c>
      <c r="AF18" s="87" t="str">
        <f t="shared" si="17"/>
        <v/>
      </c>
      <c r="AG18" s="117" t="str">
        <f t="shared" ref="AG18" si="21">IF(OR(AD18="",AF18=""),"",IF(AD18="NO HABIL","NO HABIL",IF(AF18="NO HABIL","NO HABIL",IF(AF18="NO HABIL","NO HABIL","HABIL"))))</f>
        <v/>
      </c>
    </row>
    <row r="19" spans="2:33" ht="36" hidden="1" customHeight="1" thickBot="1" x14ac:dyDescent="0.3">
      <c r="B19" s="84">
        <v>6</v>
      </c>
      <c r="C19" s="85" t="s">
        <v>259</v>
      </c>
      <c r="D19" s="98">
        <v>1</v>
      </c>
      <c r="E19" s="240">
        <v>75397300</v>
      </c>
      <c r="F19" s="240">
        <v>80548300</v>
      </c>
      <c r="G19" s="240">
        <v>11415012</v>
      </c>
      <c r="H19" s="240">
        <v>35756776</v>
      </c>
      <c r="I19" s="240">
        <f t="shared" ref="I19" si="22">IF(ISERROR(E19-G19),"",E19-G19)</f>
        <v>63982288</v>
      </c>
      <c r="J19" s="240">
        <f t="shared" ref="J19" si="23">IF(ISERROR(F19-H19),"",F19-H19)</f>
        <v>44791524</v>
      </c>
      <c r="K19" s="240">
        <f t="shared" ref="K19" si="24">IF(ISERROR(F19-H19),"",F19-H19)</f>
        <v>44791524</v>
      </c>
      <c r="L19" s="240">
        <v>25041249</v>
      </c>
      <c r="M19" s="240">
        <v>2695394</v>
      </c>
      <c r="N19" s="80">
        <v>7</v>
      </c>
      <c r="O19" s="203">
        <v>33</v>
      </c>
      <c r="P19" s="100"/>
      <c r="Q19" s="80" t="e">
        <f>+SUM(#REF!)</f>
        <v>#REF!</v>
      </c>
      <c r="R19" s="81" t="str">
        <f>IF(ISERROR(VLOOKUP(N19,POA!$A$2:$C$16,2,0)),"",VLOOKUP(N19,POA!$A$2:$C$16,2,0))</f>
        <v/>
      </c>
      <c r="S19" s="86">
        <f t="shared" si="7"/>
        <v>6.6051003713355714</v>
      </c>
      <c r="T19" s="87" t="str">
        <f t="shared" si="8"/>
        <v/>
      </c>
      <c r="U19" s="207">
        <f t="shared" si="9"/>
        <v>0.44391720247354693</v>
      </c>
      <c r="V19" s="87" t="str">
        <f t="shared" si="10"/>
        <v/>
      </c>
      <c r="W19" s="80" t="e">
        <f>+SUM(#REF!)</f>
        <v>#REF!</v>
      </c>
      <c r="X19" s="207">
        <f t="shared" si="11"/>
        <v>9.2903853759413284</v>
      </c>
      <c r="Y19" s="87" t="str">
        <f t="shared" si="12"/>
        <v/>
      </c>
      <c r="Z19" s="87" t="str">
        <f t="shared" ref="Z19" si="25">IF(OR(T19="",V19="",Y19=""),"",IF(T19="NO HABIL","NO HABIL",IF(V19="NO HABIL","NO HABIL",IF(Y19="NO HABIL","NO HABIL",IF(Y19="NO HABIL","NO HABIL","HABIL")))))</f>
        <v/>
      </c>
      <c r="AA19" s="116"/>
      <c r="AB19" s="107"/>
      <c r="AC19" s="207">
        <f t="shared" si="14"/>
        <v>0.55906222346888668</v>
      </c>
      <c r="AD19" s="87" t="str">
        <f t="shared" si="15"/>
        <v/>
      </c>
      <c r="AE19" s="207">
        <f t="shared" si="16"/>
        <v>0.31088488521793756</v>
      </c>
      <c r="AF19" s="87" t="str">
        <f t="shared" si="17"/>
        <v/>
      </c>
      <c r="AG19" s="117" t="str">
        <f t="shared" ref="AG19" si="26">IF(OR(AD19="",AF19=""),"",IF(AD19="NO HABIL","NO HABIL",IF(AF19="NO HABIL","NO HABIL",IF(AF19="NO HABIL","NO HABIL","HABIL"))))</f>
        <v/>
      </c>
    </row>
    <row r="20" spans="2:33" ht="18" customHeight="1" x14ac:dyDescent="0.25">
      <c r="B20" s="84">
        <v>7</v>
      </c>
      <c r="C20" s="85" t="s">
        <v>254</v>
      </c>
      <c r="D20" s="98">
        <f>IF(SUM(D21:D22)=0,"",SUM(D21:D22))</f>
        <v>1</v>
      </c>
      <c r="E20" s="86">
        <f t="shared" ref="E20:H20" si="27">IF(ISERROR(SUM(E21:E22)),"",SUM(E21:E22))</f>
        <v>45861110790</v>
      </c>
      <c r="F20" s="86">
        <f t="shared" si="27"/>
        <v>46696847799</v>
      </c>
      <c r="G20" s="86">
        <f t="shared" si="27"/>
        <v>477423700</v>
      </c>
      <c r="H20" s="86">
        <f t="shared" si="27"/>
        <v>912305233</v>
      </c>
      <c r="I20" s="86">
        <f>IF(ISERROR(SUM(I21:I22)),"",SUM(I21:I22))</f>
        <v>45383687090</v>
      </c>
      <c r="J20" s="86">
        <f>IF(ISERROR(SUM(J21:J22)),"",SUM(J21:J22))</f>
        <v>45784542566</v>
      </c>
      <c r="K20" s="86">
        <f t="shared" ref="K20:M20" si="28">IF(ISERROR(SUM(K21:K22)),"",SUM(K21:K22))</f>
        <v>45784542566</v>
      </c>
      <c r="L20" s="86">
        <f t="shared" si="28"/>
        <v>5744570087</v>
      </c>
      <c r="M20" s="86">
        <f t="shared" si="28"/>
        <v>49239700</v>
      </c>
      <c r="N20" s="80">
        <v>4</v>
      </c>
      <c r="O20" s="203">
        <f>IF(ISERROR(VLOOKUP(N20,POA!$A$2:$C$16,3,0)),"",VLOOKUP(N20,POA!$A$2:$C$16,3,0))</f>
        <v>33</v>
      </c>
      <c r="P20" s="100"/>
      <c r="Q20" s="80">
        <f>+SUM(Q21:Q22)</f>
        <v>0</v>
      </c>
      <c r="R20" s="81">
        <f>IF(ISERROR(VLOOKUP(N20,POA!$A$2:$C$16,2,0)),"",VLOOKUP(N20,POA!$A$2:$C$16,2,0))</f>
        <v>593658691</v>
      </c>
      <c r="S20" s="86">
        <f t="shared" si="7"/>
        <v>96.059560491027156</v>
      </c>
      <c r="T20" s="87" t="str">
        <f t="shared" si="8"/>
        <v>HABIL</v>
      </c>
      <c r="U20" s="207">
        <f t="shared" si="9"/>
        <v>1.9536762672437532E-2</v>
      </c>
      <c r="V20" s="87" t="str">
        <f t="shared" si="10"/>
        <v>HABIL</v>
      </c>
      <c r="W20" s="80">
        <f>+SUM(W21:W22)</f>
        <v>0</v>
      </c>
      <c r="X20" s="207">
        <f t="shared" si="11"/>
        <v>116.66541605655598</v>
      </c>
      <c r="Y20" s="87" t="str">
        <f t="shared" si="12"/>
        <v>HABIL</v>
      </c>
      <c r="Z20" s="87" t="str">
        <f t="shared" si="13"/>
        <v>HABIL</v>
      </c>
      <c r="AA20" s="116"/>
      <c r="AB20" s="107"/>
      <c r="AC20" s="207">
        <f t="shared" si="14"/>
        <v>0.12546964029877558</v>
      </c>
      <c r="AD20" s="87" t="str">
        <f t="shared" si="15"/>
        <v>HABIL</v>
      </c>
      <c r="AE20" s="207">
        <f t="shared" si="16"/>
        <v>0.12301836971366231</v>
      </c>
      <c r="AF20" s="87" t="str">
        <f t="shared" si="17"/>
        <v>HABIL</v>
      </c>
      <c r="AG20" s="117" t="str">
        <f t="shared" ref="AG20" si="29">IF(OR(AD20="",AF20=""),"",IF(AD20="NO HABIL","NO HABIL",IF(AF20="NO HABIL","NO HABIL",IF(AF20="NO HABIL","NO HABIL","HABIL"))))</f>
        <v>HABIL</v>
      </c>
    </row>
    <row r="21" spans="2:33" ht="18" customHeight="1" x14ac:dyDescent="0.25">
      <c r="B21" s="76">
        <f t="shared" ref="B21" si="30">IF(C21="","",B20+0.1)</f>
        <v>7.1</v>
      </c>
      <c r="C21" s="77" t="s">
        <v>255</v>
      </c>
      <c r="D21" s="210">
        <v>0.6</v>
      </c>
      <c r="E21" s="75">
        <v>43155662890</v>
      </c>
      <c r="F21" s="75">
        <v>43878315890</v>
      </c>
      <c r="G21" s="75">
        <v>386823300</v>
      </c>
      <c r="H21" s="75">
        <v>446264033</v>
      </c>
      <c r="I21" s="202">
        <f t="shared" ref="I21:I23" si="31">IF(ISERROR(E21-G21),"",E21-G21)</f>
        <v>42768839590</v>
      </c>
      <c r="J21" s="75">
        <f t="shared" ref="J21:J22" si="32">IF(ISERROR(F21-H21),"",F21-H21)</f>
        <v>43432051857</v>
      </c>
      <c r="K21" s="202">
        <f t="shared" ref="K21:K22" si="33">IF(ISERROR(F21-H21),"",F21-H21)</f>
        <v>43432051857</v>
      </c>
      <c r="L21" s="202">
        <v>2897899087</v>
      </c>
      <c r="M21" s="202">
        <v>39675000</v>
      </c>
      <c r="N21" s="168"/>
      <c r="O21" s="204" t="str">
        <f>IF(ISERROR(VLOOKUP(N21,POA!$A$2:$C$16,3,0)),"",VLOOKUP(N21,POA!$A$2:$C$16,3,0))</f>
        <v/>
      </c>
      <c r="P21" s="78"/>
      <c r="Q21" s="78" t="str">
        <f>IF(ISERROR(VLOOKUP(P21,POA!$A$2:$F$16,4,0)),"",VLOOKUP(P21,POA!$A$2:$F$16,4,0))</f>
        <v/>
      </c>
      <c r="R21" s="79" t="str">
        <f>IF(ISERROR(VLOOKUP(N21,POA!$A$2:$C$16,2,0)),"",VLOOKUP(N21,POA!$A$2:$C$16,2,0))</f>
        <v/>
      </c>
      <c r="S21" s="83"/>
      <c r="T21" s="82" t="str">
        <f>IF(OR(S20=0,N21="",R21=""),"",IF(S20&gt;=$T$9,"HABIL","NO HABIL"))</f>
        <v/>
      </c>
      <c r="U21" s="114"/>
      <c r="V21" s="82" t="str">
        <f>IF(OR(U20=0,N21="",R21=""),"",IF(U20&lt;=$V$9,"HABIL","NO HABIL"))</f>
        <v/>
      </c>
      <c r="W21" s="78" t="s">
        <v>239</v>
      </c>
      <c r="X21" s="78"/>
      <c r="Y21" s="82" t="str">
        <f>IF(OR(X20=0,N21="",R21=""),"",IF(X20&gt;=$Y$9,"HABIL","NO HABIL"))</f>
        <v/>
      </c>
      <c r="Z21" s="82"/>
      <c r="AA21" s="115">
        <f>IF(ISERROR(F21/$AB$9),"",F21/$AB$9)</f>
        <v>77427.767584259753</v>
      </c>
      <c r="AB21" s="108" t="str">
        <f>+IF(AA21&lt;$AB$10,"MIPYME","NO CUMPLE")</f>
        <v>NO CUMPLE</v>
      </c>
      <c r="AC21" s="123"/>
      <c r="AD21" s="82" t="str">
        <f>IF(OR(AC20=0,N21="",R21=""),"",IF(AC20&gt;=$AD$9,"HABIL","NO HABIL"))</f>
        <v/>
      </c>
      <c r="AE21" s="123"/>
      <c r="AF21" s="82" t="str">
        <f>IF(OR(AE20=0,N21="",R21=""),"",IF(AE20&gt;=$AF$9,"HABIL","NO HABIL"))</f>
        <v/>
      </c>
      <c r="AG21" s="118" t="str">
        <f>IF(OR(AD21="",AF21=""),"",IF(AD21="NO HABIL","NO HABIL",IF(AF21="NO HABIL","NO HABIL",IF(AF21="NO HABIL","NO HABIL","HABIL"))))</f>
        <v/>
      </c>
    </row>
    <row r="22" spans="2:33" ht="18" customHeight="1" x14ac:dyDescent="0.25">
      <c r="B22" s="76">
        <v>7.2</v>
      </c>
      <c r="C22" s="99" t="s">
        <v>256</v>
      </c>
      <c r="D22" s="210">
        <v>0.4</v>
      </c>
      <c r="E22" s="75">
        <v>2705447900</v>
      </c>
      <c r="F22" s="75">
        <v>2818531909</v>
      </c>
      <c r="G22" s="75">
        <v>90600400</v>
      </c>
      <c r="H22" s="75">
        <v>466041200</v>
      </c>
      <c r="I22" s="202">
        <f t="shared" si="31"/>
        <v>2614847500</v>
      </c>
      <c r="J22" s="75">
        <f t="shared" si="32"/>
        <v>2352490709</v>
      </c>
      <c r="K22" s="202">
        <f t="shared" si="33"/>
        <v>2352490709</v>
      </c>
      <c r="L22" s="202">
        <v>2846671000</v>
      </c>
      <c r="M22" s="202">
        <v>9564700</v>
      </c>
      <c r="N22" s="167"/>
      <c r="O22" s="167" t="str">
        <f>IF(ISERROR(VLOOKUP(N22,POA!$A$2:$C$16,3,0)),"",VLOOKUP(N22,POA!$A$2:$C$16,3,0))</f>
        <v/>
      </c>
      <c r="P22" s="78"/>
      <c r="Q22" s="78" t="str">
        <f>IF(ISERROR(VLOOKUP(P22,POA!$A$2:$F$16,4,0)),"",VLOOKUP(P22,POA!$A$2:$F$16,4,0))</f>
        <v/>
      </c>
      <c r="R22" s="79" t="str">
        <f>IF(ISERROR(VLOOKUP(N22,POA!$A$2:$C$16,2,0)),"",VLOOKUP(N22,POA!$A$2:$C$16,2,0))</f>
        <v/>
      </c>
      <c r="S22" s="83"/>
      <c r="T22" s="82" t="str">
        <f>IF(OR(S20=0,N22="",R22=""),"",IF(S20&gt;=$T$9,"HABIL","NO HABIL"))</f>
        <v/>
      </c>
      <c r="U22" s="114"/>
      <c r="V22" s="82" t="str">
        <f>IF(OR(U20=0,N22="",R22=""),"",IF(U20&lt;=$V$9,"HABIL","NO HABIL"))</f>
        <v/>
      </c>
      <c r="W22" s="78" t="s">
        <v>239</v>
      </c>
      <c r="X22" s="78"/>
      <c r="Y22" s="82" t="str">
        <f>IF(OR(X20=0,N22="",R22=""),"",IF(X20&gt;=$Y$9,"HABIL","NO HABIL"))</f>
        <v/>
      </c>
      <c r="Z22" s="82"/>
      <c r="AA22" s="115">
        <f>IF(ISERROR(F22/$AB$9),"",F22/$AB$9)</f>
        <v>4973.5872754543852</v>
      </c>
      <c r="AB22" s="108" t="str">
        <f t="shared" ref="AB22" si="34">+IF(AA22&lt;$AB$10,"MIPYME","NO CUMPLE")</f>
        <v>MIPYME</v>
      </c>
      <c r="AC22" s="123"/>
      <c r="AD22" s="82" t="str">
        <f>IF(OR(AC20=0,N22="",R22=""),"",IF(AC20&gt;=$AD$9,"HABIL","NO HABIL"))</f>
        <v/>
      </c>
      <c r="AE22" s="123"/>
      <c r="AF22" s="82" t="str">
        <f>IF(OR(AE20=0,N22="",R22=""),"",IF(AE20&gt;=$AF$9,"HABIL","NO HABIL"))</f>
        <v/>
      </c>
      <c r="AG22" s="119" t="str">
        <f t="shared" ref="AG22:AG23" si="35">IF(OR(AD22="",AF22=""),"",IF(AD22="NO HABIL","NO HABIL",IF(AF22="NO HABIL","NO HABIL",IF(AF22="NO HABIL","NO HABIL","HABIL"))))</f>
        <v/>
      </c>
    </row>
    <row r="23" spans="2:33" ht="18" hidden="1" customHeight="1" x14ac:dyDescent="0.25">
      <c r="B23" s="84">
        <v>8</v>
      </c>
      <c r="C23" s="85" t="s">
        <v>257</v>
      </c>
      <c r="D23" s="98">
        <v>1</v>
      </c>
      <c r="E23" s="86">
        <v>9000000</v>
      </c>
      <c r="F23" s="86">
        <v>25000000</v>
      </c>
      <c r="G23" s="86">
        <v>2000000</v>
      </c>
      <c r="H23" s="86">
        <v>2000000</v>
      </c>
      <c r="I23" s="86">
        <f t="shared" si="31"/>
        <v>7000000</v>
      </c>
      <c r="J23" s="86">
        <f>F23-H23</f>
        <v>23000000</v>
      </c>
      <c r="K23" s="86">
        <f>IF(ISERROR(F15-H15),"",F15-H15)</f>
        <v>41900000</v>
      </c>
      <c r="L23" s="86">
        <v>15000000</v>
      </c>
      <c r="M23" s="86">
        <v>1</v>
      </c>
      <c r="N23" s="80">
        <v>7</v>
      </c>
      <c r="O23" s="203" t="str">
        <f>IF(ISERROR(VLOOKUP(N23,POA!$A$2:$C$16,3,0)),"",VLOOKUP(N23,POA!$A$2:$C$16,3,0))</f>
        <v/>
      </c>
      <c r="P23" s="100"/>
      <c r="Q23" s="80" t="e">
        <f>+SUM(#REF!)</f>
        <v>#REF!</v>
      </c>
      <c r="R23" s="81" t="str">
        <f>IF(ISERROR(VLOOKUP(N23,POA!$A$2:$C$16,2,0)),"",VLOOKUP(N23,POA!$A$2:$C$16,2,0))</f>
        <v/>
      </c>
      <c r="S23" s="86">
        <f>IF(ISERROR(SUM(E23/G23)),0,SUM(E23/G23))</f>
        <v>4.5</v>
      </c>
      <c r="T23" s="87" t="str">
        <f>IF(OR(S23=0,N23="",R23=""),"",IF(S23&gt;=$T$9,"HABIL","NO HABIL"))</f>
        <v/>
      </c>
      <c r="U23" s="207">
        <f>IF(ISERROR(SUM(H23/F23)),0,SUM(H23/F23))</f>
        <v>0.08</v>
      </c>
      <c r="V23" s="87" t="str">
        <f>IF(OR(U23=0,N23="",R23=""),"",IF(U23&lt;=$V$9,"HABIL","NO HABIL"))</f>
        <v/>
      </c>
      <c r="W23" s="80" t="e">
        <f>+SUM(#REF!)</f>
        <v>#REF!</v>
      </c>
      <c r="X23" s="207">
        <f>IF(ISERROR(SUM(L23/M23)),0,SUM(L23/M23))</f>
        <v>15000000</v>
      </c>
      <c r="Y23" s="87" t="str">
        <f>IF(OR(X23=0,N23="",R23=""),"",IF(X23&gt;=$Y$9,"HABIL","NO HABIL"))</f>
        <v/>
      </c>
      <c r="Z23" s="87" t="str">
        <f t="shared" ref="Z23" si="36">IF(OR(T23="",V23="",Y23=""),"",IF(T23="NO HABIL","NO HABIL",IF(V23="NO HABIL","NO HABIL",IF(Y23="NO HABIL","NO HABIL",IF(Y23="NO HABIL","NO HABIL","HABIL")))))</f>
        <v/>
      </c>
      <c r="AA23" s="116"/>
      <c r="AB23" s="107"/>
      <c r="AC23" s="207">
        <f>IF(ISERROR(SUM(L23/K23)),0,SUM(L23/K23))</f>
        <v>0.35799522673031026</v>
      </c>
      <c r="AD23" s="87" t="str">
        <f>IF(OR(AC23=0,N23="",R23=""),"",IF(AC23&gt;=$AD$9,"HABIL","NO HABIL"))</f>
        <v/>
      </c>
      <c r="AE23" s="207">
        <f>IF(ISERROR(SUM(L23/F23)),0,SUM(L23/F23))</f>
        <v>0.6</v>
      </c>
      <c r="AF23" s="87" t="str">
        <f>IF(OR(AE23=0,N23="",R23=""),"",IF(AE23&gt;=$AF$9,"HABIL","NO HABIL"))</f>
        <v/>
      </c>
      <c r="AG23" s="117" t="str">
        <f t="shared" si="35"/>
        <v/>
      </c>
    </row>
    <row r="24" spans="2:33" ht="18" customHeight="1" x14ac:dyDescent="0.2">
      <c r="K24" s="135">
        <f>IF(ISERROR(F16-H16),"",F16-H16)</f>
        <v>999999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E7:AF7"/>
    <mergeCell ref="AE8:AF8"/>
    <mergeCell ref="AG8:AG10"/>
    <mergeCell ref="X7:Y7"/>
    <mergeCell ref="X8:Y8"/>
    <mergeCell ref="AC7:AD7"/>
    <mergeCell ref="AC8:AD8"/>
    <mergeCell ref="AA7:AB7"/>
    <mergeCell ref="B8:B10"/>
    <mergeCell ref="P8:P10"/>
    <mergeCell ref="Z8:Z10"/>
    <mergeCell ref="S8:T8"/>
    <mergeCell ref="U8:V8"/>
    <mergeCell ref="G8:G10"/>
    <mergeCell ref="W8:W10"/>
    <mergeCell ref="D8:D10"/>
    <mergeCell ref="F8:F10"/>
    <mergeCell ref="H8:H10"/>
    <mergeCell ref="I8:I10"/>
    <mergeCell ref="K8:K10"/>
    <mergeCell ref="B1:Z1"/>
    <mergeCell ref="B4:AG4"/>
    <mergeCell ref="B3:AG3"/>
    <mergeCell ref="B2:AG2"/>
    <mergeCell ref="R8:R10"/>
    <mergeCell ref="O8:O10"/>
    <mergeCell ref="Q8:Q10"/>
    <mergeCell ref="N8:N10"/>
    <mergeCell ref="C8:C10"/>
    <mergeCell ref="J8:J10"/>
    <mergeCell ref="E8:E10"/>
    <mergeCell ref="B7:D7"/>
    <mergeCell ref="S7:T7"/>
    <mergeCell ref="U7:V7"/>
    <mergeCell ref="E7:J7"/>
    <mergeCell ref="B5:AG5"/>
  </mergeCells>
  <phoneticPr fontId="0" type="noConversion"/>
  <conditionalFormatting sqref="Z7:Z10 AA11 AA7:AA9 AB8:AB9 AA10:AB10 AA12:AB14 AG7:AG11 AC11:AF11 W12:Y14 AH1:IW11 AA1:AG1 C12:C14 N12:S14">
    <cfRule type="cellIs" dxfId="355" priority="8081" stopIfTrue="1" operator="equal">
      <formula>"NO ADMISIBLE"</formula>
    </cfRule>
  </conditionalFormatting>
  <conditionalFormatting sqref="X12 Z12:Z14 T12:V14">
    <cfRule type="cellIs" dxfId="354" priority="8082" stopIfTrue="1" operator="equal">
      <formula>"NO ADMISIBLE"</formula>
    </cfRule>
    <cfRule type="cellIs" dxfId="353" priority="8083" stopIfTrue="1" operator="equal">
      <formula>"ADMISIBLE"</formula>
    </cfRule>
  </conditionalFormatting>
  <conditionalFormatting sqref="Y12:Y14">
    <cfRule type="cellIs" dxfId="352" priority="6950" stopIfTrue="1" operator="equal">
      <formula>"NO ADMISIBLE"</formula>
    </cfRule>
    <cfRule type="cellIs" dxfId="351" priority="6951" stopIfTrue="1" operator="equal">
      <formula>"ADMISIBLE"</formula>
    </cfRule>
  </conditionalFormatting>
  <conditionalFormatting sqref="AC12:AD14">
    <cfRule type="cellIs" dxfId="350" priority="6949" stopIfTrue="1" operator="equal">
      <formula>"NO ADMISIBLE"</formula>
    </cfRule>
  </conditionalFormatting>
  <conditionalFormatting sqref="AC12">
    <cfRule type="cellIs" dxfId="349" priority="6947" stopIfTrue="1" operator="equal">
      <formula>"NO ADMISIBLE"</formula>
    </cfRule>
    <cfRule type="cellIs" dxfId="348" priority="6948" stopIfTrue="1" operator="equal">
      <formula>"ADMISIBLE"</formula>
    </cfRule>
  </conditionalFormatting>
  <conditionalFormatting sqref="AD12:AD14">
    <cfRule type="cellIs" dxfId="347" priority="6945" stopIfTrue="1" operator="equal">
      <formula>"NO ADMISIBLE"</formula>
    </cfRule>
    <cfRule type="cellIs" dxfId="346" priority="6946" stopIfTrue="1" operator="equal">
      <formula>"ADMISIBLE"</formula>
    </cfRule>
  </conditionalFormatting>
  <conditionalFormatting sqref="AE12:AF14">
    <cfRule type="cellIs" dxfId="345" priority="6944" stopIfTrue="1" operator="equal">
      <formula>"NO ADMISIBLE"</formula>
    </cfRule>
  </conditionalFormatting>
  <conditionalFormatting sqref="AE12">
    <cfRule type="cellIs" dxfId="344" priority="6942" stopIfTrue="1" operator="equal">
      <formula>"NO ADMISIBLE"</formula>
    </cfRule>
    <cfRule type="cellIs" dxfId="343" priority="6943" stopIfTrue="1" operator="equal">
      <formula>"ADMISIBLE"</formula>
    </cfRule>
  </conditionalFormatting>
  <conditionalFormatting sqref="AF12:AF14">
    <cfRule type="cellIs" dxfId="342" priority="6940" stopIfTrue="1" operator="equal">
      <formula>"NO ADMISIBLE"</formula>
    </cfRule>
    <cfRule type="cellIs" dxfId="341" priority="6941" stopIfTrue="1" operator="equal">
      <formula>"ADMISIBLE"</formula>
    </cfRule>
  </conditionalFormatting>
  <conditionalFormatting sqref="AG12:AG14">
    <cfRule type="cellIs" dxfId="340" priority="6938" stopIfTrue="1" operator="equal">
      <formula>"NO ADMISIBLE"</formula>
    </cfRule>
    <cfRule type="cellIs" dxfId="339" priority="6939" stopIfTrue="1" operator="equal">
      <formula>"ADMISIBLE"</formula>
    </cfRule>
  </conditionalFormatting>
  <conditionalFormatting sqref="D12:D14">
    <cfRule type="cellIs" dxfId="338" priority="5090" stopIfTrue="1" operator="equal">
      <formula>"NO ADMISIBLE"</formula>
    </cfRule>
  </conditionalFormatting>
  <conditionalFormatting sqref="J13:K14">
    <cfRule type="cellIs" dxfId="337" priority="187" stopIfTrue="1" operator="equal">
      <formula>"NO ADMISIBLE"</formula>
    </cfRule>
  </conditionalFormatting>
  <conditionalFormatting sqref="AA15:AB15 W15:Y15 C15 N15:S15 S16">
    <cfRule type="cellIs" dxfId="336" priority="184" stopIfTrue="1" operator="equal">
      <formula>"NO ADMISIBLE"</formula>
    </cfRule>
  </conditionalFormatting>
  <conditionalFormatting sqref="X15 T15:V15 T16 V16">
    <cfRule type="cellIs" dxfId="335" priority="185" stopIfTrue="1" operator="equal">
      <formula>"NO ADMISIBLE"</formula>
    </cfRule>
    <cfRule type="cellIs" dxfId="334" priority="186" stopIfTrue="1" operator="equal">
      <formula>"ADMISIBLE"</formula>
    </cfRule>
  </conditionalFormatting>
  <conditionalFormatting sqref="Y15">
    <cfRule type="cellIs" dxfId="333" priority="182" stopIfTrue="1" operator="equal">
      <formula>"NO ADMISIBLE"</formula>
    </cfRule>
    <cfRule type="cellIs" dxfId="332" priority="183" stopIfTrue="1" operator="equal">
      <formula>"ADMISIBLE"</formula>
    </cfRule>
  </conditionalFormatting>
  <conditionalFormatting sqref="AC15:AD15">
    <cfRule type="cellIs" dxfId="331" priority="181" stopIfTrue="1" operator="equal">
      <formula>"NO ADMISIBLE"</formula>
    </cfRule>
  </conditionalFormatting>
  <conditionalFormatting sqref="AC15">
    <cfRule type="cellIs" dxfId="330" priority="179" stopIfTrue="1" operator="equal">
      <formula>"NO ADMISIBLE"</formula>
    </cfRule>
    <cfRule type="cellIs" dxfId="329" priority="180" stopIfTrue="1" operator="equal">
      <formula>"ADMISIBLE"</formula>
    </cfRule>
  </conditionalFormatting>
  <conditionalFormatting sqref="AD15">
    <cfRule type="cellIs" dxfId="328" priority="177" stopIfTrue="1" operator="equal">
      <formula>"NO ADMISIBLE"</formula>
    </cfRule>
    <cfRule type="cellIs" dxfId="327" priority="178" stopIfTrue="1" operator="equal">
      <formula>"ADMISIBLE"</formula>
    </cfRule>
  </conditionalFormatting>
  <conditionalFormatting sqref="AE15:AF15">
    <cfRule type="cellIs" dxfId="326" priority="176" stopIfTrue="1" operator="equal">
      <formula>"NO ADMISIBLE"</formula>
    </cfRule>
  </conditionalFormatting>
  <conditionalFormatting sqref="AE15">
    <cfRule type="cellIs" dxfId="325" priority="174" stopIfTrue="1" operator="equal">
      <formula>"NO ADMISIBLE"</formula>
    </cfRule>
    <cfRule type="cellIs" dxfId="324" priority="175" stopIfTrue="1" operator="equal">
      <formula>"ADMISIBLE"</formula>
    </cfRule>
  </conditionalFormatting>
  <conditionalFormatting sqref="AF15">
    <cfRule type="cellIs" dxfId="323" priority="172" stopIfTrue="1" operator="equal">
      <formula>"NO ADMISIBLE"</formula>
    </cfRule>
    <cfRule type="cellIs" dxfId="322" priority="173" stopIfTrue="1" operator="equal">
      <formula>"ADMISIBLE"</formula>
    </cfRule>
  </conditionalFormatting>
  <conditionalFormatting sqref="AG15">
    <cfRule type="cellIs" dxfId="321" priority="170" stopIfTrue="1" operator="equal">
      <formula>"NO ADMISIBLE"</formula>
    </cfRule>
    <cfRule type="cellIs" dxfId="320" priority="171" stopIfTrue="1" operator="equal">
      <formula>"ADMISIBLE"</formula>
    </cfRule>
  </conditionalFormatting>
  <conditionalFormatting sqref="D15">
    <cfRule type="cellIs" dxfId="319" priority="163" stopIfTrue="1" operator="equal">
      <formula>"NO ADMISIBLE"</formula>
    </cfRule>
  </conditionalFormatting>
  <conditionalFormatting sqref="AA16:AB16 W16:Y16 C16 N16:R16 R18">
    <cfRule type="cellIs" dxfId="318" priority="159" stopIfTrue="1" operator="equal">
      <formula>"NO ADMISIBLE"</formula>
    </cfRule>
  </conditionalFormatting>
  <conditionalFormatting sqref="X16 U16">
    <cfRule type="cellIs" dxfId="317" priority="160" stopIfTrue="1" operator="equal">
      <formula>"NO ADMISIBLE"</formula>
    </cfRule>
    <cfRule type="cellIs" dxfId="316" priority="161" stopIfTrue="1" operator="equal">
      <formula>"ADMISIBLE"</formula>
    </cfRule>
  </conditionalFormatting>
  <conditionalFormatting sqref="Y16">
    <cfRule type="cellIs" dxfId="315" priority="157" stopIfTrue="1" operator="equal">
      <formula>"NO ADMISIBLE"</formula>
    </cfRule>
    <cfRule type="cellIs" dxfId="314" priority="158" stopIfTrue="1" operator="equal">
      <formula>"ADMISIBLE"</formula>
    </cfRule>
  </conditionalFormatting>
  <conditionalFormatting sqref="AC16:AD16">
    <cfRule type="cellIs" dxfId="313" priority="156" stopIfTrue="1" operator="equal">
      <formula>"NO ADMISIBLE"</formula>
    </cfRule>
  </conditionalFormatting>
  <conditionalFormatting sqref="AC16">
    <cfRule type="cellIs" dxfId="312" priority="154" stopIfTrue="1" operator="equal">
      <formula>"NO ADMISIBLE"</formula>
    </cfRule>
    <cfRule type="cellIs" dxfId="311" priority="155" stopIfTrue="1" operator="equal">
      <formula>"ADMISIBLE"</formula>
    </cfRule>
  </conditionalFormatting>
  <conditionalFormatting sqref="AD16">
    <cfRule type="cellIs" dxfId="310" priority="152" stopIfTrue="1" operator="equal">
      <formula>"NO ADMISIBLE"</formula>
    </cfRule>
    <cfRule type="cellIs" dxfId="309" priority="153" stopIfTrue="1" operator="equal">
      <formula>"ADMISIBLE"</formula>
    </cfRule>
  </conditionalFormatting>
  <conditionalFormatting sqref="AE16:AF16">
    <cfRule type="cellIs" dxfId="308" priority="151" stopIfTrue="1" operator="equal">
      <formula>"NO ADMISIBLE"</formula>
    </cfRule>
  </conditionalFormatting>
  <conditionalFormatting sqref="AE16">
    <cfRule type="cellIs" dxfId="307" priority="149" stopIfTrue="1" operator="equal">
      <formula>"NO ADMISIBLE"</formula>
    </cfRule>
    <cfRule type="cellIs" dxfId="306" priority="150" stopIfTrue="1" operator="equal">
      <formula>"ADMISIBLE"</formula>
    </cfRule>
  </conditionalFormatting>
  <conditionalFormatting sqref="AF16">
    <cfRule type="cellIs" dxfId="305" priority="147" stopIfTrue="1" operator="equal">
      <formula>"NO ADMISIBLE"</formula>
    </cfRule>
    <cfRule type="cellIs" dxfId="304" priority="148" stopIfTrue="1" operator="equal">
      <formula>"ADMISIBLE"</formula>
    </cfRule>
  </conditionalFormatting>
  <conditionalFormatting sqref="AG16">
    <cfRule type="cellIs" dxfId="303" priority="145" stopIfTrue="1" operator="equal">
      <formula>"NO ADMISIBLE"</formula>
    </cfRule>
    <cfRule type="cellIs" dxfId="302" priority="146" stopIfTrue="1" operator="equal">
      <formula>"ADMISIBLE"</formula>
    </cfRule>
  </conditionalFormatting>
  <conditionalFormatting sqref="D16">
    <cfRule type="cellIs" dxfId="301" priority="138" stopIfTrue="1" operator="equal">
      <formula>"NO ADMISIBLE"</formula>
    </cfRule>
  </conditionalFormatting>
  <conditionalFormatting sqref="AA17:AB17 W17:Y17 S17 C17 N17:Q17">
    <cfRule type="cellIs" dxfId="300" priority="134" stopIfTrue="1" operator="equal">
      <formula>"NO ADMISIBLE"</formula>
    </cfRule>
  </conditionalFormatting>
  <conditionalFormatting sqref="X17 T17:V17">
    <cfRule type="cellIs" dxfId="299" priority="135" stopIfTrue="1" operator="equal">
      <formula>"NO ADMISIBLE"</formula>
    </cfRule>
    <cfRule type="cellIs" dxfId="298" priority="136" stopIfTrue="1" operator="equal">
      <formula>"ADMISIBLE"</formula>
    </cfRule>
  </conditionalFormatting>
  <conditionalFormatting sqref="Y17">
    <cfRule type="cellIs" dxfId="297" priority="132" stopIfTrue="1" operator="equal">
      <formula>"NO ADMISIBLE"</formula>
    </cfRule>
    <cfRule type="cellIs" dxfId="296" priority="133" stopIfTrue="1" operator="equal">
      <formula>"ADMISIBLE"</formula>
    </cfRule>
  </conditionalFormatting>
  <conditionalFormatting sqref="AC17:AD17">
    <cfRule type="cellIs" dxfId="295" priority="131" stopIfTrue="1" operator="equal">
      <formula>"NO ADMISIBLE"</formula>
    </cfRule>
  </conditionalFormatting>
  <conditionalFormatting sqref="AC17">
    <cfRule type="cellIs" dxfId="294" priority="129" stopIfTrue="1" operator="equal">
      <formula>"NO ADMISIBLE"</formula>
    </cfRule>
    <cfRule type="cellIs" dxfId="293" priority="130" stopIfTrue="1" operator="equal">
      <formula>"ADMISIBLE"</formula>
    </cfRule>
  </conditionalFormatting>
  <conditionalFormatting sqref="AD17">
    <cfRule type="cellIs" dxfId="292" priority="127" stopIfTrue="1" operator="equal">
      <formula>"NO ADMISIBLE"</formula>
    </cfRule>
    <cfRule type="cellIs" dxfId="291" priority="128" stopIfTrue="1" operator="equal">
      <formula>"ADMISIBLE"</formula>
    </cfRule>
  </conditionalFormatting>
  <conditionalFormatting sqref="AE17:AF17">
    <cfRule type="cellIs" dxfId="290" priority="126" stopIfTrue="1" operator="equal">
      <formula>"NO ADMISIBLE"</formula>
    </cfRule>
  </conditionalFormatting>
  <conditionalFormatting sqref="AE17">
    <cfRule type="cellIs" dxfId="289" priority="124" stopIfTrue="1" operator="equal">
      <formula>"NO ADMISIBLE"</formula>
    </cfRule>
    <cfRule type="cellIs" dxfId="288" priority="125" stopIfTrue="1" operator="equal">
      <formula>"ADMISIBLE"</formula>
    </cfRule>
  </conditionalFormatting>
  <conditionalFormatting sqref="AF17">
    <cfRule type="cellIs" dxfId="287" priority="122" stopIfTrue="1" operator="equal">
      <formula>"NO ADMISIBLE"</formula>
    </cfRule>
    <cfRule type="cellIs" dxfId="286" priority="123" stopIfTrue="1" operator="equal">
      <formula>"ADMISIBLE"</formula>
    </cfRule>
  </conditionalFormatting>
  <conditionalFormatting sqref="AG17">
    <cfRule type="cellIs" dxfId="285" priority="120" stopIfTrue="1" operator="equal">
      <formula>"NO ADMISIBLE"</formula>
    </cfRule>
    <cfRule type="cellIs" dxfId="284" priority="121" stopIfTrue="1" operator="equal">
      <formula>"ADMISIBLE"</formula>
    </cfRule>
  </conditionalFormatting>
  <conditionalFormatting sqref="D17">
    <cfRule type="cellIs" dxfId="283" priority="113" stopIfTrue="1" operator="equal">
      <formula>"NO ADMISIBLE"</formula>
    </cfRule>
  </conditionalFormatting>
  <conditionalFormatting sqref="AA18:AB18 W18:Y18 S18 C18 N18:Q18">
    <cfRule type="cellIs" dxfId="282" priority="109" stopIfTrue="1" operator="equal">
      <formula>"NO ADMISIBLE"</formula>
    </cfRule>
  </conditionalFormatting>
  <conditionalFormatting sqref="X18 T18:V18">
    <cfRule type="cellIs" dxfId="281" priority="110" stopIfTrue="1" operator="equal">
      <formula>"NO ADMISIBLE"</formula>
    </cfRule>
    <cfRule type="cellIs" dxfId="280" priority="111" stopIfTrue="1" operator="equal">
      <formula>"ADMISIBLE"</formula>
    </cfRule>
  </conditionalFormatting>
  <conditionalFormatting sqref="Y18">
    <cfRule type="cellIs" dxfId="279" priority="107" stopIfTrue="1" operator="equal">
      <formula>"NO ADMISIBLE"</formula>
    </cfRule>
    <cfRule type="cellIs" dxfId="278" priority="108" stopIfTrue="1" operator="equal">
      <formula>"ADMISIBLE"</formula>
    </cfRule>
  </conditionalFormatting>
  <conditionalFormatting sqref="AC18:AD18">
    <cfRule type="cellIs" dxfId="277" priority="106" stopIfTrue="1" operator="equal">
      <formula>"NO ADMISIBLE"</formula>
    </cfRule>
  </conditionalFormatting>
  <conditionalFormatting sqref="AC18">
    <cfRule type="cellIs" dxfId="276" priority="104" stopIfTrue="1" operator="equal">
      <formula>"NO ADMISIBLE"</formula>
    </cfRule>
    <cfRule type="cellIs" dxfId="275" priority="105" stopIfTrue="1" operator="equal">
      <formula>"ADMISIBLE"</formula>
    </cfRule>
  </conditionalFormatting>
  <conditionalFormatting sqref="AD18">
    <cfRule type="cellIs" dxfId="274" priority="102" stopIfTrue="1" operator="equal">
      <formula>"NO ADMISIBLE"</formula>
    </cfRule>
    <cfRule type="cellIs" dxfId="273" priority="103" stopIfTrue="1" operator="equal">
      <formula>"ADMISIBLE"</formula>
    </cfRule>
  </conditionalFormatting>
  <conditionalFormatting sqref="AE18:AF18">
    <cfRule type="cellIs" dxfId="272" priority="101" stopIfTrue="1" operator="equal">
      <formula>"NO ADMISIBLE"</formula>
    </cfRule>
  </conditionalFormatting>
  <conditionalFormatting sqref="AE18">
    <cfRule type="cellIs" dxfId="271" priority="99" stopIfTrue="1" operator="equal">
      <formula>"NO ADMISIBLE"</formula>
    </cfRule>
    <cfRule type="cellIs" dxfId="270" priority="100" stopIfTrue="1" operator="equal">
      <formula>"ADMISIBLE"</formula>
    </cfRule>
  </conditionalFormatting>
  <conditionalFormatting sqref="AF18">
    <cfRule type="cellIs" dxfId="269" priority="97" stopIfTrue="1" operator="equal">
      <formula>"NO ADMISIBLE"</formula>
    </cfRule>
    <cfRule type="cellIs" dxfId="268" priority="98" stopIfTrue="1" operator="equal">
      <formula>"ADMISIBLE"</formula>
    </cfRule>
  </conditionalFormatting>
  <conditionalFormatting sqref="AG18">
    <cfRule type="cellIs" dxfId="267" priority="95" stopIfTrue="1" operator="equal">
      <formula>"NO ADMISIBLE"</formula>
    </cfRule>
    <cfRule type="cellIs" dxfId="266" priority="96" stopIfTrue="1" operator="equal">
      <formula>"ADMISIBLE"</formula>
    </cfRule>
  </conditionalFormatting>
  <conditionalFormatting sqref="D18">
    <cfRule type="cellIs" dxfId="265" priority="88" stopIfTrue="1" operator="equal">
      <formula>"NO ADMISIBLE"</formula>
    </cfRule>
  </conditionalFormatting>
  <conditionalFormatting sqref="AA20:AB22 W20:Y22 C20:C22 N20:S22">
    <cfRule type="cellIs" dxfId="264" priority="84" stopIfTrue="1" operator="equal">
      <formula>"NO ADMISIBLE"</formula>
    </cfRule>
  </conditionalFormatting>
  <conditionalFormatting sqref="X20 Z21:Z22 T20:V22">
    <cfRule type="cellIs" dxfId="263" priority="85" stopIfTrue="1" operator="equal">
      <formula>"NO ADMISIBLE"</formula>
    </cfRule>
    <cfRule type="cellIs" dxfId="262" priority="86" stopIfTrue="1" operator="equal">
      <formula>"ADMISIBLE"</formula>
    </cfRule>
  </conditionalFormatting>
  <conditionalFormatting sqref="Y20:Y22">
    <cfRule type="cellIs" dxfId="261" priority="82" stopIfTrue="1" operator="equal">
      <formula>"NO ADMISIBLE"</formula>
    </cfRule>
    <cfRule type="cellIs" dxfId="260" priority="83" stopIfTrue="1" operator="equal">
      <formula>"ADMISIBLE"</formula>
    </cfRule>
  </conditionalFormatting>
  <conditionalFormatting sqref="AC20:AD22">
    <cfRule type="cellIs" dxfId="259" priority="81" stopIfTrue="1" operator="equal">
      <formula>"NO ADMISIBLE"</formula>
    </cfRule>
  </conditionalFormatting>
  <conditionalFormatting sqref="AC20">
    <cfRule type="cellIs" dxfId="258" priority="79" stopIfTrue="1" operator="equal">
      <formula>"NO ADMISIBLE"</formula>
    </cfRule>
    <cfRule type="cellIs" dxfId="257" priority="80" stopIfTrue="1" operator="equal">
      <formula>"ADMISIBLE"</formula>
    </cfRule>
  </conditionalFormatting>
  <conditionalFormatting sqref="AD20:AD22">
    <cfRule type="cellIs" dxfId="256" priority="77" stopIfTrue="1" operator="equal">
      <formula>"NO ADMISIBLE"</formula>
    </cfRule>
    <cfRule type="cellIs" dxfId="255" priority="78" stopIfTrue="1" operator="equal">
      <formula>"ADMISIBLE"</formula>
    </cfRule>
  </conditionalFormatting>
  <conditionalFormatting sqref="AE20:AF22">
    <cfRule type="cellIs" dxfId="254" priority="76" stopIfTrue="1" operator="equal">
      <formula>"NO ADMISIBLE"</formula>
    </cfRule>
  </conditionalFormatting>
  <conditionalFormatting sqref="AE20">
    <cfRule type="cellIs" dxfId="253" priority="74" stopIfTrue="1" operator="equal">
      <formula>"NO ADMISIBLE"</formula>
    </cfRule>
    <cfRule type="cellIs" dxfId="252" priority="75" stopIfTrue="1" operator="equal">
      <formula>"ADMISIBLE"</formula>
    </cfRule>
  </conditionalFormatting>
  <conditionalFormatting sqref="AF20:AF22">
    <cfRule type="cellIs" dxfId="251" priority="72" stopIfTrue="1" operator="equal">
      <formula>"NO ADMISIBLE"</formula>
    </cfRule>
    <cfRule type="cellIs" dxfId="250" priority="73" stopIfTrue="1" operator="equal">
      <formula>"ADMISIBLE"</formula>
    </cfRule>
  </conditionalFormatting>
  <conditionalFormatting sqref="AG20:AG22">
    <cfRule type="cellIs" dxfId="249" priority="70" stopIfTrue="1" operator="equal">
      <formula>"NO ADMISIBLE"</formula>
    </cfRule>
    <cfRule type="cellIs" dxfId="248" priority="71" stopIfTrue="1" operator="equal">
      <formula>"ADMISIBLE"</formula>
    </cfRule>
  </conditionalFormatting>
  <conditionalFormatting sqref="D20:D22">
    <cfRule type="cellIs" dxfId="247" priority="63" stopIfTrue="1" operator="equal">
      <formula>"NO ADMISIBLE"</formula>
    </cfRule>
  </conditionalFormatting>
  <conditionalFormatting sqref="J21:K22">
    <cfRule type="cellIs" dxfId="246" priority="62" stopIfTrue="1" operator="equal">
      <formula>"NO ADMISIBLE"</formula>
    </cfRule>
  </conditionalFormatting>
  <conditionalFormatting sqref="AA23:AB23 W23:Y23 C23 N23:S23">
    <cfRule type="cellIs" dxfId="245" priority="59" stopIfTrue="1" operator="equal">
      <formula>"NO ADMISIBLE"</formula>
    </cfRule>
  </conditionalFormatting>
  <conditionalFormatting sqref="X23 T23:V23">
    <cfRule type="cellIs" dxfId="244" priority="60" stopIfTrue="1" operator="equal">
      <formula>"NO ADMISIBLE"</formula>
    </cfRule>
    <cfRule type="cellIs" dxfId="243" priority="61" stopIfTrue="1" operator="equal">
      <formula>"ADMISIBLE"</formula>
    </cfRule>
  </conditionalFormatting>
  <conditionalFormatting sqref="Y23">
    <cfRule type="cellIs" dxfId="242" priority="57" stopIfTrue="1" operator="equal">
      <formula>"NO ADMISIBLE"</formula>
    </cfRule>
    <cfRule type="cellIs" dxfId="241" priority="58" stopIfTrue="1" operator="equal">
      <formula>"ADMISIBLE"</formula>
    </cfRule>
  </conditionalFormatting>
  <conditionalFormatting sqref="AC23:AD23">
    <cfRule type="cellIs" dxfId="240" priority="56" stopIfTrue="1" operator="equal">
      <formula>"NO ADMISIBLE"</formula>
    </cfRule>
  </conditionalFormatting>
  <conditionalFormatting sqref="AC23">
    <cfRule type="cellIs" dxfId="239" priority="54" stopIfTrue="1" operator="equal">
      <formula>"NO ADMISIBLE"</formula>
    </cfRule>
    <cfRule type="cellIs" dxfId="238" priority="55" stopIfTrue="1" operator="equal">
      <formula>"ADMISIBLE"</formula>
    </cfRule>
  </conditionalFormatting>
  <conditionalFormatting sqref="AD23">
    <cfRule type="cellIs" dxfId="237" priority="52" stopIfTrue="1" operator="equal">
      <formula>"NO ADMISIBLE"</formula>
    </cfRule>
    <cfRule type="cellIs" dxfId="236" priority="53" stopIfTrue="1" operator="equal">
      <formula>"ADMISIBLE"</formula>
    </cfRule>
  </conditionalFormatting>
  <conditionalFormatting sqref="AE23:AF23">
    <cfRule type="cellIs" dxfId="235" priority="51" stopIfTrue="1" operator="equal">
      <formula>"NO ADMISIBLE"</formula>
    </cfRule>
  </conditionalFormatting>
  <conditionalFormatting sqref="AE23">
    <cfRule type="cellIs" dxfId="234" priority="49" stopIfTrue="1" operator="equal">
      <formula>"NO ADMISIBLE"</formula>
    </cfRule>
    <cfRule type="cellIs" dxfId="233" priority="50" stopIfTrue="1" operator="equal">
      <formula>"ADMISIBLE"</formula>
    </cfRule>
  </conditionalFormatting>
  <conditionalFormatting sqref="AF23">
    <cfRule type="cellIs" dxfId="232" priority="47" stopIfTrue="1" operator="equal">
      <formula>"NO ADMISIBLE"</formula>
    </cfRule>
    <cfRule type="cellIs" dxfId="231" priority="48" stopIfTrue="1" operator="equal">
      <formula>"ADMISIBLE"</formula>
    </cfRule>
  </conditionalFormatting>
  <conditionalFormatting sqref="AG23">
    <cfRule type="cellIs" dxfId="230" priority="45" stopIfTrue="1" operator="equal">
      <formula>"NO ADMISIBLE"</formula>
    </cfRule>
    <cfRule type="cellIs" dxfId="229" priority="46" stopIfTrue="1" operator="equal">
      <formula>"ADMISIBLE"</formula>
    </cfRule>
  </conditionalFormatting>
  <conditionalFormatting sqref="D23">
    <cfRule type="cellIs" dxfId="228" priority="38" stopIfTrue="1" operator="equal">
      <formula>"NO ADMISIBLE"</formula>
    </cfRule>
  </conditionalFormatting>
  <conditionalFormatting sqref="R17">
    <cfRule type="cellIs" dxfId="227" priority="36" stopIfTrue="1" operator="equal">
      <formula>"NO ADMISIBLE"</formula>
    </cfRule>
  </conditionalFormatting>
  <conditionalFormatting sqref="Z15:Z18 Z20">
    <cfRule type="cellIs" dxfId="226" priority="24" stopIfTrue="1" operator="equal">
      <formula>"NO ADMISIBLE"</formula>
    </cfRule>
    <cfRule type="cellIs" dxfId="225" priority="25" stopIfTrue="1" operator="equal">
      <formula>"ADMISIBLE"</formula>
    </cfRule>
  </conditionalFormatting>
  <conditionalFormatting sqref="Z23">
    <cfRule type="cellIs" dxfId="224" priority="22" stopIfTrue="1" operator="equal">
      <formula>"NO ADMISIBLE"</formula>
    </cfRule>
    <cfRule type="cellIs" dxfId="223" priority="23" stopIfTrue="1" operator="equal">
      <formula>"ADMISIBLE"</formula>
    </cfRule>
  </conditionalFormatting>
  <conditionalFormatting sqref="R19">
    <cfRule type="cellIs" dxfId="222" priority="21" stopIfTrue="1" operator="equal">
      <formula>"NO ADMISIBLE"</formula>
    </cfRule>
  </conditionalFormatting>
  <conditionalFormatting sqref="AA19:AB19 W19:Y19 S19 C19 N19:Q19">
    <cfRule type="cellIs" dxfId="221" priority="18" stopIfTrue="1" operator="equal">
      <formula>"NO ADMISIBLE"</formula>
    </cfRule>
  </conditionalFormatting>
  <conditionalFormatting sqref="X19 T19:V19">
    <cfRule type="cellIs" dxfId="220" priority="19" stopIfTrue="1" operator="equal">
      <formula>"NO ADMISIBLE"</formula>
    </cfRule>
    <cfRule type="cellIs" dxfId="219" priority="20" stopIfTrue="1" operator="equal">
      <formula>"ADMISIBLE"</formula>
    </cfRule>
  </conditionalFormatting>
  <conditionalFormatting sqref="Y19">
    <cfRule type="cellIs" dxfId="218" priority="16" stopIfTrue="1" operator="equal">
      <formula>"NO ADMISIBLE"</formula>
    </cfRule>
    <cfRule type="cellIs" dxfId="217" priority="17" stopIfTrue="1" operator="equal">
      <formula>"ADMISIBLE"</formula>
    </cfRule>
  </conditionalFormatting>
  <conditionalFormatting sqref="AC19:AD19">
    <cfRule type="cellIs" dxfId="216" priority="15" stopIfTrue="1" operator="equal">
      <formula>"NO ADMISIBLE"</formula>
    </cfRule>
  </conditionalFormatting>
  <conditionalFormatting sqref="AC19">
    <cfRule type="cellIs" dxfId="215" priority="13" stopIfTrue="1" operator="equal">
      <formula>"NO ADMISIBLE"</formula>
    </cfRule>
    <cfRule type="cellIs" dxfId="214" priority="14" stopIfTrue="1" operator="equal">
      <formula>"ADMISIBLE"</formula>
    </cfRule>
  </conditionalFormatting>
  <conditionalFormatting sqref="AD19">
    <cfRule type="cellIs" dxfId="213" priority="11" stopIfTrue="1" operator="equal">
      <formula>"NO ADMISIBLE"</formula>
    </cfRule>
    <cfRule type="cellIs" dxfId="212" priority="12" stopIfTrue="1" operator="equal">
      <formula>"ADMISIBLE"</formula>
    </cfRule>
  </conditionalFormatting>
  <conditionalFormatting sqref="AE19:AF19">
    <cfRule type="cellIs" dxfId="211" priority="10" stopIfTrue="1" operator="equal">
      <formula>"NO ADMISIBLE"</formula>
    </cfRule>
  </conditionalFormatting>
  <conditionalFormatting sqref="AE19">
    <cfRule type="cellIs" dxfId="210" priority="8" stopIfTrue="1" operator="equal">
      <formula>"NO ADMISIBLE"</formula>
    </cfRule>
    <cfRule type="cellIs" dxfId="209" priority="9" stopIfTrue="1" operator="equal">
      <formula>"ADMISIBLE"</formula>
    </cfRule>
  </conditionalFormatting>
  <conditionalFormatting sqref="AF19">
    <cfRule type="cellIs" dxfId="208" priority="6" stopIfTrue="1" operator="equal">
      <formula>"NO ADMISIBLE"</formula>
    </cfRule>
    <cfRule type="cellIs" dxfId="207" priority="7" stopIfTrue="1" operator="equal">
      <formula>"ADMISIBLE"</formula>
    </cfRule>
  </conditionalFormatting>
  <conditionalFormatting sqref="AG19">
    <cfRule type="cellIs" dxfId="206" priority="4" stopIfTrue="1" operator="equal">
      <formula>"NO ADMISIBLE"</formula>
    </cfRule>
    <cfRule type="cellIs" dxfId="205" priority="5" stopIfTrue="1" operator="equal">
      <formula>"ADMISIBLE"</formula>
    </cfRule>
  </conditionalFormatting>
  <conditionalFormatting sqref="D19">
    <cfRule type="cellIs" dxfId="204" priority="3" stopIfTrue="1" operator="equal">
      <formula>"NO ADMISIBLE"</formula>
    </cfRule>
  </conditionalFormatting>
  <conditionalFormatting sqref="Z19">
    <cfRule type="cellIs" dxfId="203" priority="1" stopIfTrue="1" operator="equal">
      <formula>"NO ADMISIBLE"</formula>
    </cfRule>
    <cfRule type="cellIs" dxfId="202" priority="2" stopIfTrue="1" operator="equal">
      <formula>"ADMISIBLE"</formula>
    </cfRule>
  </conditionalFormatting>
  <dataValidations count="1">
    <dataValidation type="list" allowBlank="1" showInputMessage="1" showErrorMessage="1" sqref="C12:D23" xr:uid="{00000000-0002-0000-03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1"/>
  <dimension ref="A2:O20"/>
  <sheetViews>
    <sheetView workbookViewId="0">
      <selection activeCell="F14" sqref="F14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15" style="149" customWidth="1"/>
    <col min="6" max="6" width="22.28515625" style="149" customWidth="1"/>
    <col min="7" max="8" width="17" style="149" customWidth="1"/>
    <col min="9" max="9" width="13.85546875" style="136" customWidth="1"/>
    <col min="10" max="10" width="36.140625" style="136" customWidth="1"/>
    <col min="11" max="11" width="32.28515625" style="149" customWidth="1"/>
    <col min="12" max="12" width="13.85546875" style="161" customWidth="1"/>
    <col min="13" max="13" width="9.7109375" style="162" customWidth="1"/>
    <col min="14" max="14" width="12.5703125" style="149" customWidth="1"/>
    <col min="15" max="15" width="12.7109375" style="149" customWidth="1"/>
    <col min="16" max="16384" width="11.42578125" style="149"/>
  </cols>
  <sheetData>
    <row r="2" spans="1:15" s="151" customFormat="1" ht="20.25" customHeight="1" x14ac:dyDescent="0.2">
      <c r="C2" s="317" t="s">
        <v>196</v>
      </c>
      <c r="D2" s="317"/>
      <c r="E2" s="317"/>
      <c r="F2" s="317"/>
      <c r="G2" s="317"/>
      <c r="H2" s="317"/>
      <c r="I2" s="317"/>
      <c r="J2" s="317"/>
      <c r="L2" s="152"/>
      <c r="M2" s="153"/>
    </row>
    <row r="3" spans="1:15" s="151" customFormat="1" ht="18" customHeight="1" x14ac:dyDescent="0.2">
      <c r="C3" s="318" t="s">
        <v>210</v>
      </c>
      <c r="D3" s="318"/>
      <c r="E3" s="318"/>
      <c r="F3" s="318"/>
      <c r="G3" s="318"/>
      <c r="H3" s="318"/>
      <c r="I3" s="318"/>
      <c r="J3" s="318"/>
      <c r="L3" s="152"/>
      <c r="M3" s="153"/>
    </row>
    <row r="4" spans="1:15" s="151" customFormat="1" ht="13.5" customHeight="1" x14ac:dyDescent="0.2">
      <c r="C4" s="319" t="str">
        <f>'Capacidad Financiera'!B4</f>
        <v>DIRECCIÓN TERRITORIAL MAGDALENA</v>
      </c>
      <c r="D4" s="319"/>
      <c r="E4" s="319"/>
      <c r="F4" s="319"/>
      <c r="G4" s="319"/>
      <c r="H4" s="319"/>
      <c r="I4" s="319"/>
      <c r="J4" s="319"/>
      <c r="L4" s="152"/>
      <c r="M4" s="153"/>
    </row>
    <row r="5" spans="1:15" s="151" customFormat="1" ht="13.5" customHeight="1" x14ac:dyDescent="0.2">
      <c r="C5" s="319" t="s">
        <v>212</v>
      </c>
      <c r="D5" s="319"/>
      <c r="E5" s="319"/>
      <c r="F5" s="319"/>
      <c r="G5" s="319"/>
      <c r="H5" s="319"/>
      <c r="I5" s="319"/>
      <c r="J5" s="319"/>
      <c r="L5" s="152"/>
      <c r="M5" s="153"/>
    </row>
    <row r="6" spans="1:15" s="151" customFormat="1" ht="14.25" thickBot="1" x14ac:dyDescent="0.25">
      <c r="C6" s="154"/>
      <c r="D6" s="155"/>
      <c r="E6" s="156"/>
      <c r="F6" s="156"/>
      <c r="G6" s="156"/>
      <c r="H6" s="157"/>
      <c r="I6" s="159"/>
      <c r="J6" s="159"/>
      <c r="L6" s="152"/>
      <c r="M6" s="153"/>
    </row>
    <row r="7" spans="1:15" ht="69" customHeight="1" x14ac:dyDescent="0.2">
      <c r="C7" s="320" t="s">
        <v>157</v>
      </c>
      <c r="D7" s="322" t="s">
        <v>156</v>
      </c>
      <c r="E7" s="324" t="s">
        <v>213</v>
      </c>
      <c r="F7" s="324" t="s">
        <v>230</v>
      </c>
      <c r="G7" s="324" t="s">
        <v>231</v>
      </c>
      <c r="H7" s="324" t="s">
        <v>232</v>
      </c>
      <c r="I7" s="315" t="s">
        <v>212</v>
      </c>
      <c r="J7" s="316"/>
    </row>
    <row r="8" spans="1:15" ht="73.5" customHeight="1" x14ac:dyDescent="0.2">
      <c r="C8" s="321"/>
      <c r="D8" s="323"/>
      <c r="E8" s="325"/>
      <c r="F8" s="325"/>
      <c r="G8" s="325"/>
      <c r="H8" s="325"/>
      <c r="I8" s="244" t="s">
        <v>214</v>
      </c>
      <c r="J8" s="245" t="s">
        <v>215</v>
      </c>
    </row>
    <row r="9" spans="1:15" ht="13.5" hidden="1" thickBot="1" x14ac:dyDescent="0.25">
      <c r="A9" s="180" t="s">
        <v>216</v>
      </c>
      <c r="C9" s="246">
        <f>+'Capacidad Financiera'!B12</f>
        <v>1</v>
      </c>
      <c r="D9" s="129" t="str">
        <f>IF(ISERROR(VLOOKUP(C9,'Capacidad Financiera'!$B$12:$Z$59141,2,0)),"",VLOOKUP(C9,'Capacidad Financiera'!$B$12:$Z$59141,2,0))</f>
        <v>COBOL</v>
      </c>
      <c r="E9" s="243">
        <f>IF(ISERROR(VLOOKUP(C9,'Capacidad Financiera'!$B$12:$Z$59141,3,0)),"",VLOOKUP(C9,'Capacidad Financiera'!$B$12:$Z$59141,3,0))</f>
        <v>1</v>
      </c>
      <c r="F9" s="169">
        <f>F10+F11</f>
        <v>3048435775.7200003</v>
      </c>
      <c r="G9" s="169">
        <f>G10+G11</f>
        <v>3681.17</v>
      </c>
      <c r="H9" s="169">
        <f>POA!B2</f>
        <v>593658691</v>
      </c>
      <c r="I9" s="229">
        <f>G9/(H9*E9)</f>
        <v>6.2008188472726331E-6</v>
      </c>
      <c r="J9" s="247">
        <f>IF(OR(D9="",E9="",F9=""),"",IF(AND(I9&gt;0,I9&lt;=Experiencia1),Puntajes!$D$4,IF(AND(I9&gt;Experiencia1,I9&lt;=Experiencia2),Puntajes!$D$5,IF(AND(I9&gt;Experiencia2,I9&lt;=Experiencia3),Puntajes!$D$6,IF(I9&gt;Experiencia3,Puntajes!$D$7,0)))))</f>
        <v>60</v>
      </c>
      <c r="L9" s="163"/>
      <c r="M9" s="164"/>
      <c r="N9" s="150"/>
      <c r="O9" s="165"/>
    </row>
    <row r="10" spans="1:15" ht="13.5" hidden="1" thickBot="1" x14ac:dyDescent="0.25">
      <c r="A10" s="189">
        <v>4</v>
      </c>
      <c r="C10" s="97">
        <f>+'Capacidad Financiera'!B13</f>
        <v>1.1000000000000001</v>
      </c>
      <c r="D10" s="128" t="str">
        <f>IF(ISERROR(VLOOKUP(C10,'Capacidad Financiera'!$B$12:$Z$59141,2,0)),"",VLOOKUP(C10,'Capacidad Financiera'!$B$12:$Z$59141,2,0))</f>
        <v>COOTRASCIBOL</v>
      </c>
      <c r="E10" s="187">
        <f>IF(ISERROR(VLOOKUP(C10,'Capacidad Financiera'!$B$12:$Z$59141,3,0)),"",VLOOKUP(C10,'Capacidad Financiera'!$B$12:$Z$59141,3,0))</f>
        <v>0.6</v>
      </c>
      <c r="F10" s="226">
        <v>1505448638.72</v>
      </c>
      <c r="G10" s="226">
        <f>IF(OR(D10="",E10="",F10=""),"",F10/SALACTUAL)</f>
        <v>1817.92</v>
      </c>
      <c r="H10" s="226"/>
      <c r="I10" s="195"/>
      <c r="J10" s="196"/>
    </row>
    <row r="11" spans="1:15" hidden="1" x14ac:dyDescent="0.2">
      <c r="C11" s="97">
        <f>+'Capacidad Financiera'!B14</f>
        <v>1.2</v>
      </c>
      <c r="D11" s="128" t="str">
        <f>IF(ISERROR(VLOOKUP(C11,'Capacidad Financiera'!$B$12:$Z$59141,2,0)),"",VLOOKUP(C11,'Capacidad Financiera'!$B$12:$Z$59141,2,0))</f>
        <v>COOTRASERVIM</v>
      </c>
      <c r="E11" s="187">
        <f>IF(ISERROR(VLOOKUP(C11,'Capacidad Financiera'!$B$12:$Z$59141,3,0)),"",VLOOKUP(C11,'Capacidad Financiera'!$B$12:$Z$59141,3,0))</f>
        <v>0.4</v>
      </c>
      <c r="F11" s="226">
        <v>1542987137</v>
      </c>
      <c r="G11" s="226">
        <f t="shared" ref="G11:G13" si="0">IF(OR(D11="",E11="",F11=""),"",F11/SALACTUAL)</f>
        <v>1863.25</v>
      </c>
      <c r="H11" s="226"/>
      <c r="I11" s="195"/>
      <c r="J11" s="196"/>
    </row>
    <row r="12" spans="1:15" hidden="1" x14ac:dyDescent="0.2">
      <c r="C12" s="246">
        <v>2</v>
      </c>
      <c r="D12" s="129" t="str">
        <f>IF(ISERROR(VLOOKUP(C12,'Capacidad Financiera'!$B$12:$Z$59141,2,0)),"",VLOOKUP(C12,'Capacidad Financiera'!$B$12:$Z$59141,2,0))</f>
        <v>COOTRAVAR</v>
      </c>
      <c r="E12" s="243">
        <f>IF(ISERROR(VLOOKUP(C12,'Capacidad Financiera'!$B$12:$Z$59141,3,0)),"",VLOOKUP(C12,'Capacidad Financiera'!$B$12:$Z$59141,3,0))</f>
        <v>1</v>
      </c>
      <c r="F12" s="169">
        <v>1986029197</v>
      </c>
      <c r="G12" s="169">
        <f t="shared" si="0"/>
        <v>2398.25</v>
      </c>
      <c r="H12" s="169">
        <f>POA!B2</f>
        <v>593658691</v>
      </c>
      <c r="I12" s="229">
        <f t="shared" ref="I12" si="1">IF(OR(D12="",E12="",G12=""),"",IF(C12&lt;&gt;"",G12/(H12*E12),""))</f>
        <v>4.0397791464321378E-6</v>
      </c>
      <c r="J12" s="247">
        <f>IF(OR(D12="",E12="",F12=""),"",IF(AND(I12&gt;0,I12&lt;=Experiencia1),Puntajes!$D$4,IF(AND(I12&gt;Experiencia1,I12&lt;=Experiencia2),Puntajes!$D$5,IF(AND(I12&gt;Experiencia2,I12&lt;=Experiencia3),Puntajes!$D$6,IF(I12&gt;Experiencia3,Puntajes!$D$7,0)))))</f>
        <v>60</v>
      </c>
    </row>
    <row r="13" spans="1:15" hidden="1" x14ac:dyDescent="0.2">
      <c r="C13" s="246">
        <v>3</v>
      </c>
      <c r="D13" s="129" t="str">
        <f>IF(ISERROR(VLOOKUP(C13,'Capacidad Financiera'!$B$12:$Z$59141,2,0)),"",VLOOKUP(C13,'Capacidad Financiera'!$B$12:$Z$59141,2,0))</f>
        <v>MANTENIMIENTO VIAL JJ S.A.S</v>
      </c>
      <c r="E13" s="243">
        <f>IF(ISERROR(VLOOKUP(C13,'Capacidad Financiera'!$B$12:$Z$59141,3,0)),"",VLOOKUP(C13,'Capacidad Financiera'!$B$12:$Z$59141,3,0))</f>
        <v>1</v>
      </c>
      <c r="F13" s="169">
        <v>6763927270.6000004</v>
      </c>
      <c r="G13" s="169">
        <f t="shared" si="0"/>
        <v>8167.85</v>
      </c>
      <c r="H13" s="169">
        <f>H12</f>
        <v>593658691</v>
      </c>
      <c r="I13" s="229">
        <f t="shared" ref="I13" si="2">IF(OR(D13="",E13="",G13=""),"",IF(C13&lt;&gt;"",G13/(H13*E13),""))</f>
        <v>1.3758494777936301E-5</v>
      </c>
      <c r="J13" s="247">
        <f>IF(OR(D13="",E13="",F13=""),"",IF(AND(I13&gt;0,I13&lt;=Experiencia1),Puntajes!$D$4,IF(AND(I13&gt;Experiencia1,I13&lt;=Experiencia2),Puntajes!$D$5,IF(AND(I13&gt;Experiencia2,I13&lt;=Experiencia3),Puntajes!$D$6,IF(I13&gt;Experiencia3,Puntajes!$D$7,0)))))</f>
        <v>60</v>
      </c>
    </row>
    <row r="14" spans="1:15" x14ac:dyDescent="0.2">
      <c r="C14" s="246">
        <v>4</v>
      </c>
      <c r="D14" s="129" t="str">
        <f>IF(ISERROR(VLOOKUP(C14,'Capacidad Financiera'!$B$12:$Z$59141,2,0)),"",VLOOKUP(C14,'Capacidad Financiera'!$B$12:$Z$59141,2,0))</f>
        <v>COOTRASIERRA</v>
      </c>
      <c r="E14" s="243">
        <f>IF(ISERROR(VLOOKUP(C14,'Capacidad Financiera'!$B$12:$Z$59141,3,0)),"",VLOOKUP(C14,'Capacidad Financiera'!$B$12:$Z$59141,3,0))</f>
        <v>1</v>
      </c>
      <c r="F14" s="169">
        <v>907192796</v>
      </c>
      <c r="G14" s="169">
        <f t="shared" ref="G14:G15" si="3">IF(OR(D14="",E14="",F14=""),"",F14/SALACTUAL)</f>
        <v>1095.4899989856494</v>
      </c>
      <c r="H14" s="169">
        <f>H13</f>
        <v>593658691</v>
      </c>
      <c r="I14" s="229">
        <f t="shared" ref="I14:I17" si="4">IF(OR(D14="",E14="",G14=""),"",IF(C14&lt;&gt;"",G14/(H14*E14),""))</f>
        <v>1.8453195676127134E-6</v>
      </c>
      <c r="J14" s="247">
        <f>IF(OR(D14="",E14="",F14=""),"",IF(AND(I14&gt;0,I14&lt;=Experiencia1),Puntajes!$D$4,IF(AND(I14&gt;Experiencia1,I14&lt;=Experiencia2),Puntajes!$D$5,IF(AND(I14&gt;Experiencia2,I14&lt;=Experiencia3),Puntajes!$D$6,IF(I14&gt;Experiencia3,Puntajes!$D$7,0)))))</f>
        <v>60</v>
      </c>
    </row>
    <row r="15" spans="1:15" ht="25.5" hidden="1" x14ac:dyDescent="0.2">
      <c r="C15" s="246">
        <v>5</v>
      </c>
      <c r="D15" s="129" t="str">
        <f>IF(ISERROR(VLOOKUP(C15,'Capacidad Financiera'!$B$12:$Z$59141,2,0)),"",VLOOKUP(C15,'Capacidad Financiera'!$B$12:$Z$59141,2,0))</f>
        <v>COOPERATIVA DE TRABAJO ASOCIADO DE SALAMINA</v>
      </c>
      <c r="E15" s="243">
        <f>IF(ISERROR(VLOOKUP(C15,'Capacidad Financiera'!$B$12:$Z$59141,3,0)),"",VLOOKUP(C15,'Capacidad Financiera'!$B$12:$Z$59141,3,0))</f>
        <v>1</v>
      </c>
      <c r="F15" s="169">
        <v>2747481859</v>
      </c>
      <c r="G15" s="169">
        <f t="shared" si="3"/>
        <v>3317.75</v>
      </c>
      <c r="H15" s="169">
        <f t="shared" ref="H15:H19" si="5">H14</f>
        <v>593658691</v>
      </c>
      <c r="I15" s="229">
        <f t="shared" si="4"/>
        <v>5.5886489161160115E-6</v>
      </c>
      <c r="J15" s="247">
        <f>IF(OR(D15="",E15="",F15=""),"",IF(AND(I15&gt;0,I15&lt;=Experiencia1),Puntajes!$D$4,IF(AND(I15&gt;Experiencia1,I15&lt;=Experiencia2),Puntajes!$D$5,IF(AND(I15&gt;Experiencia2,I15&lt;=Experiencia3),Puntajes!$D$6,IF(I15&gt;Experiencia3,Puntajes!$D$7,0)))))</f>
        <v>60</v>
      </c>
    </row>
    <row r="16" spans="1:15" hidden="1" x14ac:dyDescent="0.2">
      <c r="C16" s="246">
        <v>6</v>
      </c>
      <c r="D16" s="129" t="str">
        <f>IF(ISERROR(VLOOKUP(C16,'Capacidad Financiera'!$B$12:$Z$59141,2,0)),"",VLOOKUP(C16,'Capacidad Financiera'!$B$12:$Z$59141,2,0))</f>
        <v>COOTENEGRAN</v>
      </c>
      <c r="E16" s="243">
        <f>IF(ISERROR(VLOOKUP(C16,'Capacidad Financiera'!$B$12:$Z$59141,3,0)),"",VLOOKUP(C16,'Capacidad Financiera'!$B$12:$Z$59141,3,0))</f>
        <v>1</v>
      </c>
      <c r="F16" s="169">
        <v>2166575047.3200002</v>
      </c>
      <c r="G16" s="169">
        <f t="shared" ref="G16" si="6">IF(OR(D16="",E16="",F16=""),"",F16/SALACTUAL)</f>
        <v>2616.27</v>
      </c>
      <c r="H16" s="169">
        <f t="shared" si="5"/>
        <v>593658691</v>
      </c>
      <c r="I16" s="229">
        <f t="shared" ref="I16" si="7">IF(OR(D16="",E16="",G16=""),"",IF(C16&lt;&gt;"",G16/(H16*E16),""))</f>
        <v>4.4070272020998674E-6</v>
      </c>
      <c r="J16" s="247">
        <f>IF(OR(D16="",E16="",F16=""),"",IF(AND(I16&gt;0,I16&lt;=Experiencia1),Puntajes!$D$4,IF(AND(I16&gt;Experiencia1,I16&lt;=Experiencia2),Puntajes!$D$5,IF(AND(I16&gt;Experiencia2,I16&lt;=Experiencia3),Puntajes!$D$6,IF(I16&gt;Experiencia3,Puntajes!$D$7,0)))))</f>
        <v>60</v>
      </c>
    </row>
    <row r="17" spans="3:10" x14ac:dyDescent="0.2">
      <c r="C17" s="246">
        <v>7</v>
      </c>
      <c r="D17" s="129" t="str">
        <f>IF(ISERROR(VLOOKUP(C17,'Capacidad Financiera'!$B$12:$Z$59141,2,0)),"",VLOOKUP(C17,'Capacidad Financiera'!$B$12:$Z$59141,2,0))</f>
        <v>CONSORCIO MV MAGDALENA 2019</v>
      </c>
      <c r="E17" s="243">
        <f>IF(ISERROR(VLOOKUP(C17,'Capacidad Financiera'!$B$12:$Z$59141,3,0)),"",VLOOKUP(C17,'Capacidad Financiera'!$B$12:$Z$59141,3,0))</f>
        <v>1</v>
      </c>
      <c r="F17" s="169">
        <f>F18+F19</f>
        <v>235181859426.54999</v>
      </c>
      <c r="G17" s="169">
        <f>G18+G19</f>
        <v>283996.27519157948</v>
      </c>
      <c r="H17" s="169">
        <f>H15</f>
        <v>593658691</v>
      </c>
      <c r="I17" s="229">
        <f t="shared" si="4"/>
        <v>4.7838308357483388E-4</v>
      </c>
      <c r="J17" s="247">
        <f>IF(OR(D17="",E17="",F17=""),"",IF(AND(I17&gt;0,I17&lt;=Experiencia1),Puntajes!$D$4,IF(AND(I17&gt;Experiencia1,I17&lt;=Experiencia2),Puntajes!$D$5,IF(AND(I17&gt;Experiencia2,I17&lt;=Experiencia3),Puntajes!$D$6,IF(I17&gt;Experiencia3,Puntajes!$D$7,0)))))</f>
        <v>60</v>
      </c>
    </row>
    <row r="18" spans="3:10" x14ac:dyDescent="0.2">
      <c r="C18" s="97">
        <f>+'Capacidad Financiera'!B21</f>
        <v>7.1</v>
      </c>
      <c r="D18" s="128" t="str">
        <f>IF(ISERROR(VLOOKUP(C18,'Capacidad Financiera'!$B$12:$Z$59141,2,0)),"",VLOOKUP(C18,'Capacidad Financiera'!$B$12:$Z$59141,2,0))</f>
        <v>CIVILTEC S.A.S</v>
      </c>
      <c r="E18" s="187">
        <f>IF(ISERROR(VLOOKUP(C18,'Capacidad Financiera'!$B$12:$Z$59141,3,0)),"",VLOOKUP(C18,'Capacidad Financiera'!$B$12:$Z$59141,3,0))</f>
        <v>0.6</v>
      </c>
      <c r="F18" s="226">
        <v>109016948306.27</v>
      </c>
      <c r="G18" s="226">
        <f t="shared" ref="G18:G20" si="8">IF(OR(D18="",E18="",F18=""),"",F18/SALACTUAL)</f>
        <v>131644.53809160794</v>
      </c>
      <c r="H18" s="226"/>
      <c r="I18" s="230"/>
      <c r="J18" s="248"/>
    </row>
    <row r="19" spans="3:10" x14ac:dyDescent="0.2">
      <c r="C19" s="97">
        <f>+'Capacidad Financiera'!B22</f>
        <v>7.2</v>
      </c>
      <c r="D19" s="128" t="str">
        <f>IF(ISERROR(VLOOKUP(C19,'Capacidad Financiera'!$B$12:$Z$59141,2,0)),"",VLOOKUP(C19,'Capacidad Financiera'!$B$12:$Z$59141,2,0))</f>
        <v>BGDSA S.A.S</v>
      </c>
      <c r="E19" s="187">
        <f>IF(ISERROR(VLOOKUP(C19,'Capacidad Financiera'!$B$12:$Z$59141,3,0)),"",VLOOKUP(C19,'Capacidad Financiera'!$B$12:$Z$59141,3,0))</f>
        <v>0.4</v>
      </c>
      <c r="F19" s="226">
        <v>126164911120.28</v>
      </c>
      <c r="G19" s="226">
        <f t="shared" si="8"/>
        <v>152351.73709997151</v>
      </c>
      <c r="H19" s="226">
        <f t="shared" si="5"/>
        <v>0</v>
      </c>
      <c r="I19" s="195"/>
      <c r="J19" s="248"/>
    </row>
    <row r="20" spans="3:10" ht="13.5" hidden="1" thickBot="1" x14ac:dyDescent="0.25">
      <c r="C20" s="249">
        <v>8</v>
      </c>
      <c r="D20" s="250" t="str">
        <f>IF(ISERROR(VLOOKUP(C20,'Capacidad Financiera'!$B$12:$Z$59141,2,0)),"",VLOOKUP(C20,'Capacidad Financiera'!$B$12:$Z$59141,2,0))</f>
        <v>COOPIRAGUA</v>
      </c>
      <c r="E20" s="251">
        <f>IF(ISERROR(VLOOKUP(C20,'Capacidad Financiera'!$B$12:$Z$59141,3,0)),"",VLOOKUP(C20,'Capacidad Financiera'!$B$12:$Z$59141,3,0))</f>
        <v>1</v>
      </c>
      <c r="F20" s="252">
        <v>2182541123.8000002</v>
      </c>
      <c r="G20" s="252">
        <f t="shared" si="8"/>
        <v>2635.55</v>
      </c>
      <c r="H20" s="252">
        <f>POA!B2</f>
        <v>593658691</v>
      </c>
      <c r="I20" s="253">
        <f>G20/(H20*E20)</f>
        <v>4.439503775410912E-6</v>
      </c>
      <c r="J20" s="254">
        <f>IF(OR(D20="",E20="",F20=""),"",IF(AND(I20&gt;0,I20&lt;=Experiencia1),Puntajes!$D$4,IF(AND(I20&gt;Experiencia1,I20&lt;=Experiencia2),Puntajes!$D$5,IF(AND(I20&gt;Experiencia2,I20&lt;=Experiencia3),Puntajes!$D$6,IF(I20&gt;Experiencia3,Puntajes!$D$7,0)))))</f>
        <v>60</v>
      </c>
    </row>
  </sheetData>
  <sheetProtection formatCells="0" formatColumns="0" formatRows="0" insertColumns="0" insertRows="0" insertHyperlinks="0" deleteColumns="0" deleteRows="0" sort="0" autoFilter="0" pivotTables="0"/>
  <mergeCells count="11">
    <mergeCell ref="I7:J7"/>
    <mergeCell ref="C2:J2"/>
    <mergeCell ref="C3:J3"/>
    <mergeCell ref="C4:J4"/>
    <mergeCell ref="C5:J5"/>
    <mergeCell ref="C7:C8"/>
    <mergeCell ref="D7:D8"/>
    <mergeCell ref="E7:E8"/>
    <mergeCell ref="F7:F8"/>
    <mergeCell ref="H7:H8"/>
    <mergeCell ref="G7:G8"/>
  </mergeCells>
  <conditionalFormatting sqref="E6:H6">
    <cfRule type="expression" dxfId="201" priority="1183" stopIfTrue="1">
      <formula>IF($B6-INT($B6)&gt;0,TRUE,FALSE)</formula>
    </cfRule>
  </conditionalFormatting>
  <conditionalFormatting sqref="D9:D11 D6 I6:J6">
    <cfRule type="cellIs" dxfId="200" priority="1184" stopIfTrue="1" operator="equal">
      <formula>"NO ADMISIBLE"</formula>
    </cfRule>
  </conditionalFormatting>
  <conditionalFormatting sqref="E10 I10:J10 I11">
    <cfRule type="expression" dxfId="199" priority="1178" stopIfTrue="1">
      <formula>IF($B2-INT($B2)&gt;0,TRUE,FALSE)</formula>
    </cfRule>
  </conditionalFormatting>
  <conditionalFormatting sqref="E9 H9">
    <cfRule type="expression" dxfId="198" priority="1185" stopIfTrue="1">
      <formula>IF(#REF!-INT(#REF!)&gt;0,TRUE,FALSE)</formula>
    </cfRule>
  </conditionalFormatting>
  <conditionalFormatting sqref="H10:H11">
    <cfRule type="expression" dxfId="197" priority="1177" stopIfTrue="1">
      <formula>IF(#REF!-INT(#REF!)&gt;0,TRUE,FALSE)</formula>
    </cfRule>
  </conditionalFormatting>
  <conditionalFormatting sqref="E11 J11">
    <cfRule type="expression" dxfId="196" priority="3685" stopIfTrue="1">
      <formula>IF($B5-INT($B5)&gt;0,TRUE,FALSE)</formula>
    </cfRule>
  </conditionalFormatting>
  <conditionalFormatting sqref="F9:G9">
    <cfRule type="expression" dxfId="195" priority="1174" stopIfTrue="1">
      <formula>IF(#REF!-INT(#REF!)&gt;0,TRUE,FALSE)</formula>
    </cfRule>
  </conditionalFormatting>
  <conditionalFormatting sqref="F10:G11">
    <cfRule type="expression" dxfId="194" priority="1173" stopIfTrue="1">
      <formula>IF(#REF!-INT(#REF!)&gt;0,TRUE,FALSE)</formula>
    </cfRule>
  </conditionalFormatting>
  <conditionalFormatting sqref="I19">
    <cfRule type="expression" dxfId="193" priority="72" stopIfTrue="1">
      <formula>IF(#REF!-INT(#REF!)&gt;0,TRUE,FALSE)</formula>
    </cfRule>
  </conditionalFormatting>
  <conditionalFormatting sqref="D18:D19">
    <cfRule type="cellIs" dxfId="192" priority="47" stopIfTrue="1" operator="equal">
      <formula>"NO ADMISIBLE"</formula>
    </cfRule>
  </conditionalFormatting>
  <conditionalFormatting sqref="E18">
    <cfRule type="expression" dxfId="191" priority="45" stopIfTrue="1">
      <formula>IF(#REF!-INT(#REF!)&gt;0,TRUE,FALSE)</formula>
    </cfRule>
  </conditionalFormatting>
  <conditionalFormatting sqref="E19">
    <cfRule type="expression" dxfId="190" priority="49" stopIfTrue="1">
      <formula>IF(#REF!-INT(#REF!)&gt;0,TRUE,FALSE)</formula>
    </cfRule>
  </conditionalFormatting>
  <conditionalFormatting sqref="F18:G19">
    <cfRule type="expression" dxfId="189" priority="42" stopIfTrue="1">
      <formula>IF(#REF!-INT(#REF!)&gt;0,TRUE,FALSE)</formula>
    </cfRule>
  </conditionalFormatting>
  <conditionalFormatting sqref="D20">
    <cfRule type="cellIs" dxfId="188" priority="38" stopIfTrue="1" operator="equal">
      <formula>"NO ADMISIBLE"</formula>
    </cfRule>
  </conditionalFormatting>
  <conditionalFormatting sqref="E20 H20:I20">
    <cfRule type="expression" dxfId="187" priority="39" stopIfTrue="1">
      <formula>IF(#REF!-INT(#REF!)&gt;0,TRUE,FALSE)</formula>
    </cfRule>
  </conditionalFormatting>
  <conditionalFormatting sqref="F20">
    <cfRule type="expression" dxfId="186" priority="34" stopIfTrue="1">
      <formula>IF(#REF!-INT(#REF!)&gt;0,TRUE,FALSE)</formula>
    </cfRule>
  </conditionalFormatting>
  <conditionalFormatting sqref="H18:H19">
    <cfRule type="expression" dxfId="185" priority="31" stopIfTrue="1">
      <formula>IF(#REF!-INT(#REF!)&gt;0,TRUE,FALSE)</formula>
    </cfRule>
  </conditionalFormatting>
  <conditionalFormatting sqref="I9:J9">
    <cfRule type="expression" dxfId="184" priority="24" stopIfTrue="1">
      <formula>IF(#REF!-INT(#REF!)&gt;0,TRUE,FALSE)</formula>
    </cfRule>
  </conditionalFormatting>
  <conditionalFormatting sqref="D12:D13">
    <cfRule type="cellIs" dxfId="183" priority="22" stopIfTrue="1" operator="equal">
      <formula>"NO ADMISIBLE"</formula>
    </cfRule>
  </conditionalFormatting>
  <conditionalFormatting sqref="E12:E13 H12:H13">
    <cfRule type="expression" dxfId="182" priority="23" stopIfTrue="1">
      <formula>IF(#REF!-INT(#REF!)&gt;0,TRUE,FALSE)</formula>
    </cfRule>
  </conditionalFormatting>
  <conditionalFormatting sqref="F12:G13">
    <cfRule type="expression" dxfId="181" priority="21" stopIfTrue="1">
      <formula>IF(#REF!-INT(#REF!)&gt;0,TRUE,FALSE)</formula>
    </cfRule>
  </conditionalFormatting>
  <conditionalFormatting sqref="I12:J13">
    <cfRule type="expression" dxfId="180" priority="20" stopIfTrue="1">
      <formula>IF(#REF!-INT(#REF!)&gt;0,TRUE,FALSE)</formula>
    </cfRule>
  </conditionalFormatting>
  <conditionalFormatting sqref="D14">
    <cfRule type="cellIs" dxfId="179" priority="18" stopIfTrue="1" operator="equal">
      <formula>"NO ADMISIBLE"</formula>
    </cfRule>
  </conditionalFormatting>
  <conditionalFormatting sqref="E14 H14">
    <cfRule type="expression" dxfId="178" priority="19" stopIfTrue="1">
      <formula>IF(#REF!-INT(#REF!)&gt;0,TRUE,FALSE)</formula>
    </cfRule>
  </conditionalFormatting>
  <conditionalFormatting sqref="F14:G14">
    <cfRule type="expression" dxfId="177" priority="17" stopIfTrue="1">
      <formula>IF(#REF!-INT(#REF!)&gt;0,TRUE,FALSE)</formula>
    </cfRule>
  </conditionalFormatting>
  <conditionalFormatting sqref="I14:J14">
    <cfRule type="expression" dxfId="176" priority="16" stopIfTrue="1">
      <formula>IF(#REF!-INT(#REF!)&gt;0,TRUE,FALSE)</formula>
    </cfRule>
  </conditionalFormatting>
  <conditionalFormatting sqref="D15">
    <cfRule type="cellIs" dxfId="175" priority="14" stopIfTrue="1" operator="equal">
      <formula>"NO ADMISIBLE"</formula>
    </cfRule>
  </conditionalFormatting>
  <conditionalFormatting sqref="H15 E15:E16">
    <cfRule type="expression" dxfId="174" priority="15" stopIfTrue="1">
      <formula>IF(#REF!-INT(#REF!)&gt;0,TRUE,FALSE)</formula>
    </cfRule>
  </conditionalFormatting>
  <conditionalFormatting sqref="F15:G15">
    <cfRule type="expression" dxfId="173" priority="13" stopIfTrue="1">
      <formula>IF(#REF!-INT(#REF!)&gt;0,TRUE,FALSE)</formula>
    </cfRule>
  </conditionalFormatting>
  <conditionalFormatting sqref="I15:J15 J17:J20">
    <cfRule type="expression" dxfId="172" priority="12" stopIfTrue="1">
      <formula>IF(#REF!-INT(#REF!)&gt;0,TRUE,FALSE)</formula>
    </cfRule>
  </conditionalFormatting>
  <conditionalFormatting sqref="D17">
    <cfRule type="cellIs" dxfId="171" priority="10" stopIfTrue="1" operator="equal">
      <formula>"NO ADMISIBLE"</formula>
    </cfRule>
  </conditionalFormatting>
  <conditionalFormatting sqref="E17 H17">
    <cfRule type="expression" dxfId="170" priority="11" stopIfTrue="1">
      <formula>IF(#REF!-INT(#REF!)&gt;0,TRUE,FALSE)</formula>
    </cfRule>
  </conditionalFormatting>
  <conditionalFormatting sqref="F17:G17">
    <cfRule type="expression" dxfId="169" priority="9" stopIfTrue="1">
      <formula>IF(#REF!-INT(#REF!)&gt;0,TRUE,FALSE)</formula>
    </cfRule>
  </conditionalFormatting>
  <conditionalFormatting sqref="I17">
    <cfRule type="expression" dxfId="168" priority="8" stopIfTrue="1">
      <formula>IF(#REF!-INT(#REF!)&gt;0,TRUE,FALSE)</formula>
    </cfRule>
  </conditionalFormatting>
  <conditionalFormatting sqref="G20">
    <cfRule type="expression" dxfId="167" priority="7" stopIfTrue="1">
      <formula>IF(#REF!-INT(#REF!)&gt;0,TRUE,FALSE)</formula>
    </cfRule>
  </conditionalFormatting>
  <conditionalFormatting sqref="I18">
    <cfRule type="expression" dxfId="166" priority="8096" stopIfTrue="1">
      <formula>IF($B9-INT($B9)&gt;0,TRUE,FALSE)</formula>
    </cfRule>
  </conditionalFormatting>
  <conditionalFormatting sqref="D16">
    <cfRule type="cellIs" dxfId="165" priority="5" stopIfTrue="1" operator="equal">
      <formula>"NO ADMISIBLE"</formula>
    </cfRule>
  </conditionalFormatting>
  <conditionalFormatting sqref="F16:H16">
    <cfRule type="expression" dxfId="164" priority="2" stopIfTrue="1">
      <formula>IF(#REF!-INT(#REF!)&gt;0,TRUE,FALSE)</formula>
    </cfRule>
  </conditionalFormatting>
  <conditionalFormatting sqref="I16:J16">
    <cfRule type="expression" dxfId="163" priority="1" stopIfTrue="1">
      <formula>IF(#REF!-INT(#REF!)&gt;0,TRUE,FALSE)</formula>
    </cfRule>
  </conditionalFormatting>
  <dataValidations count="1">
    <dataValidation type="list" allowBlank="1" showInputMessage="1" showErrorMessage="1" sqref="D6 D9:D20" xr:uid="{00000000-0002-0000-04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MacroExp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3"/>
  <dimension ref="C2:K20"/>
  <sheetViews>
    <sheetView workbookViewId="0">
      <selection activeCell="E17" sqref="E17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35" style="148" customWidth="1"/>
    <col min="6" max="6" width="35" style="183" customWidth="1"/>
    <col min="7" max="7" width="11.42578125" style="149"/>
    <col min="8" max="8" width="13.85546875" style="161" customWidth="1"/>
    <col min="9" max="9" width="9.7109375" style="162" customWidth="1"/>
    <col min="10" max="10" width="12.5703125" style="149" customWidth="1"/>
    <col min="11" max="11" width="12.7109375" style="149" customWidth="1"/>
    <col min="12" max="16384" width="11.42578125" style="149"/>
  </cols>
  <sheetData>
    <row r="2" spans="3:11" s="151" customFormat="1" ht="20.25" customHeight="1" x14ac:dyDescent="0.2">
      <c r="C2" s="317" t="s">
        <v>196</v>
      </c>
      <c r="D2" s="317"/>
      <c r="E2" s="317"/>
      <c r="F2" s="317"/>
      <c r="H2" s="152"/>
      <c r="I2" s="153"/>
    </row>
    <row r="3" spans="3:11" s="151" customFormat="1" ht="18" customHeight="1" x14ac:dyDescent="0.2">
      <c r="C3" s="318" t="s">
        <v>210</v>
      </c>
      <c r="D3" s="318"/>
      <c r="E3" s="318"/>
      <c r="F3" s="318"/>
      <c r="H3" s="152"/>
      <c r="I3" s="153"/>
    </row>
    <row r="4" spans="3:11" s="151" customFormat="1" ht="13.5" customHeight="1" x14ac:dyDescent="0.2">
      <c r="C4" s="319" t="str">
        <f>'Capacidad Financiera'!B4</f>
        <v>DIRECCIÓN TERRITORIAL MAGDALENA</v>
      </c>
      <c r="D4" s="319"/>
      <c r="E4" s="319"/>
      <c r="F4" s="319"/>
      <c r="H4" s="152"/>
      <c r="I4" s="153"/>
    </row>
    <row r="5" spans="3:11" s="151" customFormat="1" ht="13.5" customHeight="1" x14ac:dyDescent="0.2">
      <c r="C5" s="319" t="s">
        <v>209</v>
      </c>
      <c r="D5" s="319"/>
      <c r="E5" s="319"/>
      <c r="F5" s="319"/>
      <c r="H5" s="152"/>
      <c r="I5" s="153"/>
    </row>
    <row r="6" spans="3:11" s="151" customFormat="1" ht="14.25" thickBot="1" x14ac:dyDescent="0.25">
      <c r="C6" s="154"/>
      <c r="D6" s="155"/>
      <c r="E6" s="158"/>
      <c r="F6" s="159"/>
      <c r="H6" s="152"/>
      <c r="I6" s="153"/>
    </row>
    <row r="7" spans="3:11" ht="19.5" customHeight="1" x14ac:dyDescent="0.2">
      <c r="C7" s="326" t="s">
        <v>157</v>
      </c>
      <c r="D7" s="328" t="s">
        <v>156</v>
      </c>
      <c r="E7" s="190" t="s">
        <v>199</v>
      </c>
      <c r="F7" s="191" t="s">
        <v>209</v>
      </c>
    </row>
    <row r="8" spans="3:11" ht="67.5" customHeight="1" thickBot="1" x14ac:dyDescent="0.25">
      <c r="C8" s="327"/>
      <c r="D8" s="329"/>
      <c r="E8" s="192" t="s">
        <v>200</v>
      </c>
      <c r="F8" s="193" t="s">
        <v>211</v>
      </c>
    </row>
    <row r="9" spans="3:11" hidden="1" x14ac:dyDescent="0.2">
      <c r="C9" s="92">
        <f>+'Capacidad Financiera'!B12</f>
        <v>1</v>
      </c>
      <c r="D9" s="93" t="str">
        <f>IF(ISERROR(VLOOKUP(C9,'Capacidad Financiera'!$B$12:$Z$59141,2,0)),"",VLOOKUP(C9,'Capacidad Financiera'!$B$12:$Z$59141,2,0))</f>
        <v>COBOL</v>
      </c>
      <c r="E9" s="184">
        <f>E10+E11</f>
        <v>43</v>
      </c>
      <c r="F9" s="185">
        <f>IF(OR(D9="",E9=""),"",IF(AND(E9&gt;0,E9&lt;=CapTecnica1),Puntajes!$H$4,IF(AND(E9&gt;CapTecnica1,E9&lt;=CapTecnica2),Puntajes!$H$5,IF(E9&gt;CapTecnica2,Puntajes!$H$6,0))))</f>
        <v>40</v>
      </c>
      <c r="H9" s="163"/>
      <c r="I9" s="164"/>
      <c r="J9" s="150"/>
      <c r="K9" s="165"/>
    </row>
    <row r="10" spans="3:11" hidden="1" x14ac:dyDescent="0.2">
      <c r="C10" s="97">
        <f>+'Capacidad Financiera'!B13</f>
        <v>1.1000000000000001</v>
      </c>
      <c r="D10" s="128" t="str">
        <f>IF(ISERROR(VLOOKUP(C10,'Capacidad Financiera'!$B$12:$Z$59141,2,0)),"",VLOOKUP(C10,'Capacidad Financiera'!$B$12:$Z$59141,2,0))</f>
        <v>COOTRASCIBOL</v>
      </c>
      <c r="E10" s="237">
        <v>16</v>
      </c>
      <c r="F10" s="196"/>
    </row>
    <row r="11" spans="3:11" ht="13.5" hidden="1" thickBot="1" x14ac:dyDescent="0.25">
      <c r="C11" s="97">
        <f>+'Capacidad Financiera'!B14</f>
        <v>1.2</v>
      </c>
      <c r="D11" s="128" t="str">
        <f>IF(ISERROR(VLOOKUP(C11,'Capacidad Financiera'!$B$12:$Z$59141,2,0)),"",VLOOKUP(C11,'Capacidad Financiera'!$B$12:$Z$59141,2,0))</f>
        <v>COOTRASERVIM</v>
      </c>
      <c r="E11" s="237">
        <v>27</v>
      </c>
      <c r="F11" s="196"/>
    </row>
    <row r="12" spans="3:11" ht="13.5" hidden="1" thickBot="1" x14ac:dyDescent="0.25">
      <c r="C12" s="92">
        <v>2</v>
      </c>
      <c r="D12" s="93" t="str">
        <f>IF(ISERROR(VLOOKUP(C12,'Capacidad Financiera'!$B$12:$Z$59141,2,0)),"",VLOOKUP(C12,'Capacidad Financiera'!$B$12:$Z$59141,2,0))</f>
        <v>COOTRAVAR</v>
      </c>
      <c r="E12" s="184">
        <v>36</v>
      </c>
      <c r="F12" s="185">
        <f>IF(C96="",IF(E12="","",IF(AND(E12&gt;0,E12&lt;=CapTecnica1),Puntajes!$H$4,IF(AND(E12&gt;CapTecnica1,E12&lt;=CapTecnica2),Puntajes!$H$5,IF(E12&gt;CapTecnica2,Puntajes!$H$6,0)))),"")</f>
        <v>40</v>
      </c>
    </row>
    <row r="13" spans="3:11" ht="13.5" hidden="1" thickBot="1" x14ac:dyDescent="0.25">
      <c r="C13" s="92">
        <v>3</v>
      </c>
      <c r="D13" s="93" t="str">
        <f>IF(ISERROR(VLOOKUP(C13,'Capacidad Financiera'!$B$12:$Z$59141,2,0)),"",VLOOKUP(C13,'Capacidad Financiera'!$B$12:$Z$59141,2,0))</f>
        <v>MANTENIMIENTO VIAL JJ S.A.S</v>
      </c>
      <c r="E13" s="184">
        <v>11</v>
      </c>
      <c r="F13" s="185">
        <f>IF(C97="",IF(E13="","",IF(AND(E13&gt;0,E13&lt;=CapTecnica1),Puntajes!$H$4,IF(AND(E13&gt;CapTecnica1,E13&lt;=CapTecnica2),Puntajes!$H$5,IF(E13&gt;CapTecnica2,Puntajes!$H$6,0)))),"")</f>
        <v>40</v>
      </c>
    </row>
    <row r="14" spans="3:11" ht="13.5" thickBot="1" x14ac:dyDescent="0.25">
      <c r="C14" s="92">
        <v>4</v>
      </c>
      <c r="D14" s="93" t="str">
        <f>IF(ISERROR(VLOOKUP(C14,'Capacidad Financiera'!$B$12:$Z$59141,2,0)),"",VLOOKUP(C14,'Capacidad Financiera'!$B$12:$Z$59141,2,0))</f>
        <v>COOTRASIERRA</v>
      </c>
      <c r="E14" s="184">
        <v>5</v>
      </c>
      <c r="F14" s="185">
        <f>IF(C98="",IF(E14="","",IF(AND(E14&gt;0,E14&lt;=CapTecnica1),Puntajes!$H$4,IF(AND(E14&gt;CapTecnica1,E14&lt;=CapTecnica2),Puntajes!$H$5,IF(E14&gt;CapTecnica2,Puntajes!$H$6,0)))),"")</f>
        <v>20</v>
      </c>
    </row>
    <row r="15" spans="3:11" ht="26.25" hidden="1" thickBot="1" x14ac:dyDescent="0.25">
      <c r="C15" s="92">
        <v>5</v>
      </c>
      <c r="D15" s="93" t="str">
        <f>IF(ISERROR(VLOOKUP(C15,'Capacidad Financiera'!$B$12:$Z$59141,2,0)),"",VLOOKUP(C15,'Capacidad Financiera'!$B$12:$Z$59141,2,0))</f>
        <v>COOPERATIVA DE TRABAJO ASOCIADO DE SALAMINA</v>
      </c>
      <c r="E15" s="184">
        <v>7</v>
      </c>
      <c r="F15" s="185">
        <f>IF(C99="",IF(E15="","",IF(AND(E15&gt;0,E15&lt;=CapTecnica1),Puntajes!$H$4,IF(AND(E15&gt;CapTecnica1,E15&lt;=CapTecnica2),Puntajes!$H$5,IF(E15&gt;CapTecnica2,Puntajes!$H$6,0)))),"")</f>
        <v>30</v>
      </c>
    </row>
    <row r="16" spans="3:11" ht="13.5" hidden="1" thickBot="1" x14ac:dyDescent="0.25">
      <c r="C16" s="92">
        <v>6</v>
      </c>
      <c r="D16" s="93" t="str">
        <f>IF(ISERROR(VLOOKUP(C16,'Capacidad Financiera'!$B$12:$Z$59141,2,0)),"",VLOOKUP(C16,'Capacidad Financiera'!$B$12:$Z$59141,2,0))</f>
        <v>COOTENEGRAN</v>
      </c>
      <c r="E16" s="184">
        <v>5</v>
      </c>
      <c r="F16" s="185">
        <f>IF(C100="",IF(E16="","",IF(AND(E16&gt;0,E16&lt;=CapTecnica1),Puntajes!$H$4,IF(AND(E16&gt;CapTecnica1,E16&lt;=CapTecnica2),Puntajes!$H$5,IF(E16&gt;CapTecnica2,Puntajes!$H$6,0)))),"")</f>
        <v>20</v>
      </c>
    </row>
    <row r="17" spans="3:6" x14ac:dyDescent="0.2">
      <c r="C17" s="92">
        <v>7</v>
      </c>
      <c r="D17" s="93" t="str">
        <f>IF(ISERROR(VLOOKUP(C17,'Capacidad Financiera'!$B$12:$Z$59141,2,0)),"",VLOOKUP(C17,'Capacidad Financiera'!$B$12:$Z$59141,2,0))</f>
        <v>CONSORCIO MV MAGDALENA 2019</v>
      </c>
      <c r="E17" s="184">
        <f>E18+E19</f>
        <v>2</v>
      </c>
      <c r="F17" s="185">
        <f>IF(C100="",IF(E17="","",IF(AND(E17&gt;0,E17&lt;=CapTecnica1),Puntajes!$H$4,IF(AND(E17&gt;CapTecnica1,E17&lt;=CapTecnica2),Puntajes!$H$5,IF(E17&gt;CapTecnica2,Puntajes!$H$6,0)))),"")</f>
        <v>20</v>
      </c>
    </row>
    <row r="18" spans="3:6" x14ac:dyDescent="0.2">
      <c r="C18" s="97">
        <f>+'Capacidad Financiera'!B21</f>
        <v>7.1</v>
      </c>
      <c r="D18" s="128" t="str">
        <f>IF(ISERROR(VLOOKUP(C18,'Capacidad Financiera'!$B$12:$Z$59141,2,0)),"",VLOOKUP(C18,'Capacidad Financiera'!$B$12:$Z$59141,2,0))</f>
        <v>CIVILTEC S.A.S</v>
      </c>
      <c r="E18" s="186">
        <v>1</v>
      </c>
      <c r="F18" s="196"/>
    </row>
    <row r="19" spans="3:6" x14ac:dyDescent="0.2">
      <c r="C19" s="97">
        <f>+'Capacidad Financiera'!B22</f>
        <v>7.2</v>
      </c>
      <c r="D19" s="128" t="str">
        <f>IF(ISERROR(VLOOKUP(C19,'Capacidad Financiera'!$B$12:$Z$59141,2,0)),"",VLOOKUP(C19,'Capacidad Financiera'!$B$12:$Z$59141,2,0))</f>
        <v>BGDSA S.A.S</v>
      </c>
      <c r="E19" s="186">
        <v>1</v>
      </c>
      <c r="F19" s="196"/>
    </row>
    <row r="20" spans="3:6" hidden="1" x14ac:dyDescent="0.2">
      <c r="C20" s="92">
        <v>8</v>
      </c>
      <c r="D20" s="93" t="str">
        <f>IF(ISERROR(VLOOKUP(C20,'Capacidad Financiera'!$B$12:$Z$59141,2,0)),"",VLOOKUP(C20,'Capacidad Financiera'!$B$12:$Z$59141,2,0))</f>
        <v>COOPIRAGUA</v>
      </c>
      <c r="E20" s="184">
        <v>12</v>
      </c>
      <c r="F20" s="185">
        <f>IF(OR(D20="",E20=""),"",IF(AND(E20&gt;0,E20&lt;=CapTecnica1),Puntajes!$H$4,IF(AND(E20&gt;CapTecnica1,E20&lt;=CapTecnica2),Puntajes!$H$5,IF(E20&gt;CapTecnica2,Puntajes!$H$6,0))))</f>
        <v>40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F2"/>
    <mergeCell ref="C3:F3"/>
    <mergeCell ref="C4:F4"/>
    <mergeCell ref="C5:F5"/>
    <mergeCell ref="C7:C8"/>
    <mergeCell ref="D7:D8"/>
  </mergeCells>
  <conditionalFormatting sqref="E6">
    <cfRule type="expression" dxfId="162" priority="275" stopIfTrue="1">
      <formula>IF($B6-INT($B6)&gt;0,TRUE,FALSE)</formula>
    </cfRule>
  </conditionalFormatting>
  <conditionalFormatting sqref="D9:D11 D6 F6">
    <cfRule type="cellIs" dxfId="161" priority="276" stopIfTrue="1" operator="equal">
      <formula>"NO ADMISIBLE"</formula>
    </cfRule>
  </conditionalFormatting>
  <conditionalFormatting sqref="F10:F11">
    <cfRule type="expression" dxfId="160" priority="270" stopIfTrue="1">
      <formula>IF($B2-INT($B2)&gt;0,TRUE,FALSE)</formula>
    </cfRule>
  </conditionalFormatting>
  <conditionalFormatting sqref="E10:E11">
    <cfRule type="expression" dxfId="159" priority="277" stopIfTrue="1">
      <formula>IF(#REF!-INT(#REF!)&gt;0,TRUE,FALSE)</formula>
    </cfRule>
  </conditionalFormatting>
  <conditionalFormatting sqref="D12">
    <cfRule type="cellIs" dxfId="158" priority="25" stopIfTrue="1" operator="equal">
      <formula>"NO ADMISIBLE"</formula>
    </cfRule>
  </conditionalFormatting>
  <conditionalFormatting sqref="E12">
    <cfRule type="expression" dxfId="157" priority="26" stopIfTrue="1">
      <formula>IF(#REF!-INT(#REF!)&gt;0,TRUE,FALSE)</formula>
    </cfRule>
  </conditionalFormatting>
  <conditionalFormatting sqref="D13">
    <cfRule type="cellIs" dxfId="156" priority="22" stopIfTrue="1" operator="equal">
      <formula>"NO ADMISIBLE"</formula>
    </cfRule>
  </conditionalFormatting>
  <conditionalFormatting sqref="E13">
    <cfRule type="expression" dxfId="155" priority="23" stopIfTrue="1">
      <formula>IF(#REF!-INT(#REF!)&gt;0,TRUE,FALSE)</formula>
    </cfRule>
  </conditionalFormatting>
  <conditionalFormatting sqref="D14">
    <cfRule type="cellIs" dxfId="154" priority="19" stopIfTrue="1" operator="equal">
      <formula>"NO ADMISIBLE"</formula>
    </cfRule>
  </conditionalFormatting>
  <conditionalFormatting sqref="E14:F14 F12:F15 F17">
    <cfRule type="expression" dxfId="153" priority="20" stopIfTrue="1">
      <formula>IF(#REF!-INT(#REF!)&gt;0,TRUE,FALSE)</formula>
    </cfRule>
  </conditionalFormatting>
  <conditionalFormatting sqref="D15">
    <cfRule type="cellIs" dxfId="152" priority="16" stopIfTrue="1" operator="equal">
      <formula>"NO ADMISIBLE"</formula>
    </cfRule>
  </conditionalFormatting>
  <conditionalFormatting sqref="E15">
    <cfRule type="expression" dxfId="151" priority="17" stopIfTrue="1">
      <formula>IF(#REF!-INT(#REF!)&gt;0,TRUE,FALSE)</formula>
    </cfRule>
  </conditionalFormatting>
  <conditionalFormatting sqref="D17:D19">
    <cfRule type="cellIs" dxfId="150" priority="13" stopIfTrue="1" operator="equal">
      <formula>"NO ADMISIBLE"</formula>
    </cfRule>
  </conditionalFormatting>
  <conditionalFormatting sqref="E17:E19">
    <cfRule type="expression" dxfId="149" priority="14" stopIfTrue="1">
      <formula>IF(#REF!-INT(#REF!)&gt;0,TRUE,FALSE)</formula>
    </cfRule>
  </conditionalFormatting>
  <conditionalFormatting sqref="D20">
    <cfRule type="cellIs" dxfId="148" priority="10" stopIfTrue="1" operator="equal">
      <formula>"NO ADMISIBLE"</formula>
    </cfRule>
  </conditionalFormatting>
  <conditionalFormatting sqref="E20">
    <cfRule type="expression" dxfId="147" priority="11" stopIfTrue="1">
      <formula>IF(#REF!-INT(#REF!)&gt;0,TRUE,FALSE)</formula>
    </cfRule>
  </conditionalFormatting>
  <conditionalFormatting sqref="F18:F19">
    <cfRule type="expression" dxfId="146" priority="8067" stopIfTrue="1">
      <formula>IF(#REF!-INT(#REF!)&gt;0,TRUE,FALSE)</formula>
    </cfRule>
  </conditionalFormatting>
  <conditionalFormatting sqref="E9">
    <cfRule type="expression" dxfId="145" priority="6" stopIfTrue="1">
      <formula>IF(#REF!-INT(#REF!)&gt;0,TRUE,FALSE)</formula>
    </cfRule>
  </conditionalFormatting>
  <conditionalFormatting sqref="F9">
    <cfRule type="expression" dxfId="144" priority="5" stopIfTrue="1">
      <formula>IF(#REF!-INT(#REF!)&gt;0,TRUE,FALSE)</formula>
    </cfRule>
  </conditionalFormatting>
  <conditionalFormatting sqref="F20">
    <cfRule type="expression" dxfId="143" priority="4" stopIfTrue="1">
      <formula>IF(#REF!-INT(#REF!)&gt;0,TRUE,FALSE)</formula>
    </cfRule>
  </conditionalFormatting>
  <conditionalFormatting sqref="F16">
    <cfRule type="expression" dxfId="142" priority="3" stopIfTrue="1">
      <formula>IF(#REF!-INT(#REF!)&gt;0,TRUE,FALSE)</formula>
    </cfRule>
  </conditionalFormatting>
  <conditionalFormatting sqref="D16">
    <cfRule type="cellIs" dxfId="141" priority="1" stopIfTrue="1" operator="equal">
      <formula>"NO ADMISIBLE"</formula>
    </cfRule>
  </conditionalFormatting>
  <conditionalFormatting sqref="E16">
    <cfRule type="expression" dxfId="140" priority="2" stopIfTrue="1">
      <formula>IF(#REF!-INT(#REF!)&gt;0,TRUE,FALSE)</formula>
    </cfRule>
  </conditionalFormatting>
  <dataValidations count="1">
    <dataValidation type="list" allowBlank="1" showInputMessage="1" showErrorMessage="1" sqref="D6 D9:D20" xr:uid="{00000000-0002-0000-05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MacroCT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0"/>
  <dimension ref="C2:M20"/>
  <sheetViews>
    <sheetView topLeftCell="A6" workbookViewId="0">
      <selection activeCell="E27" sqref="E27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6" width="18.7109375" style="136" customWidth="1"/>
    <col min="7" max="7" width="14.7109375" style="136" bestFit="1" customWidth="1"/>
    <col min="8" max="8" width="42.42578125" style="136" customWidth="1"/>
    <col min="9" max="9" width="11.42578125" style="149"/>
    <col min="10" max="10" width="13.85546875" style="161" customWidth="1"/>
    <col min="11" max="11" width="9.7109375" style="162" customWidth="1"/>
    <col min="12" max="12" width="12.5703125" style="149" customWidth="1"/>
    <col min="13" max="13" width="12.7109375" style="149" customWidth="1"/>
    <col min="14" max="16384" width="11.42578125" style="149"/>
  </cols>
  <sheetData>
    <row r="2" spans="3:13" s="151" customFormat="1" ht="20.25" customHeight="1" x14ac:dyDescent="0.2">
      <c r="C2" s="317" t="s">
        <v>196</v>
      </c>
      <c r="D2" s="317"/>
      <c r="E2" s="317"/>
      <c r="F2" s="317"/>
      <c r="G2" s="317"/>
      <c r="H2" s="317"/>
      <c r="J2" s="152"/>
      <c r="K2" s="153"/>
    </row>
    <row r="3" spans="3:13" s="151" customFormat="1" ht="18" customHeight="1" x14ac:dyDescent="0.2">
      <c r="C3" s="318" t="s">
        <v>210</v>
      </c>
      <c r="D3" s="318"/>
      <c r="E3" s="318"/>
      <c r="F3" s="318"/>
      <c r="G3" s="318"/>
      <c r="H3" s="318"/>
      <c r="J3" s="152"/>
      <c r="K3" s="153"/>
    </row>
    <row r="4" spans="3:13" s="151" customFormat="1" ht="13.5" customHeight="1" x14ac:dyDescent="0.2">
      <c r="C4" s="319" t="str">
        <f>'Capacidad Financiera'!B4</f>
        <v>DIRECCIÓN TERRITORIAL MAGDALENA</v>
      </c>
      <c r="D4" s="319"/>
      <c r="E4" s="319"/>
      <c r="F4" s="319"/>
      <c r="G4" s="319"/>
      <c r="H4" s="319"/>
      <c r="J4" s="152"/>
      <c r="K4" s="153"/>
    </row>
    <row r="5" spans="3:13" s="151" customFormat="1" ht="13.5" customHeight="1" x14ac:dyDescent="0.2">
      <c r="C5" s="319" t="s">
        <v>217</v>
      </c>
      <c r="D5" s="319"/>
      <c r="E5" s="319"/>
      <c r="F5" s="319"/>
      <c r="G5" s="319"/>
      <c r="H5" s="319"/>
      <c r="J5" s="152"/>
      <c r="K5" s="153"/>
    </row>
    <row r="6" spans="3:13" s="151" customFormat="1" ht="14.25" thickBot="1" x14ac:dyDescent="0.25">
      <c r="C6" s="154"/>
      <c r="D6" s="155"/>
      <c r="E6" s="159"/>
      <c r="F6" s="159"/>
      <c r="G6" s="159"/>
      <c r="H6" s="159"/>
      <c r="J6" s="152"/>
      <c r="K6" s="153"/>
    </row>
    <row r="7" spans="3:13" ht="43.5" customHeight="1" x14ac:dyDescent="0.2">
      <c r="C7" s="326" t="s">
        <v>157</v>
      </c>
      <c r="D7" s="328" t="s">
        <v>156</v>
      </c>
      <c r="E7" s="330" t="s">
        <v>218</v>
      </c>
      <c r="F7" s="332" t="s">
        <v>219</v>
      </c>
      <c r="G7" s="332" t="s">
        <v>220</v>
      </c>
      <c r="H7" s="191" t="s">
        <v>217</v>
      </c>
    </row>
    <row r="8" spans="3:13" ht="84.75" customHeight="1" thickBot="1" x14ac:dyDescent="0.25">
      <c r="C8" s="327"/>
      <c r="D8" s="329"/>
      <c r="E8" s="331"/>
      <c r="F8" s="333"/>
      <c r="G8" s="333"/>
      <c r="H8" s="193" t="s">
        <v>221</v>
      </c>
    </row>
    <row r="9" spans="3:13" hidden="1" x14ac:dyDescent="0.2">
      <c r="C9" s="92">
        <f>+'Capacidad Financiera'!B12</f>
        <v>1</v>
      </c>
      <c r="D9" s="93" t="str">
        <f>IF(ISERROR(VLOOKUP(C9,'Capacidad Financiera'!$B$12:$Z$59141,2,0)),"",VLOOKUP(C9,'Capacidad Financiera'!$B$12:$Z$59141,2,0))</f>
        <v>COBOL</v>
      </c>
      <c r="E9" s="194">
        <f>E10+E11</f>
        <v>143619247</v>
      </c>
      <c r="F9" s="194">
        <f>F10+F11</f>
        <v>4050000</v>
      </c>
      <c r="G9" s="229">
        <f t="shared" ref="G9" si="0">IF(OR(D9="",E9="",F9=""),"",IF(OR(E9=0,F9=0),0,E9/F9))</f>
        <v>35.4615424691358</v>
      </c>
      <c r="H9" s="229">
        <f>IF(OR(D9="",E9="",F9=""),"",IF(AND(G9&gt;0,G9&lt;=CapFinanciera1),Puntajes!$D$12,IF(AND(G9&gt;CapFinanciera1,G9&lt;=CapFinanciera2),Puntajes!$D$13,IF(AND(G9&gt;CapFinanciera2,G9&lt;=CapFinanciera3),Puntajes!$D$14,IF(AND(G9&gt;CapFinanciera3,G9&lt;=CapFinanciera4),Puntajes!$D$15,IF(G9&gt;CapFinanciera4,Puntajes!$D$16,0))))))</f>
        <v>40</v>
      </c>
      <c r="J9" s="163"/>
      <c r="K9" s="164"/>
      <c r="L9" s="150"/>
      <c r="M9" s="165"/>
    </row>
    <row r="10" spans="3:13" hidden="1" x14ac:dyDescent="0.2">
      <c r="C10" s="227">
        <f>+'Capacidad Financiera'!B13</f>
        <v>1.1000000000000001</v>
      </c>
      <c r="D10" s="128" t="str">
        <f>IF(ISERROR(VLOOKUP(C10,'Capacidad Financiera'!$B$12:$Z$59141,2,0)),"",VLOOKUP(C10,'Capacidad Financiera'!$B$12:$Z$59141,2,0))</f>
        <v>COOTRASCIBOL</v>
      </c>
      <c r="E10" s="195">
        <f>IF(OR(C10="",D10=""),"",IF(ISERROR(VLOOKUP(D10,'Capacidad Financiera'!$C$13:$Z$59141,3,0)),"",VLOOKUP(D10,'Capacidad Financiera'!$C$13:$Z$59141,3,0)))</f>
        <v>43190000</v>
      </c>
      <c r="F10" s="195">
        <f>IF(OR(C10="",D10=""),"",IF(ISERROR(VLOOKUP(D10,'Capacidad Financiera'!$C$13:$Z$59141,5,0)),"",VLOOKUP(D10,'Capacidad Financiera'!$C$13:$Z$59141,5,0)))</f>
        <v>550000</v>
      </c>
      <c r="G10" s="195"/>
      <c r="H10" s="195"/>
    </row>
    <row r="11" spans="3:13" hidden="1" x14ac:dyDescent="0.2">
      <c r="C11" s="227">
        <f>+'Capacidad Financiera'!B14</f>
        <v>1.2</v>
      </c>
      <c r="D11" s="128" t="str">
        <f>IF(ISERROR(VLOOKUP(C11,'Capacidad Financiera'!$B$12:$Z$59141,2,0)),"",VLOOKUP(C11,'Capacidad Financiera'!$B$12:$Z$59141,2,0))</f>
        <v>COOTRASERVIM</v>
      </c>
      <c r="E11" s="195">
        <f>IF(OR(C11="",D11=""),"",IF(ISERROR(VLOOKUP(D11,'Capacidad Financiera'!$C$13:$Z$59141,3,0)),"",VLOOKUP(D11,'Capacidad Financiera'!$C$13:$Z$59141,3,0)))</f>
        <v>100429247</v>
      </c>
      <c r="F11" s="195">
        <f>IF(OR(C11="",D11=""),"",IF(ISERROR(VLOOKUP(D11,'Capacidad Financiera'!$C$13:$Z$59141,5,0)),"",VLOOKUP(D11,'Capacidad Financiera'!$C$13:$Z$59141,5,0)))</f>
        <v>3500000</v>
      </c>
      <c r="G11" s="195"/>
      <c r="H11" s="195"/>
    </row>
    <row r="12" spans="3:13" hidden="1" x14ac:dyDescent="0.2">
      <c r="C12" s="228">
        <v>2</v>
      </c>
      <c r="D12" s="129" t="str">
        <f>IF(ISERROR(VLOOKUP(C12,'Capacidad Financiera'!$B$12:$Z$59141,2,0)),"",VLOOKUP(C12,'Capacidad Financiera'!$B$12:$Z$59141,2,0))</f>
        <v>COOTRAVAR</v>
      </c>
      <c r="E12" s="229">
        <f>IF(OR(C12="",D12=""),"",IF(ISERROR(VLOOKUP(D12,'Capacidad Financiera'!$C$13:$Z$59141,3,0)),"",VLOOKUP(D12,'Capacidad Financiera'!$C$13:$Z$59141,3,0)))</f>
        <v>28500000</v>
      </c>
      <c r="F12" s="229">
        <f>IF(OR(C12="",D12=""),"",IF(ISERROR(VLOOKUP(D12,'Capacidad Financiera'!$C$13:$Z$59141,5,0)),"",VLOOKUP(D12,'Capacidad Financiera'!$C$13:$Z$59141,5,0)))</f>
        <v>9000000</v>
      </c>
      <c r="G12" s="229">
        <f>IF(OR(D12="",E12="",F12=""),"",IF(OR(E12=0,F12=0),0,E12/F12))</f>
        <v>3.1666666666666665</v>
      </c>
      <c r="H12" s="229">
        <f>IF(OR(D12="",E12="",F12=""),"",IF(AND(G12&gt;0,G12&lt;=CapFinanciera1),Puntajes!$D$12,IF(AND(G12&gt;CapFinanciera1,G12&lt;=CapFinanciera2),Puntajes!$D$13,IF(AND(G12&gt;CapFinanciera2,G12&lt;=CapFinanciera3),Puntajes!$D$14,IF(AND(G12&gt;CapFinanciera3,G12&lt;=CapFinanciera4),Puntajes!$D$15,IF(G12&gt;CapFinanciera4,Puntajes!$D$16,0))))))</f>
        <v>40</v>
      </c>
    </row>
    <row r="13" spans="3:13" hidden="1" x14ac:dyDescent="0.2">
      <c r="C13" s="228">
        <v>3</v>
      </c>
      <c r="D13" s="129" t="str">
        <f>IF(ISERROR(VLOOKUP(C13,'Capacidad Financiera'!$B$12:$Z$59141,2,0)),"",VLOOKUP(C13,'Capacidad Financiera'!$B$12:$Z$59141,2,0))</f>
        <v>MANTENIMIENTO VIAL JJ S.A.S</v>
      </c>
      <c r="E13" s="195">
        <f>IF(OR(C13="",D13=""),"",IF(ISERROR(VLOOKUP(D13,'Capacidad Financiera'!$C$13:$Z$59141,3,0)),"",VLOOKUP(D13,'Capacidad Financiera'!$C$13:$Z$59141,3,0)))</f>
        <v>1000000</v>
      </c>
      <c r="F13" s="195">
        <f>IF(OR(C13="",D13=""),"",IF(ISERROR(VLOOKUP(D13,'Capacidad Financiera'!$C$13:$Z$59141,5,0)),"",VLOOKUP(D13,'Capacidad Financiera'!$C$13:$Z$59141,5,0)))</f>
        <v>1</v>
      </c>
      <c r="G13" s="195">
        <f>IF(OR(D13="",E13="",F13=""),"",IF(OR(E13=0,F13=0),0,E13/F13))</f>
        <v>1000000</v>
      </c>
      <c r="H13" s="195">
        <f>IF(OR(D13="",E13="",F13=""),"",IF(AND(G13&gt;0,G13&lt;=CapFinanciera1),Puntajes!$D$12,IF(AND(G13&gt;CapFinanciera1,G13&lt;=CapFinanciera2),Puntajes!$D$13,IF(AND(G13&gt;CapFinanciera2,G13&lt;=CapFinanciera3),Puntajes!$D$14,IF(AND(G13&gt;CapFinanciera3,G13&lt;=CapFinanciera4),Puntajes!$D$15,IF(G13&gt;CapFinanciera4,Puntajes!$D$16,0))))))</f>
        <v>40</v>
      </c>
    </row>
    <row r="14" spans="3:13" x14ac:dyDescent="0.2">
      <c r="C14" s="228">
        <v>4</v>
      </c>
      <c r="D14" s="129" t="str">
        <f>IF(ISERROR(VLOOKUP(C14,'Capacidad Financiera'!$B$12:$Z$59141,2,0)),"",VLOOKUP(C14,'Capacidad Financiera'!$B$12:$Z$59141,2,0))</f>
        <v>COOTRASIERRA</v>
      </c>
      <c r="E14" s="229">
        <f>IF(OR(C14="",D14=""),"",IF(ISERROR(VLOOKUP(D14,'Capacidad Financiera'!$C$13:$Z$59141,3,0)),"",VLOOKUP(D14,'Capacidad Financiera'!$C$13:$Z$59141,3,0)))</f>
        <v>14517343</v>
      </c>
      <c r="F14" s="229">
        <f>IF(OR(C14="",D14=""),"",IF(ISERROR(VLOOKUP(D14,'Capacidad Financiera'!$C$13:$Z$59141,5,0)),"",VLOOKUP(D14,'Capacidad Financiera'!$C$13:$Z$59141,5,0)))</f>
        <v>11955171</v>
      </c>
      <c r="G14" s="229">
        <f t="shared" ref="G14" si="1">IF(OR(D14="",E14="",F14=""),"",IF(OR(E14=0,F14=0),0,E14/F14))</f>
        <v>1.2143149604468226</v>
      </c>
      <c r="H14" s="229">
        <f>IF(OR(D14="",E14="",F14=""),"",IF(AND(G14&gt;0,G14&lt;=CapFinanciera1),Puntajes!$D$12,IF(AND(G14&gt;CapFinanciera1,G14&lt;=CapFinanciera2),Puntajes!$D$13,IF(AND(G14&gt;CapFinanciera2,G14&lt;=CapFinanciera3),Puntajes!$D$14,IF(AND(G14&gt;CapFinanciera3,G14&lt;=CapFinanciera4),Puntajes!$D$15,IF(G14&gt;CapFinanciera4,Puntajes!$D$16,0))))))</f>
        <v>35</v>
      </c>
    </row>
    <row r="15" spans="3:13" ht="25.5" hidden="1" x14ac:dyDescent="0.2">
      <c r="C15" s="228">
        <v>5</v>
      </c>
      <c r="D15" s="129" t="str">
        <f>IF(ISERROR(VLOOKUP(C15,'Capacidad Financiera'!$B$12:$Z$59141,2,0)),"",VLOOKUP(C15,'Capacidad Financiera'!$B$12:$Z$59141,2,0))</f>
        <v>COOPERATIVA DE TRABAJO ASOCIADO DE SALAMINA</v>
      </c>
      <c r="E15" s="229">
        <f>IF(OR(C15="",D15=""),"",IF(ISERROR(VLOOKUP(D15,'Capacidad Financiera'!$C$13:$Z$59141,3,0)),"",VLOOKUP(D15,'Capacidad Financiera'!$C$13:$Z$59141,3,0)))</f>
        <v>80545000</v>
      </c>
      <c r="F15" s="229">
        <f>IF(OR(C15="",D15=""),"",IF(ISERROR(VLOOKUP(D15,'Capacidad Financiera'!$C$13:$Z$59141,5,0)),"",VLOOKUP(D15,'Capacidad Financiera'!$C$13:$Z$59141,5,0)))</f>
        <v>19027700</v>
      </c>
      <c r="G15" s="229">
        <f t="shared" ref="G15:G16" si="2">IF(OR(D15="",E15="",F15=""),"",IF(OR(E15=0,F15=0),0,E15/F15))</f>
        <v>4.2330392007441784</v>
      </c>
      <c r="H15" s="229">
        <f>IF(OR(D15="",E15="",F15=""),"",IF(AND(G15&gt;0,G15&lt;=CapFinanciera1),Puntajes!$D$12,IF(AND(G15&gt;CapFinanciera1,G15&lt;=CapFinanciera2),Puntajes!$D$13,IF(AND(G15&gt;CapFinanciera2,G15&lt;=CapFinanciera3),Puntajes!$D$14,IF(AND(G15&gt;CapFinanciera3,G15&lt;=CapFinanciera4),Puntajes!$D$15,IF(G15&gt;CapFinanciera4,Puntajes!$D$16,0))))))</f>
        <v>40</v>
      </c>
    </row>
    <row r="16" spans="3:13" hidden="1" x14ac:dyDescent="0.2">
      <c r="C16" s="228">
        <v>6</v>
      </c>
      <c r="D16" s="129" t="str">
        <f>IF(ISERROR(VLOOKUP(C16,'Capacidad Financiera'!$B$12:$Z$59141,2,0)),"",VLOOKUP(C16,'Capacidad Financiera'!$B$12:$Z$59141,2,0))</f>
        <v>COOTENEGRAN</v>
      </c>
      <c r="E16" s="229">
        <f>IF(OR(C16="",D16=""),"",IF(ISERROR(VLOOKUP(D16,'Capacidad Financiera'!$C$13:$Z$59141,3,0)),"",VLOOKUP(D16,'Capacidad Financiera'!$C$13:$Z$59141,3,0)))</f>
        <v>75397300</v>
      </c>
      <c r="F16" s="229">
        <f>IF(OR(C16="",D16=""),"",IF(ISERROR(VLOOKUP(D16,'Capacidad Financiera'!$C$13:$Z$59141,5,0)),"",VLOOKUP(D16,'Capacidad Financiera'!$C$13:$Z$59141,5,0)))</f>
        <v>11415012</v>
      </c>
      <c r="G16" s="229">
        <f t="shared" si="2"/>
        <v>6.6051003713355714</v>
      </c>
      <c r="H16" s="229">
        <f>IF(OR(D16="",E16="",F16=""),"",IF(AND(G16&gt;0,G16&lt;=CapFinanciera1),Puntajes!$D$12,IF(AND(G16&gt;CapFinanciera1,G16&lt;=CapFinanciera2),Puntajes!$D$13,IF(AND(G16&gt;CapFinanciera2,G16&lt;=CapFinanciera3),Puntajes!$D$14,IF(AND(G16&gt;CapFinanciera3,G16&lt;=CapFinanciera4),Puntajes!$D$15,IF(G16&gt;CapFinanciera4,Puntajes!$D$16,0))))))</f>
        <v>40</v>
      </c>
    </row>
    <row r="17" spans="3:8" x14ac:dyDescent="0.2">
      <c r="C17" s="228">
        <v>7</v>
      </c>
      <c r="D17" s="129" t="str">
        <f>IF(ISERROR(VLOOKUP(C17,'Capacidad Financiera'!$B$12:$Z$59141,2,0)),"",VLOOKUP(C17,'Capacidad Financiera'!$B$12:$Z$59141,2,0))</f>
        <v>CONSORCIO MV MAGDALENA 2019</v>
      </c>
      <c r="E17" s="229">
        <f>E18+E19</f>
        <v>45861110790</v>
      </c>
      <c r="F17" s="229">
        <f>F18+F19</f>
        <v>477423700</v>
      </c>
      <c r="G17" s="229">
        <f>IF(OR(D17="",E17="",F17=""),"",IF(OR(E17=0,F17=0),0,E17/F17))</f>
        <v>96.059560491027156</v>
      </c>
      <c r="H17" s="229">
        <f>IF(OR(D17="",E17="",F17=""),"",IF(AND(G17&gt;0,G17&lt;=CapFinanciera1),Puntajes!$D$12,IF(AND(G17&gt;CapFinanciera1,G17&lt;=CapFinanciera2),Puntajes!$D$13,IF(AND(G17&gt;CapFinanciera2,G17&lt;=CapFinanciera3),Puntajes!$D$14,IF(AND(G17&gt;CapFinanciera3,G17&lt;=CapFinanciera4),Puntajes!$D$15,IF(G17&gt;CapFinanciera4,Puntajes!$D$16,0))))))</f>
        <v>40</v>
      </c>
    </row>
    <row r="18" spans="3:8" x14ac:dyDescent="0.2">
      <c r="C18" s="227">
        <f>+'Capacidad Financiera'!B21</f>
        <v>7.1</v>
      </c>
      <c r="D18" s="128" t="str">
        <f>IF(ISERROR(VLOOKUP(C18,'Capacidad Financiera'!$B$12:$Z$59141,2,0)),"",VLOOKUP(C18,'Capacidad Financiera'!$B$12:$Z$59141,2,0))</f>
        <v>CIVILTEC S.A.S</v>
      </c>
      <c r="E18" s="195">
        <f>IF(OR(C18="",D18=""),"",IF(ISERROR(VLOOKUP(D18,'Capacidad Financiera'!$C$13:$Z$59141,3,0)),"",VLOOKUP(D18,'Capacidad Financiera'!$C$13:$Z$59141,3,0)))</f>
        <v>43155662890</v>
      </c>
      <c r="F18" s="195">
        <f>IF(OR(C18="",D18=""),"",IF(ISERROR(VLOOKUP(D18,'Capacidad Financiera'!$C$13:$Z$59141,5,0)),"",VLOOKUP(D18,'Capacidad Financiera'!$C$13:$Z$59141,5,0)))</f>
        <v>386823300</v>
      </c>
      <c r="G18" s="195"/>
      <c r="H18" s="230"/>
    </row>
    <row r="19" spans="3:8" x14ac:dyDescent="0.2">
      <c r="C19" s="227">
        <f>+'Capacidad Financiera'!B22</f>
        <v>7.2</v>
      </c>
      <c r="D19" s="128" t="str">
        <f>IF(ISERROR(VLOOKUP(C19,'Capacidad Financiera'!$B$12:$Z$59141,2,0)),"",VLOOKUP(C19,'Capacidad Financiera'!$B$12:$Z$59141,2,0))</f>
        <v>BGDSA S.A.S</v>
      </c>
      <c r="E19" s="195">
        <f>IF(OR(C19="",D19=""),"",IF(ISERROR(VLOOKUP(D19,'Capacidad Financiera'!$C$13:$Z$59141,3,0)),"",VLOOKUP(D19,'Capacidad Financiera'!$C$13:$Z$59141,3,0)))</f>
        <v>2705447900</v>
      </c>
      <c r="F19" s="195">
        <f>IF(OR(C19="",D19=""),"",IF(ISERROR(VLOOKUP(D19,'Capacidad Financiera'!$C$13:$Z$59141,5,0)),"",VLOOKUP(D19,'Capacidad Financiera'!$C$13:$Z$59141,5,0)))</f>
        <v>90600400</v>
      </c>
      <c r="G19" s="195"/>
      <c r="H19" s="230"/>
    </row>
    <row r="20" spans="3:8" hidden="1" x14ac:dyDescent="0.2">
      <c r="C20" s="228">
        <v>8</v>
      </c>
      <c r="D20" s="129" t="str">
        <f>IF(ISERROR(VLOOKUP(C20,'Capacidad Financiera'!$B$12:$Z$59141,2,0)),"",VLOOKUP(C20,'Capacidad Financiera'!$B$12:$Z$59141,2,0))</f>
        <v>COOPIRAGUA</v>
      </c>
      <c r="E20" s="229">
        <f>IF(OR(C20="",D20=""),"",IF(ISERROR(VLOOKUP(D20,'Capacidad Financiera'!$C$13:$Z$59141,3,0)),"",VLOOKUP(D20,'Capacidad Financiera'!$C$13:$Z$59141,3,0)))</f>
        <v>9000000</v>
      </c>
      <c r="F20" s="229">
        <f>IF(OR(C20="",D20=""),"",IF(ISERROR(VLOOKUP(D20,'Capacidad Financiera'!$C$13:$Z$59141,5,0)),"",VLOOKUP(D20,'Capacidad Financiera'!$C$13:$Z$59141,5,0)))</f>
        <v>2000000</v>
      </c>
      <c r="G20" s="229">
        <f>IF(OR(D20="",E20="",F20=""),"",IF(OR(E20=0,F20=0),0,E20/F20))</f>
        <v>4.5</v>
      </c>
      <c r="H20" s="229">
        <f>IF(OR(D20="",E20="",F20=""),"",IF(AND(G20&gt;0,G20&lt;=CapFinanciera1),Puntajes!$D$12,IF(AND(G20&gt;CapFinanciera1,G20&lt;=CapFinanciera2),Puntajes!$D$13,IF(AND(G20&gt;CapFinanciera2,G20&lt;=CapFinanciera3),Puntajes!$D$14,IF(AND(G20&gt;CapFinanciera3,G20&lt;=CapFinanciera4),Puntajes!$D$15,IF(G20&gt;CapFinanciera4,Puntajes!$D$16,0))))))</f>
        <v>40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E7:E8"/>
    <mergeCell ref="F7:F8"/>
    <mergeCell ref="G7:G8"/>
    <mergeCell ref="C2:H2"/>
    <mergeCell ref="C3:H3"/>
    <mergeCell ref="C4:H4"/>
    <mergeCell ref="C5:H5"/>
    <mergeCell ref="C7:C8"/>
    <mergeCell ref="D7:D8"/>
  </mergeCells>
  <conditionalFormatting sqref="D9:D11 D6:H6">
    <cfRule type="cellIs" dxfId="139" priority="546" stopIfTrue="1" operator="equal">
      <formula>"NO ADMISIBLE"</formula>
    </cfRule>
  </conditionalFormatting>
  <conditionalFormatting sqref="E10:G10">
    <cfRule type="expression" dxfId="138" priority="540" stopIfTrue="1">
      <formula>IF($B2-INT($B2)&gt;0,TRUE,FALSE)</formula>
    </cfRule>
  </conditionalFormatting>
  <conditionalFormatting sqref="E9:F9">
    <cfRule type="expression" dxfId="137" priority="547" stopIfTrue="1">
      <formula>IF(#REF!-INT(#REF!)&gt;0,TRUE,FALSE)</formula>
    </cfRule>
  </conditionalFormatting>
  <conditionalFormatting sqref="E11:G11 E13:F13 H10:H11 H13">
    <cfRule type="expression" dxfId="136" priority="3052" stopIfTrue="1">
      <formula>IF($B4-INT($B4)&gt;0,TRUE,FALSE)</formula>
    </cfRule>
  </conditionalFormatting>
  <conditionalFormatting sqref="D12">
    <cfRule type="cellIs" dxfId="135" priority="53" stopIfTrue="1" operator="equal">
      <formula>"NO ADMISIBLE"</formula>
    </cfRule>
  </conditionalFormatting>
  <conditionalFormatting sqref="D13">
    <cfRule type="cellIs" dxfId="134" priority="47" stopIfTrue="1" operator="equal">
      <formula>"NO ADMISIBLE"</formula>
    </cfRule>
  </conditionalFormatting>
  <conditionalFormatting sqref="D17:D19">
    <cfRule type="cellIs" dxfId="133" priority="29" stopIfTrue="1" operator="equal">
      <formula>"NO ADMISIBLE"</formula>
    </cfRule>
  </conditionalFormatting>
  <conditionalFormatting sqref="E18:G18">
    <cfRule type="expression" dxfId="132" priority="27" stopIfTrue="1">
      <formula>IF(#REF!-INT(#REF!)&gt;0,TRUE,FALSE)</formula>
    </cfRule>
  </conditionalFormatting>
  <conditionalFormatting sqref="E17:F17">
    <cfRule type="expression" dxfId="131" priority="30" stopIfTrue="1">
      <formula>IF(#REF!-INT(#REF!)&gt;0,TRUE,FALSE)</formula>
    </cfRule>
  </conditionalFormatting>
  <conditionalFormatting sqref="E19:G19">
    <cfRule type="expression" dxfId="130" priority="31" stopIfTrue="1">
      <formula>IF(#REF!-INT(#REF!)&gt;0,TRUE,FALSE)</formula>
    </cfRule>
  </conditionalFormatting>
  <conditionalFormatting sqref="D20">
    <cfRule type="cellIs" dxfId="129" priority="23" stopIfTrue="1" operator="equal">
      <formula>"NO ADMISIBLE"</formula>
    </cfRule>
  </conditionalFormatting>
  <conditionalFormatting sqref="G13">
    <cfRule type="expression" dxfId="128" priority="20" stopIfTrue="1">
      <formula>IF($B7-INT($B7)&gt;0,TRUE,FALSE)</formula>
    </cfRule>
  </conditionalFormatting>
  <conditionalFormatting sqref="G17:H17 H18:H20">
    <cfRule type="expression" dxfId="127" priority="18" stopIfTrue="1">
      <formula>IF(#REF!-INT(#REF!)&gt;0,TRUE,FALSE)</formula>
    </cfRule>
  </conditionalFormatting>
  <conditionalFormatting sqref="E20:F20">
    <cfRule type="expression" dxfId="126" priority="16" stopIfTrue="1">
      <formula>IF(#REF!-INT(#REF!)&gt;0,TRUE,FALSE)</formula>
    </cfRule>
  </conditionalFormatting>
  <conditionalFormatting sqref="G20">
    <cfRule type="expression" dxfId="125" priority="15" stopIfTrue="1">
      <formula>IF(#REF!-INT(#REF!)&gt;0,TRUE,FALSE)</formula>
    </cfRule>
  </conditionalFormatting>
  <conditionalFormatting sqref="G9:H9">
    <cfRule type="expression" dxfId="124" priority="13" stopIfTrue="1">
      <formula>IF(#REF!-INT(#REF!)&gt;0,TRUE,FALSE)</formula>
    </cfRule>
  </conditionalFormatting>
  <conditionalFormatting sqref="E12:F12">
    <cfRule type="expression" dxfId="123" priority="11" stopIfTrue="1">
      <formula>IF(#REF!-INT(#REF!)&gt;0,TRUE,FALSE)</formula>
    </cfRule>
  </conditionalFormatting>
  <conditionalFormatting sqref="G12:H12">
    <cfRule type="expression" dxfId="122" priority="10" stopIfTrue="1">
      <formula>IF(#REF!-INT(#REF!)&gt;0,TRUE,FALSE)</formula>
    </cfRule>
  </conditionalFormatting>
  <conditionalFormatting sqref="D14">
    <cfRule type="cellIs" dxfId="121" priority="9" stopIfTrue="1" operator="equal">
      <formula>"NO ADMISIBLE"</formula>
    </cfRule>
  </conditionalFormatting>
  <conditionalFormatting sqref="E14:F14">
    <cfRule type="expression" dxfId="120" priority="8" stopIfTrue="1">
      <formula>IF(#REF!-INT(#REF!)&gt;0,TRUE,FALSE)</formula>
    </cfRule>
  </conditionalFormatting>
  <conditionalFormatting sqref="G14:H14">
    <cfRule type="expression" dxfId="119" priority="7" stopIfTrue="1">
      <formula>IF(#REF!-INT(#REF!)&gt;0,TRUE,FALSE)</formula>
    </cfRule>
  </conditionalFormatting>
  <conditionalFormatting sqref="D15">
    <cfRule type="cellIs" dxfId="118" priority="6" stopIfTrue="1" operator="equal">
      <formula>"NO ADMISIBLE"</formula>
    </cfRule>
  </conditionalFormatting>
  <conditionalFormatting sqref="E15:F16">
    <cfRule type="expression" dxfId="117" priority="5" stopIfTrue="1">
      <formula>IF(#REF!-INT(#REF!)&gt;0,TRUE,FALSE)</formula>
    </cfRule>
  </conditionalFormatting>
  <conditionalFormatting sqref="G15:H15 G16">
    <cfRule type="expression" dxfId="116" priority="4" stopIfTrue="1">
      <formula>IF(#REF!-INT(#REF!)&gt;0,TRUE,FALSE)</formula>
    </cfRule>
  </conditionalFormatting>
  <conditionalFormatting sqref="D16">
    <cfRule type="cellIs" dxfId="115" priority="3" stopIfTrue="1" operator="equal">
      <formula>"NO ADMISIBLE"</formula>
    </cfRule>
  </conditionalFormatting>
  <conditionalFormatting sqref="H16">
    <cfRule type="expression" dxfId="114" priority="1" stopIfTrue="1">
      <formula>IF(#REF!-INT(#REF!)&gt;0,TRUE,FALSE)</formula>
    </cfRule>
  </conditionalFormatting>
  <dataValidations count="1">
    <dataValidation type="list" allowBlank="1" showInputMessage="1" showErrorMessage="1" sqref="D6 D9:D20" xr:uid="{00000000-0002-0000-06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CF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C2:J20"/>
  <sheetViews>
    <sheetView workbookViewId="0">
      <selection activeCell="I17" sqref="I17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34.140625" style="149" customWidth="1"/>
    <col min="5" max="5" width="42" style="136" customWidth="1"/>
    <col min="6" max="6" width="11.42578125" style="149"/>
    <col min="7" max="7" width="13.85546875" style="161" customWidth="1"/>
    <col min="8" max="8" width="9.7109375" style="162" customWidth="1"/>
    <col min="9" max="9" width="12.5703125" style="149" customWidth="1"/>
    <col min="10" max="10" width="12.7109375" style="149" customWidth="1"/>
    <col min="11" max="16384" width="11.42578125" style="149"/>
  </cols>
  <sheetData>
    <row r="2" spans="3:10" s="151" customFormat="1" ht="20.25" customHeight="1" x14ac:dyDescent="0.2">
      <c r="C2" s="317" t="s">
        <v>196</v>
      </c>
      <c r="D2" s="317"/>
      <c r="E2" s="317"/>
      <c r="G2" s="152"/>
      <c r="H2" s="153"/>
    </row>
    <row r="3" spans="3:10" s="151" customFormat="1" ht="18" customHeight="1" x14ac:dyDescent="0.2">
      <c r="C3" s="318" t="s">
        <v>210</v>
      </c>
      <c r="D3" s="318"/>
      <c r="E3" s="318"/>
      <c r="G3" s="152"/>
      <c r="H3" s="153"/>
    </row>
    <row r="4" spans="3:10" s="151" customFormat="1" ht="13.5" customHeight="1" x14ac:dyDescent="0.2">
      <c r="C4" s="319" t="str">
        <f>'Capacidad Financiera'!B4</f>
        <v>DIRECCIÓN TERRITORIAL MAGDALENA</v>
      </c>
      <c r="D4" s="319"/>
      <c r="E4" s="319"/>
      <c r="G4" s="152"/>
      <c r="H4" s="153"/>
    </row>
    <row r="5" spans="3:10" s="151" customFormat="1" ht="13.5" customHeight="1" x14ac:dyDescent="0.2">
      <c r="C5" s="319" t="s">
        <v>222</v>
      </c>
      <c r="D5" s="319"/>
      <c r="E5" s="319"/>
      <c r="G5" s="152"/>
      <c r="H5" s="153"/>
    </row>
    <row r="6" spans="3:10" s="151" customFormat="1" ht="14.25" thickBot="1" x14ac:dyDescent="0.25">
      <c r="C6" s="154"/>
      <c r="D6" s="155"/>
      <c r="E6" s="159"/>
      <c r="G6" s="152"/>
      <c r="H6" s="153"/>
    </row>
    <row r="7" spans="3:10" ht="36" customHeight="1" x14ac:dyDescent="0.2">
      <c r="C7" s="326" t="s">
        <v>157</v>
      </c>
      <c r="D7" s="328" t="s">
        <v>156</v>
      </c>
      <c r="E7" s="334" t="s">
        <v>223</v>
      </c>
    </row>
    <row r="8" spans="3:10" ht="36" customHeight="1" thickBot="1" x14ac:dyDescent="0.25">
      <c r="C8" s="327"/>
      <c r="D8" s="329"/>
      <c r="E8" s="335"/>
    </row>
    <row r="9" spans="3:10" hidden="1" x14ac:dyDescent="0.2">
      <c r="C9" s="92">
        <f>+'Capacidad Financiera'!B12</f>
        <v>1</v>
      </c>
      <c r="D9" s="93" t="str">
        <f>IF(ISERROR(VLOOKUP(C9,'Capacidad Financiera'!$B$12:$Z$59141,2,0)),"",VLOOKUP(C9,'Capacidad Financiera'!$B$12:$Z$59141,2,0))</f>
        <v>COBOL</v>
      </c>
      <c r="E9" s="234">
        <f>E10+E11</f>
        <v>41591666.859999999</v>
      </c>
      <c r="G9" s="163"/>
      <c r="H9" s="164"/>
      <c r="I9" s="150"/>
      <c r="J9" s="165"/>
    </row>
    <row r="10" spans="3:10" hidden="1" x14ac:dyDescent="0.2">
      <c r="C10" s="97">
        <f>+'Capacidad Financiera'!B13</f>
        <v>1.1000000000000001</v>
      </c>
      <c r="D10" s="128" t="str">
        <f>IF(ISERROR(VLOOKUP(C10,'Capacidad Financiera'!$B$12:$Z$59141,2,0)),"",VLOOKUP(C10,'Capacidad Financiera'!$B$12:$Z$59141,2,0))</f>
        <v>COOTRASCIBOL</v>
      </c>
      <c r="E10" s="235">
        <v>29166666.859999999</v>
      </c>
    </row>
    <row r="11" spans="3:10" ht="13.5" hidden="1" thickBot="1" x14ac:dyDescent="0.25">
      <c r="C11" s="97">
        <f>+'Capacidad Financiera'!B14</f>
        <v>1.2</v>
      </c>
      <c r="D11" s="128" t="str">
        <f>IF(ISERROR(VLOOKUP(C11,'Capacidad Financiera'!$B$12:$Z$59141,2,0)),"",VLOOKUP(C11,'Capacidad Financiera'!$B$12:$Z$59141,2,0))</f>
        <v>COOTRASERVIM</v>
      </c>
      <c r="E11" s="235">
        <v>12425000</v>
      </c>
    </row>
    <row r="12" spans="3:10" ht="13.5" hidden="1" thickBot="1" x14ac:dyDescent="0.25">
      <c r="C12" s="92">
        <v>2</v>
      </c>
      <c r="D12" s="93" t="str">
        <f>IF(ISERROR(VLOOKUP(C12,'Capacidad Financiera'!$B$12:$Z$59141,2,0)),"",VLOOKUP(C12,'Capacidad Financiera'!$B$12:$Z$59141,2,0))</f>
        <v>COOTRAVAR</v>
      </c>
      <c r="E12" s="234">
        <v>0</v>
      </c>
    </row>
    <row r="13" spans="3:10" ht="13.5" hidden="1" thickBot="1" x14ac:dyDescent="0.25">
      <c r="C13" s="92">
        <v>3</v>
      </c>
      <c r="D13" s="93" t="str">
        <f>IF(ISERROR(VLOOKUP(C13,'Capacidad Financiera'!$B$12:$Z$59141,2,0)),"",VLOOKUP(C13,'Capacidad Financiera'!$B$12:$Z$59141,2,0))</f>
        <v>MANTENIMIENTO VIAL JJ S.A.S</v>
      </c>
      <c r="E13" s="234">
        <v>104008595.29000001</v>
      </c>
    </row>
    <row r="14" spans="3:10" ht="13.5" thickBot="1" x14ac:dyDescent="0.25">
      <c r="C14" s="92">
        <v>4</v>
      </c>
      <c r="D14" s="93" t="str">
        <f>IF(ISERROR(VLOOKUP(C14,'Capacidad Financiera'!$B$12:$Z$59141,2,0)),"",VLOOKUP(C14,'Capacidad Financiera'!$B$12:$Z$59141,2,0))</f>
        <v>COOTRASIERRA</v>
      </c>
      <c r="E14" s="234">
        <v>40107663.560000002</v>
      </c>
    </row>
    <row r="15" spans="3:10" ht="26.25" hidden="1" thickBot="1" x14ac:dyDescent="0.25">
      <c r="C15" s="92">
        <v>5</v>
      </c>
      <c r="D15" s="93" t="str">
        <f>IF(ISERROR(VLOOKUP(C15,'Capacidad Financiera'!$B$12:$Z$59141,2,0)),"",VLOOKUP(C15,'Capacidad Financiera'!$B$12:$Z$59141,2,0))</f>
        <v>COOPERATIVA DE TRABAJO ASOCIADO DE SALAMINA</v>
      </c>
      <c r="E15" s="234">
        <v>35825453.810000002</v>
      </c>
    </row>
    <row r="16" spans="3:10" ht="13.5" hidden="1" thickBot="1" x14ac:dyDescent="0.25">
      <c r="C16" s="92">
        <v>6</v>
      </c>
      <c r="D16" s="93" t="str">
        <f>IF(ISERROR(VLOOKUP(C16,'Capacidad Financiera'!$B$12:$Z$59141,2,0)),"",VLOOKUP(C16,'Capacidad Financiera'!$B$12:$Z$59141,2,0))</f>
        <v>COOTENEGRAN</v>
      </c>
      <c r="E16" s="234">
        <v>41359634</v>
      </c>
    </row>
    <row r="17" spans="3:5" x14ac:dyDescent="0.2">
      <c r="C17" s="92">
        <v>7</v>
      </c>
      <c r="D17" s="93" t="str">
        <f>IF(ISERROR(VLOOKUP(C17,'Capacidad Financiera'!$B$12:$Z$59141,2,0)),"",VLOOKUP(C17,'Capacidad Financiera'!$B$12:$Z$59141,2,0))</f>
        <v>CONSORCIO MV MAGDALENA 2019</v>
      </c>
      <c r="E17" s="234">
        <v>0</v>
      </c>
    </row>
    <row r="18" spans="3:5" x14ac:dyDescent="0.2">
      <c r="C18" s="97">
        <f>+'Capacidad Financiera'!B21</f>
        <v>7.1</v>
      </c>
      <c r="D18" s="128" t="str">
        <f>IF(ISERROR(VLOOKUP(C18,'Capacidad Financiera'!$B$12:$Z$59141,2,0)),"",VLOOKUP(C18,'Capacidad Financiera'!$B$12:$Z$59141,2,0))</f>
        <v>CIVILTEC S.A.S</v>
      </c>
      <c r="E18" s="235">
        <v>0</v>
      </c>
    </row>
    <row r="19" spans="3:5" x14ac:dyDescent="0.2">
      <c r="C19" s="97">
        <f>+'Capacidad Financiera'!B22</f>
        <v>7.2</v>
      </c>
      <c r="D19" s="128" t="str">
        <f>IF(ISERROR(VLOOKUP(C19,'Capacidad Financiera'!$B$12:$Z$59141,2,0)),"",VLOOKUP(C19,'Capacidad Financiera'!$B$12:$Z$59141,2,0))</f>
        <v>BGDSA S.A.S</v>
      </c>
      <c r="E19" s="235">
        <v>0</v>
      </c>
    </row>
    <row r="20" spans="3:5" hidden="1" x14ac:dyDescent="0.2">
      <c r="C20" s="92">
        <v>8</v>
      </c>
      <c r="D20" s="93" t="str">
        <f>IF(ISERROR(VLOOKUP(C20,'Capacidad Financiera'!$B$12:$Z$59141,2,0)),"",VLOOKUP(C20,'Capacidad Financiera'!$B$12:$Z$59141,2,0))</f>
        <v>COOPIRAGUA</v>
      </c>
      <c r="E20" s="234">
        <v>0</v>
      </c>
    </row>
  </sheetData>
  <sheetProtection formatCells="0" formatColumns="0" formatRows="0" insertColumns="0" insertRows="0" insertHyperlinks="0" deleteColumns="0" deleteRows="0" sort="0" autoFilter="0" pivotTables="0"/>
  <mergeCells count="7">
    <mergeCell ref="E7:E8"/>
    <mergeCell ref="C2:E2"/>
    <mergeCell ref="C3:E3"/>
    <mergeCell ref="C4:E4"/>
    <mergeCell ref="C5:E5"/>
    <mergeCell ref="C7:C8"/>
    <mergeCell ref="D7:D8"/>
  </mergeCells>
  <conditionalFormatting sqref="D9:D11 D6:E6">
    <cfRule type="cellIs" dxfId="113" priority="533" stopIfTrue="1" operator="equal">
      <formula>"NO ADMISIBLE"</formula>
    </cfRule>
  </conditionalFormatting>
  <conditionalFormatting sqref="E10">
    <cfRule type="expression" dxfId="112" priority="527" stopIfTrue="1">
      <formula>IF($B2-INT($B2)&gt;0,TRUE,FALSE)</formula>
    </cfRule>
  </conditionalFormatting>
  <conditionalFormatting sqref="E9">
    <cfRule type="expression" dxfId="111" priority="534" stopIfTrue="1">
      <formula>IF(#REF!-INT(#REF!)&gt;0,TRUE,FALSE)</formula>
    </cfRule>
  </conditionalFormatting>
  <conditionalFormatting sqref="E11">
    <cfRule type="expression" dxfId="110" priority="3042" stopIfTrue="1">
      <formula>IF($B5-INT($B5)&gt;0,TRUE,FALSE)</formula>
    </cfRule>
  </conditionalFormatting>
  <conditionalFormatting sqref="D12">
    <cfRule type="cellIs" dxfId="109" priority="36" stopIfTrue="1" operator="equal">
      <formula>"NO ADMISIBLE"</formula>
    </cfRule>
  </conditionalFormatting>
  <conditionalFormatting sqref="E12">
    <cfRule type="expression" dxfId="108" priority="37" stopIfTrue="1">
      <formula>IF(#REF!-INT(#REF!)&gt;0,TRUE,FALSE)</formula>
    </cfRule>
  </conditionalFormatting>
  <conditionalFormatting sqref="D13">
    <cfRule type="cellIs" dxfId="107" priority="30" stopIfTrue="1" operator="equal">
      <formula>"NO ADMISIBLE"</formula>
    </cfRule>
  </conditionalFormatting>
  <conditionalFormatting sqref="E13">
    <cfRule type="expression" dxfId="106" priority="31" stopIfTrue="1">
      <formula>IF(#REF!-INT(#REF!)&gt;0,TRUE,FALSE)</formula>
    </cfRule>
  </conditionalFormatting>
  <conditionalFormatting sqref="D14">
    <cfRule type="cellIs" dxfId="105" priority="24" stopIfTrue="1" operator="equal">
      <formula>"NO ADMISIBLE"</formula>
    </cfRule>
  </conditionalFormatting>
  <conditionalFormatting sqref="D15">
    <cfRule type="cellIs" dxfId="104" priority="18" stopIfTrue="1" operator="equal">
      <formula>"NO ADMISIBLE"</formula>
    </cfRule>
  </conditionalFormatting>
  <conditionalFormatting sqref="E15">
    <cfRule type="expression" dxfId="103" priority="19" stopIfTrue="1">
      <formula>IF(#REF!-INT(#REF!)&gt;0,TRUE,FALSE)</formula>
    </cfRule>
  </conditionalFormatting>
  <conditionalFormatting sqref="D17:D19">
    <cfRule type="cellIs" dxfId="102" priority="12" stopIfTrue="1" operator="equal">
      <formula>"NO ADMISIBLE"</formula>
    </cfRule>
  </conditionalFormatting>
  <conditionalFormatting sqref="E18">
    <cfRule type="expression" dxfId="101" priority="10" stopIfTrue="1">
      <formula>IF(#REF!-INT(#REF!)&gt;0,TRUE,FALSE)</formula>
    </cfRule>
  </conditionalFormatting>
  <conditionalFormatting sqref="E17">
    <cfRule type="expression" dxfId="100" priority="13" stopIfTrue="1">
      <formula>IF(#REF!-INT(#REF!)&gt;0,TRUE,FALSE)</formula>
    </cfRule>
  </conditionalFormatting>
  <conditionalFormatting sqref="E19">
    <cfRule type="expression" dxfId="99" priority="14" stopIfTrue="1">
      <formula>IF(#REF!-INT(#REF!)&gt;0,TRUE,FALSE)</formula>
    </cfRule>
  </conditionalFormatting>
  <conditionalFormatting sqref="D20">
    <cfRule type="cellIs" dxfId="98" priority="6" stopIfTrue="1" operator="equal">
      <formula>"NO ADMISIBLE"</formula>
    </cfRule>
  </conditionalFormatting>
  <conditionalFormatting sqref="E20">
    <cfRule type="expression" dxfId="97" priority="7" stopIfTrue="1">
      <formula>IF(#REF!-INT(#REF!)&gt;0,TRUE,FALSE)</formula>
    </cfRule>
  </conditionalFormatting>
  <conditionalFormatting sqref="E14">
    <cfRule type="expression" dxfId="96" priority="3" stopIfTrue="1">
      <formula>IF(#REF!-INT(#REF!)&gt;0,TRUE,FALSE)</formula>
    </cfRule>
  </conditionalFormatting>
  <conditionalFormatting sqref="D16">
    <cfRule type="cellIs" dxfId="95" priority="1" stopIfTrue="1" operator="equal">
      <formula>"NO ADMISIBLE"</formula>
    </cfRule>
  </conditionalFormatting>
  <conditionalFormatting sqref="E16">
    <cfRule type="expression" dxfId="94" priority="2" stopIfTrue="1">
      <formula>IF(#REF!-INT(#REF!)&gt;0,TRUE,FALSE)</formula>
    </cfRule>
  </conditionalFormatting>
  <dataValidations count="1">
    <dataValidation type="list" allowBlank="1" showInputMessage="1" showErrorMessage="1" sqref="D6 D9:D20" xr:uid="{00000000-0002-0000-07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SaldoContratos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C2:J20"/>
  <sheetViews>
    <sheetView workbookViewId="0">
      <selection activeCell="D27" sqref="D27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35.140625" style="149" customWidth="1"/>
    <col min="5" max="5" width="68.140625" style="136" customWidth="1"/>
    <col min="6" max="6" width="11.42578125" style="149"/>
    <col min="7" max="7" width="13.85546875" style="161" customWidth="1"/>
    <col min="8" max="8" width="9.7109375" style="162" customWidth="1"/>
    <col min="9" max="9" width="12.5703125" style="149" customWidth="1"/>
    <col min="10" max="10" width="12.7109375" style="149" customWidth="1"/>
    <col min="11" max="16384" width="11.42578125" style="149"/>
  </cols>
  <sheetData>
    <row r="2" spans="3:10" s="151" customFormat="1" ht="20.25" customHeight="1" x14ac:dyDescent="0.2">
      <c r="C2" s="317" t="s">
        <v>196</v>
      </c>
      <c r="D2" s="317"/>
      <c r="E2" s="317"/>
      <c r="G2" s="152"/>
      <c r="H2" s="153"/>
    </row>
    <row r="3" spans="3:10" s="151" customFormat="1" ht="18" customHeight="1" x14ac:dyDescent="0.2">
      <c r="C3" s="318" t="s">
        <v>210</v>
      </c>
      <c r="D3" s="318"/>
      <c r="E3" s="318"/>
      <c r="G3" s="152"/>
      <c r="H3" s="153"/>
    </row>
    <row r="4" spans="3:10" s="151" customFormat="1" ht="13.5" customHeight="1" x14ac:dyDescent="0.2">
      <c r="C4" s="319" t="str">
        <f>'Capacidad Financiera'!B4</f>
        <v>DIRECCIÓN TERRITORIAL MAGDALENA</v>
      </c>
      <c r="D4" s="319"/>
      <c r="E4" s="319"/>
      <c r="G4" s="152"/>
      <c r="H4" s="153"/>
    </row>
    <row r="5" spans="3:10" s="151" customFormat="1" ht="13.5" customHeight="1" x14ac:dyDescent="0.2">
      <c r="C5" s="319" t="s">
        <v>224</v>
      </c>
      <c r="D5" s="319"/>
      <c r="E5" s="319"/>
      <c r="G5" s="152"/>
      <c r="H5" s="153"/>
    </row>
    <row r="6" spans="3:10" s="151" customFormat="1" ht="14.25" thickBot="1" x14ac:dyDescent="0.25">
      <c r="C6" s="154"/>
      <c r="D6" s="155"/>
      <c r="E6" s="159"/>
      <c r="G6" s="152"/>
      <c r="H6" s="153"/>
    </row>
    <row r="7" spans="3:10" ht="23.25" customHeight="1" x14ac:dyDescent="0.2">
      <c r="C7" s="326" t="s">
        <v>157</v>
      </c>
      <c r="D7" s="328" t="s">
        <v>156</v>
      </c>
      <c r="E7" s="191" t="s">
        <v>225</v>
      </c>
    </row>
    <row r="8" spans="3:10" ht="66" customHeight="1" thickBot="1" x14ac:dyDescent="0.25">
      <c r="C8" s="327"/>
      <c r="D8" s="329"/>
      <c r="E8" s="198" t="s">
        <v>229</v>
      </c>
    </row>
    <row r="9" spans="3:10" hidden="1" x14ac:dyDescent="0.2">
      <c r="C9" s="92">
        <f>+'Capacidad Financiera'!B12</f>
        <v>1</v>
      </c>
      <c r="D9" s="93" t="str">
        <f>IF(ISERROR(VLOOKUP(C9,'Capacidad Financiera'!$B$12:$Z$59141,2,0)),"",VLOOKUP(C9,'Capacidad Financiera'!$B$12:$Z$59141,2,0))</f>
        <v>COBOL</v>
      </c>
      <c r="E9" s="188">
        <f>E10+E11</f>
        <v>693052300</v>
      </c>
      <c r="G9" s="163"/>
      <c r="H9" s="164"/>
      <c r="I9" s="150"/>
      <c r="J9" s="165"/>
    </row>
    <row r="10" spans="3:10" hidden="1" x14ac:dyDescent="0.2">
      <c r="C10" s="97">
        <f>+'Capacidad Financiera'!B13</f>
        <v>1.1000000000000001</v>
      </c>
      <c r="D10" s="128" t="str">
        <f>IF(ISERROR(VLOOKUP(C10,'Capacidad Financiera'!$B$12:$Z$59141,2,0)),"",VLOOKUP(C10,'Capacidad Financiera'!$B$12:$Z$59141,2,0))</f>
        <v>COOTRASCIBOL</v>
      </c>
      <c r="E10" s="199">
        <v>195180000</v>
      </c>
    </row>
    <row r="11" spans="3:10" ht="13.5" hidden="1" thickBot="1" x14ac:dyDescent="0.25">
      <c r="C11" s="97">
        <f>+'Capacidad Financiera'!B14</f>
        <v>1.2</v>
      </c>
      <c r="D11" s="128" t="str">
        <f>IF(ISERROR(VLOOKUP(C11,'Capacidad Financiera'!$B$12:$Z$59141,2,0)),"",VLOOKUP(C11,'Capacidad Financiera'!$B$12:$Z$59141,2,0))</f>
        <v>COOTRASERVIM</v>
      </c>
      <c r="E11" s="199">
        <v>497872300</v>
      </c>
    </row>
    <row r="12" spans="3:10" ht="13.5" hidden="1" thickBot="1" x14ac:dyDescent="0.25">
      <c r="C12" s="92">
        <v>2</v>
      </c>
      <c r="D12" s="93" t="str">
        <f>IF(ISERROR(VLOOKUP(C12,'Capacidad Financiera'!$B$12:$Z$59141,2,0)),"",VLOOKUP(C12,'Capacidad Financiera'!$B$12:$Z$59141,2,0))</f>
        <v>COOTRAVAR</v>
      </c>
      <c r="E12" s="188">
        <v>377079000</v>
      </c>
    </row>
    <row r="13" spans="3:10" ht="13.5" hidden="1" thickBot="1" x14ac:dyDescent="0.25">
      <c r="C13" s="92">
        <v>3</v>
      </c>
      <c r="D13" s="93" t="str">
        <f>IF(ISERROR(VLOOKUP(C13,'Capacidad Financiera'!$B$12:$Z$59141,2,0)),"",VLOOKUP(C13,'Capacidad Financiera'!$B$12:$Z$59141,2,0))</f>
        <v>MANTENIMIENTO VIAL JJ S.A.S</v>
      </c>
      <c r="E13" s="188">
        <v>377079000</v>
      </c>
    </row>
    <row r="14" spans="3:10" ht="13.5" thickBot="1" x14ac:dyDescent="0.25">
      <c r="C14" s="92">
        <v>4</v>
      </c>
      <c r="D14" s="93" t="str">
        <f>IF(ISERROR(VLOOKUP(C14,'Capacidad Financiera'!$B$12:$Z$59141,2,0)),"",VLOOKUP(C14,'Capacidad Financiera'!$B$12:$Z$59141,2,0))</f>
        <v>COOTRASIERRA</v>
      </c>
      <c r="E14" s="188">
        <v>699890900</v>
      </c>
    </row>
    <row r="15" spans="3:10" ht="26.25" hidden="1" thickBot="1" x14ac:dyDescent="0.25">
      <c r="C15" s="92">
        <v>5</v>
      </c>
      <c r="D15" s="93" t="str">
        <f>IF(ISERROR(VLOOKUP(C15,'Capacidad Financiera'!$B$12:$Z$59141,2,0)),"",VLOOKUP(C15,'Capacidad Financiera'!$B$12:$Z$59141,2,0))</f>
        <v>COOPERATIVA DE TRABAJO ASOCIADO DE SALAMINA</v>
      </c>
      <c r="E15" s="188">
        <v>323184000</v>
      </c>
    </row>
    <row r="16" spans="3:10" ht="13.5" hidden="1" thickBot="1" x14ac:dyDescent="0.25">
      <c r="C16" s="92">
        <v>6</v>
      </c>
      <c r="D16" s="93" t="str">
        <f>IF(ISERROR(VLOOKUP(C16,'Capacidad Financiera'!$B$12:$Z$59141,2,0)),"",VLOOKUP(C16,'Capacidad Financiera'!$B$12:$Z$59141,2,0))</f>
        <v>COOTENEGRAN</v>
      </c>
      <c r="E16" s="188">
        <v>377079000</v>
      </c>
    </row>
    <row r="17" spans="3:5" x14ac:dyDescent="0.2">
      <c r="C17" s="92">
        <v>7</v>
      </c>
      <c r="D17" s="93" t="str">
        <f>IF(ISERROR(VLOOKUP(C17,'Capacidad Financiera'!$B$12:$Z$59141,2,0)),"",VLOOKUP(C17,'Capacidad Financiera'!$B$12:$Z$59141,2,0))</f>
        <v>CONSORCIO MV MAGDALENA 2019</v>
      </c>
      <c r="E17" s="188">
        <f>E18+E19</f>
        <v>21081259087</v>
      </c>
    </row>
    <row r="18" spans="3:5" x14ac:dyDescent="0.2">
      <c r="C18" s="97">
        <f>+'Capacidad Financiera'!B21</f>
        <v>7.1</v>
      </c>
      <c r="D18" s="128" t="str">
        <f>IF(ISERROR(VLOOKUP(C18,'Capacidad Financiera'!$B$12:$Z$59141,2,0)),"",VLOOKUP(C18,'Capacidad Financiera'!$B$12:$Z$59141,2,0))</f>
        <v>CIVILTEC S.A.S</v>
      </c>
      <c r="E18" s="199">
        <v>16756459087</v>
      </c>
    </row>
    <row r="19" spans="3:5" x14ac:dyDescent="0.2">
      <c r="C19" s="97">
        <f>+'Capacidad Financiera'!B22</f>
        <v>7.2</v>
      </c>
      <c r="D19" s="128" t="str">
        <f>IF(ISERROR(VLOOKUP(C19,'Capacidad Financiera'!$B$12:$Z$59141,2,0)),"",VLOOKUP(C19,'Capacidad Financiera'!$B$12:$Z$59141,2,0))</f>
        <v>BGDSA S.A.S</v>
      </c>
      <c r="E19" s="199">
        <v>4324800000</v>
      </c>
    </row>
    <row r="20" spans="3:5" hidden="1" x14ac:dyDescent="0.2">
      <c r="C20" s="92">
        <v>8</v>
      </c>
      <c r="D20" s="93" t="str">
        <f>IF(ISERROR(VLOOKUP(C20,'Capacidad Financiera'!$B$12:$Z$59141,2,0)),"",VLOOKUP(C20,'Capacidad Financiera'!$B$12:$Z$59141,2,0))</f>
        <v>COOPIRAGUA</v>
      </c>
      <c r="E20" s="188">
        <v>377079000</v>
      </c>
    </row>
  </sheetData>
  <sheetProtection formatCells="0" formatColumns="0" formatRows="0" insertColumns="0" insertRows="0" insertHyperlinks="0" deleteColumns="0" deleteRows="0" sort="0" autoFilter="0" pivotTables="0"/>
  <mergeCells count="6">
    <mergeCell ref="C2:E2"/>
    <mergeCell ref="C3:E3"/>
    <mergeCell ref="C4:E4"/>
    <mergeCell ref="C5:E5"/>
    <mergeCell ref="C7:C8"/>
    <mergeCell ref="D7:D8"/>
  </mergeCells>
  <conditionalFormatting sqref="D9:D11 D6:E6">
    <cfRule type="cellIs" dxfId="93" priority="372" stopIfTrue="1" operator="equal">
      <formula>"NO ADMISIBLE"</formula>
    </cfRule>
  </conditionalFormatting>
  <conditionalFormatting sqref="E10">
    <cfRule type="expression" dxfId="92" priority="366" stopIfTrue="1">
      <formula>IF($B2-INT($B2)&gt;0,TRUE,FALSE)</formula>
    </cfRule>
  </conditionalFormatting>
  <conditionalFormatting sqref="E9">
    <cfRule type="expression" dxfId="91" priority="373" stopIfTrue="1">
      <formula>IF(#REF!-INT(#REF!)&gt;0,TRUE,FALSE)</formula>
    </cfRule>
  </conditionalFormatting>
  <conditionalFormatting sqref="E11">
    <cfRule type="expression" dxfId="90" priority="356" stopIfTrue="1">
      <formula>IF($B3-INT($B3)&gt;0,TRUE,FALSE)</formula>
    </cfRule>
  </conditionalFormatting>
  <conditionalFormatting sqref="D12">
    <cfRule type="cellIs" dxfId="89" priority="29" stopIfTrue="1" operator="equal">
      <formula>"NO ADMISIBLE"</formula>
    </cfRule>
  </conditionalFormatting>
  <conditionalFormatting sqref="D13">
    <cfRule type="cellIs" dxfId="88" priority="25" stopIfTrue="1" operator="equal">
      <formula>"NO ADMISIBLE"</formula>
    </cfRule>
  </conditionalFormatting>
  <conditionalFormatting sqref="E19">
    <cfRule type="expression" dxfId="87" priority="24" stopIfTrue="1">
      <formula>IF(#REF!-INT(#REF!)&gt;0,TRUE,FALSE)</formula>
    </cfRule>
  </conditionalFormatting>
  <conditionalFormatting sqref="D14">
    <cfRule type="cellIs" dxfId="86" priority="21" stopIfTrue="1" operator="equal">
      <formula>"NO ADMISIBLE"</formula>
    </cfRule>
  </conditionalFormatting>
  <conditionalFormatting sqref="E14">
    <cfRule type="expression" dxfId="85" priority="22" stopIfTrue="1">
      <formula>IF(#REF!-INT(#REF!)&gt;0,TRUE,FALSE)</formula>
    </cfRule>
  </conditionalFormatting>
  <conditionalFormatting sqref="D15">
    <cfRule type="cellIs" dxfId="84" priority="17" stopIfTrue="1" operator="equal">
      <formula>"NO ADMISIBLE"</formula>
    </cfRule>
  </conditionalFormatting>
  <conditionalFormatting sqref="E15">
    <cfRule type="expression" dxfId="83" priority="18" stopIfTrue="1">
      <formula>IF(#REF!-INT(#REF!)&gt;0,TRUE,FALSE)</formula>
    </cfRule>
  </conditionalFormatting>
  <conditionalFormatting sqref="D17:D19">
    <cfRule type="cellIs" dxfId="82" priority="13" stopIfTrue="1" operator="equal">
      <formula>"NO ADMISIBLE"</formula>
    </cfRule>
  </conditionalFormatting>
  <conditionalFormatting sqref="E18">
    <cfRule type="expression" dxfId="81" priority="12" stopIfTrue="1">
      <formula>IF(#REF!-INT(#REF!)&gt;0,TRUE,FALSE)</formula>
    </cfRule>
  </conditionalFormatting>
  <conditionalFormatting sqref="D20">
    <cfRule type="cellIs" dxfId="80" priority="9" stopIfTrue="1" operator="equal">
      <formula>"NO ADMISIBLE"</formula>
    </cfRule>
  </conditionalFormatting>
  <conditionalFormatting sqref="E20">
    <cfRule type="expression" dxfId="79" priority="10" stopIfTrue="1">
      <formula>IF(#REF!-INT(#REF!)&gt;0,TRUE,FALSE)</formula>
    </cfRule>
  </conditionalFormatting>
  <conditionalFormatting sqref="E17">
    <cfRule type="expression" dxfId="78" priority="6" stopIfTrue="1">
      <formula>IF(#REF!-INT(#REF!)&gt;0,TRUE,FALSE)</formula>
    </cfRule>
  </conditionalFormatting>
  <conditionalFormatting sqref="E12">
    <cfRule type="expression" dxfId="77" priority="5" stopIfTrue="1">
      <formula>IF(#REF!-INT(#REF!)&gt;0,TRUE,FALSE)</formula>
    </cfRule>
  </conditionalFormatting>
  <conditionalFormatting sqref="E13">
    <cfRule type="expression" dxfId="76" priority="3" stopIfTrue="1">
      <formula>IF(#REF!-INT(#REF!)&gt;0,TRUE,FALSE)</formula>
    </cfRule>
  </conditionalFormatting>
  <conditionalFormatting sqref="D16">
    <cfRule type="cellIs" dxfId="75" priority="1" stopIfTrue="1" operator="equal">
      <formula>"NO ADMISIBLE"</formula>
    </cfRule>
  </conditionalFormatting>
  <conditionalFormatting sqref="E16">
    <cfRule type="expression" dxfId="74" priority="2" stopIfTrue="1">
      <formula>IF(#REF!-INT(#REF!)&gt;0,TRUE,FALSE)</formula>
    </cfRule>
  </conditionalFormatting>
  <dataValidations count="1">
    <dataValidation type="list" allowBlank="1" showInputMessage="1" showErrorMessage="1" sqref="D6 D9:D20" xr:uid="{00000000-0002-0000-08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CapOrganizacion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7"/>
  <dimension ref="C2:X21"/>
  <sheetViews>
    <sheetView workbookViewId="0">
      <selection activeCell="F19" sqref="F19"/>
    </sheetView>
  </sheetViews>
  <sheetFormatPr baseColWidth="10" defaultRowHeight="12.75" x14ac:dyDescent="0.2"/>
  <cols>
    <col min="1" max="1" width="11.42578125" style="149" customWidth="1"/>
    <col min="2" max="2" width="11.28515625" style="149" customWidth="1"/>
    <col min="3" max="3" width="3.85546875" style="149" customWidth="1"/>
    <col min="4" max="4" width="29.42578125" style="149" customWidth="1"/>
    <col min="5" max="5" width="11.5703125" style="149" customWidth="1"/>
    <col min="6" max="6" width="3.85546875" style="149" customWidth="1"/>
    <col min="7" max="7" width="17" style="149" customWidth="1"/>
    <col min="8" max="8" width="15.5703125" style="149" customWidth="1"/>
    <col min="9" max="9" width="3.7109375" style="149" customWidth="1"/>
    <col min="10" max="10" width="29" style="149" customWidth="1"/>
    <col min="11" max="11" width="16.5703125" style="136" customWidth="1"/>
    <col min="12" max="12" width="14.5703125" style="136" customWidth="1"/>
    <col min="13" max="13" width="8.85546875" style="136" hidden="1" customWidth="1"/>
    <col min="14" max="14" width="14.5703125" style="136" hidden="1" customWidth="1"/>
    <col min="15" max="15" width="13.140625" style="136" customWidth="1"/>
    <col min="16" max="16" width="13.85546875" style="136" bestFit="1" customWidth="1"/>
    <col min="17" max="17" width="20.7109375" style="136" customWidth="1"/>
    <col min="18" max="18" width="26.42578125" style="136" customWidth="1"/>
    <col min="19" max="19" width="29.42578125" style="149" customWidth="1"/>
    <col min="20" max="20" width="11.42578125" style="149"/>
    <col min="21" max="21" width="18.140625" style="161" customWidth="1"/>
    <col min="22" max="22" width="9.7109375" style="162" customWidth="1"/>
    <col min="23" max="23" width="12.5703125" style="149" customWidth="1"/>
    <col min="24" max="24" width="12.7109375" style="149" customWidth="1"/>
    <col min="25" max="16384" width="11.42578125" style="149"/>
  </cols>
  <sheetData>
    <row r="2" spans="3:24" s="151" customFormat="1" ht="20.25" customHeight="1" x14ac:dyDescent="0.2">
      <c r="C2" s="317" t="s">
        <v>196</v>
      </c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U2" s="152"/>
      <c r="V2" s="153"/>
    </row>
    <row r="3" spans="3:24" s="151" customFormat="1" ht="18" customHeight="1" x14ac:dyDescent="0.2">
      <c r="C3" s="318" t="s">
        <v>210</v>
      </c>
      <c r="D3" s="318"/>
      <c r="E3" s="318"/>
      <c r="F3" s="318"/>
      <c r="G3" s="318"/>
      <c r="H3" s="318"/>
      <c r="I3" s="318"/>
      <c r="J3" s="318"/>
      <c r="K3" s="318"/>
      <c r="L3" s="318"/>
      <c r="M3" s="318"/>
      <c r="N3" s="318"/>
      <c r="O3" s="318"/>
      <c r="P3" s="318"/>
      <c r="Q3" s="318"/>
      <c r="R3" s="318"/>
      <c r="S3" s="318"/>
      <c r="U3" s="152"/>
      <c r="V3" s="153"/>
    </row>
    <row r="4" spans="3:24" s="151" customFormat="1" ht="13.5" customHeight="1" x14ac:dyDescent="0.2">
      <c r="C4" s="319" t="str">
        <f>'Capacidad Financiera'!B4</f>
        <v>DIRECCIÓN TERRITORIAL MAGDALENA</v>
      </c>
      <c r="D4" s="319"/>
      <c r="E4" s="319"/>
      <c r="F4" s="319"/>
      <c r="G4" s="319"/>
      <c r="H4" s="319"/>
      <c r="I4" s="319"/>
      <c r="J4" s="319"/>
      <c r="K4" s="319"/>
      <c r="L4" s="319"/>
      <c r="M4" s="319"/>
      <c r="N4" s="319"/>
      <c r="O4" s="319"/>
      <c r="P4" s="319"/>
      <c r="Q4" s="319"/>
      <c r="R4" s="319"/>
      <c r="S4" s="319"/>
      <c r="U4" s="152"/>
      <c r="V4" s="153"/>
    </row>
    <row r="5" spans="3:24" s="151" customFormat="1" ht="13.5" customHeight="1" x14ac:dyDescent="0.2">
      <c r="C5" s="319" t="s">
        <v>197</v>
      </c>
      <c r="D5" s="319"/>
      <c r="E5" s="319"/>
      <c r="F5" s="319"/>
      <c r="G5" s="319"/>
      <c r="H5" s="319"/>
      <c r="I5" s="319"/>
      <c r="J5" s="319"/>
      <c r="K5" s="319"/>
      <c r="L5" s="319"/>
      <c r="M5" s="319"/>
      <c r="N5" s="319"/>
      <c r="O5" s="319"/>
      <c r="P5" s="319"/>
      <c r="Q5" s="319"/>
      <c r="R5" s="319"/>
      <c r="S5" s="319"/>
      <c r="U5" s="152"/>
      <c r="V5" s="153"/>
    </row>
    <row r="6" spans="3:24" s="151" customFormat="1" ht="14.25" thickBot="1" x14ac:dyDescent="0.25">
      <c r="C6" s="154"/>
      <c r="D6" s="155"/>
      <c r="E6" s="156"/>
      <c r="F6" s="156"/>
      <c r="G6" s="157"/>
      <c r="H6" s="157"/>
      <c r="I6" s="157"/>
      <c r="J6" s="158"/>
      <c r="L6" s="159"/>
      <c r="M6" s="159"/>
      <c r="N6" s="159"/>
      <c r="O6" s="159"/>
      <c r="P6" s="159"/>
      <c r="Q6" s="159"/>
      <c r="R6" s="159"/>
      <c r="S6" s="160"/>
      <c r="U6" s="152"/>
      <c r="V6" s="153"/>
    </row>
    <row r="7" spans="3:24" ht="54" customHeight="1" x14ac:dyDescent="0.2">
      <c r="C7" s="336" t="s">
        <v>157</v>
      </c>
      <c r="D7" s="339" t="s">
        <v>156</v>
      </c>
      <c r="E7" s="88" t="s">
        <v>201</v>
      </c>
      <c r="F7" s="344" t="s">
        <v>162</v>
      </c>
      <c r="G7" s="88" t="s">
        <v>188</v>
      </c>
      <c r="H7" s="88" t="s">
        <v>189</v>
      </c>
      <c r="I7" s="347" t="s">
        <v>1</v>
      </c>
      <c r="J7" s="124" t="s">
        <v>190</v>
      </c>
      <c r="K7" s="88" t="s">
        <v>191</v>
      </c>
      <c r="L7" s="88" t="s">
        <v>192</v>
      </c>
      <c r="M7" s="300" t="s">
        <v>168</v>
      </c>
      <c r="N7" s="308" t="s">
        <v>169</v>
      </c>
      <c r="O7" s="88" t="s">
        <v>206</v>
      </c>
      <c r="P7" s="89" t="s">
        <v>193</v>
      </c>
      <c r="Q7" s="125" t="s">
        <v>227</v>
      </c>
      <c r="R7" s="127" t="s">
        <v>194</v>
      </c>
      <c r="S7" s="200" t="s">
        <v>228</v>
      </c>
    </row>
    <row r="8" spans="3:24" x14ac:dyDescent="0.2">
      <c r="C8" s="337"/>
      <c r="D8" s="340"/>
      <c r="E8" s="342" t="s">
        <v>2</v>
      </c>
      <c r="F8" s="345"/>
      <c r="G8" s="342" t="s">
        <v>3</v>
      </c>
      <c r="H8" s="342" t="s">
        <v>3</v>
      </c>
      <c r="I8" s="348"/>
      <c r="J8" s="352" t="s">
        <v>195</v>
      </c>
      <c r="K8" s="354" t="s">
        <v>226</v>
      </c>
      <c r="L8" s="354" t="s">
        <v>203</v>
      </c>
      <c r="M8" s="301"/>
      <c r="N8" s="282"/>
      <c r="O8" s="354" t="s">
        <v>203</v>
      </c>
      <c r="P8" s="354" t="s">
        <v>203</v>
      </c>
      <c r="Q8" s="354" t="s">
        <v>226</v>
      </c>
      <c r="R8" s="352" t="s">
        <v>258</v>
      </c>
      <c r="S8" s="350" t="s">
        <v>176</v>
      </c>
    </row>
    <row r="9" spans="3:24" ht="51" customHeight="1" thickBot="1" x14ac:dyDescent="0.25">
      <c r="C9" s="338"/>
      <c r="D9" s="341"/>
      <c r="E9" s="343"/>
      <c r="F9" s="346"/>
      <c r="G9" s="343"/>
      <c r="H9" s="343"/>
      <c r="I9" s="349"/>
      <c r="J9" s="353"/>
      <c r="K9" s="355"/>
      <c r="L9" s="355"/>
      <c r="M9" s="302"/>
      <c r="N9" s="309"/>
      <c r="O9" s="355"/>
      <c r="P9" s="355"/>
      <c r="Q9" s="355"/>
      <c r="R9" s="353"/>
      <c r="S9" s="351"/>
      <c r="V9" s="232"/>
    </row>
    <row r="10" spans="3:24" ht="13.5" hidden="1" customHeight="1" x14ac:dyDescent="0.2">
      <c r="C10" s="92">
        <f>+'Capacidad Financiera'!B12</f>
        <v>1</v>
      </c>
      <c r="D10" s="93" t="str">
        <f>IF(ISERROR(VLOOKUP(C10,'Capacidad Financiera'!$B$12:$Z$59141,2,0)),"",VLOOKUP(C10,'Capacidad Financiera'!$B$12:$Z$59141,2,0))</f>
        <v>COBOL</v>
      </c>
      <c r="E10" s="94">
        <f>IF(ISERROR(VLOOKUP(C10,'Capacidad Financiera'!$B$12:$Z$59141,3,0)),"",VLOOKUP(C10,'Capacidad Financiera'!$B$12:$Z$59141,3,0))</f>
        <v>1</v>
      </c>
      <c r="F10" s="96">
        <f>'Capacidad Financiera'!N12</f>
        <v>7</v>
      </c>
      <c r="G10" s="95" t="str">
        <f>IF(ISERROR(VLOOKUP(F10,POA!$A$2:$D$16,2,0)),"",VLOOKUP(F10,POA!$A$2:$D$16,2,0))</f>
        <v/>
      </c>
      <c r="H10" s="95" t="str">
        <f>IF(ISERROR(VLOOKUP(F10,POA!$A$2:$D$16,3,0)),"",VLOOKUP(F10,POA!$A$2:$D$16,4,0))</f>
        <v/>
      </c>
      <c r="I10" s="96" t="str">
        <f>IF(ISERROR(VLOOKUP(F10,POA!$A$2:$D$2,3,0)),"",VLOOKUP(F10,POA!$A$2:$D$2,3,0))</f>
        <v/>
      </c>
      <c r="J10" s="93" t="str">
        <f t="shared" ref="J10:J13" si="0">IF(I10="","",IF(I10&lt;12,(G10-H10),IF(I10&gt;=12,(((G10-H10)/I10)*12),"")))</f>
        <v/>
      </c>
      <c r="K10" s="93">
        <f>IF(IF(ISERROR(VLOOKUP(C10,'Cap Organización'!$C$9:$E$31,3,0)),0,VLOOKUP(C10,'Cap Organización'!$C$9:$E$31,3,0))=0,0,IF(ISERROR(VLOOKUP(C10,'Cap Organización'!$C$9:$E$31,3,0)),0,VLOOKUP(C10,'Cap Organización'!$C$9:$E$31,3,0)))</f>
        <v>693052300</v>
      </c>
      <c r="L10" s="231">
        <f>IF(ISERROR(VLOOKUP(C10,'Puntaje Exp'!$C$9:$J$1048576,8,0)),"",VLOOKUP(C10,'Puntaje Exp'!$C$9:$J$1048576,8,0))</f>
        <v>60</v>
      </c>
      <c r="M10" s="231"/>
      <c r="N10" s="231">
        <f>+SUM(N11:N12)</f>
        <v>0</v>
      </c>
      <c r="O10" s="231">
        <f>IF(ISERROR(VLOOKUP(C10,'Puntaje CT'!$C$9:$F$20,4,0)),"",VLOOKUP(C10,'Puntaje CT'!$C$9:$F$20,4,0))</f>
        <v>40</v>
      </c>
      <c r="P10" s="231">
        <f>IF(ISERROR(VLOOKUP(C10,'Puntaje CF'!C9:H20,6,0)),"",VLOOKUP(C10,'Puntaje CF'!C9:H20,6,0))</f>
        <v>40</v>
      </c>
      <c r="Q10" s="93">
        <f>IF(IF(ISERROR(VLOOKUP(C10,'Saldo CtosEjecución'!$C$9:$I$1048576,3,0)),"",VLOOKUP(C10,'Saldo CtosEjecución'!$C$9:$I$1048576,3,0))=0,"",IF(ISERROR(VLOOKUP(C10,'Saldo CtosEjecución'!$C$9:$I$1048576,3,0)),"",VLOOKUP(C10,'Saldo CtosEjecución'!$C$9:$I$1048576,3,0)))</f>
        <v>41591666.859999999</v>
      </c>
      <c r="R10" s="233">
        <f>(K10*((L10+O10+P10)/100))-Q10</f>
        <v>928681553.13999987</v>
      </c>
      <c r="S10" s="206" t="str">
        <f>+IF(OR(R10=0,F10=""),"",IF(R10&gt;=J10,"HABIL","NO HABIL"))</f>
        <v>NO HABIL</v>
      </c>
      <c r="U10" s="163"/>
      <c r="V10" s="164"/>
      <c r="W10" s="150"/>
      <c r="X10" s="165"/>
    </row>
    <row r="11" spans="3:24" hidden="1" x14ac:dyDescent="0.2">
      <c r="C11" s="97">
        <f>+'Capacidad Financiera'!B13</f>
        <v>1.1000000000000001</v>
      </c>
      <c r="D11" s="91" t="str">
        <f>IF(ISERROR(VLOOKUP(C11,'Capacidad Financiera'!$B$12:$Z$59141,2,0)),"",VLOOKUP(C11,'Capacidad Financiera'!$B$12:$Z$59141,2,0))</f>
        <v>COOTRASCIBOL</v>
      </c>
      <c r="E11" s="90">
        <f>IF(ISERROR(VLOOKUP(C11,'Capacidad Financiera'!$B$12:$Z$59141,3,0)),"",VLOOKUP(C11,'Capacidad Financiera'!$B$12:$Z$59141,3,0))</f>
        <v>0.6</v>
      </c>
      <c r="F11" s="130">
        <f>'Capacidad Financiera'!N13</f>
        <v>0</v>
      </c>
      <c r="G11" s="169" t="str">
        <f>IF(ISERROR(VLOOKUP(F11,POA!$A$2:$D$16,2,0)),"",VLOOKUP(F11,POA!$A$2:$D$16,2,0))</f>
        <v/>
      </c>
      <c r="H11" s="169" t="str">
        <f>IF(ISERROR(VLOOKUP(F11,POA!$A$2:$D$16,3,0)),"",VLOOKUP(F11,POA!$A$2:$D$16,4,0))</f>
        <v/>
      </c>
      <c r="I11" s="130" t="str">
        <f>IF(ISERROR(VLOOKUP(F11,POA!$A$2:$D$2,3,0)),"",VLOOKUP(F11,POA!$A$2:$D$2,3,0))</f>
        <v/>
      </c>
      <c r="J11" s="129" t="str">
        <f t="shared" si="0"/>
        <v/>
      </c>
      <c r="K11" s="201">
        <f>IF(IF(ISERROR(VLOOKUP(C11,'Cap Organización'!$C$10:$I$1048576,3,0)),"",VLOOKUP(C11,'Cap Organización'!$C$10:$I$1048576,3,0))=0,"",IF(ISERROR(VLOOKUP(C11,'Cap Organización'!$C$10:$I$1048576,3,0)),"",VLOOKUP(C11,'Cap Organización'!$C$10:$I$1048576,3,0)))</f>
        <v>195180000</v>
      </c>
      <c r="L11" s="238">
        <f>IF(ISERROR(VLOOKUP(C11,'Puntaje Exp'!$C$10:$J$1048576,8,0)),"",VLOOKUP(C11,'Puntaje Exp'!$C$10:$J$1048576,8,0))</f>
        <v>0</v>
      </c>
      <c r="M11" s="238">
        <f>+'Capacidad Financiera'!P13</f>
        <v>0</v>
      </c>
      <c r="N11" s="238" t="str">
        <f>IF(ISERROR(VLOOKUP(M11,POA!$A$2:$F$16,6,0)),"",VLOOKUP(M11,POA!$A$2:$F$16,6,0))</f>
        <v/>
      </c>
      <c r="O11" s="238">
        <f>IF(ISERROR(VLOOKUP(C11,'Puntaje CT'!$C$10:$I$1048576,4,0)),"",VLOOKUP(C11,'Puntaje CT'!$C$10:$I$1048576,4,0))</f>
        <v>0</v>
      </c>
      <c r="P11" s="238">
        <f>IF(ISERROR(VLOOKUP(C11,'Puntaje CF'!$C$10:$I$1048576,6,0)),"",VLOOKUP(C11,'Puntaje CF'!$C$10:$I$1048576,6,0))</f>
        <v>0</v>
      </c>
      <c r="Q11" s="197">
        <f>IF(IF(ISERROR(VLOOKUP(C11,'Saldo CtosEjecución'!$C$10:$I$1048576,3,0)),"",VLOOKUP(C11,'Saldo CtosEjecución'!$C$10:$I$1048576,3,0))=0,"",IF(ISERROR(VLOOKUP(C11,'Saldo CtosEjecución'!$C$10:$I$1048576,3,0)),"",VLOOKUP(C11,'Saldo CtosEjecución'!$C$10:$I$1048576,3,0)))</f>
        <v>29166666.859999999</v>
      </c>
      <c r="R11" s="126">
        <f>IF(OR(K11="",L11="",O11="",P11="",Q11=""),"",(K11*((L11+O11+P11)/100))-Q11)</f>
        <v>-29166666.859999999</v>
      </c>
      <c r="S11" s="205"/>
      <c r="V11" s="232"/>
    </row>
    <row r="12" spans="3:24" ht="13.5" hidden="1" thickBot="1" x14ac:dyDescent="0.25">
      <c r="C12" s="97">
        <f>+'Capacidad Financiera'!B14</f>
        <v>1.2</v>
      </c>
      <c r="D12" s="91" t="str">
        <f>IF(ISERROR(VLOOKUP(C12,'Capacidad Financiera'!$B$12:$Z$59141,2,0)),"",VLOOKUP(C12,'Capacidad Financiera'!$B$12:$Z$59141,2,0))</f>
        <v>COOTRASERVIM</v>
      </c>
      <c r="E12" s="90">
        <f>IF(ISERROR(VLOOKUP(C12,'Capacidad Financiera'!$B$12:$Z$59141,3,0)),"",VLOOKUP(C12,'Capacidad Financiera'!$B$12:$Z$59141,3,0))</f>
        <v>0.4</v>
      </c>
      <c r="F12" s="130">
        <f>'Capacidad Financiera'!N14</f>
        <v>0</v>
      </c>
      <c r="G12" s="169" t="str">
        <f>IF(ISERROR(VLOOKUP(F12,POA!$A$2:$D$16,2,0)),"",VLOOKUP(F12,POA!$A$2:$D$16,2,0))</f>
        <v/>
      </c>
      <c r="H12" s="169" t="str">
        <f>IF(ISERROR(VLOOKUP(F12,POA!$A$2:$D$16,3,0)),"",VLOOKUP(F12,POA!$A$2:$D$16,4,0))</f>
        <v/>
      </c>
      <c r="I12" s="130" t="str">
        <f>IF(ISERROR(VLOOKUP(F12,POA!$A$2:$D$2,3,0)),"",VLOOKUP(F12,POA!$A$2:$D$2,3,0))</f>
        <v/>
      </c>
      <c r="J12" s="129" t="str">
        <f t="shared" si="0"/>
        <v/>
      </c>
      <c r="K12" s="201">
        <f>IF(IF(ISERROR(VLOOKUP(C12,'Cap Organización'!$C$10:$I$1048576,3,0)),"",VLOOKUP(C12,'Cap Organización'!$C$10:$I$1048576,3,0))=0,"",IF(ISERROR(VLOOKUP(C12,'Cap Organización'!$C$10:$I$1048576,3,0)),"",VLOOKUP(C12,'Cap Organización'!$C$10:$I$1048576,3,0)))</f>
        <v>497872300</v>
      </c>
      <c r="L12" s="238">
        <f>IF(ISERROR(VLOOKUP(C12,'Puntaje Exp'!$C$10:$J$1048576,8,0)),"",VLOOKUP(C12,'Puntaje Exp'!$C$10:$J$1048576,8,0))</f>
        <v>0</v>
      </c>
      <c r="M12" s="239">
        <f>+'Capacidad Financiera'!P14</f>
        <v>0</v>
      </c>
      <c r="N12" s="239" t="str">
        <f>IF(ISERROR(VLOOKUP(M12,POA!$A$2:$F$16,6,0)),"",VLOOKUP(M12,POA!$A$2:$F$16,6,0))</f>
        <v/>
      </c>
      <c r="O12" s="238">
        <f>IF(ISERROR(VLOOKUP(C12,'Puntaje CT'!$C$10:$I$1048576,4,0)),"",VLOOKUP(C12,'Puntaje CT'!$C$10:$I$1048576,4,0))</f>
        <v>0</v>
      </c>
      <c r="P12" s="238">
        <f>IF(ISERROR(VLOOKUP(C12,'Puntaje CF'!$C$10:$I$1048576,6,0)),"",VLOOKUP(C12,'Puntaje CF'!$C$10:$I$1048576,6,0))</f>
        <v>0</v>
      </c>
      <c r="Q12" s="197">
        <f>IF(IF(ISERROR(VLOOKUP(C12,'Saldo CtosEjecución'!$C$10:$I$1048576,3,0)),"",VLOOKUP(C12,'Saldo CtosEjecución'!$C$10:$I$1048576,3,0))=0,"",IF(ISERROR(VLOOKUP(C12,'Saldo CtosEjecución'!$C$10:$I$1048576,3,0)),"",VLOOKUP(C12,'Saldo CtosEjecución'!$C$10:$I$1048576,3,0)))</f>
        <v>12425000</v>
      </c>
      <c r="R12" s="126">
        <f>IF(OR(K12="",L12="",O12="",P12="",Q12=""),"",(K12*((L12+O12+P12)/100))-Q12)</f>
        <v>-12425000</v>
      </c>
      <c r="S12" s="205"/>
      <c r="V12" s="232"/>
    </row>
    <row r="13" spans="3:24" ht="13.5" hidden="1" thickBot="1" x14ac:dyDescent="0.25">
      <c r="C13" s="92">
        <v>2</v>
      </c>
      <c r="D13" s="93" t="str">
        <f>IF(ISERROR(VLOOKUP(C13,'Capacidad Financiera'!$B$12:$Z$59141,2,0)),"",VLOOKUP(C13,'Capacidad Financiera'!$B$12:$Z$59141,2,0))</f>
        <v>COOTRAVAR</v>
      </c>
      <c r="E13" s="94">
        <f>IF(ISERROR(VLOOKUP(C13,'Capacidad Financiera'!$B$12:$Z$59141,3,0)),"",VLOOKUP(C13,'Capacidad Financiera'!$B$12:$Z$59141,3,0))</f>
        <v>1</v>
      </c>
      <c r="F13" s="96">
        <f>'Capacidad Financiera'!N15</f>
        <v>7</v>
      </c>
      <c r="G13" s="95" t="str">
        <f>IF(ISERROR(VLOOKUP(F13,POA!$A$2:$D$16,2,0)),"",VLOOKUP(F13,POA!$A$2:$D$16,2,0))</f>
        <v/>
      </c>
      <c r="H13" s="95" t="str">
        <f>IF(ISERROR(VLOOKUP(F13,POA!$A$2:$D$16,3,0)),"",VLOOKUP(F13,POA!$A$2:$D$16,4,0))</f>
        <v/>
      </c>
      <c r="I13" s="96" t="str">
        <f>IF(ISERROR(VLOOKUP(F13,POA!$A$2:$D$2,3,0)),"",VLOOKUP(F13,POA!$A$2:$D$2,3,0))</f>
        <v/>
      </c>
      <c r="J13" s="93" t="str">
        <f t="shared" si="0"/>
        <v/>
      </c>
      <c r="K13" s="93">
        <f>IF(IF(ISERROR(VLOOKUP(C13,'Cap Organización'!$C$9:$E$31,3,0)),0,VLOOKUP(C13,'Cap Organización'!$C$9:$E$31,3,0))=0,0,IF(ISERROR(VLOOKUP(C13,'Cap Organización'!$C$9:$E$31,3,0)),0,VLOOKUP(C13,'Cap Organización'!$C$9:$E$31,3,0)))</f>
        <v>377079000</v>
      </c>
      <c r="L13" s="93">
        <f>IF(ISERROR(VLOOKUP(C13,'Puntaje Exp'!$C$9:$J$1048576,8,0)),"",VLOOKUP(C13,'Puntaje Exp'!$C$9:$J$1048576,8,0))</f>
        <v>60</v>
      </c>
      <c r="M13" s="93"/>
      <c r="N13" s="93" t="e">
        <f>+SUM(#REF!)</f>
        <v>#REF!</v>
      </c>
      <c r="O13" s="96">
        <f>IF(ISERROR(VLOOKUP(C13,'Puntaje CT'!$C$9:$F$20,4,0)),"",VLOOKUP(C13,'Puntaje CT'!$C$9:$F$20,4,0))</f>
        <v>40</v>
      </c>
      <c r="P13" s="93">
        <f>IF(ISERROR(VLOOKUP(C13,'Puntaje CF'!C12:H23,6,0)),"",VLOOKUP(C13,'Puntaje CF'!C12:H23,6,0))</f>
        <v>40</v>
      </c>
      <c r="Q13" s="93" t="str">
        <f>IF(IF(ISERROR(VLOOKUP(C13,'Saldo CtosEjecución'!$C$10:$I$1048576,3,0)),"",VLOOKUP(C13,'Saldo CtosEjecución'!$C$10:$I$1048576,3,0))=0,"",IF(ISERROR(VLOOKUP(C13,'Saldo CtosEjecución'!$C$10:$I$1048576,3,0)),"",VLOOKUP(C13,'Saldo CtosEjecución'!$C$10:$I$1048576,3,0)))</f>
        <v/>
      </c>
      <c r="R13" s="93" t="str">
        <f>IF(OR(K13="",L13="",O13="",P13="",Q13=""),"",(K13*((L13+O13+P13)/100))-Q13)</f>
        <v/>
      </c>
      <c r="S13" s="206" t="str">
        <f t="shared" ref="S13:S18" si="1">+IF(OR(R13=0,F13=""),"",IF(R13&gt;=J13,"HABIL","NO HABIL"))</f>
        <v>HABIL</v>
      </c>
      <c r="V13" s="232"/>
    </row>
    <row r="14" spans="3:24" ht="13.5" hidden="1" thickBot="1" x14ac:dyDescent="0.25">
      <c r="C14" s="92">
        <v>3</v>
      </c>
      <c r="D14" s="93" t="str">
        <f>IF(ISERROR(VLOOKUP(C14,'Capacidad Financiera'!$B$12:$Z$59141,2,0)),"",VLOOKUP(C14,'Capacidad Financiera'!$B$12:$Z$59141,2,0))</f>
        <v>MANTENIMIENTO VIAL JJ S.A.S</v>
      </c>
      <c r="E14" s="94">
        <f>IF(ISERROR(VLOOKUP(C14,'Capacidad Financiera'!$B$12:$Z$59141,3,0)),"",VLOOKUP(C14,'Capacidad Financiera'!$B$12:$Z$59141,3,0))</f>
        <v>1</v>
      </c>
      <c r="F14" s="96">
        <f>'Capacidad Financiera'!N16</f>
        <v>7</v>
      </c>
      <c r="G14" s="95" t="str">
        <f>IF(ISERROR(VLOOKUP(F14,POA!$A$2:$D$16,2,0)),"",VLOOKUP(F14,POA!$A$2:$D$16,2,0))</f>
        <v/>
      </c>
      <c r="H14" s="95" t="str">
        <f>IF(ISERROR(VLOOKUP(F14,POA!$A$2:$D$16,3,0)),"",VLOOKUP(F14,POA!$A$2:$D$16,4,0))</f>
        <v/>
      </c>
      <c r="I14" s="96" t="str">
        <f>IF(ISERROR(VLOOKUP(F14,POA!$A$2:$D$2,3,0)),"",VLOOKUP(F14,POA!$A$2:$D$2,3,0))</f>
        <v/>
      </c>
      <c r="J14" s="93" t="str">
        <f t="shared" ref="J14:J21" si="2">IF(I14="","",IF(I14&lt;12,(G14-H14),IF(I14&gt;=12,(((G14-H14)/I14)*12),"")))</f>
        <v/>
      </c>
      <c r="K14" s="93">
        <f>IF(IF(ISERROR(VLOOKUP(C14,'Cap Organización'!$C$9:$E$31,3,0)),0,VLOOKUP(C14,'Cap Organización'!$C$9:$E$31,3,0))=0,0,IF(ISERROR(VLOOKUP(C14,'Cap Organización'!$C$9:$E$31,3,0)),0,VLOOKUP(C14,'Cap Organización'!$C$9:$E$31,3,0)))</f>
        <v>377079000</v>
      </c>
      <c r="L14" s="93">
        <f>IF(ISERROR(VLOOKUP(C14,'Puntaje Exp'!$C$9:$J$1048576,8,0)),"",VLOOKUP(C14,'Puntaje Exp'!$C$9:$J$1048576,8,0))</f>
        <v>60</v>
      </c>
      <c r="M14" s="93"/>
      <c r="N14" s="93" t="e">
        <f>+SUM(#REF!)</f>
        <v>#REF!</v>
      </c>
      <c r="O14" s="96">
        <f>IF(ISERROR(VLOOKUP(C14,'Puntaje CT'!$C$9:$F$20,4,0)),"",VLOOKUP(C14,'Puntaje CT'!$C$9:$F$20,4,0))</f>
        <v>40</v>
      </c>
      <c r="P14" s="93">
        <f>IF(ISERROR(VLOOKUP(C14,'Puntaje CF'!C13:H24,6,0)),"",VLOOKUP(C14,'Puntaje CF'!C13:H24,6,0))</f>
        <v>40</v>
      </c>
      <c r="Q14" s="231">
        <f>IF(IF(ISERROR(VLOOKUP(C14,'Saldo CtosEjecución'!$C$9:$I$1048576,3,0)),0,VLOOKUP(C14,'Saldo CtosEjecución'!$C$9:$I$1048576,3,0))=0,0,IF(ISERROR(VLOOKUP(C14,'Saldo CtosEjecución'!$C$9:$I$1048576,3,0)),0,VLOOKUP(C14,'Saldo CtosEjecución'!$C$9:$I$1048576,3,0)))</f>
        <v>104008595.29000001</v>
      </c>
      <c r="R14" s="233">
        <f t="shared" ref="R14:R18" si="3">(K14*((L14+O14+P14)/100))-Q14</f>
        <v>423902004.70999992</v>
      </c>
      <c r="S14" s="206" t="str">
        <f t="shared" si="1"/>
        <v>NO HABIL</v>
      </c>
    </row>
    <row r="15" spans="3:24" ht="13.5" thickBot="1" x14ac:dyDescent="0.25">
      <c r="C15" s="92">
        <v>4</v>
      </c>
      <c r="D15" s="93" t="str">
        <f>IF(ISERROR(VLOOKUP(C15,'Capacidad Financiera'!$B$12:$Z$59141,2,0)),"",VLOOKUP(C15,'Capacidad Financiera'!$B$12:$Z$59141,2,0))</f>
        <v>COOTRASIERRA</v>
      </c>
      <c r="E15" s="94">
        <f>IF(ISERROR(VLOOKUP(C15,'Capacidad Financiera'!$B$12:$Z$59141,3,0)),"",VLOOKUP(C15,'Capacidad Financiera'!$B$12:$Z$59141,3,0))</f>
        <v>1</v>
      </c>
      <c r="F15" s="96">
        <v>4</v>
      </c>
      <c r="G15" s="95">
        <f>IF(ISERROR(VLOOKUP(F15,POA!$A$2:$D$16,2,0)),"",VLOOKUP(F15,POA!$A$2:$D$16,2,0))</f>
        <v>593658691</v>
      </c>
      <c r="H15" s="95">
        <f>IF(ISERROR(VLOOKUP(F15,POA!$A$2:$D$16,3,0)),"",VLOOKUP(F15,POA!$A$2:$D$16,4,0))</f>
        <v>237463476.40000001</v>
      </c>
      <c r="I15" s="96">
        <f>IF(ISERROR(VLOOKUP(F15,POA!$A$2:$D$2,3,0)),"",VLOOKUP(F15,POA!$A$2:$D$2,3,0))</f>
        <v>33</v>
      </c>
      <c r="J15" s="93">
        <f t="shared" si="2"/>
        <v>129525532.58181819</v>
      </c>
      <c r="K15" s="93">
        <f>IF(IF(ISERROR(VLOOKUP(C15,'Cap Organización'!$C$9:$E$31,3,0)),0,VLOOKUP(C15,'Cap Organización'!$C$9:$E$31,3,0))=0,0,IF(ISERROR(VLOOKUP(C15,'Cap Organización'!$C$9:$E$31,3,0)),0,VLOOKUP(C15,'Cap Organización'!$C$9:$E$31,3,0)))</f>
        <v>699890900</v>
      </c>
      <c r="L15" s="93">
        <f>IF(ISERROR(VLOOKUP(C15,'Puntaje Exp'!$C$9:$J$1048576,8,0)),"",VLOOKUP(C15,'Puntaje Exp'!$C$9:$J$1048576,8,0))</f>
        <v>60</v>
      </c>
      <c r="M15" s="93"/>
      <c r="N15" s="93" t="e">
        <f>+SUM(#REF!)</f>
        <v>#REF!</v>
      </c>
      <c r="O15" s="96">
        <f>IF(ISERROR(VLOOKUP(C15,'Puntaje CT'!$C$9:$F$20,4,0)),"",VLOOKUP(C15,'Puntaje CT'!$C$9:$F$20,4,0))</f>
        <v>20</v>
      </c>
      <c r="P15" s="93">
        <f>IF(ISERROR(VLOOKUP(C15,'Puntaje CF'!C14:H25,6,0)),"",VLOOKUP(C15,'Puntaje CF'!C14:H25,6,0))</f>
        <v>35</v>
      </c>
      <c r="Q15" s="231">
        <f>IF(IF(ISERROR(VLOOKUP(C15,'Saldo CtosEjecución'!$C$9:$I$1048576,3,0)),0,VLOOKUP(C15,'Saldo CtosEjecución'!$C$9:$I$1048576,3,0))=0,0,IF(ISERROR(VLOOKUP(C15,'Saldo CtosEjecución'!$C$9:$I$1048576,3,0)),0,VLOOKUP(C15,'Saldo CtosEjecución'!$C$9:$I$1048576,3,0)))</f>
        <v>40107663.560000002</v>
      </c>
      <c r="R15" s="233">
        <f t="shared" si="3"/>
        <v>764766871.43999982</v>
      </c>
      <c r="S15" s="206" t="str">
        <f t="shared" si="1"/>
        <v>HABIL</v>
      </c>
    </row>
    <row r="16" spans="3:24" ht="26.25" hidden="1" customHeight="1" thickBot="1" x14ac:dyDescent="0.25">
      <c r="C16" s="92">
        <v>5</v>
      </c>
      <c r="D16" s="93" t="str">
        <f>IF(ISERROR(VLOOKUP(C16,'Capacidad Financiera'!$B$12:$Z$59141,2,0)),"",VLOOKUP(C16,'Capacidad Financiera'!$B$12:$Z$59141,2,0))</f>
        <v>COOPERATIVA DE TRABAJO ASOCIADO DE SALAMINA</v>
      </c>
      <c r="E16" s="94">
        <f>IF(ISERROR(VLOOKUP(C16,'Capacidad Financiera'!$B$12:$Z$59141,3,0)),"",VLOOKUP(C16,'Capacidad Financiera'!$B$12:$Z$59141,3,0))</f>
        <v>1</v>
      </c>
      <c r="F16" s="96">
        <f>'Capacidad Financiera'!N18</f>
        <v>7</v>
      </c>
      <c r="G16" s="95" t="str">
        <f>IF(ISERROR(VLOOKUP(F16,POA!$A$2:$D$16,2,0)),"",VLOOKUP(F16,POA!$A$2:$D$16,2,0))</f>
        <v/>
      </c>
      <c r="H16" s="95" t="str">
        <f>IF(ISERROR(VLOOKUP(F16,POA!$A$2:$D$16,3,0)),"",VLOOKUP(F16,POA!$A$2:$D$16,4,0))</f>
        <v/>
      </c>
      <c r="I16" s="96" t="str">
        <f>IF(ISERROR(VLOOKUP(F16,POA!$A$2:$D$2,3,0)),"",VLOOKUP(F16,POA!$A$2:$D$2,3,0))</f>
        <v/>
      </c>
      <c r="J16" s="93" t="str">
        <f t="shared" si="2"/>
        <v/>
      </c>
      <c r="K16" s="93">
        <f>IF(IF(ISERROR(VLOOKUP(C16,'Cap Organización'!$C$9:$E$31,3,0)),0,VLOOKUP(C16,'Cap Organización'!$C$9:$E$31,3,0))=0,0,IF(ISERROR(VLOOKUP(C16,'Cap Organización'!$C$9:$E$31,3,0)),0,VLOOKUP(C16,'Cap Organización'!$C$9:$E$31,3,0)))</f>
        <v>323184000</v>
      </c>
      <c r="L16" s="93">
        <f>IF(ISERROR(VLOOKUP(C16,'Puntaje Exp'!$C$9:$J$1048576,8,0)),"",VLOOKUP(C16,'Puntaje Exp'!$C$9:$J$1048576,8,0))</f>
        <v>60</v>
      </c>
      <c r="M16" s="93"/>
      <c r="N16" s="93" t="e">
        <f>+SUM(#REF!)</f>
        <v>#REF!</v>
      </c>
      <c r="O16" s="96">
        <f>IF(ISERROR(VLOOKUP(C16,'Puntaje CT'!$C$9:$F$20,4,0)),"",VLOOKUP(C16,'Puntaje CT'!$C$9:$F$20,4,0))</f>
        <v>30</v>
      </c>
      <c r="P16" s="93">
        <f>IF(ISERROR(VLOOKUP(C16,'Puntaje CF'!C15:H26,6,0)),"",VLOOKUP(C16,'Puntaje CF'!C15:H26,6,0))</f>
        <v>40</v>
      </c>
      <c r="Q16" s="93">
        <f>IF(IF(ISERROR(VLOOKUP(C16,'Saldo CtosEjecución'!$C$9:$I$1048576,3,0)),"",VLOOKUP(C16,'Saldo CtosEjecución'!$C$9:$I$1048576,3,0))=0,"",IF(ISERROR(VLOOKUP(C16,'Saldo CtosEjecución'!$C$9:$I$1048576,3,0)),"",VLOOKUP(C16,'Saldo CtosEjecución'!$C$9:$I$1048576,3,0)))</f>
        <v>35825453.810000002</v>
      </c>
      <c r="R16" s="233">
        <f t="shared" si="3"/>
        <v>384313746.19</v>
      </c>
      <c r="S16" s="206" t="str">
        <f t="shared" si="1"/>
        <v>NO HABIL</v>
      </c>
    </row>
    <row r="17" spans="3:19" ht="13.5" hidden="1" customHeight="1" thickBot="1" x14ac:dyDescent="0.25">
      <c r="C17" s="92">
        <v>6</v>
      </c>
      <c r="D17" s="93" t="str">
        <f>IF(ISERROR(VLOOKUP(C17,'Capacidad Financiera'!$B$12:$Z$59141,2,0)),"",VLOOKUP(C17,'Capacidad Financiera'!$B$12:$Z$59141,2,0))</f>
        <v>COOTENEGRAN</v>
      </c>
      <c r="E17" s="94">
        <f>IF(ISERROR(VLOOKUP(C17,'Capacidad Financiera'!$B$12:$Z$59141,3,0)),"",VLOOKUP(C17,'Capacidad Financiera'!$B$12:$Z$59141,3,0))</f>
        <v>1</v>
      </c>
      <c r="F17" s="96">
        <f>'Capacidad Financiera'!N19</f>
        <v>7</v>
      </c>
      <c r="G17" s="95" t="str">
        <f>IF(ISERROR(VLOOKUP(F17,POA!$A$2:$D$16,2,0)),"",VLOOKUP(F17,POA!$A$2:$D$16,2,0))</f>
        <v/>
      </c>
      <c r="H17" s="95" t="str">
        <f>IF(ISERROR(VLOOKUP(F17,POA!$A$2:$D$16,3,0)),"",VLOOKUP(F17,POA!$A$2:$D$16,4,0))</f>
        <v/>
      </c>
      <c r="I17" s="96" t="str">
        <f>IF(ISERROR(VLOOKUP(F17,POA!$A$2:$D$2,3,0)),"",VLOOKUP(F17,POA!$A$2:$D$2,3,0))</f>
        <v/>
      </c>
      <c r="J17" s="93" t="str">
        <f t="shared" si="2"/>
        <v/>
      </c>
      <c r="K17" s="93">
        <f>IF(IF(ISERROR(VLOOKUP(C17,'Cap Organización'!$C$9:$E$31,3,0)),0,VLOOKUP(C17,'Cap Organización'!$C$9:$E$31,3,0))=0,0,IF(ISERROR(VLOOKUP(C17,'Cap Organización'!$C$9:$E$31,3,0)),0,VLOOKUP(C17,'Cap Organización'!$C$9:$E$31,3,0)))</f>
        <v>377079000</v>
      </c>
      <c r="L17" s="93">
        <f>IF(ISERROR(VLOOKUP(C17,'Puntaje Exp'!$C$9:$J$1048576,8,0)),"",VLOOKUP(C17,'Puntaje Exp'!$C$9:$J$1048576,8,0))</f>
        <v>60</v>
      </c>
      <c r="M17" s="93"/>
      <c r="N17" s="93" t="e">
        <f>+SUM(#REF!)</f>
        <v>#REF!</v>
      </c>
      <c r="O17" s="96">
        <f>IF(ISERROR(VLOOKUP(C17,'Puntaje CT'!$C$9:$F$20,4,0)),"",VLOOKUP(C17,'Puntaje CT'!$C$9:$F$20,4,0))</f>
        <v>20</v>
      </c>
      <c r="P17" s="93">
        <f>IF(ISERROR(VLOOKUP(C17,'Puntaje CF'!C9:H27,6,0)),"",VLOOKUP(C17,'Puntaje CF'!C9:H27,6,0))</f>
        <v>40</v>
      </c>
      <c r="Q17" s="93">
        <f>IF(IF(ISERROR(VLOOKUP(C17,'Saldo CtosEjecución'!$C$9:$I$1048576,3,0)),"",VLOOKUP(C17,'Saldo CtosEjecución'!$C$9:$I$1048576,3,0))=0,"",IF(ISERROR(VLOOKUP(C17,'Saldo CtosEjecución'!$C$9:$I$1048576,3,0)),"",VLOOKUP(C17,'Saldo CtosEjecución'!$C$9:$I$1048576,3,0)))</f>
        <v>41359634</v>
      </c>
      <c r="R17" s="233">
        <f t="shared" si="3"/>
        <v>411135166</v>
      </c>
      <c r="S17" s="206" t="str">
        <f t="shared" si="1"/>
        <v>NO HABIL</v>
      </c>
    </row>
    <row r="18" spans="3:19" x14ac:dyDescent="0.2">
      <c r="C18" s="92">
        <v>7</v>
      </c>
      <c r="D18" s="93" t="str">
        <f>IF(ISERROR(VLOOKUP(C18,'Capacidad Financiera'!$B$12:$Z$59141,2,0)),"",VLOOKUP(C18,'Capacidad Financiera'!$B$12:$Z$59141,2,0))</f>
        <v>CONSORCIO MV MAGDALENA 2019</v>
      </c>
      <c r="E18" s="94">
        <f>IF(ISERROR(VLOOKUP(C18,'Capacidad Financiera'!$B$12:$Z$59141,3,0)),"",VLOOKUP(C18,'Capacidad Financiera'!$B$12:$Z$59141,3,0))</f>
        <v>1</v>
      </c>
      <c r="F18" s="96">
        <v>4</v>
      </c>
      <c r="G18" s="95">
        <f>IF(ISERROR(VLOOKUP(F18,POA!$A$2:$D$16,2,0)),"",VLOOKUP(F18,POA!$A$2:$D$16,2,0))</f>
        <v>593658691</v>
      </c>
      <c r="H18" s="95">
        <f>IF(ISERROR(VLOOKUP(F18,POA!$A$2:$D$16,3,0)),"",VLOOKUP(F18,POA!$A$2:$D$16,4,0))</f>
        <v>237463476.40000001</v>
      </c>
      <c r="I18" s="96">
        <f>IF(ISERROR(VLOOKUP(F18,POA!$A$2:$D$2,3,0)),"",VLOOKUP(F18,POA!$A$2:$D$2,3,0))</f>
        <v>33</v>
      </c>
      <c r="J18" s="93">
        <f t="shared" si="2"/>
        <v>129525532.58181819</v>
      </c>
      <c r="K18" s="93">
        <f>IF(IF(ISERROR(VLOOKUP(C18,'Cap Organización'!$C$9:$E$31,3,0)),0,VLOOKUP(C18,'Cap Organización'!$C$9:$E$31,3,0))=0,0,IF(ISERROR(VLOOKUP(C18,'Cap Organización'!$C$9:$E$31,3,0)),0,VLOOKUP(C18,'Cap Organización'!$C$9:$E$31,3,0)))</f>
        <v>21081259087</v>
      </c>
      <c r="L18" s="93">
        <f>IF(ISERROR(VLOOKUP(C18,'Puntaje Exp'!$C$9:$J$1048576,8,0)),"",VLOOKUP(C18,'Puntaje Exp'!$C$9:$J$1048576,8,0))</f>
        <v>60</v>
      </c>
      <c r="M18" s="93"/>
      <c r="N18" s="93">
        <f>+SUM(N19:N20)</f>
        <v>0</v>
      </c>
      <c r="O18" s="96">
        <f>IF(ISERROR(VLOOKUP(C18,'Puntaje CT'!$C$9:$F$20,4,0)),"",VLOOKUP(C18,'Puntaje CT'!$C$9:$F$20,4,0))</f>
        <v>20</v>
      </c>
      <c r="P18" s="93">
        <f>IF(ISERROR(VLOOKUP(C18,'Puntaje CF'!C9:H28,6,0)),"",VLOOKUP(C18,'Puntaje CF'!C9:H28,6,0))</f>
        <v>40</v>
      </c>
      <c r="Q18" s="231">
        <f>IF(IF(ISERROR(VLOOKUP(C18,'Saldo CtosEjecución'!$C$9:$I$1048576,3,0)),0,VLOOKUP(C18,'Saldo CtosEjecución'!$C$9:$I$1048576,3,0))=0,0,IF(ISERROR(VLOOKUP(C18,'Saldo CtosEjecución'!$C$9:$I$1048576,3,0)),0,VLOOKUP(C18,'Saldo CtosEjecución'!$C$9:$I$1048576,3,0)))</f>
        <v>0</v>
      </c>
      <c r="R18" s="233">
        <f t="shared" si="3"/>
        <v>25297510904.399998</v>
      </c>
      <c r="S18" s="206" t="str">
        <f t="shared" si="1"/>
        <v>HABIL</v>
      </c>
    </row>
    <row r="19" spans="3:19" x14ac:dyDescent="0.2">
      <c r="C19" s="97">
        <f>+'Capacidad Financiera'!B21</f>
        <v>7.1</v>
      </c>
      <c r="D19" s="91" t="str">
        <f>IF(ISERROR(VLOOKUP(C19,'Capacidad Financiera'!$B$12:$Z$59141,2,0)),"",VLOOKUP(C19,'Capacidad Financiera'!$B$12:$Z$59141,2,0))</f>
        <v>CIVILTEC S.A.S</v>
      </c>
      <c r="E19" s="90">
        <f>IF(ISERROR(VLOOKUP(C19,'Capacidad Financiera'!$B$12:$Z$59141,3,0)),"",VLOOKUP(C19,'Capacidad Financiera'!$B$12:$Z$59141,3,0))</f>
        <v>0.6</v>
      </c>
      <c r="F19" s="130">
        <f>'Capacidad Financiera'!N21</f>
        <v>0</v>
      </c>
      <c r="G19" s="169" t="str">
        <f>IF(ISERROR(VLOOKUP(F19,POA!$A$2:$D$16,2,0)),"",VLOOKUP(F19,POA!$A$2:$D$16,2,0))</f>
        <v/>
      </c>
      <c r="H19" s="169" t="str">
        <f>IF(ISERROR(VLOOKUP(F19,POA!$A$2:$D$16,3,0)),"",VLOOKUP(F19,POA!$A$2:$D$16,4,0))</f>
        <v/>
      </c>
      <c r="I19" s="130" t="str">
        <f>IF(ISERROR(VLOOKUP(F19,POA!$A$2:$D$2,3,0)),"",VLOOKUP(F19,POA!$A$2:$D$2,3,0))</f>
        <v/>
      </c>
      <c r="J19" s="129" t="str">
        <f t="shared" si="2"/>
        <v/>
      </c>
      <c r="K19" s="201">
        <f>IF(IF(ISERROR(VLOOKUP(C19,'Cap Organización'!$C$10:$I$1048576,3,0)),"",VLOOKUP(C19,'Cap Organización'!$C$10:$I$1048576,3,0))=0,"",IF(ISERROR(VLOOKUP(C19,'Cap Organización'!$C$10:$I$1048576,3,0)),"",VLOOKUP(C19,'Cap Organización'!$C$10:$I$1048576,3,0)))</f>
        <v>16756459087</v>
      </c>
      <c r="L19" s="238">
        <f>IF(ISERROR(VLOOKUP(C19,'Puntaje Exp'!$C$10:$J$1048576,8,0)),"",VLOOKUP(C19,'Puntaje Exp'!$C$10:$J$1048576,8,0))</f>
        <v>0</v>
      </c>
      <c r="M19" s="238">
        <f>+'Capacidad Financiera'!P21</f>
        <v>0</v>
      </c>
      <c r="N19" s="238" t="str">
        <f>IF(ISERROR(VLOOKUP(M19,POA!$A$2:$F$16,6,0)),"",VLOOKUP(M19,POA!$A$2:$F$16,6,0))</f>
        <v/>
      </c>
      <c r="O19" s="238">
        <f>IF(ISERROR(VLOOKUP(C19,'Puntaje CT'!$C$10:$I$1048576,4,0)),"",VLOOKUP(C19,'Puntaje CT'!$C$10:$I$1048576,4,0))</f>
        <v>0</v>
      </c>
      <c r="P19" s="238">
        <f>IF(ISERROR(VLOOKUP(C19,'Puntaje CF'!$C$10:$I$1048576,6,0)),"",VLOOKUP(C19,'Puntaje CF'!$C$10:$I$1048576,6,0))</f>
        <v>0</v>
      </c>
      <c r="Q19" s="236" t="str">
        <f>IF(IF(ISERROR(VLOOKUP(C19,'Saldo CtosEjecución'!$C$10:$I$1048576,3,0)),"",VLOOKUP(C19,'Saldo CtosEjecución'!$C$10:$I$1048576,3,0))=0,"",IF(ISERROR(VLOOKUP(C19,'Saldo CtosEjecución'!$C$10:$I$1048576,3,0)),"",VLOOKUP(C19,'Saldo CtosEjecución'!$C$10:$I$1048576,3,0)))</f>
        <v/>
      </c>
      <c r="R19" s="126" t="str">
        <f>IF(OR(K19="",L19="",O19="",P19="",Q19=""),"",(K19*((L19+O19+P19)/100))-Q19)</f>
        <v/>
      </c>
      <c r="S19" s="205"/>
    </row>
    <row r="20" spans="3:19" x14ac:dyDescent="0.2">
      <c r="C20" s="97">
        <f>+'Capacidad Financiera'!B22</f>
        <v>7.2</v>
      </c>
      <c r="D20" s="91" t="str">
        <f>IF(ISERROR(VLOOKUP(C20,'Capacidad Financiera'!$B$12:$Z$59141,2,0)),"",VLOOKUP(C20,'Capacidad Financiera'!$B$12:$Z$59141,2,0))</f>
        <v>BGDSA S.A.S</v>
      </c>
      <c r="E20" s="90">
        <f>IF(ISERROR(VLOOKUP(C20,'Capacidad Financiera'!$B$12:$Z$59141,3,0)),"",VLOOKUP(C20,'Capacidad Financiera'!$B$12:$Z$59141,3,0))</f>
        <v>0.4</v>
      </c>
      <c r="F20" s="130">
        <f>'Capacidad Financiera'!N22</f>
        <v>0</v>
      </c>
      <c r="G20" s="169" t="str">
        <f>IF(ISERROR(VLOOKUP(F20,POA!$A$2:$D$16,2,0)),"",VLOOKUP(F20,POA!$A$2:$D$16,2,0))</f>
        <v/>
      </c>
      <c r="H20" s="169" t="str">
        <f>IF(ISERROR(VLOOKUP(F20,POA!$A$2:$D$16,3,0)),"",VLOOKUP(F20,POA!$A$2:$D$16,4,0))</f>
        <v/>
      </c>
      <c r="I20" s="130" t="str">
        <f>IF(ISERROR(VLOOKUP(F20,POA!$A$2:$D$2,3,0)),"",VLOOKUP(F20,POA!$A$2:$D$2,3,0))</f>
        <v/>
      </c>
      <c r="J20" s="129" t="str">
        <f t="shared" si="2"/>
        <v/>
      </c>
      <c r="K20" s="201">
        <f>IF(IF(ISERROR(VLOOKUP(C20,'Cap Organización'!$C$10:$I$1048576,3,0)),"",VLOOKUP(C20,'Cap Organización'!$C$10:$I$1048576,3,0))=0,"",IF(ISERROR(VLOOKUP(C20,'Cap Organización'!$C$10:$I$1048576,3,0)),"",VLOOKUP(C20,'Cap Organización'!$C$10:$I$1048576,3,0)))</f>
        <v>4324800000</v>
      </c>
      <c r="L20" s="238">
        <f>IF(ISERROR(VLOOKUP(C20,'Puntaje Exp'!$C$10:$J$1048576,8,0)),"",VLOOKUP(C20,'Puntaje Exp'!$C$10:$J$1048576,8,0))</f>
        <v>0</v>
      </c>
      <c r="M20" s="239">
        <f>+'Capacidad Financiera'!P22</f>
        <v>0</v>
      </c>
      <c r="N20" s="239" t="str">
        <f>IF(ISERROR(VLOOKUP(M20,POA!$A$2:$F$16,6,0)),"",VLOOKUP(M20,POA!$A$2:$F$16,6,0))</f>
        <v/>
      </c>
      <c r="O20" s="238">
        <f>IF(ISERROR(VLOOKUP(C20,'Puntaje CT'!$C$10:$I$1048576,4,0)),"",VLOOKUP(C20,'Puntaje CT'!$C$10:$I$1048576,4,0))</f>
        <v>0</v>
      </c>
      <c r="P20" s="238">
        <f>IF(ISERROR(VLOOKUP(C20,'Puntaje CF'!$C$10:$I$1048576,6,0)),"",VLOOKUP(C20,'Puntaje CF'!$C$10:$I$1048576,6,0))</f>
        <v>0</v>
      </c>
      <c r="Q20" s="236" t="str">
        <f>IF(IF(ISERROR(VLOOKUP(C20,'Saldo CtosEjecución'!$C$10:$I$1048576,3,0)),"",VLOOKUP(C20,'Saldo CtosEjecución'!$C$10:$I$1048576,3,0))=0,"",IF(ISERROR(VLOOKUP(C20,'Saldo CtosEjecución'!$C$10:$I$1048576,3,0)),"",VLOOKUP(C20,'Saldo CtosEjecución'!$C$10:$I$1048576,3,0)))</f>
        <v/>
      </c>
      <c r="R20" s="126" t="str">
        <f>IF(OR(K20="",L20="",O20="",P20="",Q20=""),"",(K20*((L20+O20+P20)/100))-Q20)</f>
        <v/>
      </c>
      <c r="S20" s="205"/>
    </row>
    <row r="21" spans="3:19" ht="12.75" hidden="1" customHeight="1" x14ac:dyDescent="0.2">
      <c r="C21" s="92">
        <v>8</v>
      </c>
      <c r="D21" s="93" t="str">
        <f>IF(ISERROR(VLOOKUP(C21,'Capacidad Financiera'!$B$12:$Z$59141,2,0)),"",VLOOKUP(C21,'Capacidad Financiera'!$B$12:$Z$59141,2,0))</f>
        <v>COOPIRAGUA</v>
      </c>
      <c r="E21" s="94">
        <f>IF(ISERROR(VLOOKUP(C21,'Capacidad Financiera'!$B$12:$Z$59141,3,0)),"",VLOOKUP(C21,'Capacidad Financiera'!$B$12:$Z$59141,3,0))</f>
        <v>1</v>
      </c>
      <c r="F21" s="96">
        <f>'Capacidad Financiera'!N23</f>
        <v>7</v>
      </c>
      <c r="G21" s="95" t="str">
        <f>IF(ISERROR(VLOOKUP(F21,POA!$A$2:$D$16,2,0)),"",VLOOKUP(F21,POA!$A$2:$D$16,2,0))</f>
        <v/>
      </c>
      <c r="H21" s="95" t="str">
        <f>IF(ISERROR(VLOOKUP(F21,POA!$A$2:$D$16,3,0)),"",VLOOKUP(F21,POA!$A$2:$D$16,4,0))</f>
        <v/>
      </c>
      <c r="I21" s="96" t="str">
        <f>IF(ISERROR(VLOOKUP(F21,POA!$A$2:$D$2,3,0)),"",VLOOKUP(F21,POA!$A$2:$D$2,3,0))</f>
        <v/>
      </c>
      <c r="J21" s="93" t="str">
        <f t="shared" si="2"/>
        <v/>
      </c>
      <c r="K21" s="93">
        <f>IF(IF(ISERROR(VLOOKUP(C21,'Cap Organización'!$C$9:$E$31,3,0)),"",VLOOKUP(C21,'Cap Organización'!$C$9:$E$31,3,0))=0,"",IF(ISERROR(VLOOKUP(C21,'Cap Organización'!$C$9:$E$31,3,0)),"",VLOOKUP(C21,'Cap Organización'!$C$9:$E$31,3,0)))</f>
        <v>377079000</v>
      </c>
      <c r="L21" s="93">
        <f>IF(ISERROR(VLOOKUP(C21,'Puntaje Exp'!$C$9:$J$1048576,8,0)),"",VLOOKUP(C21,'Puntaje Exp'!$C$9:$J$1048576,8,0))</f>
        <v>60</v>
      </c>
      <c r="M21" s="93"/>
      <c r="N21" s="93" t="e">
        <f>+SUM(#REF!)</f>
        <v>#REF!</v>
      </c>
      <c r="O21" s="96">
        <f>IF(ISERROR(VLOOKUP(C21,'Puntaje CT'!$C$9:$F$20,4,0)),"",VLOOKUP(C21,'Puntaje CT'!$C$9:$F$20,4,0))</f>
        <v>40</v>
      </c>
      <c r="P21" s="93">
        <f>IF(ISERROR(VLOOKUP(C21,'Puntaje CF'!C20:H30,6,0)),"",VLOOKUP(C21,'Puntaje CF'!C20:H30,6,0))</f>
        <v>40</v>
      </c>
      <c r="Q21" s="231">
        <f>IF(IF(ISERROR(VLOOKUP(C21,'Saldo CtosEjecución'!$C$9:$I$1048576,3,0)),0,VLOOKUP(C21,'Saldo CtosEjecución'!$C$9:$I$1048576,3,0))=0,0,IF(ISERROR(VLOOKUP(C21,'Saldo CtosEjecución'!$C$9:$I$1048576,3,0)),0,VLOOKUP(C21,'Saldo CtosEjecución'!$C$9:$I$1048576,3,0)))</f>
        <v>0</v>
      </c>
      <c r="R21" s="233">
        <f t="shared" ref="R21" si="4">(K21*((L21+O21+P21)/100))-Q21</f>
        <v>527910599.99999994</v>
      </c>
      <c r="S21" s="206" t="str">
        <f>+IF(OR(R21=0,F21=""),"",IF(R21&gt;=J21,"HABIL","NO HABIL"))</f>
        <v>NO HABIL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.75" right="0.75" top="1" bottom="1" header="0" footer="0"/>
      <headerFooter alignWithMargins="0"/>
    </customSheetView>
  </customSheetViews>
  <mergeCells count="21">
    <mergeCell ref="C2:S2"/>
    <mergeCell ref="C3:S3"/>
    <mergeCell ref="C4:S4"/>
    <mergeCell ref="C5:S5"/>
    <mergeCell ref="S8:S9"/>
    <mergeCell ref="G8:G9"/>
    <mergeCell ref="M7:M9"/>
    <mergeCell ref="N7:N9"/>
    <mergeCell ref="J8:J9"/>
    <mergeCell ref="K8:K9"/>
    <mergeCell ref="H8:H9"/>
    <mergeCell ref="R8:R9"/>
    <mergeCell ref="L8:L9"/>
    <mergeCell ref="P8:P9"/>
    <mergeCell ref="Q8:Q9"/>
    <mergeCell ref="O8:O9"/>
    <mergeCell ref="C7:C9"/>
    <mergeCell ref="D7:D9"/>
    <mergeCell ref="E8:E9"/>
    <mergeCell ref="F7:F9"/>
    <mergeCell ref="I7:I9"/>
  </mergeCells>
  <phoneticPr fontId="25" type="noConversion"/>
  <conditionalFormatting sqref="S6 E6:J6">
    <cfRule type="expression" dxfId="73" priority="3929" stopIfTrue="1">
      <formula>IF($B6-INT($B6)&gt;0,TRUE,FALSE)</formula>
    </cfRule>
  </conditionalFormatting>
  <conditionalFormatting sqref="D10:D12 D6 L6:R6">
    <cfRule type="cellIs" dxfId="72" priority="3930" stopIfTrue="1" operator="equal">
      <formula>"NO ADMISIBLE"</formula>
    </cfRule>
  </conditionalFormatting>
  <conditionalFormatting sqref="M12:N12 E12">
    <cfRule type="expression" dxfId="71" priority="3928" stopIfTrue="1">
      <formula>IF($B5-INT($B5)&gt;0,TRUE,FALSE)</formula>
    </cfRule>
  </conditionalFormatting>
  <conditionalFormatting sqref="S10:S12">
    <cfRule type="cellIs" dxfId="70" priority="3925" stopIfTrue="1" operator="equal">
      <formula>"NO ADMISIBLE"</formula>
    </cfRule>
    <cfRule type="cellIs" dxfId="69" priority="3926" stopIfTrue="1" operator="equal">
      <formula>"ADMISIBLE"</formula>
    </cfRule>
  </conditionalFormatting>
  <conditionalFormatting sqref="S10:S12">
    <cfRule type="cellIs" dxfId="68" priority="3924" stopIfTrue="1" operator="equal">
      <formula>"PENDIENTE"</formula>
    </cfRule>
  </conditionalFormatting>
  <conditionalFormatting sqref="E11 L11:P11 R11">
    <cfRule type="expression" dxfId="67" priority="3919" stopIfTrue="1">
      <formula>IF($B2-INT($B2)&gt;0,TRUE,FALSE)</formula>
    </cfRule>
  </conditionalFormatting>
  <conditionalFormatting sqref="E10:J10 J11:J12 F11:F12 M10:P10">
    <cfRule type="expression" dxfId="66" priority="3934" stopIfTrue="1">
      <formula>IF(#REF!-INT(#REF!)&gt;0,TRUE,FALSE)</formula>
    </cfRule>
  </conditionalFormatting>
  <conditionalFormatting sqref="G11:G12">
    <cfRule type="expression" dxfId="65" priority="1427" stopIfTrue="1">
      <formula>IF(#REF!-INT(#REF!)&gt;0,TRUE,FALSE)</formula>
    </cfRule>
  </conditionalFormatting>
  <conditionalFormatting sqref="H11:H12">
    <cfRule type="expression" dxfId="64" priority="1426" stopIfTrue="1">
      <formula>IF(#REF!-INT(#REF!)&gt;0,TRUE,FALSE)</formula>
    </cfRule>
  </conditionalFormatting>
  <conditionalFormatting sqref="I11:I12">
    <cfRule type="expression" dxfId="63" priority="1425" stopIfTrue="1">
      <formula>IF(#REF!-INT(#REF!)&gt;0,TRUE,FALSE)</formula>
    </cfRule>
  </conditionalFormatting>
  <conditionalFormatting sqref="K11:K12">
    <cfRule type="expression" dxfId="62" priority="1424" stopIfTrue="1">
      <formula>IF($B2-INT($B2)&gt;0,TRUE,FALSE)</formula>
    </cfRule>
  </conditionalFormatting>
  <conditionalFormatting sqref="L12">
    <cfRule type="expression" dxfId="61" priority="1423" stopIfTrue="1">
      <formula>IF($B3-INT($B3)&gt;0,TRUE,FALSE)</formula>
    </cfRule>
  </conditionalFormatting>
  <conditionalFormatting sqref="O12">
    <cfRule type="expression" dxfId="60" priority="1422" stopIfTrue="1">
      <formula>IF($B3-INT($B3)&gt;0,TRUE,FALSE)</formula>
    </cfRule>
  </conditionalFormatting>
  <conditionalFormatting sqref="P12">
    <cfRule type="expression" dxfId="59" priority="1421" stopIfTrue="1">
      <formula>IF($B3-INT($B3)&gt;0,TRUE,FALSE)</formula>
    </cfRule>
  </conditionalFormatting>
  <conditionalFormatting sqref="R12">
    <cfRule type="expression" dxfId="58" priority="1420" stopIfTrue="1">
      <formula>IF($B3-INT($B3)&gt;0,TRUE,FALSE)</formula>
    </cfRule>
  </conditionalFormatting>
  <conditionalFormatting sqref="Q11:Q12">
    <cfRule type="expression" dxfId="57" priority="1419" stopIfTrue="1">
      <formula>IF($B2-INT($B2)&gt;0,TRUE,FALSE)</formula>
    </cfRule>
  </conditionalFormatting>
  <conditionalFormatting sqref="D13">
    <cfRule type="cellIs" dxfId="56" priority="134" stopIfTrue="1" operator="equal">
      <formula>"NO ADMISIBLE"</formula>
    </cfRule>
  </conditionalFormatting>
  <conditionalFormatting sqref="S13">
    <cfRule type="cellIs" dxfId="55" priority="131" stopIfTrue="1" operator="equal">
      <formula>"NO ADMISIBLE"</formula>
    </cfRule>
    <cfRule type="cellIs" dxfId="54" priority="132" stopIfTrue="1" operator="equal">
      <formula>"ADMISIBLE"</formula>
    </cfRule>
  </conditionalFormatting>
  <conditionalFormatting sqref="S13">
    <cfRule type="cellIs" dxfId="53" priority="130" stopIfTrue="1" operator="equal">
      <formula>"PENDIENTE"</formula>
    </cfRule>
  </conditionalFormatting>
  <conditionalFormatting sqref="E13:J13 M13:N13">
    <cfRule type="expression" dxfId="52" priority="135" stopIfTrue="1">
      <formula>IF(#REF!-INT(#REF!)&gt;0,TRUE,FALSE)</formula>
    </cfRule>
  </conditionalFormatting>
  <conditionalFormatting sqref="D14">
    <cfRule type="cellIs" dxfId="51" priority="118" stopIfTrue="1" operator="equal">
      <formula>"NO ADMISIBLE"</formula>
    </cfRule>
  </conditionalFormatting>
  <conditionalFormatting sqref="S14">
    <cfRule type="cellIs" dxfId="50" priority="115" stopIfTrue="1" operator="equal">
      <formula>"NO ADMISIBLE"</formula>
    </cfRule>
    <cfRule type="cellIs" dxfId="49" priority="116" stopIfTrue="1" operator="equal">
      <formula>"ADMISIBLE"</formula>
    </cfRule>
  </conditionalFormatting>
  <conditionalFormatting sqref="S14">
    <cfRule type="cellIs" dxfId="48" priority="114" stopIfTrue="1" operator="equal">
      <formula>"PENDIENTE"</formula>
    </cfRule>
  </conditionalFormatting>
  <conditionalFormatting sqref="L19:P19 K19:K20 L20 O20:P20 Q19:R20">
    <cfRule type="expression" dxfId="47" priority="113" stopIfTrue="1">
      <formula>IF(#REF!-INT(#REF!)&gt;0,TRUE,FALSE)</formula>
    </cfRule>
  </conditionalFormatting>
  <conditionalFormatting sqref="E14:J14">
    <cfRule type="expression" dxfId="46" priority="119" stopIfTrue="1">
      <formula>IF(#REF!-INT(#REF!)&gt;0,TRUE,FALSE)</formula>
    </cfRule>
  </conditionalFormatting>
  <conditionalFormatting sqref="D15">
    <cfRule type="cellIs" dxfId="45" priority="102" stopIfTrue="1" operator="equal">
      <formula>"NO ADMISIBLE"</formula>
    </cfRule>
  </conditionalFormatting>
  <conditionalFormatting sqref="S15">
    <cfRule type="cellIs" dxfId="44" priority="99" stopIfTrue="1" operator="equal">
      <formula>"NO ADMISIBLE"</formula>
    </cfRule>
    <cfRule type="cellIs" dxfId="43" priority="100" stopIfTrue="1" operator="equal">
      <formula>"ADMISIBLE"</formula>
    </cfRule>
  </conditionalFormatting>
  <conditionalFormatting sqref="S15">
    <cfRule type="cellIs" dxfId="42" priority="98" stopIfTrue="1" operator="equal">
      <formula>"PENDIENTE"</formula>
    </cfRule>
  </conditionalFormatting>
  <conditionalFormatting sqref="E15:J15">
    <cfRule type="expression" dxfId="41" priority="103" stopIfTrue="1">
      <formula>IF(#REF!-INT(#REF!)&gt;0,TRUE,FALSE)</formula>
    </cfRule>
  </conditionalFormatting>
  <conditionalFormatting sqref="D16">
    <cfRule type="cellIs" dxfId="40" priority="86" stopIfTrue="1" operator="equal">
      <formula>"NO ADMISIBLE"</formula>
    </cfRule>
  </conditionalFormatting>
  <conditionalFormatting sqref="S16:S17">
    <cfRule type="cellIs" dxfId="39" priority="83" stopIfTrue="1" operator="equal">
      <formula>"NO ADMISIBLE"</formula>
    </cfRule>
    <cfRule type="cellIs" dxfId="38" priority="84" stopIfTrue="1" operator="equal">
      <formula>"ADMISIBLE"</formula>
    </cfRule>
  </conditionalFormatting>
  <conditionalFormatting sqref="S16:S17">
    <cfRule type="cellIs" dxfId="37" priority="82" stopIfTrue="1" operator="equal">
      <formula>"PENDIENTE"</formula>
    </cfRule>
  </conditionalFormatting>
  <conditionalFormatting sqref="E16:J16 G17:J17">
    <cfRule type="expression" dxfId="36" priority="87" stopIfTrue="1">
      <formula>IF(#REF!-INT(#REF!)&gt;0,TRUE,FALSE)</formula>
    </cfRule>
  </conditionalFormatting>
  <conditionalFormatting sqref="D18:D20">
    <cfRule type="cellIs" dxfId="35" priority="70" stopIfTrue="1" operator="equal">
      <formula>"NO ADMISIBLE"</formula>
    </cfRule>
  </conditionalFormatting>
  <conditionalFormatting sqref="S18:S20">
    <cfRule type="cellIs" dxfId="34" priority="67" stopIfTrue="1" operator="equal">
      <formula>"NO ADMISIBLE"</formula>
    </cfRule>
    <cfRule type="cellIs" dxfId="33" priority="68" stopIfTrue="1" operator="equal">
      <formula>"ADMISIBLE"</formula>
    </cfRule>
  </conditionalFormatting>
  <conditionalFormatting sqref="S18:S20">
    <cfRule type="cellIs" dxfId="32" priority="66" stopIfTrue="1" operator="equal">
      <formula>"PENDIENTE"</formula>
    </cfRule>
  </conditionalFormatting>
  <conditionalFormatting sqref="E19">
    <cfRule type="expression" dxfId="31" priority="65" stopIfTrue="1">
      <formula>IF(#REF!-INT(#REF!)&gt;0,TRUE,FALSE)</formula>
    </cfRule>
  </conditionalFormatting>
  <conditionalFormatting sqref="E18:J18 J19:J20 F19:F20 M18:N18">
    <cfRule type="expression" dxfId="30" priority="71" stopIfTrue="1">
      <formula>IF(#REF!-INT(#REF!)&gt;0,TRUE,FALSE)</formula>
    </cfRule>
  </conditionalFormatting>
  <conditionalFormatting sqref="G19:G20">
    <cfRule type="expression" dxfId="29" priority="64" stopIfTrue="1">
      <formula>IF(#REF!-INT(#REF!)&gt;0,TRUE,FALSE)</formula>
    </cfRule>
  </conditionalFormatting>
  <conditionalFormatting sqref="H19:H20">
    <cfRule type="expression" dxfId="28" priority="63" stopIfTrue="1">
      <formula>IF(#REF!-INT(#REF!)&gt;0,TRUE,FALSE)</formula>
    </cfRule>
  </conditionalFormatting>
  <conditionalFormatting sqref="I19:I20">
    <cfRule type="expression" dxfId="27" priority="62" stopIfTrue="1">
      <formula>IF(#REF!-INT(#REF!)&gt;0,TRUE,FALSE)</formula>
    </cfRule>
  </conditionalFormatting>
  <conditionalFormatting sqref="D21">
    <cfRule type="cellIs" dxfId="26" priority="54" stopIfTrue="1" operator="equal">
      <formula>"NO ADMISIBLE"</formula>
    </cfRule>
  </conditionalFormatting>
  <conditionalFormatting sqref="S21">
    <cfRule type="cellIs" dxfId="25" priority="51" stopIfTrue="1" operator="equal">
      <formula>"NO ADMISIBLE"</formula>
    </cfRule>
    <cfRule type="cellIs" dxfId="24" priority="52" stopIfTrue="1" operator="equal">
      <formula>"ADMISIBLE"</formula>
    </cfRule>
  </conditionalFormatting>
  <conditionalFormatting sqref="S21">
    <cfRule type="cellIs" dxfId="23" priority="50" stopIfTrue="1" operator="equal">
      <formula>"PENDIENTE"</formula>
    </cfRule>
  </conditionalFormatting>
  <conditionalFormatting sqref="E21:J21 M21:N21">
    <cfRule type="expression" dxfId="22" priority="55" stopIfTrue="1">
      <formula>IF(#REF!-INT(#REF!)&gt;0,TRUE,FALSE)</formula>
    </cfRule>
  </conditionalFormatting>
  <conditionalFormatting sqref="M20:N20 E20">
    <cfRule type="expression" dxfId="21" priority="8102" stopIfTrue="1">
      <formula>IF(#REF!-INT(#REF!)&gt;0,TRUE,FALSE)</formula>
    </cfRule>
  </conditionalFormatting>
  <conditionalFormatting sqref="M14:N17">
    <cfRule type="expression" dxfId="20" priority="39" stopIfTrue="1">
      <formula>IF(#REF!-INT(#REF!)&gt;0,TRUE,FALSE)</formula>
    </cfRule>
  </conditionalFormatting>
  <conditionalFormatting sqref="R10">
    <cfRule type="expression" dxfId="19" priority="38" stopIfTrue="1">
      <formula>IF(#REF!-INT(#REF!)&gt;0,TRUE,FALSE)</formula>
    </cfRule>
  </conditionalFormatting>
  <conditionalFormatting sqref="K10">
    <cfRule type="expression" dxfId="18" priority="35" stopIfTrue="1">
      <formula>IF(#REF!-INT(#REF!)&gt;0,TRUE,FALSE)</formula>
    </cfRule>
  </conditionalFormatting>
  <conditionalFormatting sqref="K21">
    <cfRule type="expression" dxfId="17" priority="33" stopIfTrue="1">
      <formula>IF(#REF!-INT(#REF!)&gt;0,TRUE,FALSE)</formula>
    </cfRule>
  </conditionalFormatting>
  <conditionalFormatting sqref="L10">
    <cfRule type="expression" dxfId="16" priority="31" stopIfTrue="1">
      <formula>IF(#REF!-INT(#REF!)&gt;0,TRUE,FALSE)</formula>
    </cfRule>
  </conditionalFormatting>
  <conditionalFormatting sqref="L13:L18">
    <cfRule type="expression" dxfId="15" priority="30" stopIfTrue="1">
      <formula>IF(#REF!-INT(#REF!)&gt;0,TRUE,FALSE)</formula>
    </cfRule>
  </conditionalFormatting>
  <conditionalFormatting sqref="L21">
    <cfRule type="expression" dxfId="14" priority="29" stopIfTrue="1">
      <formula>IF(#REF!-INT(#REF!)&gt;0,TRUE,FALSE)</formula>
    </cfRule>
  </conditionalFormatting>
  <conditionalFormatting sqref="O13:O18">
    <cfRule type="expression" dxfId="13" priority="26" stopIfTrue="1">
      <formula>IF(#REF!-INT(#REF!)&gt;0,TRUE,FALSE)</formula>
    </cfRule>
  </conditionalFormatting>
  <conditionalFormatting sqref="O21">
    <cfRule type="expression" dxfId="12" priority="25" stopIfTrue="1">
      <formula>IF(#REF!-INT(#REF!)&gt;0,TRUE,FALSE)</formula>
    </cfRule>
  </conditionalFormatting>
  <conditionalFormatting sqref="P13:P18">
    <cfRule type="expression" dxfId="11" priority="24" stopIfTrue="1">
      <formula>IF(#REF!-INT(#REF!)&gt;0,TRUE,FALSE)</formula>
    </cfRule>
  </conditionalFormatting>
  <conditionalFormatting sqref="P21">
    <cfRule type="expression" dxfId="10" priority="23" stopIfTrue="1">
      <formula>IF(#REF!-INT(#REF!)&gt;0,TRUE,FALSE)</formula>
    </cfRule>
  </conditionalFormatting>
  <conditionalFormatting sqref="Q10">
    <cfRule type="expression" dxfId="9" priority="21" stopIfTrue="1">
      <formula>IF(#REF!-INT(#REF!)&gt;0,TRUE,FALSE)</formula>
    </cfRule>
  </conditionalFormatting>
  <conditionalFormatting sqref="Q14:Q18">
    <cfRule type="expression" dxfId="8" priority="20" stopIfTrue="1">
      <formula>IF(#REF!-INT(#REF!)&gt;0,TRUE,FALSE)</formula>
    </cfRule>
  </conditionalFormatting>
  <conditionalFormatting sqref="R14:R18">
    <cfRule type="expression" dxfId="7" priority="18" stopIfTrue="1">
      <formula>IF(#REF!-INT(#REF!)&gt;0,TRUE,FALSE)</formula>
    </cfRule>
  </conditionalFormatting>
  <conditionalFormatting sqref="R21">
    <cfRule type="expression" dxfId="6" priority="17" stopIfTrue="1">
      <formula>IF(#REF!-INT(#REF!)&gt;0,TRUE,FALSE)</formula>
    </cfRule>
  </conditionalFormatting>
  <conditionalFormatting sqref="Q21">
    <cfRule type="expression" dxfId="5" priority="16" stopIfTrue="1">
      <formula>IF(#REF!-INT(#REF!)&gt;0,TRUE,FALSE)</formula>
    </cfRule>
  </conditionalFormatting>
  <conditionalFormatting sqref="K13:K16 K18">
    <cfRule type="expression" dxfId="4" priority="15" stopIfTrue="1">
      <formula>IF(#REF!-INT(#REF!)&gt;0,TRUE,FALSE)</formula>
    </cfRule>
  </conditionalFormatting>
  <conditionalFormatting sqref="Q13:R13">
    <cfRule type="expression" dxfId="3" priority="14" stopIfTrue="1">
      <formula>IF(#REF!-INT(#REF!)&gt;0,TRUE,FALSE)</formula>
    </cfRule>
  </conditionalFormatting>
  <conditionalFormatting sqref="D17">
    <cfRule type="cellIs" dxfId="2" priority="12" stopIfTrue="1" operator="equal">
      <formula>"NO ADMISIBLE"</formula>
    </cfRule>
  </conditionalFormatting>
  <conditionalFormatting sqref="E17:F17">
    <cfRule type="expression" dxfId="1" priority="13" stopIfTrue="1">
      <formula>IF(#REF!-INT(#REF!)&gt;0,TRUE,FALSE)</formula>
    </cfRule>
  </conditionalFormatting>
  <conditionalFormatting sqref="K17">
    <cfRule type="expression" dxfId="0" priority="1" stopIfTrue="1">
      <formula>IF(#REF!-INT(#REF!)&gt;0,TRUE,FALSE)</formula>
    </cfRule>
  </conditionalFormatting>
  <dataValidations count="1">
    <dataValidation type="list" allowBlank="1" showInputMessage="1" showErrorMessage="1" sqref="D6 D10:D21" xr:uid="{00000000-0002-0000-0900-000000000000}">
      <formula1>prueba</formula1>
    </dataValidation>
  </dataValidations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02" r:id="rId4" name="Button 10">
              <controlPr defaultSize="0" print="0" autoFill="0" autoPict="0" macro="[0]!_xludf.copy">
                <anchor moveWithCells="1" sizeWithCells="1">
                  <from>
                    <xdr:col>0</xdr:col>
                    <xdr:colOff>219075</xdr:colOff>
                    <xdr:row>2</xdr:row>
                    <xdr:rowOff>114300</xdr:rowOff>
                  </from>
                  <to>
                    <xdr:col>1</xdr:col>
                    <xdr:colOff>628650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7</v>
      </c>
    </row>
    <row r="3" spans="1:2" ht="46.5" x14ac:dyDescent="0.2">
      <c r="A3" s="14" t="s">
        <v>8</v>
      </c>
      <c r="B3" s="15" t="s">
        <v>9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114</v>
      </c>
      <c r="B5" s="20">
        <v>16097532669.306931</v>
      </c>
    </row>
    <row r="6" spans="1:2" s="21" customFormat="1" ht="13.5" outlineLevel="1" x14ac:dyDescent="0.2">
      <c r="A6" s="19" t="s">
        <v>115</v>
      </c>
      <c r="B6" s="20">
        <v>18724260670</v>
      </c>
    </row>
    <row r="7" spans="1:2" s="21" customFormat="1" ht="13.5" outlineLevel="1" x14ac:dyDescent="0.2">
      <c r="A7" s="19" t="s">
        <v>116</v>
      </c>
      <c r="B7" s="20">
        <v>15886461489</v>
      </c>
    </row>
    <row r="8" spans="1:2" s="21" customFormat="1" ht="13.5" outlineLevel="1" x14ac:dyDescent="0.2">
      <c r="A8" s="19" t="s">
        <v>117</v>
      </c>
      <c r="B8" s="20">
        <v>18533406621</v>
      </c>
    </row>
    <row r="9" spans="1:2" s="23" customFormat="1" ht="13.5" outlineLevel="1" x14ac:dyDescent="0.2">
      <c r="A9" s="19" t="s">
        <v>118</v>
      </c>
      <c r="B9" s="20">
        <v>14971945628</v>
      </c>
    </row>
    <row r="10" spans="1:2" s="23" customFormat="1" ht="13.5" outlineLevel="1" x14ac:dyDescent="0.2">
      <c r="A10" s="19" t="s">
        <v>119</v>
      </c>
      <c r="B10" s="20">
        <v>16484340849</v>
      </c>
    </row>
    <row r="11" spans="1:2" s="21" customFormat="1" ht="13.5" outlineLevel="1" x14ac:dyDescent="0.2">
      <c r="A11" s="19" t="s">
        <v>120</v>
      </c>
      <c r="B11" s="20">
        <v>16686919713.999998</v>
      </c>
    </row>
    <row r="12" spans="1:2" s="21" customFormat="1" ht="13.5" outlineLevel="1" x14ac:dyDescent="0.2">
      <c r="A12" s="19" t="s">
        <v>121</v>
      </c>
      <c r="B12" s="20">
        <v>11566305868</v>
      </c>
    </row>
    <row r="13" spans="1:2" s="21" customFormat="1" ht="13.5" outlineLevel="1" x14ac:dyDescent="0.2">
      <c r="A13" s="19" t="s">
        <v>122</v>
      </c>
      <c r="B13" s="20">
        <v>6300474910</v>
      </c>
    </row>
    <row r="14" spans="1:2" s="21" customFormat="1" ht="13.5" outlineLevel="1" x14ac:dyDescent="0.2">
      <c r="A14" s="19" t="s">
        <v>10</v>
      </c>
      <c r="B14" s="20">
        <v>1428162158.4158416</v>
      </c>
    </row>
    <row r="15" spans="1:2" s="21" customFormat="1" ht="13.5" outlineLevel="1" x14ac:dyDescent="0.2">
      <c r="A15" s="19" t="s">
        <v>11</v>
      </c>
      <c r="B15" s="20">
        <v>1292851961.3861387</v>
      </c>
    </row>
    <row r="16" spans="1:2" s="23" customFormat="1" ht="13.5" outlineLevel="1" x14ac:dyDescent="0.2">
      <c r="A16" s="19" t="s">
        <v>12</v>
      </c>
      <c r="B16" s="40">
        <v>14200237260</v>
      </c>
    </row>
    <row r="17" spans="1:2" s="23" customFormat="1" ht="13.5" outlineLevel="1" x14ac:dyDescent="0.2">
      <c r="A17" s="19" t="s">
        <v>13</v>
      </c>
      <c r="B17" s="20">
        <v>14388115033</v>
      </c>
    </row>
    <row r="18" spans="1:2" s="21" customFormat="1" ht="13.5" outlineLevel="1" x14ac:dyDescent="0.2">
      <c r="A18" s="19" t="s">
        <v>14</v>
      </c>
      <c r="B18" s="20">
        <v>7076050599</v>
      </c>
    </row>
    <row r="19" spans="1:2" s="21" customFormat="1" ht="13.5" outlineLevel="1" x14ac:dyDescent="0.2">
      <c r="A19" s="19" t="s">
        <v>15</v>
      </c>
      <c r="B19" s="20">
        <v>20893814942</v>
      </c>
    </row>
    <row r="20" spans="1:2" s="23" customFormat="1" ht="13.5" outlineLevel="1" x14ac:dyDescent="0.2">
      <c r="A20" s="19" t="s">
        <v>16</v>
      </c>
      <c r="B20" s="40">
        <v>8810989120</v>
      </c>
    </row>
    <row r="21" spans="1:2" s="21" customFormat="1" ht="13.5" outlineLevel="1" x14ac:dyDescent="0.2">
      <c r="A21" s="19" t="s">
        <v>17</v>
      </c>
      <c r="B21" s="20">
        <v>5818381842</v>
      </c>
    </row>
    <row r="22" spans="1:2" s="21" customFormat="1" ht="13.5" outlineLevel="1" x14ac:dyDescent="0.2">
      <c r="A22" s="19" t="s">
        <v>18</v>
      </c>
      <c r="B22" s="20">
        <v>9650261634</v>
      </c>
    </row>
    <row r="23" spans="1:2" s="21" customFormat="1" ht="13.5" outlineLevel="1" x14ac:dyDescent="0.2">
      <c r="A23" s="19" t="s">
        <v>19</v>
      </c>
      <c r="B23" s="20">
        <v>5385776414</v>
      </c>
    </row>
    <row r="24" spans="1:2" s="23" customFormat="1" ht="13.5" outlineLevel="1" x14ac:dyDescent="0.2">
      <c r="A24" s="19" t="s">
        <v>20</v>
      </c>
      <c r="B24" s="20">
        <v>5759505844</v>
      </c>
    </row>
    <row r="25" spans="1:2" s="23" customFormat="1" ht="13.5" outlineLevel="1" x14ac:dyDescent="0.2">
      <c r="A25" s="19" t="s">
        <v>21</v>
      </c>
      <c r="B25" s="20">
        <v>11365045650</v>
      </c>
    </row>
    <row r="26" spans="1:2" s="23" customFormat="1" ht="13.5" outlineLevel="1" x14ac:dyDescent="0.2">
      <c r="A26" s="19" t="s">
        <v>22</v>
      </c>
      <c r="B26" s="20">
        <v>15652530637</v>
      </c>
    </row>
    <row r="27" spans="1:2" s="23" customFormat="1" ht="13.5" outlineLevel="1" x14ac:dyDescent="0.2">
      <c r="A27" s="19" t="s">
        <v>23</v>
      </c>
      <c r="B27" s="20">
        <v>5772808797</v>
      </c>
    </row>
    <row r="28" spans="1:2" s="23" customFormat="1" ht="13.5" outlineLevel="1" x14ac:dyDescent="0.2">
      <c r="A28" s="19" t="s">
        <v>24</v>
      </c>
      <c r="B28" s="20">
        <v>7512106130</v>
      </c>
    </row>
    <row r="29" spans="1:2" s="23" customFormat="1" ht="13.5" outlineLevel="1" x14ac:dyDescent="0.2">
      <c r="A29" s="19" t="s">
        <v>25</v>
      </c>
      <c r="B29" s="20">
        <v>9347559589</v>
      </c>
    </row>
    <row r="30" spans="1:2" s="23" customFormat="1" ht="13.5" outlineLevel="1" x14ac:dyDescent="0.2">
      <c r="A30" s="19" t="s">
        <v>26</v>
      </c>
      <c r="B30" s="20">
        <v>19825977010</v>
      </c>
    </row>
    <row r="31" spans="1:2" s="23" customFormat="1" ht="13.5" outlineLevel="1" x14ac:dyDescent="0.2">
      <c r="A31" s="19" t="s">
        <v>27</v>
      </c>
      <c r="B31" s="20">
        <v>9200191515</v>
      </c>
    </row>
    <row r="32" spans="1:2" s="23" customFormat="1" ht="13.5" outlineLevel="1" x14ac:dyDescent="0.2">
      <c r="A32" s="19" t="s">
        <v>28</v>
      </c>
      <c r="B32" s="20">
        <v>18743806542</v>
      </c>
    </row>
    <row r="33" spans="1:2" s="23" customFormat="1" ht="13.5" outlineLevel="1" x14ac:dyDescent="0.2">
      <c r="A33" s="19" t="s">
        <v>29</v>
      </c>
      <c r="B33" s="20">
        <v>12488203547</v>
      </c>
    </row>
    <row r="34" spans="1:2" s="23" customFormat="1" ht="13.5" outlineLevel="1" x14ac:dyDescent="0.2">
      <c r="A34" s="19" t="s">
        <v>30</v>
      </c>
      <c r="B34" s="20">
        <v>12337277639</v>
      </c>
    </row>
    <row r="35" spans="1:2" s="23" customFormat="1" ht="13.5" outlineLevel="1" x14ac:dyDescent="0.2">
      <c r="A35" s="19" t="s">
        <v>31</v>
      </c>
      <c r="B35" s="20">
        <v>16198497482.999998</v>
      </c>
    </row>
    <row r="36" spans="1:2" s="23" customFormat="1" ht="13.5" outlineLevel="1" x14ac:dyDescent="0.2">
      <c r="A36" s="19" t="s">
        <v>32</v>
      </c>
      <c r="B36" s="20">
        <v>17764576319</v>
      </c>
    </row>
    <row r="37" spans="1:2" s="23" customFormat="1" ht="13.5" outlineLevel="1" x14ac:dyDescent="0.2">
      <c r="A37" s="19" t="s">
        <v>33</v>
      </c>
      <c r="B37" s="20">
        <v>22882731815</v>
      </c>
    </row>
    <row r="38" spans="1:2" s="23" customFormat="1" ht="13.5" outlineLevel="1" x14ac:dyDescent="0.2">
      <c r="A38" s="19" t="s">
        <v>34</v>
      </c>
      <c r="B38" s="20">
        <v>7383905477</v>
      </c>
    </row>
    <row r="39" spans="1:2" s="23" customFormat="1" ht="13.5" outlineLevel="1" x14ac:dyDescent="0.2">
      <c r="A39" s="19" t="s">
        <v>35</v>
      </c>
      <c r="B39" s="20">
        <v>12423743774</v>
      </c>
    </row>
    <row r="40" spans="1:2" s="23" customFormat="1" ht="13.5" outlineLevel="1" x14ac:dyDescent="0.2">
      <c r="A40" s="19" t="s">
        <v>36</v>
      </c>
      <c r="B40" s="20">
        <v>14187262851</v>
      </c>
    </row>
    <row r="41" spans="1:2" s="23" customFormat="1" ht="13.5" outlineLevel="1" x14ac:dyDescent="0.2">
      <c r="A41" s="19" t="s">
        <v>37</v>
      </c>
      <c r="B41" s="20">
        <v>9099377756</v>
      </c>
    </row>
    <row r="42" spans="1:2" s="23" customFormat="1" ht="13.5" outlineLevel="1" x14ac:dyDescent="0.2">
      <c r="A42" s="19" t="s">
        <v>38</v>
      </c>
      <c r="B42" s="20">
        <v>7416098511</v>
      </c>
    </row>
    <row r="43" spans="1:2" s="23" customFormat="1" ht="13.5" outlineLevel="1" x14ac:dyDescent="0.2">
      <c r="A43" s="19" t="s">
        <v>39</v>
      </c>
      <c r="B43" s="20">
        <v>16654736652</v>
      </c>
    </row>
    <row r="44" spans="1:2" s="23" customFormat="1" ht="13.5" outlineLevel="1" x14ac:dyDescent="0.2">
      <c r="A44" s="19" t="s">
        <v>40</v>
      </c>
      <c r="B44" s="20">
        <v>12006016561</v>
      </c>
    </row>
    <row r="45" spans="1:2" s="23" customFormat="1" ht="13.5" outlineLevel="1" x14ac:dyDescent="0.2">
      <c r="A45" s="19" t="s">
        <v>41</v>
      </c>
      <c r="B45" s="20">
        <v>14602426835</v>
      </c>
    </row>
    <row r="46" spans="1:2" s="23" customFormat="1" ht="13.5" outlineLevel="1" x14ac:dyDescent="0.2">
      <c r="A46" s="19" t="s">
        <v>42</v>
      </c>
      <c r="B46" s="20">
        <v>16600395825</v>
      </c>
    </row>
    <row r="47" spans="1:2" s="23" customFormat="1" ht="13.5" outlineLevel="1" x14ac:dyDescent="0.2">
      <c r="A47" s="19" t="s">
        <v>43</v>
      </c>
      <c r="B47" s="20">
        <v>9490692823</v>
      </c>
    </row>
    <row r="48" spans="1:2" s="23" customFormat="1" ht="13.5" outlineLevel="1" x14ac:dyDescent="0.2">
      <c r="A48" s="19" t="s">
        <v>44</v>
      </c>
      <c r="B48" s="20">
        <v>14966356774</v>
      </c>
    </row>
    <row r="49" spans="1:2" s="23" customFormat="1" ht="13.5" outlineLevel="1" x14ac:dyDescent="0.2">
      <c r="A49" s="19" t="s">
        <v>45</v>
      </c>
      <c r="B49" s="20">
        <v>16628059484</v>
      </c>
    </row>
    <row r="50" spans="1:2" s="23" customFormat="1" ht="13.5" outlineLevel="1" x14ac:dyDescent="0.2">
      <c r="A50" s="19" t="s">
        <v>46</v>
      </c>
      <c r="B50" s="20">
        <v>11545020876</v>
      </c>
    </row>
    <row r="51" spans="1:2" s="23" customFormat="1" ht="13.5" outlineLevel="1" x14ac:dyDescent="0.2">
      <c r="A51" s="19" t="s">
        <v>47</v>
      </c>
      <c r="B51" s="20">
        <v>11069859631</v>
      </c>
    </row>
    <row r="52" spans="1:2" s="23" customFormat="1" ht="13.5" outlineLevel="1" x14ac:dyDescent="0.2">
      <c r="A52" s="19" t="s">
        <v>48</v>
      </c>
      <c r="B52" s="20">
        <v>16462254401</v>
      </c>
    </row>
    <row r="53" spans="1:2" s="23" customFormat="1" ht="13.5" outlineLevel="1" x14ac:dyDescent="0.2">
      <c r="A53" s="19" t="s">
        <v>49</v>
      </c>
      <c r="B53" s="20">
        <v>29122451003</v>
      </c>
    </row>
    <row r="54" spans="1:2" s="23" customFormat="1" ht="13.5" outlineLevel="1" x14ac:dyDescent="0.2">
      <c r="A54" s="19" t="s">
        <v>50</v>
      </c>
      <c r="B54" s="20">
        <v>19110837484</v>
      </c>
    </row>
    <row r="55" spans="1:2" s="23" customFormat="1" ht="13.5" outlineLevel="1" x14ac:dyDescent="0.2">
      <c r="A55" s="19" t="s">
        <v>51</v>
      </c>
      <c r="B55" s="20">
        <v>14355039068</v>
      </c>
    </row>
    <row r="56" spans="1:2" s="23" customFormat="1" ht="13.5" outlineLevel="1" x14ac:dyDescent="0.2">
      <c r="A56" s="19" t="s">
        <v>52</v>
      </c>
      <c r="B56" s="20">
        <v>10742553232</v>
      </c>
    </row>
    <row r="57" spans="1:2" s="23" customFormat="1" ht="13.5" outlineLevel="1" x14ac:dyDescent="0.2">
      <c r="A57" s="19" t="s">
        <v>53</v>
      </c>
      <c r="B57" s="20">
        <v>12944688820</v>
      </c>
    </row>
    <row r="58" spans="1:2" s="23" customFormat="1" ht="13.5" outlineLevel="1" x14ac:dyDescent="0.2">
      <c r="A58" s="19" t="s">
        <v>54</v>
      </c>
      <c r="B58" s="20">
        <v>11689433662</v>
      </c>
    </row>
    <row r="59" spans="1:2" s="23" customFormat="1" ht="13.5" outlineLevel="1" x14ac:dyDescent="0.2">
      <c r="A59" s="19" t="s">
        <v>55</v>
      </c>
      <c r="B59" s="20">
        <v>11397659254</v>
      </c>
    </row>
    <row r="60" spans="1:2" s="23" customFormat="1" ht="13.5" outlineLevel="1" x14ac:dyDescent="0.2">
      <c r="A60" s="19" t="s">
        <v>56</v>
      </c>
      <c r="B60" s="20">
        <v>16236395384</v>
      </c>
    </row>
    <row r="61" spans="1:2" s="23" customFormat="1" ht="13.5" outlineLevel="1" x14ac:dyDescent="0.2">
      <c r="A61" s="19" t="s">
        <v>57</v>
      </c>
      <c r="B61" s="20">
        <v>6151462908.9075203</v>
      </c>
    </row>
    <row r="62" spans="1:2" s="23" customFormat="1" ht="13.5" outlineLevel="1" x14ac:dyDescent="0.2">
      <c r="A62" s="19" t="s">
        <v>58</v>
      </c>
      <c r="B62" s="20">
        <v>24188206629</v>
      </c>
    </row>
    <row r="63" spans="1:2" s="23" customFormat="1" ht="13.5" outlineLevel="1" x14ac:dyDescent="0.2">
      <c r="A63" s="19" t="s">
        <v>59</v>
      </c>
      <c r="B63" s="20">
        <v>22229863427</v>
      </c>
    </row>
    <row r="64" spans="1:2" s="23" customFormat="1" ht="13.5" outlineLevel="1" x14ac:dyDescent="0.2">
      <c r="A64" s="19" t="s">
        <v>60</v>
      </c>
      <c r="B64" s="20">
        <v>23200278421</v>
      </c>
    </row>
    <row r="65" spans="1:2" s="23" customFormat="1" ht="13.5" outlineLevel="1" x14ac:dyDescent="0.2">
      <c r="A65" s="19" t="s">
        <v>61</v>
      </c>
      <c r="B65" s="20">
        <v>33729146012</v>
      </c>
    </row>
    <row r="66" spans="1:2" s="23" customFormat="1" ht="13.5" outlineLevel="1" x14ac:dyDescent="0.2">
      <c r="A66" s="19" t="s">
        <v>62</v>
      </c>
      <c r="B66" s="20">
        <v>25741331764</v>
      </c>
    </row>
    <row r="67" spans="1:2" s="23" customFormat="1" ht="13.5" outlineLevel="1" x14ac:dyDescent="0.2">
      <c r="A67" s="19" t="s">
        <v>63</v>
      </c>
      <c r="B67" s="20">
        <v>10895316694.06304</v>
      </c>
    </row>
    <row r="68" spans="1:2" s="23" customFormat="1" ht="13.5" outlineLevel="1" x14ac:dyDescent="0.2">
      <c r="A68" s="19" t="s">
        <v>64</v>
      </c>
      <c r="B68" s="20">
        <v>15574902572</v>
      </c>
    </row>
    <row r="69" spans="1:2" s="22" customFormat="1" ht="13.5" outlineLevel="1" x14ac:dyDescent="0.2">
      <c r="A69" s="19" t="s">
        <v>65</v>
      </c>
      <c r="B69" s="20">
        <v>11085498362</v>
      </c>
    </row>
    <row r="70" spans="1:2" s="23" customFormat="1" ht="13.5" outlineLevel="1" x14ac:dyDescent="0.2">
      <c r="A70" s="19" t="s">
        <v>66</v>
      </c>
      <c r="B70" s="20">
        <v>15569378930</v>
      </c>
    </row>
    <row r="71" spans="1:2" s="23" customFormat="1" ht="13.5" outlineLevel="1" x14ac:dyDescent="0.2">
      <c r="A71" s="19" t="s">
        <v>67</v>
      </c>
      <c r="B71" s="20">
        <v>19872456988.21376</v>
      </c>
    </row>
    <row r="72" spans="1:2" s="23" customFormat="1" ht="13.5" outlineLevel="1" x14ac:dyDescent="0.2">
      <c r="A72" s="19" t="s">
        <v>68</v>
      </c>
      <c r="B72" s="20">
        <v>9279916346</v>
      </c>
    </row>
    <row r="73" spans="1:2" s="23" customFormat="1" ht="13.5" outlineLevel="1" x14ac:dyDescent="0.2">
      <c r="A73" s="19" t="s">
        <v>69</v>
      </c>
      <c r="B73" s="20">
        <v>11879598172</v>
      </c>
    </row>
    <row r="74" spans="1:2" s="23" customFormat="1" ht="13.5" outlineLevel="1" x14ac:dyDescent="0.2">
      <c r="A74" s="19" t="s">
        <v>70</v>
      </c>
      <c r="B74" s="20">
        <v>14944234555</v>
      </c>
    </row>
    <row r="75" spans="1:2" s="23" customFormat="1" ht="13.5" outlineLevel="1" x14ac:dyDescent="0.2">
      <c r="A75" s="19" t="s">
        <v>71</v>
      </c>
      <c r="B75" s="20">
        <v>8486287813</v>
      </c>
    </row>
    <row r="76" spans="1:2" s="23" customFormat="1" ht="13.5" outlineLevel="1" x14ac:dyDescent="0.2">
      <c r="A76" s="19" t="s">
        <v>72</v>
      </c>
      <c r="B76" s="20">
        <v>7048832262</v>
      </c>
    </row>
    <row r="77" spans="1:2" s="23" customFormat="1" ht="13.5" outlineLevel="1" x14ac:dyDescent="0.2">
      <c r="A77" s="19" t="s">
        <v>73</v>
      </c>
      <c r="B77" s="20">
        <v>5348779190</v>
      </c>
    </row>
    <row r="78" spans="1:2" s="21" customFormat="1" ht="13.5" outlineLevel="1" x14ac:dyDescent="0.2">
      <c r="A78" s="19" t="s">
        <v>74</v>
      </c>
      <c r="B78" s="20">
        <v>5466387046</v>
      </c>
    </row>
    <row r="79" spans="1:2" s="21" customFormat="1" ht="13.5" outlineLevel="1" x14ac:dyDescent="0.2">
      <c r="A79" s="19" t="s">
        <v>75</v>
      </c>
      <c r="B79" s="20">
        <v>16518448889</v>
      </c>
    </row>
    <row r="80" spans="1:2" s="21" customFormat="1" ht="13.5" outlineLevel="1" x14ac:dyDescent="0.2">
      <c r="A80" s="19" t="s">
        <v>76</v>
      </c>
      <c r="B80" s="20">
        <v>8675202615</v>
      </c>
    </row>
    <row r="81" spans="1:2" s="21" customFormat="1" ht="13.5" outlineLevel="1" x14ac:dyDescent="0.2">
      <c r="A81" s="19" t="s">
        <v>77</v>
      </c>
      <c r="B81" s="20">
        <v>16760013498</v>
      </c>
    </row>
    <row r="82" spans="1:2" s="23" customFormat="1" ht="13.5" outlineLevel="1" x14ac:dyDescent="0.2">
      <c r="A82" s="19" t="s">
        <v>78</v>
      </c>
      <c r="B82" s="20">
        <v>12438755743</v>
      </c>
    </row>
    <row r="83" spans="1:2" s="21" customFormat="1" ht="13.5" outlineLevel="1" x14ac:dyDescent="0.2">
      <c r="A83" s="19" t="s">
        <v>79</v>
      </c>
      <c r="B83" s="20">
        <v>14593425402</v>
      </c>
    </row>
    <row r="84" spans="1:2" s="21" customFormat="1" ht="13.5" outlineLevel="1" x14ac:dyDescent="0.2">
      <c r="A84" s="19" t="s">
        <v>80</v>
      </c>
      <c r="B84" s="20">
        <v>6689468251</v>
      </c>
    </row>
    <row r="85" spans="1:2" s="21" customFormat="1" ht="13.5" outlineLevel="1" x14ac:dyDescent="0.2">
      <c r="A85" s="19" t="s">
        <v>81</v>
      </c>
      <c r="B85" s="20">
        <v>8186369892</v>
      </c>
    </row>
    <row r="86" spans="1:2" s="21" customFormat="1" ht="13.5" outlineLevel="1" x14ac:dyDescent="0.2">
      <c r="A86" s="19" t="s">
        <v>82</v>
      </c>
      <c r="B86" s="20">
        <v>28561249598</v>
      </c>
    </row>
    <row r="87" spans="1:2" s="21" customFormat="1" ht="13.5" outlineLevel="1" x14ac:dyDescent="0.2">
      <c r="A87" s="19" t="s">
        <v>83</v>
      </c>
      <c r="B87" s="20">
        <v>34980509996</v>
      </c>
    </row>
    <row r="88" spans="1:2" s="21" customFormat="1" ht="13.5" outlineLevel="1" x14ac:dyDescent="0.2">
      <c r="A88" s="19" t="s">
        <v>84</v>
      </c>
      <c r="B88" s="20">
        <v>6950846586</v>
      </c>
    </row>
    <row r="89" spans="1:2" s="21" customFormat="1" ht="13.5" outlineLevel="1" x14ac:dyDescent="0.2">
      <c r="A89" s="19" t="s">
        <v>85</v>
      </c>
      <c r="B89" s="20">
        <v>11116163961</v>
      </c>
    </row>
    <row r="90" spans="1:2" s="21" customFormat="1" ht="13.5" outlineLevel="1" x14ac:dyDescent="0.2">
      <c r="A90" s="19" t="s">
        <v>86</v>
      </c>
      <c r="B90" s="20">
        <v>21274070645</v>
      </c>
    </row>
    <row r="91" spans="1:2" s="21" customFormat="1" ht="13.5" outlineLevel="1" x14ac:dyDescent="0.2">
      <c r="A91" s="19" t="s">
        <v>87</v>
      </c>
      <c r="B91" s="20">
        <v>2826770201</v>
      </c>
    </row>
    <row r="92" spans="1:2" s="21" customFormat="1" ht="13.5" outlineLevel="1" x14ac:dyDescent="0.2">
      <c r="A92" s="19" t="s">
        <v>88</v>
      </c>
      <c r="B92" s="20">
        <v>4775546619</v>
      </c>
    </row>
    <row r="93" spans="1:2" s="21" customFormat="1" ht="13.5" outlineLevel="1" x14ac:dyDescent="0.2">
      <c r="A93" s="19" t="s">
        <v>89</v>
      </c>
      <c r="B93" s="20">
        <v>23755514236</v>
      </c>
    </row>
    <row r="94" spans="1:2" s="21" customFormat="1" ht="13.5" outlineLevel="1" x14ac:dyDescent="0.2">
      <c r="A94" s="19" t="s">
        <v>90</v>
      </c>
      <c r="B94" s="20">
        <v>22463613073</v>
      </c>
    </row>
    <row r="95" spans="1:2" s="21" customFormat="1" ht="13.5" outlineLevel="1" x14ac:dyDescent="0.2">
      <c r="A95" s="19" t="s">
        <v>91</v>
      </c>
      <c r="B95" s="20">
        <v>20949816946</v>
      </c>
    </row>
    <row r="96" spans="1:2" s="21" customFormat="1" ht="13.5" outlineLevel="1" x14ac:dyDescent="0.2">
      <c r="A96" s="19" t="s">
        <v>92</v>
      </c>
      <c r="B96" s="20">
        <v>14104036918</v>
      </c>
    </row>
    <row r="97" spans="1:2" s="21" customFormat="1" ht="13.5" outlineLevel="1" x14ac:dyDescent="0.2">
      <c r="A97" s="19" t="s">
        <v>93</v>
      </c>
      <c r="B97" s="20">
        <v>1396272140.5940592</v>
      </c>
    </row>
    <row r="98" spans="1:2" s="21" customFormat="1" ht="13.5" outlineLevel="1" x14ac:dyDescent="0.2">
      <c r="A98" s="19" t="s">
        <v>94</v>
      </c>
      <c r="B98" s="20">
        <v>1211346171.2871287</v>
      </c>
    </row>
    <row r="99" spans="1:2" s="21" customFormat="1" ht="13.5" outlineLevel="1" x14ac:dyDescent="0.2">
      <c r="A99" s="19" t="s">
        <v>95</v>
      </c>
      <c r="B99" s="20">
        <v>1239693623.7623763</v>
      </c>
    </row>
    <row r="100" spans="1:2" s="21" customFormat="1" ht="13.5" outlineLevel="1" x14ac:dyDescent="0.2">
      <c r="A100" s="19" t="s">
        <v>96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19</vt:i4>
      </vt:variant>
    </vt:vector>
  </HeadingPairs>
  <TitlesOfParts>
    <vt:vector size="31" baseType="lpstr">
      <vt:lpstr>Verificaciones</vt:lpstr>
      <vt:lpstr>POA</vt:lpstr>
      <vt:lpstr>Puntajes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Hoja1</vt:lpstr>
      <vt:lpstr>PO</vt:lpstr>
      <vt:lpstr>AnticipoM1</vt:lpstr>
      <vt:lpstr>AnticipoM2</vt:lpstr>
      <vt:lpstr>AnticipoM3</vt:lpstr>
      <vt:lpstr>AnticipoM4</vt:lpstr>
      <vt:lpstr>'Capacidad Financiera'!Área_de_impresión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Marisol Piedrahita Urueña</cp:lastModifiedBy>
  <cp:lastPrinted>2014-04-30T17:21:41Z</cp:lastPrinted>
  <dcterms:created xsi:type="dcterms:W3CDTF">2005-03-19T14:11:58Z</dcterms:created>
  <dcterms:modified xsi:type="dcterms:W3CDTF">2019-11-12T20:01:25Z</dcterms:modified>
</cp:coreProperties>
</file>