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EsteLibro"/>
  <mc:AlternateContent xmlns:mc="http://schemas.openxmlformats.org/markup-compatibility/2006">
    <mc:Choice Requires="x15">
      <x15ac:absPath xmlns:x15ac="http://schemas.microsoft.com/office/spreadsheetml/2010/11/ac" url="E:\LP-DT-MAG-002-2019\EVALUACION\"/>
    </mc:Choice>
  </mc:AlternateContent>
  <xr:revisionPtr revIDLastSave="0" documentId="13_ncr:1_{DE4DAE83-95B5-4CBC-B816-79A078F045B9}" xr6:coauthVersionLast="41" xr6:coauthVersionMax="41" xr10:uidLastSave="{00000000-0000-0000-0000-000000000000}"/>
  <bookViews>
    <workbookView xWindow="-120" yWindow="-120" windowWidth="29040" windowHeight="15840" firstSheet="1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PO" sheetId="7" state="hidden" r:id="rId11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Financiera'!$B$1:$Z$11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Financiera'!$B$1:$Z$11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9" i="4" l="1"/>
  <c r="D16" i="17"/>
  <c r="F15" i="5" l="1"/>
  <c r="AE17" i="4"/>
  <c r="X17" i="4"/>
  <c r="W17" i="4"/>
  <c r="U17" i="4"/>
  <c r="S17" i="4"/>
  <c r="R17" i="4"/>
  <c r="Y17" i="4" s="1"/>
  <c r="Q17" i="4"/>
  <c r="K17" i="4"/>
  <c r="AC17" i="4" s="1"/>
  <c r="J17" i="4"/>
  <c r="I17" i="4"/>
  <c r="AD17" i="4" l="1"/>
  <c r="V17" i="4"/>
  <c r="T17" i="4"/>
  <c r="Z17" i="4" s="1"/>
  <c r="AF17" i="4"/>
  <c r="AG17" i="4" s="1"/>
  <c r="S16" i="4"/>
  <c r="F13" i="16"/>
  <c r="E9" i="16"/>
  <c r="E16" i="16"/>
  <c r="F15" i="16" l="1"/>
  <c r="M12" i="4"/>
  <c r="X12" i="4" s="1"/>
  <c r="L12" i="4"/>
  <c r="E16" i="20"/>
  <c r="N16" i="5"/>
  <c r="N15" i="5"/>
  <c r="N14" i="5"/>
  <c r="H19" i="17" l="1"/>
  <c r="K22" i="4" l="1"/>
  <c r="J22" i="4"/>
  <c r="I22" i="4"/>
  <c r="H9" i="17"/>
  <c r="H12" i="17"/>
  <c r="F9" i="17"/>
  <c r="F16" i="17"/>
  <c r="L19" i="4" l="1"/>
  <c r="F19" i="4"/>
  <c r="G19" i="4"/>
  <c r="H19" i="4"/>
  <c r="E19" i="4"/>
  <c r="F14" i="16"/>
  <c r="R16" i="4"/>
  <c r="R18" i="4"/>
  <c r="K18" i="4"/>
  <c r="J18" i="4"/>
  <c r="I18" i="4"/>
  <c r="T16" i="4" l="1"/>
  <c r="K15" i="4"/>
  <c r="J15" i="4"/>
  <c r="I15" i="4"/>
  <c r="E9" i="20"/>
  <c r="E9" i="19"/>
  <c r="H13" i="17" l="1"/>
  <c r="H14" i="17" s="1"/>
  <c r="H15" i="17" s="1"/>
  <c r="H16" i="17" s="1"/>
  <c r="H18" i="17" s="1"/>
  <c r="E12" i="4"/>
  <c r="F12" i="4"/>
  <c r="G12" i="4"/>
  <c r="H12" i="4"/>
  <c r="U12" i="4" l="1"/>
  <c r="D2" i="6"/>
  <c r="F20" i="5"/>
  <c r="G20" i="5" s="1"/>
  <c r="M19" i="5"/>
  <c r="N19" i="5" s="1"/>
  <c r="F19" i="5"/>
  <c r="I19" i="5" s="1"/>
  <c r="J19" i="5" s="1"/>
  <c r="M18" i="5"/>
  <c r="N18" i="5" s="1"/>
  <c r="F18" i="5"/>
  <c r="F17" i="5"/>
  <c r="G17" i="5" s="1"/>
  <c r="F16" i="5"/>
  <c r="G16" i="5" s="1"/>
  <c r="G15" i="5"/>
  <c r="F14" i="5"/>
  <c r="F13" i="5"/>
  <c r="G13" i="5" s="1"/>
  <c r="W22" i="4"/>
  <c r="R22" i="4"/>
  <c r="O22" i="4"/>
  <c r="R21" i="4"/>
  <c r="Q21" i="4"/>
  <c r="O21" i="4"/>
  <c r="AA21" i="4"/>
  <c r="AB21" i="4" s="1"/>
  <c r="R20" i="4"/>
  <c r="Q20" i="4"/>
  <c r="O20" i="4"/>
  <c r="AA20" i="4"/>
  <c r="AB20" i="4" s="1"/>
  <c r="B20" i="4"/>
  <c r="C17" i="20" s="1"/>
  <c r="W19" i="4"/>
  <c r="R19" i="4"/>
  <c r="O19" i="4"/>
  <c r="D19" i="4"/>
  <c r="W18" i="4"/>
  <c r="I16" i="4"/>
  <c r="W16" i="4"/>
  <c r="W15" i="4"/>
  <c r="R15" i="4"/>
  <c r="O15" i="4"/>
  <c r="I20" i="4" l="1"/>
  <c r="S22" i="4"/>
  <c r="T22" i="4" s="1"/>
  <c r="H19" i="5"/>
  <c r="G19" i="5"/>
  <c r="C17" i="16"/>
  <c r="C18" i="20"/>
  <c r="C18" i="19"/>
  <c r="C19" i="5"/>
  <c r="C18" i="18"/>
  <c r="C18" i="16"/>
  <c r="U15" i="4"/>
  <c r="X16" i="4"/>
  <c r="AE18" i="4"/>
  <c r="C18" i="17"/>
  <c r="H18" i="5"/>
  <c r="G18" i="5"/>
  <c r="S15" i="4"/>
  <c r="T15" i="4" s="1"/>
  <c r="AE15" i="4"/>
  <c r="AF15" i="4" s="1"/>
  <c r="I18" i="5"/>
  <c r="J18" i="5" s="1"/>
  <c r="I21" i="4"/>
  <c r="C17" i="18"/>
  <c r="G14" i="5"/>
  <c r="I14" i="5"/>
  <c r="C17" i="17"/>
  <c r="C17" i="19"/>
  <c r="C18" i="5"/>
  <c r="I13" i="5"/>
  <c r="Q15" i="4"/>
  <c r="Q16" i="4"/>
  <c r="Q18" i="4"/>
  <c r="Q22" i="4"/>
  <c r="N17" i="5"/>
  <c r="Q19" i="4"/>
  <c r="N13" i="5"/>
  <c r="N20" i="5"/>
  <c r="I20" i="5"/>
  <c r="I17" i="5"/>
  <c r="I16" i="5"/>
  <c r="I15" i="5"/>
  <c r="X22" i="4"/>
  <c r="J20" i="4"/>
  <c r="J21" i="4"/>
  <c r="K20" i="4"/>
  <c r="K21" i="4"/>
  <c r="X18" i="4"/>
  <c r="X15" i="4"/>
  <c r="U16" i="4" l="1"/>
  <c r="V16" i="4" s="1"/>
  <c r="K19" i="4"/>
  <c r="AC19" i="4" s="1"/>
  <c r="S19" i="4"/>
  <c r="T19" i="4" s="1"/>
  <c r="X19" i="4"/>
  <c r="Y19" i="4" s="1"/>
  <c r="AE19" i="4"/>
  <c r="AF21" i="4" s="1"/>
  <c r="AE22" i="4"/>
  <c r="AF22" i="4" s="1"/>
  <c r="U22" i="4"/>
  <c r="K16" i="4"/>
  <c r="AC16" i="4" s="1"/>
  <c r="J16" i="4"/>
  <c r="I19" i="4"/>
  <c r="U19" i="4"/>
  <c r="V19" i="4" s="1"/>
  <c r="AE16" i="4"/>
  <c r="AF16" i="4" s="1"/>
  <c r="S18" i="4"/>
  <c r="V15" i="4"/>
  <c r="U18" i="4"/>
  <c r="I13" i="4"/>
  <c r="AC22" i="4"/>
  <c r="Y22" i="4"/>
  <c r="J19" i="4"/>
  <c r="AC18" i="4"/>
  <c r="AF18" i="4"/>
  <c r="Y18" i="4"/>
  <c r="Y16" i="4"/>
  <c r="Y15" i="4"/>
  <c r="AC15" i="4"/>
  <c r="J14" i="4"/>
  <c r="K13" i="4"/>
  <c r="I14" i="4"/>
  <c r="K14" i="4"/>
  <c r="J13" i="4"/>
  <c r="I3" i="6"/>
  <c r="I4" i="6"/>
  <c r="I5" i="6"/>
  <c r="I2" i="6"/>
  <c r="H5" i="6"/>
  <c r="H4" i="6"/>
  <c r="H3" i="6"/>
  <c r="H2" i="6"/>
  <c r="R12" i="4"/>
  <c r="Q13" i="4"/>
  <c r="Y21" i="4" l="1"/>
  <c r="Z16" i="4"/>
  <c r="Z19" i="4"/>
  <c r="Z15" i="4"/>
  <c r="Y20" i="4"/>
  <c r="AF19" i="4"/>
  <c r="AF20" i="4"/>
  <c r="T21" i="4"/>
  <c r="T20" i="4"/>
  <c r="V22" i="4"/>
  <c r="Z22" i="4" s="1"/>
  <c r="V21" i="4"/>
  <c r="K12" i="4"/>
  <c r="V20" i="4"/>
  <c r="T18" i="4"/>
  <c r="V18" i="4"/>
  <c r="AD22" i="4"/>
  <c r="AG22" i="4" s="1"/>
  <c r="AD21" i="4"/>
  <c r="AG21" i="4" s="1"/>
  <c r="AD20" i="4"/>
  <c r="AD19" i="4"/>
  <c r="AD18" i="4"/>
  <c r="AG18" i="4" s="1"/>
  <c r="AD16" i="4"/>
  <c r="AG16" i="4" s="1"/>
  <c r="AD15" i="4"/>
  <c r="AG15" i="4" s="1"/>
  <c r="AG19" i="4" l="1"/>
  <c r="Z18" i="4"/>
  <c r="AG20" i="4"/>
  <c r="H17" i="5"/>
  <c r="J17" i="5" s="1"/>
  <c r="H13" i="5"/>
  <c r="J13" i="5" s="1"/>
  <c r="H16" i="5"/>
  <c r="J16" i="5" s="1"/>
  <c r="H14" i="5"/>
  <c r="J14" i="5" s="1"/>
  <c r="H20" i="5"/>
  <c r="J20" i="5" s="1"/>
  <c r="H15" i="5"/>
  <c r="J15" i="5" s="1"/>
  <c r="R14" i="4" l="1"/>
  <c r="Q14" i="4"/>
  <c r="O14" i="4"/>
  <c r="R13" i="4"/>
  <c r="O13" i="4"/>
  <c r="O12" i="4"/>
  <c r="D12" i="4" l="1"/>
  <c r="W12" i="4" l="1"/>
  <c r="Q12" i="4"/>
  <c r="AA13" i="4"/>
  <c r="AB13" i="4" s="1"/>
  <c r="AA14" i="4"/>
  <c r="AB14" i="4" s="1"/>
  <c r="E18" i="5" l="1"/>
  <c r="J12" i="4"/>
  <c r="I12" i="4"/>
  <c r="AC12" i="4"/>
  <c r="S12" i="4"/>
  <c r="AE12" i="4"/>
  <c r="AF12" i="4" s="1"/>
  <c r="D17" i="18" l="1"/>
  <c r="E17" i="18" s="1"/>
  <c r="D17" i="16"/>
  <c r="F17" i="16" s="1"/>
  <c r="D17" i="17"/>
  <c r="E18" i="17"/>
  <c r="D18" i="19"/>
  <c r="D18" i="5"/>
  <c r="D18" i="18"/>
  <c r="E18" i="18" s="1"/>
  <c r="D17" i="19"/>
  <c r="D19" i="5"/>
  <c r="D18" i="20"/>
  <c r="E17" i="17"/>
  <c r="E19" i="5"/>
  <c r="D18" i="16"/>
  <c r="F18" i="16" s="1"/>
  <c r="D18" i="17"/>
  <c r="D17" i="20"/>
  <c r="D13" i="19"/>
  <c r="D14" i="5"/>
  <c r="D14" i="18"/>
  <c r="T14" i="4"/>
  <c r="AD13" i="4"/>
  <c r="Y13" i="4"/>
  <c r="Y12" i="4"/>
  <c r="Y14" i="4"/>
  <c r="T13" i="4"/>
  <c r="T12" i="4"/>
  <c r="AD14" i="4"/>
  <c r="V12" i="4"/>
  <c r="V14" i="4"/>
  <c r="V13" i="4"/>
  <c r="AD12" i="4"/>
  <c r="AG12" i="4" s="1"/>
  <c r="AF14" i="4"/>
  <c r="AF13" i="4"/>
  <c r="Z12" i="4" l="1"/>
  <c r="E16" i="18"/>
  <c r="F16" i="16"/>
  <c r="G18" i="17"/>
  <c r="F14" i="18"/>
  <c r="E14" i="18"/>
  <c r="F17" i="18"/>
  <c r="F18" i="18"/>
  <c r="G17" i="17"/>
  <c r="E13" i="5"/>
  <c r="D19" i="20"/>
  <c r="D15" i="16"/>
  <c r="D16" i="20"/>
  <c r="D14" i="17"/>
  <c r="D12" i="18"/>
  <c r="D12" i="17"/>
  <c r="D15" i="19"/>
  <c r="E17" i="5"/>
  <c r="E19" i="17"/>
  <c r="E14" i="17"/>
  <c r="D19" i="17"/>
  <c r="D14" i="19"/>
  <c r="D15" i="20"/>
  <c r="E15" i="17"/>
  <c r="D19" i="18"/>
  <c r="D12" i="16"/>
  <c r="F12" i="16" s="1"/>
  <c r="D15" i="18"/>
  <c r="E16" i="17"/>
  <c r="D14" i="16"/>
  <c r="D20" i="5"/>
  <c r="D15" i="5"/>
  <c r="D16" i="16"/>
  <c r="D13" i="18"/>
  <c r="D13" i="16"/>
  <c r="D19" i="19"/>
  <c r="E20" i="5"/>
  <c r="D16" i="18"/>
  <c r="D14" i="20"/>
  <c r="E14" i="5"/>
  <c r="E12" i="17"/>
  <c r="D13" i="20"/>
  <c r="D19" i="16"/>
  <c r="F19" i="16" s="1"/>
  <c r="E13" i="17"/>
  <c r="D15" i="17"/>
  <c r="D13" i="17"/>
  <c r="D16" i="19"/>
  <c r="E16" i="5"/>
  <c r="D16" i="5"/>
  <c r="D12" i="19"/>
  <c r="D13" i="5"/>
  <c r="E15" i="5"/>
  <c r="D12" i="20"/>
  <c r="D17" i="5"/>
  <c r="AG14" i="4"/>
  <c r="AG13" i="4"/>
  <c r="F12" i="5"/>
  <c r="H12" i="5" s="1"/>
  <c r="F11" i="5"/>
  <c r="G11" i="5" s="1"/>
  <c r="G19" i="17" l="1"/>
  <c r="I19" i="17" s="1"/>
  <c r="J19" i="17" s="1"/>
  <c r="F19" i="18"/>
  <c r="E19" i="18"/>
  <c r="F16" i="18"/>
  <c r="G16" i="17"/>
  <c r="I16" i="17" s="1"/>
  <c r="J16" i="17" s="1"/>
  <c r="G15" i="17"/>
  <c r="I15" i="17" s="1"/>
  <c r="J15" i="17" s="1"/>
  <c r="G14" i="17"/>
  <c r="I14" i="17" s="1"/>
  <c r="J14" i="17" s="1"/>
  <c r="E15" i="18"/>
  <c r="F15" i="18"/>
  <c r="G14" i="18"/>
  <c r="H14" i="18" s="1"/>
  <c r="P15" i="5" s="1"/>
  <c r="F13" i="18"/>
  <c r="G13" i="17"/>
  <c r="I13" i="17" s="1"/>
  <c r="J13" i="17" s="1"/>
  <c r="E13" i="18"/>
  <c r="G12" i="17"/>
  <c r="I12" i="17" s="1"/>
  <c r="J12" i="17" s="1"/>
  <c r="F12" i="18"/>
  <c r="E12" i="18"/>
  <c r="G12" i="5"/>
  <c r="H11" i="5"/>
  <c r="G15" i="18" l="1"/>
  <c r="H15" i="18" s="1"/>
  <c r="P16" i="5" s="1"/>
  <c r="G13" i="18"/>
  <c r="H13" i="18" s="1"/>
  <c r="P14" i="5" s="1"/>
  <c r="G12" i="18"/>
  <c r="H12" i="18" s="1"/>
  <c r="P13" i="5" s="1"/>
  <c r="G16" i="18"/>
  <c r="H16" i="18" s="1"/>
  <c r="P17" i="5" s="1"/>
  <c r="G19" i="18"/>
  <c r="H19" i="18" s="1"/>
  <c r="P20" i="5" s="1"/>
  <c r="C9" i="20"/>
  <c r="C4" i="20"/>
  <c r="D9" i="20" l="1"/>
  <c r="C9" i="19"/>
  <c r="C4" i="19"/>
  <c r="D9" i="19" l="1"/>
  <c r="C9" i="18"/>
  <c r="D9" i="18" s="1"/>
  <c r="C4" i="18"/>
  <c r="C9" i="17" l="1"/>
  <c r="C4" i="17"/>
  <c r="D9" i="17" l="1"/>
  <c r="E9" i="17"/>
  <c r="C4" i="16"/>
  <c r="C4" i="5"/>
  <c r="C9" i="16" l="1"/>
  <c r="D9" i="16" l="1"/>
  <c r="F9" i="16" s="1"/>
  <c r="I12" i="5"/>
  <c r="I11" i="5"/>
  <c r="F10" i="5"/>
  <c r="G10" i="5" s="1"/>
  <c r="I10" i="5" l="1"/>
  <c r="H10" i="5"/>
  <c r="J12" i="5"/>
  <c r="J11" i="5"/>
  <c r="C10" i="20" l="1"/>
  <c r="J10" i="5"/>
  <c r="C10" i="18"/>
  <c r="C10" i="19"/>
  <c r="C10" i="16"/>
  <c r="C10" i="17"/>
  <c r="D10" i="17" l="1"/>
  <c r="D10" i="19"/>
  <c r="D10" i="20"/>
  <c r="D10" i="18"/>
  <c r="E10" i="18" s="1"/>
  <c r="D10" i="16"/>
  <c r="F10" i="16" s="1"/>
  <c r="E10" i="17"/>
  <c r="G10" i="17" l="1"/>
  <c r="F10" i="18"/>
  <c r="M12" i="5" l="1"/>
  <c r="N12" i="5" s="1"/>
  <c r="M11" i="5"/>
  <c r="N11" i="5" s="1"/>
  <c r="C10" i="5"/>
  <c r="C11" i="5"/>
  <c r="K11" i="5" s="1"/>
  <c r="B101" i="7"/>
  <c r="H8" i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M19" i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9" i="1"/>
  <c r="U18" i="1"/>
  <c r="N10" i="5" l="1"/>
  <c r="O10" i="5"/>
  <c r="K10" i="5"/>
  <c r="Q10" i="5"/>
  <c r="D10" i="5"/>
  <c r="U12" i="1"/>
  <c r="U25" i="1"/>
  <c r="L8" i="1"/>
  <c r="V8" i="1" s="1"/>
  <c r="U31" i="1"/>
  <c r="U20" i="1"/>
  <c r="U16" i="1"/>
  <c r="L11" i="5"/>
  <c r="D11" i="5"/>
  <c r="U24" i="1"/>
  <c r="M17" i="1"/>
  <c r="M14" i="1"/>
  <c r="U23" i="1"/>
  <c r="M30" i="1"/>
  <c r="E10" i="5"/>
  <c r="T8" i="1"/>
  <c r="C11" i="19"/>
  <c r="C11" i="20"/>
  <c r="Q11" i="5"/>
  <c r="O11" i="5"/>
  <c r="P11" i="5"/>
  <c r="E11" i="5"/>
  <c r="C11" i="17"/>
  <c r="C11" i="18"/>
  <c r="C12" i="5"/>
  <c r="D12" i="5" s="1"/>
  <c r="C11" i="16"/>
  <c r="M8" i="1"/>
  <c r="U29" i="1"/>
  <c r="M28" i="1"/>
  <c r="U13" i="1"/>
  <c r="U26" i="1"/>
  <c r="Q16" i="5" l="1"/>
  <c r="Q17" i="5"/>
  <c r="Q15" i="5"/>
  <c r="Q14" i="5"/>
  <c r="Q20" i="5"/>
  <c r="Q13" i="5"/>
  <c r="L16" i="5"/>
  <c r="L20" i="5"/>
  <c r="L17" i="5"/>
  <c r="L14" i="5"/>
  <c r="L13" i="5"/>
  <c r="L15" i="5"/>
  <c r="O15" i="5"/>
  <c r="O17" i="5"/>
  <c r="O14" i="5"/>
  <c r="O16" i="5"/>
  <c r="O13" i="5"/>
  <c r="O20" i="5"/>
  <c r="K17" i="5"/>
  <c r="K16" i="5"/>
  <c r="K15" i="5"/>
  <c r="K14" i="5"/>
  <c r="K13" i="5"/>
  <c r="K20" i="5"/>
  <c r="R11" i="5"/>
  <c r="D11" i="16"/>
  <c r="F11" i="16" s="1"/>
  <c r="D11" i="18"/>
  <c r="E11" i="18" s="1"/>
  <c r="E9" i="18" s="1"/>
  <c r="D11" i="20"/>
  <c r="K18" i="5"/>
  <c r="K19" i="5"/>
  <c r="D11" i="17"/>
  <c r="D11" i="19"/>
  <c r="Q18" i="5"/>
  <c r="Q19" i="5"/>
  <c r="E11" i="17"/>
  <c r="K12" i="5"/>
  <c r="E12" i="5"/>
  <c r="Q12" i="5"/>
  <c r="R16" i="5" l="1"/>
  <c r="R14" i="5"/>
  <c r="S14" i="5" s="1"/>
  <c r="R15" i="5"/>
  <c r="R20" i="5"/>
  <c r="S20" i="5" s="1"/>
  <c r="R13" i="5"/>
  <c r="R17" i="5"/>
  <c r="O19" i="5"/>
  <c r="O18" i="5"/>
  <c r="G11" i="17"/>
  <c r="G9" i="17" s="1"/>
  <c r="O12" i="5"/>
  <c r="F11" i="18"/>
  <c r="F9" i="18" s="1"/>
  <c r="G9" i="18" s="1"/>
  <c r="I9" i="17" l="1"/>
  <c r="J9" i="17" s="1"/>
  <c r="L10" i="5" s="1"/>
  <c r="H9" i="18"/>
  <c r="P10" i="5" s="1"/>
  <c r="P19" i="5"/>
  <c r="P18" i="5"/>
  <c r="P12" i="5"/>
  <c r="R10" i="5" l="1"/>
  <c r="L12" i="5"/>
  <c r="R12" i="5" l="1"/>
  <c r="S10" i="5" s="1"/>
  <c r="L18" i="5"/>
  <c r="R18" i="5" s="1"/>
  <c r="L19" i="5"/>
  <c r="R19" i="5" s="1"/>
  <c r="S17" i="5" l="1"/>
  <c r="S16" i="5"/>
  <c r="S15" i="5"/>
  <c r="S13" i="5"/>
</calcChain>
</file>

<file path=xl/sharedStrings.xml><?xml version="1.0" encoding="utf-8"?>
<sst xmlns="http://schemas.openxmlformats.org/spreadsheetml/2006/main" count="321" uniqueCount="260">
  <si>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</si>
  <si>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</si>
  <si>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</si>
  <si>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</si>
  <si>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</si>
  <si>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</si>
  <si>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</si>
  <si>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</si>
  <si>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</si>
  <si>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</si>
  <si>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</si>
  <si>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</si>
  <si>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</si>
  <si>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</si>
  <si>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</si>
  <si>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</si>
  <si>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</si>
  <si>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</si>
  <si>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</si>
  <si>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</si>
  <si>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</si>
  <si>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</si>
  <si>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</si>
  <si>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</si>
  <si>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</si>
  <si>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</si>
  <si>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</si>
  <si>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</si>
  <si>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</si>
  <si>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</si>
  <si>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</si>
  <si>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</si>
  <si>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</si>
  <si>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</si>
  <si>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</si>
  <si>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</si>
  <si>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</si>
  <si>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</si>
  <si>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</si>
  <si>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</si>
  <si>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</si>
  <si>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</si>
  <si>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</si>
  <si>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</si>
  <si>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</si>
  <si>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</si>
  <si>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</si>
  <si>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</si>
  <si>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</si>
  <si>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</si>
  <si>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</si>
  <si>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</si>
  <si>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</si>
  <si>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</si>
  <si>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</si>
  <si>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</si>
  <si>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</si>
  <si>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</si>
  <si>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</si>
  <si>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</si>
  <si>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</si>
  <si>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</si>
  <si>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</si>
  <si>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</si>
  <si>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</si>
  <si>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</si>
  <si>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</si>
  <si>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</si>
  <si>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</si>
  <si>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</si>
  <si>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</si>
  <si>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</si>
  <si>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</si>
  <si>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</si>
  <si>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</si>
  <si>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</si>
  <si>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</si>
  <si>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</si>
  <si>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</si>
  <si>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</si>
  <si>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</si>
  <si>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</si>
  <si>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</si>
  <si>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</si>
  <si>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</si>
  <si>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</si>
  <si>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</si>
  <si>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</si>
  <si>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</si>
  <si>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</si>
  <si>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</si>
  <si>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</si>
  <si>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</si>
  <si>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</si>
  <si>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</si>
  <si>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</si>
  <si>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</si>
  <si>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</si>
  <si>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</si>
  <si>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</si>
  <si>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</si>
  <si>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</si>
  <si>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</si>
  <si>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</si>
  <si>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</si>
  <si>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</si>
  <si>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</si>
  <si>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</si>
  <si>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</si>
  <si>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</si>
  <si>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</si>
  <si>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</si>
  <si>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</si>
  <si>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</si>
  <si>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</si>
  <si>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</si>
  <si>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</si>
  <si>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</si>
  <si>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</si>
  <si>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</si>
  <si>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</si>
  <si>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</si>
  <si>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</si>
  <si>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</si>
  <si>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</si>
  <si>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</si>
  <si>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</si>
  <si>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</si>
  <si>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</si>
  <si>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</si>
  <si>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</si>
  <si>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</si>
  <si>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</si>
  <si>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</si>
  <si>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</si>
  <si>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</si>
  <si>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</si>
  <si>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</si>
  <si>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</si>
  <si>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</si>
  <si>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</si>
  <si>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</si>
  <si>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</si>
  <si>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</si>
  <si>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</si>
  <si>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</si>
  <si>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</si>
  <si>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</si>
  <si>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</si>
  <si>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</si>
  <si>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</si>
  <si>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</si>
  <si>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</si>
  <si>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</si>
  <si>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</si>
  <si>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</si>
  <si>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</si>
  <si>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</si>
  <si>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</si>
  <si>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</si>
  <si>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</si>
  <si>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</si>
  <si>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</si>
  <si>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</si>
  <si>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</si>
  <si>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</si>
  <si>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</si>
  <si>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</si>
  <si>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</si>
  <si>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</si>
  <si>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</si>
  <si>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</si>
  <si>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</si>
  <si>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</si>
  <si>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</si>
  <si>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</si>
  <si>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</si>
  <si>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</si>
  <si>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</si>
  <si>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</si>
  <si>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</si>
  <si>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</si>
  <si>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</si>
  <si>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</si>
  <si>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</si>
  <si>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</si>
  <si>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</si>
  <si>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</si>
  <si>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</si>
  <si>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</si>
  <si>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</si>
  <si>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</si>
  <si>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</si>
  <si>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</si>
  <si>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</si>
  <si>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</si>
  <si>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</si>
  <si>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</si>
  <si>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</si>
  <si>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</si>
  <si>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</si>
  <si>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</si>
  <si>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</si>
  <si>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</si>
  <si>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</si>
  <si>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</si>
  <si>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</si>
  <si>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</si>
  <si>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</si>
  <si>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</si>
  <si>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</si>
  <si>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</si>
  <si>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</si>
  <si>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</si>
  <si>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</si>
  <si>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</si>
  <si>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</si>
  <si>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</si>
  <si>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</si>
  <si>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</si>
  <si>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</si>
  <si>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</si>
  <si>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</si>
  <si>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</si>
  <si>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</si>
  <si>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</si>
  <si>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</si>
  <si>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</si>
  <si>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</si>
  <si>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</si>
  <si>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</si>
  <si>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</si>
  <si>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</si>
  <si>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</si>
  <si>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</si>
  <si>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</si>
  <si>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</si>
  <si>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</si>
  <si>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</si>
  <si>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</si>
  <si>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</si>
  <si>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</si>
  <si>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</si>
  <si>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</si>
  <si>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SMMLV 2019</t>
  </si>
  <si>
    <t>Fórmula: Liquidez=AC/PC&gt;=0,42</t>
  </si>
  <si>
    <t>COBOL</t>
  </si>
  <si>
    <t>COOTRASCIBOL</t>
  </si>
  <si>
    <t>COOTRASERVIM</t>
  </si>
  <si>
    <t>COOTRAVAR</t>
  </si>
  <si>
    <t>DIRECCIÓN TERRITORIAL MAGDALENA</t>
  </si>
  <si>
    <t>MANTENIMIENTO VIAL JJ S.A.S</t>
  </si>
  <si>
    <t>CONSORCIO MV MAGDALENA 2019</t>
  </si>
  <si>
    <t>CIVILTEC S.A.S</t>
  </si>
  <si>
    <t>BGDSA S.A.S</t>
  </si>
  <si>
    <t>COOPIRAGUA</t>
  </si>
  <si>
    <r>
      <t xml:space="preserve">Formula: CO * </t>
    </r>
    <r>
      <rPr>
        <b/>
        <sz val="8"/>
        <rFont val="Calibri"/>
        <family val="2"/>
      </rPr>
      <t>[(E+CT+CF)/100] - SCE</t>
    </r>
  </si>
  <si>
    <t>SERVICIOS Y MANTENIMIENTOS GOMEZ CADENA SAS</t>
  </si>
  <si>
    <t>COOTENEGRAN</t>
  </si>
  <si>
    <t>EVALUACIÓN FINANCIERA LP-DT-MAG-002-2019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</si>
</sst>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-* #,##0.000_-;\-* #,##0.000_-;_-* &quot;-&quot;_-;_-@_-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8" fillId="0" borderId="0" applyFont="0" applyFill="0" applyBorder="0" applyAlignment="0" applyProtection="0"/>
  </cellStyleXfs>
  <cellXfs count="34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0" fontId="24" fillId="5" borderId="39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1" xfId="3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1" xfId="3" applyFont="1" applyFill="1" applyBorder="1" applyAlignment="1">
      <alignment horizontal="center" vertical="center" wrapText="1"/>
    </xf>
    <xf numFmtId="169" fontId="27" fillId="0" borderId="44" xfId="1" applyFont="1" applyFill="1" applyBorder="1" applyAlignment="1">
      <alignment horizontal="center" vertical="center" wrapText="1"/>
    </xf>
    <xf numFmtId="169" fontId="26" fillId="7" borderId="44" xfId="1" applyFont="1" applyFill="1" applyBorder="1" applyAlignment="1">
      <alignment horizontal="center" vertical="center" wrapText="1"/>
    </xf>
    <xf numFmtId="171" fontId="26" fillId="7" borderId="44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4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4" xfId="3" applyNumberFormat="1" applyFont="1" applyFill="1" applyBorder="1" applyAlignment="1">
      <alignment horizontal="center" vertical="center" wrapText="1"/>
    </xf>
    <xf numFmtId="0" fontId="0" fillId="10" borderId="45" xfId="0" applyFill="1" applyBorder="1" applyAlignment="1">
      <alignment horizontal="center" vertical="center"/>
    </xf>
    <xf numFmtId="0" fontId="0" fillId="10" borderId="46" xfId="0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3" fillId="10" borderId="47" xfId="0" applyFont="1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3" fillId="10" borderId="48" xfId="0" applyFon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2" fontId="0" fillId="10" borderId="46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4" xfId="1" applyNumberFormat="1" applyFont="1" applyFill="1" applyBorder="1" applyAlignment="1">
      <alignment horizontal="center" vertical="center" wrapText="1"/>
    </xf>
    <xf numFmtId="10" fontId="26" fillId="6" borderId="44" xfId="3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4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8" fontId="26" fillId="6" borderId="44" xfId="2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168" fontId="26" fillId="6" borderId="17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4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39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4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4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4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4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4" xfId="6" applyNumberFormat="1" applyFont="1" applyFill="1" applyBorder="1" applyAlignment="1">
      <alignment horizontal="center" vertical="center" wrapText="1"/>
    </xf>
    <xf numFmtId="169" fontId="26" fillId="0" borderId="44" xfId="3" applyNumberFormat="1" applyFont="1" applyFill="1" applyBorder="1" applyAlignment="1">
      <alignment horizontal="center" vertical="center" wrapText="1"/>
    </xf>
    <xf numFmtId="169" fontId="26" fillId="0" borderId="15" xfId="3" applyNumberFormat="1" applyFont="1" applyFill="1" applyBorder="1" applyAlignment="1">
      <alignment horizontal="center" vertical="center" wrapText="1"/>
    </xf>
    <xf numFmtId="4" fontId="26" fillId="0" borderId="7" xfId="1" applyNumberFormat="1" applyFont="1" applyFill="1" applyBorder="1" applyAlignment="1">
      <alignment horizontal="center" vertical="center" wrapText="1"/>
    </xf>
    <xf numFmtId="4" fontId="26" fillId="7" borderId="41" xfId="1" applyNumberFormat="1" applyFont="1" applyFill="1" applyBorder="1" applyAlignment="1">
      <alignment horizontal="center" vertical="center" wrapText="1"/>
    </xf>
    <xf numFmtId="4" fontId="26" fillId="0" borderId="41" xfId="1" applyNumberFormat="1" applyFont="1" applyFill="1" applyBorder="1" applyAlignment="1">
      <alignment horizontal="center" vertical="center" wrapText="1"/>
    </xf>
    <xf numFmtId="0" fontId="27" fillId="6" borderId="44" xfId="4" applyNumberFormat="1" applyFont="1" applyFill="1" applyBorder="1" applyAlignment="1">
      <alignment horizontal="center" vertical="center" wrapText="1"/>
    </xf>
    <xf numFmtId="0" fontId="26" fillId="7" borderId="44" xfId="4" applyNumberFormat="1" applyFont="1" applyFill="1" applyBorder="1" applyAlignment="1">
      <alignment horizontal="center" vertical="center" wrapText="1"/>
    </xf>
    <xf numFmtId="4" fontId="26" fillId="7" borderId="44" xfId="1" applyNumberFormat="1" applyFont="1" applyFill="1" applyBorder="1" applyAlignment="1">
      <alignment horizontal="center" vertical="center" wrapText="1"/>
    </xf>
    <xf numFmtId="4" fontId="26" fillId="0" borderId="44" xfId="1" applyNumberFormat="1" applyFont="1" applyFill="1" applyBorder="1" applyAlignment="1">
      <alignment horizontal="center" vertical="center" wrapText="1"/>
    </xf>
    <xf numFmtId="41" fontId="26" fillId="7" borderId="15" xfId="33" applyFont="1" applyFill="1" applyBorder="1" applyAlignment="1">
      <alignment horizontal="center" vertical="center" wrapText="1"/>
    </xf>
    <xf numFmtId="41" fontId="0" fillId="10" borderId="0" xfId="6" applyNumberFormat="1" applyFont="1" applyFill="1"/>
    <xf numFmtId="41" fontId="26" fillId="7" borderId="41" xfId="33" applyFont="1" applyFill="1" applyBorder="1" applyAlignment="1">
      <alignment horizontal="center" vertical="center" wrapText="1"/>
    </xf>
    <xf numFmtId="174" fontId="26" fillId="7" borderId="16" xfId="33" applyNumberFormat="1" applyFont="1" applyFill="1" applyBorder="1" applyAlignment="1">
      <alignment horizontal="center" vertical="center" wrapText="1"/>
    </xf>
    <xf numFmtId="174" fontId="26" fillId="6" borderId="17" xfId="33" applyNumberFormat="1" applyFont="1" applyFill="1" applyBorder="1" applyAlignment="1">
      <alignment horizontal="center" vertical="center" wrapText="1"/>
    </xf>
    <xf numFmtId="41" fontId="26" fillId="6" borderId="44" xfId="33" applyFont="1" applyFill="1" applyBorder="1" applyAlignment="1">
      <alignment horizontal="center" vertical="center" wrapText="1"/>
    </xf>
    <xf numFmtId="3" fontId="26" fillId="0" borderId="44" xfId="1" applyNumberFormat="1" applyFont="1" applyFill="1" applyBorder="1" applyAlignment="1">
      <alignment horizontal="center" vertical="center" wrapText="1"/>
    </xf>
    <xf numFmtId="3" fontId="26" fillId="9" borderId="15" xfId="1" applyNumberFormat="1" applyFont="1" applyFill="1" applyBorder="1" applyAlignment="1">
      <alignment horizontal="center" vertical="center" wrapText="1"/>
    </xf>
    <xf numFmtId="4" fontId="26" fillId="9" borderId="17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14" borderId="41" xfId="3" applyFont="1" applyFill="1" applyBorder="1" applyAlignment="1">
      <alignment horizontal="center" vertical="center" wrapText="1"/>
    </xf>
    <xf numFmtId="0" fontId="20" fillId="14" borderId="30" xfId="3" applyFont="1" applyFill="1" applyBorder="1" applyAlignment="1">
      <alignment horizontal="center" vertical="center" wrapText="1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2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3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3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20" fillId="14" borderId="39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2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3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3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3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3" xfId="0" applyFont="1" applyFill="1" applyBorder="1" applyAlignment="1">
      <alignment horizontal="center" vertical="center" textRotation="90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0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21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52" t="s">
        <v>5</v>
      </c>
      <c r="C4" s="253"/>
      <c r="D4" s="256" t="s">
        <v>6</v>
      </c>
      <c r="E4" s="258" t="s">
        <v>108</v>
      </c>
      <c r="F4" s="259"/>
      <c r="G4" s="259"/>
      <c r="H4" s="259"/>
      <c r="I4" s="259"/>
      <c r="J4" s="259"/>
      <c r="K4" s="259"/>
      <c r="L4" s="259"/>
      <c r="M4" s="259"/>
      <c r="N4" s="259"/>
      <c r="O4" s="260"/>
      <c r="P4" s="249" t="s">
        <v>112</v>
      </c>
      <c r="Q4" s="250"/>
      <c r="R4" s="250"/>
      <c r="S4" s="251"/>
      <c r="T4" s="249" t="s">
        <v>113</v>
      </c>
      <c r="U4" s="250"/>
      <c r="V4" s="250"/>
      <c r="W4" s="251"/>
    </row>
    <row r="5" spans="1:32" ht="39" thickBot="1" x14ac:dyDescent="0.25">
      <c r="B5" s="254"/>
      <c r="C5" s="255"/>
      <c r="D5" s="257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61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62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62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62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62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62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62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62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62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62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62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62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62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62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62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62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62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62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62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62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62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62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62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62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47" t="s">
        <v>148</v>
      </c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33"/>
    </row>
    <row r="36" spans="2:23" x14ac:dyDescent="0.2">
      <c r="B36" s="2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33"/>
    </row>
    <row r="37" spans="2:23" x14ac:dyDescent="0.2">
      <c r="B37" s="2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33"/>
    </row>
    <row r="38" spans="2:23" x14ac:dyDescent="0.2">
      <c r="B38" s="2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20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M7"/>
  <sheetViews>
    <sheetView workbookViewId="0">
      <selection activeCell="F14" sqref="F14"/>
    </sheetView>
  </sheetViews>
  <sheetFormatPr baseColWidth="10" defaultRowHeight="12.75" x14ac:dyDescent="0.2"/>
  <cols>
    <col min="1" max="1" width="11.42578125" style="223"/>
    <col min="2" max="2" width="18.5703125" style="223" bestFit="1" customWidth="1"/>
    <col min="3" max="3" width="11.42578125" style="223"/>
    <col min="4" max="4" width="18.140625" style="223" customWidth="1"/>
    <col min="5" max="5" width="4.7109375" style="223" customWidth="1"/>
    <col min="6" max="6" width="12.85546875" style="223" bestFit="1" customWidth="1"/>
    <col min="7" max="7" width="4.7109375" style="217" customWidth="1"/>
    <col min="8" max="8" width="15.42578125" style="217" customWidth="1"/>
    <col min="9" max="9" width="14.7109375" style="217" customWidth="1"/>
    <col min="10" max="10" width="4.7109375" style="217" customWidth="1"/>
    <col min="11" max="11" width="11.42578125" style="217"/>
    <col min="12" max="12" width="12.85546875" style="227" bestFit="1" customWidth="1"/>
    <col min="13" max="13" width="13.85546875" style="227" bestFit="1" customWidth="1"/>
    <col min="14" max="16384" width="11.42578125" style="217"/>
  </cols>
  <sheetData>
    <row r="1" spans="1:11" ht="41.25" customHeight="1" x14ac:dyDescent="0.2">
      <c r="A1" s="214" t="s">
        <v>164</v>
      </c>
      <c r="B1" s="214" t="s">
        <v>165</v>
      </c>
      <c r="C1" s="214" t="s">
        <v>0</v>
      </c>
      <c r="D1" s="214" t="s">
        <v>189</v>
      </c>
      <c r="E1" s="215"/>
      <c r="F1" s="216" t="s">
        <v>244</v>
      </c>
      <c r="H1" s="216" t="s">
        <v>242</v>
      </c>
      <c r="I1" s="216" t="s">
        <v>104</v>
      </c>
      <c r="K1" s="216" t="s">
        <v>243</v>
      </c>
    </row>
    <row r="2" spans="1:11" x14ac:dyDescent="0.2">
      <c r="A2" s="218">
        <v>1</v>
      </c>
      <c r="B2" s="219">
        <v>564638879</v>
      </c>
      <c r="C2" s="220">
        <v>33</v>
      </c>
      <c r="D2" s="219">
        <f>+B2*0.4</f>
        <v>225855551.60000002</v>
      </c>
      <c r="E2" s="221"/>
      <c r="F2" s="222">
        <v>828116</v>
      </c>
      <c r="H2" s="226">
        <f>+IF(OR(B2="",PlazoM1=""),"",B2/PlazoM1)</f>
        <v>17110269.060606062</v>
      </c>
      <c r="I2" s="226">
        <f>IF(OR(B2="",$K$2=""),"",B2*$K$2)</f>
        <v>56463887.900000006</v>
      </c>
      <c r="K2" s="228">
        <v>0.1</v>
      </c>
    </row>
    <row r="3" spans="1:11" x14ac:dyDescent="0.2">
      <c r="A3" s="218"/>
      <c r="B3" s="219"/>
      <c r="C3" s="220"/>
      <c r="D3" s="219"/>
      <c r="H3" s="226" t="str">
        <f>+IF(OR(B3="",PlazoM2=""),"",B3/PlazoM2)</f>
        <v/>
      </c>
      <c r="I3" s="226" t="str">
        <f t="shared" ref="I3:I5" si="0">IF(OR(B3="",$K$2=""),"",B3*$K$2)</f>
        <v/>
      </c>
    </row>
    <row r="4" spans="1:11" x14ac:dyDescent="0.2">
      <c r="A4" s="218"/>
      <c r="B4" s="219"/>
      <c r="C4" s="220"/>
      <c r="D4" s="219"/>
      <c r="H4" s="226" t="str">
        <f>+IF(OR(B4="",PlazoM3=""),"",B4/PlazoM3)</f>
        <v/>
      </c>
      <c r="I4" s="226" t="str">
        <f t="shared" si="0"/>
        <v/>
      </c>
    </row>
    <row r="5" spans="1:11" x14ac:dyDescent="0.2">
      <c r="A5" s="218"/>
      <c r="B5" s="219"/>
      <c r="C5" s="220"/>
      <c r="D5" s="219"/>
      <c r="H5" s="226" t="str">
        <f>+IF(OR(B5="",PlazoM4=""),"",B5/PlazoM4)</f>
        <v/>
      </c>
      <c r="I5" s="226" t="str">
        <f t="shared" si="0"/>
        <v/>
      </c>
    </row>
    <row r="6" spans="1:11" x14ac:dyDescent="0.2">
      <c r="E6" s="224"/>
    </row>
    <row r="7" spans="1:11" x14ac:dyDescent="0.2">
      <c r="D7" s="225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activeCell="K24" sqref="K24"/>
    </sheetView>
  </sheetViews>
  <sheetFormatPr baseColWidth="10" defaultRowHeight="12.75" x14ac:dyDescent="0.2"/>
  <cols>
    <col min="1" max="2" width="11.42578125" style="148"/>
    <col min="3" max="3" width="15.28515625" style="148" bestFit="1" customWidth="1"/>
    <col min="4" max="6" width="11.42578125" style="148"/>
    <col min="7" max="7" width="11.42578125" style="148" customWidth="1"/>
    <col min="8" max="16384" width="11.42578125" style="148"/>
  </cols>
  <sheetData>
    <row r="1" spans="2:8" ht="13.5" thickBot="1" x14ac:dyDescent="0.25"/>
    <row r="2" spans="2:8" ht="13.5" thickBot="1" x14ac:dyDescent="0.25">
      <c r="B2" s="263" t="s">
        <v>198</v>
      </c>
      <c r="C2" s="264"/>
      <c r="D2" s="265"/>
      <c r="F2" s="263" t="s">
        <v>206</v>
      </c>
      <c r="G2" s="264"/>
      <c r="H2" s="265"/>
    </row>
    <row r="3" spans="2:8" ht="13.5" thickBot="1" x14ac:dyDescent="0.25">
      <c r="B3" s="178" t="s">
        <v>202</v>
      </c>
      <c r="C3" s="180" t="s">
        <v>204</v>
      </c>
      <c r="D3" s="179" t="s">
        <v>203</v>
      </c>
      <c r="F3" s="178" t="s">
        <v>207</v>
      </c>
      <c r="G3" s="180" t="s">
        <v>208</v>
      </c>
      <c r="H3" s="179" t="s">
        <v>203</v>
      </c>
    </row>
    <row r="4" spans="2:8" x14ac:dyDescent="0.2">
      <c r="B4" s="170">
        <v>0</v>
      </c>
      <c r="C4" s="170">
        <v>3</v>
      </c>
      <c r="D4" s="170">
        <v>60</v>
      </c>
      <c r="F4" s="170">
        <v>1</v>
      </c>
      <c r="G4" s="170">
        <v>5</v>
      </c>
      <c r="H4" s="170">
        <v>20</v>
      </c>
    </row>
    <row r="5" spans="2:8" x14ac:dyDescent="0.2">
      <c r="B5" s="171">
        <v>3</v>
      </c>
      <c r="C5" s="171">
        <v>6</v>
      </c>
      <c r="D5" s="171">
        <v>80</v>
      </c>
      <c r="F5" s="171">
        <v>6</v>
      </c>
      <c r="G5" s="171">
        <v>10</v>
      </c>
      <c r="H5" s="171">
        <v>30</v>
      </c>
    </row>
    <row r="6" spans="2:8" ht="13.5" thickBot="1" x14ac:dyDescent="0.25">
      <c r="B6" s="171">
        <v>6</v>
      </c>
      <c r="C6" s="171">
        <v>10</v>
      </c>
      <c r="D6" s="171">
        <v>100</v>
      </c>
      <c r="F6" s="172">
        <v>11</v>
      </c>
      <c r="G6" s="173" t="s">
        <v>205</v>
      </c>
      <c r="H6" s="172">
        <v>40</v>
      </c>
    </row>
    <row r="7" spans="2:8" ht="13.5" thickBot="1" x14ac:dyDescent="0.25">
      <c r="B7" s="172">
        <v>10</v>
      </c>
      <c r="C7" s="173" t="s">
        <v>205</v>
      </c>
      <c r="D7" s="172">
        <v>120</v>
      </c>
      <c r="F7" s="181"/>
      <c r="G7" s="182"/>
      <c r="H7" s="181"/>
    </row>
    <row r="9" spans="2:8" ht="13.5" thickBot="1" x14ac:dyDescent="0.25"/>
    <row r="10" spans="2:8" ht="13.5" thickBot="1" x14ac:dyDescent="0.25">
      <c r="B10" s="263" t="s">
        <v>193</v>
      </c>
      <c r="C10" s="264"/>
      <c r="D10" s="265"/>
    </row>
    <row r="11" spans="2:8" ht="13.5" thickBot="1" x14ac:dyDescent="0.25">
      <c r="B11" s="178" t="s">
        <v>202</v>
      </c>
      <c r="C11" s="180" t="s">
        <v>204</v>
      </c>
      <c r="D11" s="179" t="s">
        <v>203</v>
      </c>
    </row>
    <row r="12" spans="2:8" x14ac:dyDescent="0.2">
      <c r="B12" s="170">
        <v>0</v>
      </c>
      <c r="C12" s="170">
        <v>0.5</v>
      </c>
      <c r="D12" s="170">
        <v>20</v>
      </c>
    </row>
    <row r="13" spans="2:8" x14ac:dyDescent="0.2">
      <c r="B13" s="171">
        <v>0.5</v>
      </c>
      <c r="C13" s="171">
        <v>0.75</v>
      </c>
      <c r="D13" s="171">
        <v>25</v>
      </c>
    </row>
    <row r="14" spans="2:8" x14ac:dyDescent="0.2">
      <c r="B14" s="171">
        <v>0.75</v>
      </c>
      <c r="C14" s="177">
        <v>1</v>
      </c>
      <c r="D14" s="171">
        <v>30</v>
      </c>
    </row>
    <row r="15" spans="2:8" x14ac:dyDescent="0.2">
      <c r="B15" s="176">
        <v>1</v>
      </c>
      <c r="C15" s="175">
        <v>1.5</v>
      </c>
      <c r="D15" s="174">
        <v>35</v>
      </c>
    </row>
    <row r="16" spans="2:8" ht="13.5" thickBot="1" x14ac:dyDescent="0.25">
      <c r="B16" s="172">
        <v>1.5</v>
      </c>
      <c r="C16" s="173" t="s">
        <v>205</v>
      </c>
      <c r="D16" s="172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G22"/>
  <sheetViews>
    <sheetView zoomScale="80" zoomScaleNormal="80" zoomScaleSheetLayoutView="100" workbookViewId="0">
      <selection activeCell="E27" sqref="E27"/>
    </sheetView>
  </sheetViews>
  <sheetFormatPr baseColWidth="10" defaultRowHeight="18" customHeight="1" x14ac:dyDescent="0.2"/>
  <cols>
    <col min="1" max="1" width="19.85546875" style="131" customWidth="1"/>
    <col min="2" max="2" width="8.85546875" style="131" bestFit="1" customWidth="1"/>
    <col min="3" max="3" width="37" style="131" customWidth="1"/>
    <col min="4" max="4" width="17.42578125" style="131" customWidth="1"/>
    <col min="5" max="5" width="25" style="131" customWidth="1"/>
    <col min="6" max="6" width="26.7109375" style="134" customWidth="1"/>
    <col min="7" max="7" width="25" style="134" bestFit="1" customWidth="1"/>
    <col min="8" max="9" width="23.140625" style="134" customWidth="1"/>
    <col min="10" max="10" width="28.7109375" style="135" customWidth="1"/>
    <col min="11" max="11" width="28.28515625" style="135" customWidth="1"/>
    <col min="12" max="12" width="23" style="135" customWidth="1"/>
    <col min="13" max="13" width="20.85546875" style="135" customWidth="1"/>
    <col min="14" max="14" width="4.140625" style="136" bestFit="1" customWidth="1"/>
    <col min="15" max="15" width="8" style="136" bestFit="1" customWidth="1"/>
    <col min="16" max="16" width="8" style="136" hidden="1" customWidth="1"/>
    <col min="17" max="17" width="19.5703125" style="136" hidden="1" customWidth="1"/>
    <col min="18" max="18" width="21.7109375" style="136" bestFit="1" customWidth="1"/>
    <col min="19" max="19" width="15.7109375" style="136" bestFit="1" customWidth="1"/>
    <col min="20" max="20" width="14.7109375" style="136" customWidth="1"/>
    <col min="21" max="21" width="17.5703125" style="136" customWidth="1"/>
    <col min="22" max="22" width="21.7109375" style="136" customWidth="1"/>
    <col min="23" max="23" width="20.42578125" style="136" hidden="1" customWidth="1"/>
    <col min="24" max="24" width="19.42578125" style="136" customWidth="1"/>
    <col min="25" max="25" width="14.7109375" style="136" customWidth="1"/>
    <col min="26" max="26" width="15.85546875" style="134" customWidth="1"/>
    <col min="27" max="27" width="15.5703125" style="131" hidden="1" customWidth="1"/>
    <col min="28" max="28" width="15.85546875" style="131" hidden="1" customWidth="1"/>
    <col min="29" max="29" width="14.5703125" style="137" customWidth="1"/>
    <col min="30" max="30" width="14.5703125" style="131" customWidth="1"/>
    <col min="31" max="31" width="14.5703125" style="137" customWidth="1"/>
    <col min="32" max="32" width="14.5703125" style="131" customWidth="1"/>
    <col min="33" max="33" width="17.42578125" style="131" customWidth="1"/>
    <col min="34" max="16384" width="11.42578125" style="131"/>
  </cols>
  <sheetData>
    <row r="1" spans="1:33" ht="18" customHeight="1" x14ac:dyDescent="0.2"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</row>
    <row r="2" spans="1:33" s="132" customFormat="1" ht="23.25" x14ac:dyDescent="0.35">
      <c r="B2" s="269" t="s">
        <v>149</v>
      </c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</row>
    <row r="3" spans="1:33" s="132" customFormat="1" x14ac:dyDescent="0.25">
      <c r="B3" s="268" t="s">
        <v>210</v>
      </c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</row>
    <row r="4" spans="1:33" ht="18" customHeight="1" x14ac:dyDescent="0.25">
      <c r="B4" s="267" t="s">
        <v>250</v>
      </c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</row>
    <row r="5" spans="1:33" ht="18" customHeight="1" x14ac:dyDescent="0.2">
      <c r="B5" s="289" t="s">
        <v>259</v>
      </c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289"/>
    </row>
    <row r="6" spans="1:33" ht="18" customHeight="1" thickBot="1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</row>
    <row r="7" spans="1:33" ht="44.25" customHeight="1" thickBot="1" x14ac:dyDescent="0.25">
      <c r="B7" s="282" t="s">
        <v>151</v>
      </c>
      <c r="C7" s="283"/>
      <c r="D7" s="284"/>
      <c r="E7" s="287" t="s">
        <v>161</v>
      </c>
      <c r="F7" s="288"/>
      <c r="G7" s="288"/>
      <c r="H7" s="288"/>
      <c r="I7" s="288"/>
      <c r="J7" s="288"/>
      <c r="K7" s="211"/>
      <c r="L7" s="109"/>
      <c r="M7" s="109"/>
      <c r="N7" s="109"/>
      <c r="O7" s="147"/>
      <c r="P7" s="109"/>
      <c r="Q7" s="109"/>
      <c r="R7" s="110"/>
      <c r="S7" s="285" t="s">
        <v>163</v>
      </c>
      <c r="T7" s="286"/>
      <c r="U7" s="285" t="s">
        <v>150</v>
      </c>
      <c r="V7" s="286"/>
      <c r="W7" s="111"/>
      <c r="X7" s="285" t="s">
        <v>179</v>
      </c>
      <c r="Y7" s="286"/>
      <c r="Z7" s="112" t="s">
        <v>181</v>
      </c>
      <c r="AA7" s="305" t="s">
        <v>171</v>
      </c>
      <c r="AB7" s="306"/>
      <c r="AC7" s="285" t="s">
        <v>183</v>
      </c>
      <c r="AD7" s="286"/>
      <c r="AE7" s="285" t="s">
        <v>185</v>
      </c>
      <c r="AF7" s="286"/>
      <c r="AG7" s="112" t="s">
        <v>182</v>
      </c>
    </row>
    <row r="8" spans="1:33" ht="56.25" customHeight="1" x14ac:dyDescent="0.2">
      <c r="B8" s="290" t="s">
        <v>157</v>
      </c>
      <c r="C8" s="278" t="s">
        <v>156</v>
      </c>
      <c r="D8" s="302" t="s">
        <v>167</v>
      </c>
      <c r="E8" s="280" t="s">
        <v>159</v>
      </c>
      <c r="F8" s="299" t="s">
        <v>154</v>
      </c>
      <c r="G8" s="299" t="s">
        <v>158</v>
      </c>
      <c r="H8" s="295" t="s">
        <v>155</v>
      </c>
      <c r="I8" s="279" t="s">
        <v>233</v>
      </c>
      <c r="J8" s="279" t="s">
        <v>234</v>
      </c>
      <c r="K8" s="279" t="s">
        <v>238</v>
      </c>
      <c r="L8" s="113"/>
      <c r="M8" s="113"/>
      <c r="N8" s="275" t="s">
        <v>162</v>
      </c>
      <c r="O8" s="271" t="s">
        <v>235</v>
      </c>
      <c r="P8" s="292" t="s">
        <v>168</v>
      </c>
      <c r="Q8" s="274" t="s">
        <v>169</v>
      </c>
      <c r="R8" s="270" t="s">
        <v>166</v>
      </c>
      <c r="S8" s="297" t="s">
        <v>245</v>
      </c>
      <c r="T8" s="298"/>
      <c r="U8" s="297" t="s">
        <v>236</v>
      </c>
      <c r="V8" s="298"/>
      <c r="W8" s="300" t="s">
        <v>170</v>
      </c>
      <c r="X8" s="297" t="s">
        <v>237</v>
      </c>
      <c r="Y8" s="298"/>
      <c r="Z8" s="295" t="s">
        <v>175</v>
      </c>
      <c r="AA8" s="101" t="s">
        <v>172</v>
      </c>
      <c r="AB8" s="102">
        <v>535600</v>
      </c>
      <c r="AC8" s="297" t="s">
        <v>240</v>
      </c>
      <c r="AD8" s="298"/>
      <c r="AE8" s="297" t="s">
        <v>241</v>
      </c>
      <c r="AF8" s="298"/>
      <c r="AG8" s="295" t="s">
        <v>175</v>
      </c>
    </row>
    <row r="9" spans="1:33" ht="54" customHeight="1" thickBot="1" x14ac:dyDescent="0.25">
      <c r="B9" s="291"/>
      <c r="C9" s="278"/>
      <c r="D9" s="303"/>
      <c r="E9" s="281"/>
      <c r="F9" s="304"/>
      <c r="G9" s="295"/>
      <c r="H9" s="304"/>
      <c r="I9" s="279"/>
      <c r="J9" s="279"/>
      <c r="K9" s="279"/>
      <c r="L9" s="113" t="s">
        <v>177</v>
      </c>
      <c r="M9" s="113" t="s">
        <v>178</v>
      </c>
      <c r="N9" s="276"/>
      <c r="O9" s="272"/>
      <c r="P9" s="293"/>
      <c r="Q9" s="274"/>
      <c r="R9" s="270"/>
      <c r="S9" s="72" t="s">
        <v>160</v>
      </c>
      <c r="T9" s="71">
        <v>0.42</v>
      </c>
      <c r="U9" s="72" t="s">
        <v>187</v>
      </c>
      <c r="V9" s="71">
        <v>0.7</v>
      </c>
      <c r="W9" s="274"/>
      <c r="X9" s="72" t="s">
        <v>180</v>
      </c>
      <c r="Y9" s="71">
        <v>1</v>
      </c>
      <c r="Z9" s="295"/>
      <c r="AA9" s="103" t="s">
        <v>173</v>
      </c>
      <c r="AB9" s="104">
        <v>566700</v>
      </c>
      <c r="AC9" s="121" t="s">
        <v>184</v>
      </c>
      <c r="AD9" s="212">
        <v>0</v>
      </c>
      <c r="AE9" s="121" t="s">
        <v>186</v>
      </c>
      <c r="AF9" s="212">
        <v>0</v>
      </c>
      <c r="AG9" s="295"/>
    </row>
    <row r="10" spans="1:33" ht="44.25" customHeight="1" thickBot="1" x14ac:dyDescent="0.25">
      <c r="B10" s="291"/>
      <c r="C10" s="278"/>
      <c r="D10" s="303"/>
      <c r="E10" s="281"/>
      <c r="F10" s="304"/>
      <c r="G10" s="295"/>
      <c r="H10" s="304"/>
      <c r="I10" s="279"/>
      <c r="J10" s="279"/>
      <c r="K10" s="279"/>
      <c r="L10" s="113"/>
      <c r="M10" s="113"/>
      <c r="N10" s="277"/>
      <c r="O10" s="273"/>
      <c r="P10" s="294"/>
      <c r="Q10" s="274"/>
      <c r="R10" s="270"/>
      <c r="S10" s="73" t="s">
        <v>153</v>
      </c>
      <c r="T10" s="74" t="s">
        <v>152</v>
      </c>
      <c r="U10" s="73" t="s">
        <v>153</v>
      </c>
      <c r="V10" s="74" t="s">
        <v>152</v>
      </c>
      <c r="W10" s="301"/>
      <c r="X10" s="73" t="s">
        <v>153</v>
      </c>
      <c r="Y10" s="74" t="s">
        <v>152</v>
      </c>
      <c r="Z10" s="296"/>
      <c r="AA10" s="105" t="s">
        <v>174</v>
      </c>
      <c r="AB10" s="106">
        <v>30000</v>
      </c>
      <c r="AC10" s="122" t="s">
        <v>153</v>
      </c>
      <c r="AD10" s="120" t="s">
        <v>152</v>
      </c>
      <c r="AE10" s="122" t="s">
        <v>153</v>
      </c>
      <c r="AF10" s="120" t="s">
        <v>152</v>
      </c>
      <c r="AG10" s="296"/>
    </row>
    <row r="11" spans="1:33" ht="18" customHeight="1" thickBot="1" x14ac:dyDescent="0.25">
      <c r="B11" s="138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66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40"/>
      <c r="AA11" s="141"/>
      <c r="AB11" s="142"/>
      <c r="AC11" s="143"/>
      <c r="AD11" s="144"/>
      <c r="AE11" s="143"/>
      <c r="AF11" s="144"/>
      <c r="AG11" s="145"/>
    </row>
    <row r="12" spans="1:33" ht="36" customHeight="1" x14ac:dyDescent="0.25">
      <c r="B12" s="84">
        <v>1</v>
      </c>
      <c r="C12" s="85" t="s">
        <v>246</v>
      </c>
      <c r="D12" s="98">
        <f>IF(SUM(D13:D14)=0,"",SUM(D13:D14))</f>
        <v>1</v>
      </c>
      <c r="E12" s="86">
        <f t="shared" ref="E12:G12" si="0">IF(ISERROR(SUM(E13:E14)),"",SUM(E13:E14))</f>
        <v>143619247</v>
      </c>
      <c r="F12" s="86">
        <f t="shared" si="0"/>
        <v>293646247</v>
      </c>
      <c r="G12" s="86">
        <f t="shared" si="0"/>
        <v>4050000</v>
      </c>
      <c r="H12" s="86">
        <f>IF(ISERROR(SUM(H13:H14)),"",SUM(H13:H14))</f>
        <v>4050000</v>
      </c>
      <c r="I12" s="86">
        <f>IF(ISERROR(SUM(I13:I14)),"",SUM(I13:I14))</f>
        <v>139569247</v>
      </c>
      <c r="J12" s="86">
        <f>IF(ISERROR(SUM(J13:J14)),"",SUM(J13:J14))</f>
        <v>289596247</v>
      </c>
      <c r="K12" s="86">
        <f t="shared" ref="K12" si="1">IF(ISERROR(SUM(K13:K14)),"",SUM(K13:K14))</f>
        <v>289596247</v>
      </c>
      <c r="L12" s="86">
        <f>IF(ISERROR(SUM(L13:L14)),"",SUM(L13:L14))</f>
        <v>378273547</v>
      </c>
      <c r="M12" s="86">
        <f>IF(ISERROR(SUM(M13:M14)),"",SUM(M13:M14))</f>
        <v>5187</v>
      </c>
      <c r="N12" s="80">
        <v>1</v>
      </c>
      <c r="O12" s="206">
        <f>IF(ISERROR(VLOOKUP(N12,POA!$A$2:$C$16,3,0)),"",VLOOKUP(N12,POA!$A$2:$C$16,3,0))</f>
        <v>33</v>
      </c>
      <c r="P12" s="100"/>
      <c r="Q12" s="80">
        <f>+SUM(Q13:Q14)</f>
        <v>0</v>
      </c>
      <c r="R12" s="81">
        <f>IF(ISERROR(VLOOKUP(N12,POA!$A$2:$C$16,2,0)),"",VLOOKUP(N12,POA!$A$2:$C$16,2,0))</f>
        <v>564638879</v>
      </c>
      <c r="S12" s="86">
        <f>IF(ISERROR(SUM(E12/G12)),0,SUM(E12/G12))</f>
        <v>35.4615424691358</v>
      </c>
      <c r="T12" s="87" t="str">
        <f>IF(OR(S12=0,N12="",R12=""),"",IF(S12&gt;=$T$9,"HABIL","NO HABIL"))</f>
        <v>HABIL</v>
      </c>
      <c r="U12" s="210">
        <f>IF(ISERROR(SUM(H12/F12)),0,SUM(H12/F12))</f>
        <v>1.37921054376697E-2</v>
      </c>
      <c r="V12" s="87" t="str">
        <f>IF(OR(U12=0,N12="",R12=""),"",IF(U12&lt;=$V$9,"HABIL","NO HABIL"))</f>
        <v>HABIL</v>
      </c>
      <c r="W12" s="80">
        <f>+SUM(W13:W14)</f>
        <v>0</v>
      </c>
      <c r="X12" s="210">
        <f>IF(ISERROR(SUM(L12/M12)),0,SUM(L12/M12))</f>
        <v>72927.230962020432</v>
      </c>
      <c r="Y12" s="87" t="str">
        <f>IF(OR(X12=0,N12="",R12=""),"",IF(X12&gt;=$Y$9,"HABIL","NO HABIL"))</f>
        <v>HABIL</v>
      </c>
      <c r="Z12" s="87" t="str">
        <f>IF(OR(T12="",V12="",Y12=""),"",IF(T12="NO HABIL","NO HABIL",IF(V12="NO HABIL","NO HABIL",IF(Y12="NO HABIL","NO HABIL",IF(Y12="NO HABIL","NO HABIL","HABIL")))))</f>
        <v>HABIL</v>
      </c>
      <c r="AA12" s="116"/>
      <c r="AB12" s="107"/>
      <c r="AC12" s="210">
        <f>IF(ISERROR(SUM(L12/K12)),0,SUM(L12/K12))</f>
        <v>1.306210114663537</v>
      </c>
      <c r="AD12" s="87" t="str">
        <f>IF(OR(AC12=0,N12="",R12=""),"",IF(AC12&gt;=$AD$9,"HABIL","NO HABIL"))</f>
        <v>HABIL</v>
      </c>
      <c r="AE12" s="210">
        <f>IF(ISERROR(SUM(L12/F12)),0,SUM(L12/F12))</f>
        <v>1.2881947270383469</v>
      </c>
      <c r="AF12" s="87" t="str">
        <f>IF(OR(AE12=0,N12="",R12=""),"",IF(AE12&gt;=$AF$9,"HABIL","NO HABIL"))</f>
        <v>HABIL</v>
      </c>
      <c r="AG12" s="117" t="str">
        <f>IF(OR(AD12="",AF12=""),"",IF(AD12="NO HABIL","NO HABIL",IF(AF12="NO HABIL","NO HABIL",IF(AF12="NO HABIL","NO HABIL","HABIL"))))</f>
        <v>HABIL</v>
      </c>
    </row>
    <row r="13" spans="1:33" ht="16.5" x14ac:dyDescent="0.25">
      <c r="A13" s="133"/>
      <c r="B13" s="76">
        <v>1.1000000000000001</v>
      </c>
      <c r="C13" s="77" t="s">
        <v>247</v>
      </c>
      <c r="D13" s="213">
        <v>0.6</v>
      </c>
      <c r="E13" s="75">
        <v>43190000</v>
      </c>
      <c r="F13" s="75">
        <v>107800000</v>
      </c>
      <c r="G13" s="75">
        <v>550000</v>
      </c>
      <c r="H13" s="75">
        <v>550000</v>
      </c>
      <c r="I13" s="205">
        <f t="shared" ref="I13:I18" si="2">IF(ISERROR(E13-G13),"",E13-G13)</f>
        <v>42640000</v>
      </c>
      <c r="J13" s="75">
        <f t="shared" ref="J13:J18" si="3">IF(ISERROR(F13-H13),"",F13-H13)</f>
        <v>107250000</v>
      </c>
      <c r="K13" s="205">
        <f t="shared" ref="K13:K18" si="4">IF(ISERROR(F13-H13),"",F13-H13)</f>
        <v>107250000</v>
      </c>
      <c r="L13" s="205">
        <v>4869322</v>
      </c>
      <c r="M13" s="205">
        <v>1</v>
      </c>
      <c r="N13" s="168"/>
      <c r="O13" s="207" t="str">
        <f>IF(ISERROR(VLOOKUP(N13,POA!$A$2:$C$16,3,0)),"",VLOOKUP(N13,POA!$A$2:$C$16,3,0))</f>
        <v/>
      </c>
      <c r="P13" s="78"/>
      <c r="Q13" s="78" t="str">
        <f>IF(ISERROR(VLOOKUP(P13,POA!$A$2:$F$16,4,0)),"",VLOOKUP(P13,POA!$A$2:$F$16,4,0))</f>
        <v/>
      </c>
      <c r="R13" s="79" t="str">
        <f>IF(ISERROR(VLOOKUP(N13,POA!$A$2:$C$16,2,0)),"",VLOOKUP(N13,POA!$A$2:$C$16,2,0))</f>
        <v/>
      </c>
      <c r="S13" s="83"/>
      <c r="T13" s="82" t="str">
        <f>IF(OR(S12=0,N13="",R13=""),"",IF(S12&gt;=$T$9,"HABIL","NO HABIL"))</f>
        <v/>
      </c>
      <c r="U13" s="114"/>
      <c r="V13" s="82" t="str">
        <f>IF(OR(U12=0,N13="",R13=""),"",IF(U12&lt;=$V$9,"HABIL","NO HABIL"))</f>
        <v/>
      </c>
      <c r="W13" s="78" t="s">
        <v>239</v>
      </c>
      <c r="X13" s="78"/>
      <c r="Y13" s="82" t="str">
        <f>IF(OR(X12=0,N13="",R13=""),"",IF(X12&gt;=$Y$9,"HABIL","NO HABIL"))</f>
        <v/>
      </c>
      <c r="Z13" s="82"/>
      <c r="AA13" s="115">
        <f>IF(ISERROR(F13/$AB$9),"",F13/$AB$9)</f>
        <v>190.22410446444326</v>
      </c>
      <c r="AB13" s="108" t="str">
        <f>+IF(AA13&lt;$AB$10,"MIPYME","NO CUMPLE")</f>
        <v>MIPYME</v>
      </c>
      <c r="AC13" s="123"/>
      <c r="AD13" s="82" t="str">
        <f>IF(OR(AC12=0,N13="",R13=""),"",IF(AC12&gt;=$AD$9,"HABIL","NO HABIL"))</f>
        <v/>
      </c>
      <c r="AE13" s="123"/>
      <c r="AF13" s="82" t="str">
        <f>IF(OR(AE12=0,N13="",R13=""),"",IF(AE12&gt;=$AF$9,"HABIL","NO HABIL"))</f>
        <v/>
      </c>
      <c r="AG13" s="118" t="str">
        <f>IF(OR(AD13="",AF13=""),"",IF(AD13="NO HABIL","NO HABIL",IF(AF13="NO HABIL","NO HABIL",IF(AF13="NO HABIL","NO HABIL","HABIL"))))</f>
        <v/>
      </c>
    </row>
    <row r="14" spans="1:33" ht="17.25" thickBot="1" x14ac:dyDescent="0.3">
      <c r="A14" s="133"/>
      <c r="B14" s="76">
        <v>1.2</v>
      </c>
      <c r="C14" s="99" t="s">
        <v>248</v>
      </c>
      <c r="D14" s="213">
        <v>0.4</v>
      </c>
      <c r="E14" s="75">
        <v>100429247</v>
      </c>
      <c r="F14" s="75">
        <v>185846247</v>
      </c>
      <c r="G14" s="75">
        <v>3500000</v>
      </c>
      <c r="H14" s="75">
        <v>3500000</v>
      </c>
      <c r="I14" s="205">
        <f t="shared" si="2"/>
        <v>96929247</v>
      </c>
      <c r="J14" s="75">
        <f t="shared" si="3"/>
        <v>182346247</v>
      </c>
      <c r="K14" s="205">
        <f t="shared" si="4"/>
        <v>182346247</v>
      </c>
      <c r="L14" s="205">
        <v>373404225</v>
      </c>
      <c r="M14" s="205">
        <v>5186</v>
      </c>
      <c r="N14" s="167"/>
      <c r="O14" s="167" t="str">
        <f>IF(ISERROR(VLOOKUP(N14,POA!$A$2:$C$16,3,0)),"",VLOOKUP(N14,POA!$A$2:$C$16,3,0))</f>
        <v/>
      </c>
      <c r="P14" s="78"/>
      <c r="Q14" s="78" t="str">
        <f>IF(ISERROR(VLOOKUP(P14,POA!$A$2:$F$16,4,0)),"",VLOOKUP(P14,POA!$A$2:$F$16,4,0))</f>
        <v/>
      </c>
      <c r="R14" s="79" t="str">
        <f>IF(ISERROR(VLOOKUP(N14,POA!$A$2:$C$16,2,0)),"",VLOOKUP(N14,POA!$A$2:$C$16,2,0))</f>
        <v/>
      </c>
      <c r="S14" s="83"/>
      <c r="T14" s="82" t="str">
        <f>IF(OR(S12=0,N14="",R14=""),"",IF(S12&gt;=$T$9,"HABIL","NO HABIL"))</f>
        <v/>
      </c>
      <c r="U14" s="114"/>
      <c r="V14" s="82" t="str">
        <f>IF(OR(U12=0,N14="",R14=""),"",IF(U12&lt;=$V$9,"HABIL","NO HABIL"))</f>
        <v/>
      </c>
      <c r="W14" s="78" t="s">
        <v>239</v>
      </c>
      <c r="X14" s="78"/>
      <c r="Y14" s="82" t="str">
        <f>IF(OR(X12=0,N14="",R14=""),"",IF(X12&gt;=$Y$9,"HABIL","NO HABIL"))</f>
        <v/>
      </c>
      <c r="Z14" s="82"/>
      <c r="AA14" s="115">
        <f>IF(ISERROR(F14/$AB$9),"",F14/$AB$9)</f>
        <v>327.94467443091582</v>
      </c>
      <c r="AB14" s="108" t="str">
        <f t="shared" ref="AB14" si="5">+IF(AA14&lt;$AB$10,"MIPYME","NO CUMPLE")</f>
        <v>MIPYME</v>
      </c>
      <c r="AC14" s="123"/>
      <c r="AD14" s="82" t="str">
        <f>IF(OR(AC12=0,N14="",R14=""),"",IF(AC12&gt;=$AD$9,"HABIL","NO HABIL"))</f>
        <v/>
      </c>
      <c r="AE14" s="123"/>
      <c r="AF14" s="82" t="str">
        <f>IF(OR(AE12=0,N14="",R14=""),"",IF(AE12&gt;=$AF$9,"HABIL","NO HABIL"))</f>
        <v/>
      </c>
      <c r="AG14" s="119" t="str">
        <f t="shared" ref="AG14" si="6">IF(OR(AD14="",AF14=""),"",IF(AD14="NO HABIL","NO HABIL",IF(AF14="NO HABIL","NO HABIL",IF(AF14="NO HABIL","NO HABIL","HABIL"))))</f>
        <v/>
      </c>
    </row>
    <row r="15" spans="1:33" ht="18" customHeight="1" thickBot="1" x14ac:dyDescent="0.3">
      <c r="B15" s="84">
        <v>2</v>
      </c>
      <c r="C15" s="85" t="s">
        <v>249</v>
      </c>
      <c r="D15" s="98">
        <v>1</v>
      </c>
      <c r="E15" s="86">
        <v>28500000</v>
      </c>
      <c r="F15" s="86">
        <v>50900000</v>
      </c>
      <c r="G15" s="86">
        <v>9000000</v>
      </c>
      <c r="H15" s="86">
        <v>9000000</v>
      </c>
      <c r="I15" s="86">
        <f t="shared" si="2"/>
        <v>19500000</v>
      </c>
      <c r="J15" s="86">
        <f t="shared" si="3"/>
        <v>41900000</v>
      </c>
      <c r="K15" s="86">
        <f t="shared" si="4"/>
        <v>41900000</v>
      </c>
      <c r="L15" s="86">
        <v>2291000</v>
      </c>
      <c r="M15" s="86">
        <v>1</v>
      </c>
      <c r="N15" s="80">
        <v>1</v>
      </c>
      <c r="O15" s="206">
        <f>IF(ISERROR(VLOOKUP(N15,POA!$A$2:$C$16,3,0)),"",VLOOKUP(N15,POA!$A$2:$C$16,3,0))</f>
        <v>33</v>
      </c>
      <c r="P15" s="100"/>
      <c r="Q15" s="80" t="e">
        <f>+SUM(#REF!)</f>
        <v>#REF!</v>
      </c>
      <c r="R15" s="81">
        <f>IF(ISERROR(VLOOKUP(N15,POA!$A$2:$C$16,2,0)),"",VLOOKUP(N15,POA!$A$2:$C$16,2,0))</f>
        <v>564638879</v>
      </c>
      <c r="S15" s="86">
        <f t="shared" ref="S15:S19" si="7">IF(ISERROR(SUM(E15/G15)),0,SUM(E15/G15))</f>
        <v>3.1666666666666665</v>
      </c>
      <c r="T15" s="87" t="str">
        <f t="shared" ref="T15:T19" si="8">IF(OR(S15=0,N15="",R15=""),"",IF(S15&gt;=$T$9,"HABIL","NO HABIL"))</f>
        <v>HABIL</v>
      </c>
      <c r="U15" s="210">
        <f t="shared" ref="U15:U19" si="9">IF(ISERROR(SUM(H15/F15)),0,SUM(H15/F15))</f>
        <v>0.17681728880157171</v>
      </c>
      <c r="V15" s="87" t="str">
        <f t="shared" ref="V15:V19" si="10">IF(OR(U15=0,N15="",R15=""),"",IF(U15&lt;=$V$9,"HABIL","NO HABIL"))</f>
        <v>HABIL</v>
      </c>
      <c r="W15" s="80" t="e">
        <f>+SUM(#REF!)</f>
        <v>#REF!</v>
      </c>
      <c r="X15" s="210">
        <f t="shared" ref="X15:X19" si="11">IF(ISERROR(SUM(L15/M15)),0,SUM(L15/M15))</f>
        <v>2291000</v>
      </c>
      <c r="Y15" s="87" t="str">
        <f t="shared" ref="Y15:Y19" si="12">IF(OR(X15=0,N15="",R15=""),"",IF(X15&gt;=$Y$9,"HABIL","NO HABIL"))</f>
        <v>HABIL</v>
      </c>
      <c r="Z15" s="87" t="str">
        <f t="shared" ref="Z15:Z19" si="13">IF(OR(T15="",V15="",Y15=""),"",IF(T15="NO HABIL","NO HABIL",IF(V15="NO HABIL","NO HABIL",IF(Y15="NO HABIL","NO HABIL",IF(Y15="NO HABIL","NO HABIL","HABIL")))))</f>
        <v>HABIL</v>
      </c>
      <c r="AA15" s="116"/>
      <c r="AB15" s="107"/>
      <c r="AC15" s="210">
        <f t="shared" ref="AC15:AC19" si="14">IF(ISERROR(SUM(L15/K15)),0,SUM(L15/K15))</f>
        <v>5.4677804295942718E-2</v>
      </c>
      <c r="AD15" s="87" t="str">
        <f t="shared" ref="AD15:AD19" si="15">IF(OR(AC15=0,N15="",R15=""),"",IF(AC15&gt;=$AD$9,"HABIL","NO HABIL"))</f>
        <v>HABIL</v>
      </c>
      <c r="AE15" s="210">
        <f t="shared" ref="AE15:AE19" si="16">IF(ISERROR(SUM(L15/F15)),0,SUM(L15/F15))</f>
        <v>4.5009823182711198E-2</v>
      </c>
      <c r="AF15" s="87" t="str">
        <f t="shared" ref="AF15:AF19" si="17">IF(OR(AE15=0,N15="",R15=""),"",IF(AE15&gt;=$AF$9,"HABIL","NO HABIL"))</f>
        <v>HABIL</v>
      </c>
      <c r="AG15" s="117" t="str">
        <f t="shared" ref="AG15" si="18">IF(OR(AD15="",AF15=""),"",IF(AD15="NO HABIL","NO HABIL",IF(AF15="NO HABIL","NO HABIL",IF(AF15="NO HABIL","NO HABIL","HABIL"))))</f>
        <v>HABIL</v>
      </c>
    </row>
    <row r="16" spans="1:33" ht="18" customHeight="1" thickBot="1" x14ac:dyDescent="0.3">
      <c r="B16" s="84">
        <v>3</v>
      </c>
      <c r="C16" s="85" t="s">
        <v>251</v>
      </c>
      <c r="D16" s="98">
        <v>1</v>
      </c>
      <c r="E16" s="86">
        <v>1000000</v>
      </c>
      <c r="F16" s="86">
        <v>1000000</v>
      </c>
      <c r="G16" s="86">
        <v>1</v>
      </c>
      <c r="H16" s="86">
        <v>1</v>
      </c>
      <c r="I16" s="86">
        <f t="shared" si="2"/>
        <v>999999</v>
      </c>
      <c r="J16" s="86">
        <f t="shared" si="3"/>
        <v>999999</v>
      </c>
      <c r="K16" s="86">
        <f t="shared" si="4"/>
        <v>999999</v>
      </c>
      <c r="L16" s="86">
        <v>0</v>
      </c>
      <c r="M16" s="86">
        <v>1</v>
      </c>
      <c r="N16" s="80">
        <v>1</v>
      </c>
      <c r="O16" s="206">
        <v>33</v>
      </c>
      <c r="P16" s="100"/>
      <c r="Q16" s="80" t="e">
        <f>+SUM(#REF!)</f>
        <v>#REF!</v>
      </c>
      <c r="R16" s="81">
        <f>IF(ISERROR(VLOOKUP(N16,POA!$A$2:$C$16,2,0)),"",VLOOKUP(N16,POA!$A$2:$C$16,2,0))</f>
        <v>564638879</v>
      </c>
      <c r="S16" s="86">
        <f t="shared" si="7"/>
        <v>1000000</v>
      </c>
      <c r="T16" s="87" t="str">
        <f t="shared" si="8"/>
        <v>HABIL</v>
      </c>
      <c r="U16" s="210">
        <f t="shared" si="9"/>
        <v>9.9999999999999995E-7</v>
      </c>
      <c r="V16" s="87" t="str">
        <f t="shared" si="10"/>
        <v>HABIL</v>
      </c>
      <c r="W16" s="80" t="e">
        <f>+SUM(#REF!)</f>
        <v>#REF!</v>
      </c>
      <c r="X16" s="210">
        <f t="shared" si="11"/>
        <v>0</v>
      </c>
      <c r="Y16" s="87" t="str">
        <f t="shared" si="12"/>
        <v/>
      </c>
      <c r="Z16" s="87" t="str">
        <f t="shared" si="13"/>
        <v/>
      </c>
      <c r="AA16" s="116"/>
      <c r="AB16" s="107"/>
      <c r="AC16" s="210">
        <f t="shared" si="14"/>
        <v>0</v>
      </c>
      <c r="AD16" s="87" t="str">
        <f t="shared" si="15"/>
        <v/>
      </c>
      <c r="AE16" s="210">
        <f t="shared" si="16"/>
        <v>0</v>
      </c>
      <c r="AF16" s="87" t="str">
        <f t="shared" si="17"/>
        <v/>
      </c>
      <c r="AG16" s="117" t="str">
        <f t="shared" ref="AG16" si="19">IF(OR(AD16="",AF16=""),"",IF(AD16="NO HABIL","NO HABIL",IF(AF16="NO HABIL","NO HABIL",IF(AF16="NO HABIL","NO HABIL","HABIL"))))</f>
        <v/>
      </c>
    </row>
    <row r="17" spans="2:33" ht="33.75" thickBot="1" x14ac:dyDescent="0.3">
      <c r="B17" s="84">
        <v>4</v>
      </c>
      <c r="C17" s="85" t="s">
        <v>257</v>
      </c>
      <c r="D17" s="98">
        <v>1</v>
      </c>
      <c r="E17" s="86">
        <v>20250800</v>
      </c>
      <c r="F17" s="86">
        <v>27600800</v>
      </c>
      <c r="G17" s="86">
        <v>2266100</v>
      </c>
      <c r="H17" s="86">
        <v>2266100</v>
      </c>
      <c r="I17" s="86">
        <f t="shared" ref="I17" si="20">IF(ISERROR(E17-G17),"",E17-G17)</f>
        <v>17984700</v>
      </c>
      <c r="J17" s="86">
        <f t="shared" ref="J17" si="21">IF(ISERROR(F17-H17),"",F17-H17)</f>
        <v>25334700</v>
      </c>
      <c r="K17" s="86">
        <f t="shared" ref="K17" si="22">IF(ISERROR(F17-H17),"",F17-H17)</f>
        <v>25334700</v>
      </c>
      <c r="L17" s="86">
        <v>18950000</v>
      </c>
      <c r="M17" s="86">
        <v>1</v>
      </c>
      <c r="N17" s="80">
        <v>1</v>
      </c>
      <c r="O17" s="206">
        <v>33</v>
      </c>
      <c r="P17" s="100"/>
      <c r="Q17" s="80" t="e">
        <f>+SUM(#REF!)</f>
        <v>#REF!</v>
      </c>
      <c r="R17" s="81">
        <f>IF(ISERROR(VLOOKUP(N17,POA!$A$2:$C$16,2,0)),"",VLOOKUP(N17,POA!$A$2:$C$16,2,0))</f>
        <v>564638879</v>
      </c>
      <c r="S17" s="86">
        <f t="shared" si="7"/>
        <v>8.9364105732315426</v>
      </c>
      <c r="T17" s="87" t="str">
        <f t="shared" si="8"/>
        <v>HABIL</v>
      </c>
      <c r="U17" s="210">
        <f t="shared" si="9"/>
        <v>8.2102692675574615E-2</v>
      </c>
      <c r="V17" s="87" t="str">
        <f t="shared" si="10"/>
        <v>HABIL</v>
      </c>
      <c r="W17" s="80" t="e">
        <f>+SUM(#REF!)</f>
        <v>#REF!</v>
      </c>
      <c r="X17" s="210">
        <f t="shared" si="11"/>
        <v>18950000</v>
      </c>
      <c r="Y17" s="87" t="str">
        <f t="shared" si="12"/>
        <v>HABIL</v>
      </c>
      <c r="Z17" s="87" t="str">
        <f t="shared" ref="Z17" si="23">IF(OR(T17="",V17="",Y17=""),"",IF(T17="NO HABIL","NO HABIL",IF(V17="NO HABIL","NO HABIL",IF(Y17="NO HABIL","NO HABIL",IF(Y17="NO HABIL","NO HABIL","HABIL")))))</f>
        <v>HABIL</v>
      </c>
      <c r="AA17" s="116"/>
      <c r="AB17" s="107"/>
      <c r="AC17" s="210">
        <f t="shared" si="14"/>
        <v>0.74798596391510463</v>
      </c>
      <c r="AD17" s="87" t="str">
        <f t="shared" si="15"/>
        <v>HABIL</v>
      </c>
      <c r="AE17" s="210">
        <f t="shared" si="16"/>
        <v>0.68657430219413929</v>
      </c>
      <c r="AF17" s="87" t="str">
        <f t="shared" si="17"/>
        <v>HABIL</v>
      </c>
      <c r="AG17" s="117" t="str">
        <f t="shared" ref="AG17" si="24">IF(OR(AD17="",AF17=""),"",IF(AD17="NO HABIL","NO HABIL",IF(AF17="NO HABIL","NO HABIL",IF(AF17="NO HABIL","NO HABIL","HABIL"))))</f>
        <v>HABIL</v>
      </c>
    </row>
    <row r="18" spans="2:33" ht="36" customHeight="1" thickBot="1" x14ac:dyDescent="0.3">
      <c r="B18" s="84">
        <v>5</v>
      </c>
      <c r="C18" s="85" t="s">
        <v>258</v>
      </c>
      <c r="D18" s="98">
        <v>1</v>
      </c>
      <c r="E18" s="86">
        <v>64464442</v>
      </c>
      <c r="F18" s="86">
        <v>83200942</v>
      </c>
      <c r="G18" s="86">
        <v>6929605</v>
      </c>
      <c r="H18" s="86">
        <v>32086542</v>
      </c>
      <c r="I18" s="86">
        <f t="shared" si="2"/>
        <v>57534837</v>
      </c>
      <c r="J18" s="86">
        <f t="shared" si="3"/>
        <v>51114400</v>
      </c>
      <c r="K18" s="86">
        <f t="shared" si="4"/>
        <v>51114400</v>
      </c>
      <c r="L18" s="86">
        <v>27278484</v>
      </c>
      <c r="M18" s="86">
        <v>1</v>
      </c>
      <c r="N18" s="80">
        <v>1</v>
      </c>
      <c r="O18" s="206">
        <v>33</v>
      </c>
      <c r="P18" s="100"/>
      <c r="Q18" s="80" t="e">
        <f>+SUM(#REF!)</f>
        <v>#REF!</v>
      </c>
      <c r="R18" s="81">
        <f>IF(ISERROR(VLOOKUP(N18,POA!$A$2:$C$16,2,0)),"",VLOOKUP(N18,POA!$A$2:$C$16,2,0))</f>
        <v>564638879</v>
      </c>
      <c r="S18" s="86">
        <f t="shared" si="7"/>
        <v>9.3027585266404067</v>
      </c>
      <c r="T18" s="87" t="str">
        <f t="shared" si="8"/>
        <v>HABIL</v>
      </c>
      <c r="U18" s="210">
        <f t="shared" si="9"/>
        <v>0.38565118649738367</v>
      </c>
      <c r="V18" s="87" t="str">
        <f t="shared" si="10"/>
        <v>HABIL</v>
      </c>
      <c r="W18" s="80" t="e">
        <f>+SUM(#REF!)</f>
        <v>#REF!</v>
      </c>
      <c r="X18" s="210">
        <f t="shared" si="11"/>
        <v>27278484</v>
      </c>
      <c r="Y18" s="87" t="str">
        <f t="shared" si="12"/>
        <v>HABIL</v>
      </c>
      <c r="Z18" s="87" t="str">
        <f t="shared" si="13"/>
        <v>HABIL</v>
      </c>
      <c r="AA18" s="116"/>
      <c r="AB18" s="107"/>
      <c r="AC18" s="210">
        <f t="shared" si="14"/>
        <v>0.53367512873084688</v>
      </c>
      <c r="AD18" s="87" t="str">
        <f t="shared" si="15"/>
        <v>HABIL</v>
      </c>
      <c r="AE18" s="210">
        <f t="shared" si="16"/>
        <v>0.32786268213165182</v>
      </c>
      <c r="AF18" s="87" t="str">
        <f t="shared" si="17"/>
        <v>HABIL</v>
      </c>
      <c r="AG18" s="117" t="str">
        <f t="shared" ref="AG18" si="25">IF(OR(AD18="",AF18=""),"",IF(AD18="NO HABIL","NO HABIL",IF(AF18="NO HABIL","NO HABIL",IF(AF18="NO HABIL","NO HABIL","HABIL"))))</f>
        <v>HABIL</v>
      </c>
    </row>
    <row r="19" spans="2:33" ht="18" customHeight="1" x14ac:dyDescent="0.25">
      <c r="B19" s="84">
        <v>6</v>
      </c>
      <c r="C19" s="85" t="s">
        <v>252</v>
      </c>
      <c r="D19" s="98">
        <f>IF(SUM(D20:D21)=0,"",SUM(D20:D21))</f>
        <v>1</v>
      </c>
      <c r="E19" s="86">
        <f t="shared" ref="E19:H19" si="26">IF(ISERROR(SUM(E20:E21)),"",SUM(E20:E21))</f>
        <v>45861110790</v>
      </c>
      <c r="F19" s="86">
        <f t="shared" si="26"/>
        <v>46696847799</v>
      </c>
      <c r="G19" s="86">
        <f t="shared" si="26"/>
        <v>477423700</v>
      </c>
      <c r="H19" s="86">
        <f t="shared" si="26"/>
        <v>912305233</v>
      </c>
      <c r="I19" s="86">
        <f>IF(ISERROR(SUM(I20:I21)),"",SUM(I20:I21))</f>
        <v>45383687090</v>
      </c>
      <c r="J19" s="86">
        <f>IF(ISERROR(SUM(J20:J21)),"",SUM(J20:J21))</f>
        <v>45784542566</v>
      </c>
      <c r="K19" s="86">
        <f t="shared" ref="K19:L19" si="27">IF(ISERROR(SUM(K20:K21)),"",SUM(K20:K21))</f>
        <v>45784542566</v>
      </c>
      <c r="L19" s="86">
        <f t="shared" si="27"/>
        <v>5744570087</v>
      </c>
      <c r="M19" s="86">
        <f>IF(ISERROR(SUM(M20:M21)),"",SUM(M20:M21))</f>
        <v>49239700</v>
      </c>
      <c r="N19" s="80">
        <v>1</v>
      </c>
      <c r="O19" s="206">
        <f>IF(ISERROR(VLOOKUP(N19,POA!$A$2:$C$16,3,0)),"",VLOOKUP(N19,POA!$A$2:$C$16,3,0))</f>
        <v>33</v>
      </c>
      <c r="P19" s="100"/>
      <c r="Q19" s="80">
        <f>+SUM(Q20:Q21)</f>
        <v>0</v>
      </c>
      <c r="R19" s="81">
        <f>IF(ISERROR(VLOOKUP(N19,POA!$A$2:$C$16,2,0)),"",VLOOKUP(N19,POA!$A$2:$C$16,2,0))</f>
        <v>564638879</v>
      </c>
      <c r="S19" s="86">
        <f t="shared" si="7"/>
        <v>96.059560491027156</v>
      </c>
      <c r="T19" s="87" t="str">
        <f t="shared" si="8"/>
        <v>HABIL</v>
      </c>
      <c r="U19" s="210">
        <f t="shared" si="9"/>
        <v>1.9536762672437532E-2</v>
      </c>
      <c r="V19" s="87" t="str">
        <f t="shared" si="10"/>
        <v>HABIL</v>
      </c>
      <c r="W19" s="80">
        <f>+SUM(W20:W21)</f>
        <v>0</v>
      </c>
      <c r="X19" s="210">
        <f t="shared" si="11"/>
        <v>116.66541605655598</v>
      </c>
      <c r="Y19" s="87" t="str">
        <f t="shared" si="12"/>
        <v>HABIL</v>
      </c>
      <c r="Z19" s="87" t="str">
        <f t="shared" si="13"/>
        <v>HABIL</v>
      </c>
      <c r="AA19" s="116"/>
      <c r="AB19" s="107"/>
      <c r="AC19" s="210">
        <f t="shared" si="14"/>
        <v>0.12546964029877558</v>
      </c>
      <c r="AD19" s="87" t="str">
        <f t="shared" si="15"/>
        <v>HABIL</v>
      </c>
      <c r="AE19" s="210">
        <f t="shared" si="16"/>
        <v>0.12301836971366231</v>
      </c>
      <c r="AF19" s="87" t="str">
        <f t="shared" si="17"/>
        <v>HABIL</v>
      </c>
      <c r="AG19" s="117" t="str">
        <f t="shared" ref="AG19" si="28">IF(OR(AD19="",AF19=""),"",IF(AD19="NO HABIL","NO HABIL",IF(AF19="NO HABIL","NO HABIL",IF(AF19="NO HABIL","NO HABIL","HABIL"))))</f>
        <v>HABIL</v>
      </c>
    </row>
    <row r="20" spans="2:33" ht="18" customHeight="1" x14ac:dyDescent="0.25">
      <c r="B20" s="76">
        <f t="shared" ref="B20" si="29">IF(C20="","",B19+0.1)</f>
        <v>6.1</v>
      </c>
      <c r="C20" s="77" t="s">
        <v>253</v>
      </c>
      <c r="D20" s="213">
        <v>0.6</v>
      </c>
      <c r="E20" s="75">
        <v>43155662890</v>
      </c>
      <c r="F20" s="75">
        <v>43878315890</v>
      </c>
      <c r="G20" s="75">
        <v>386823300</v>
      </c>
      <c r="H20" s="75">
        <v>446264033</v>
      </c>
      <c r="I20" s="205">
        <f t="shared" ref="I20:I22" si="30">IF(ISERROR(E20-G20),"",E20-G20)</f>
        <v>42768839590</v>
      </c>
      <c r="J20" s="75">
        <f t="shared" ref="J20:J21" si="31">IF(ISERROR(F20-H20),"",F20-H20)</f>
        <v>43432051857</v>
      </c>
      <c r="K20" s="205">
        <f t="shared" ref="K20:K21" si="32">IF(ISERROR(F20-H20),"",F20-H20)</f>
        <v>43432051857</v>
      </c>
      <c r="L20" s="205">
        <v>2897899087</v>
      </c>
      <c r="M20" s="205">
        <v>39675000</v>
      </c>
      <c r="N20" s="168"/>
      <c r="O20" s="207" t="str">
        <f>IF(ISERROR(VLOOKUP(N20,POA!$A$2:$C$16,3,0)),"",VLOOKUP(N20,POA!$A$2:$C$16,3,0))</f>
        <v/>
      </c>
      <c r="P20" s="78"/>
      <c r="Q20" s="78" t="str">
        <f>IF(ISERROR(VLOOKUP(P20,POA!$A$2:$F$16,4,0)),"",VLOOKUP(P20,POA!$A$2:$F$16,4,0))</f>
        <v/>
      </c>
      <c r="R20" s="79" t="str">
        <f>IF(ISERROR(VLOOKUP(N20,POA!$A$2:$C$16,2,0)),"",VLOOKUP(N20,POA!$A$2:$C$16,2,0))</f>
        <v/>
      </c>
      <c r="S20" s="83"/>
      <c r="T20" s="82" t="str">
        <f>IF(OR(S19=0,N20="",R20=""),"",IF(S19&gt;=$T$9,"HABIL","NO HABIL"))</f>
        <v/>
      </c>
      <c r="U20" s="114"/>
      <c r="V20" s="82" t="str">
        <f>IF(OR(U19=0,N20="",R20=""),"",IF(U19&lt;=$V$9,"HABIL","NO HABIL"))</f>
        <v/>
      </c>
      <c r="W20" s="78" t="s">
        <v>239</v>
      </c>
      <c r="X20" s="78"/>
      <c r="Y20" s="82" t="str">
        <f>IF(OR(X19=0,N20="",R20=""),"",IF(X19&gt;=$Y$9,"HABIL","NO HABIL"))</f>
        <v/>
      </c>
      <c r="Z20" s="82"/>
      <c r="AA20" s="115">
        <f>IF(ISERROR(F20/$AB$9),"",F20/$AB$9)</f>
        <v>77427.767584259753</v>
      </c>
      <c r="AB20" s="108" t="str">
        <f>+IF(AA20&lt;$AB$10,"MIPYME","NO CUMPLE")</f>
        <v>NO CUMPLE</v>
      </c>
      <c r="AC20" s="123"/>
      <c r="AD20" s="82" t="str">
        <f>IF(OR(AC19=0,N20="",R20=""),"",IF(AC19&gt;=$AD$9,"HABIL","NO HABIL"))</f>
        <v/>
      </c>
      <c r="AE20" s="123"/>
      <c r="AF20" s="82" t="str">
        <f>IF(OR(AE19=0,N20="",R20=""),"",IF(AE19&gt;=$AF$9,"HABIL","NO HABIL"))</f>
        <v/>
      </c>
      <c r="AG20" s="118" t="str">
        <f>IF(OR(AD20="",AF20=""),"",IF(AD20="NO HABIL","NO HABIL",IF(AF20="NO HABIL","NO HABIL",IF(AF20="NO HABIL","NO HABIL","HABIL"))))</f>
        <v/>
      </c>
    </row>
    <row r="21" spans="2:33" ht="18" customHeight="1" thickBot="1" x14ac:dyDescent="0.3">
      <c r="B21" s="76">
        <v>6.2</v>
      </c>
      <c r="C21" s="99" t="s">
        <v>254</v>
      </c>
      <c r="D21" s="213">
        <v>0.4</v>
      </c>
      <c r="E21" s="75">
        <v>2705447900</v>
      </c>
      <c r="F21" s="75">
        <v>2818531909</v>
      </c>
      <c r="G21" s="75">
        <v>90600400</v>
      </c>
      <c r="H21" s="75">
        <v>466041200</v>
      </c>
      <c r="I21" s="205">
        <f t="shared" si="30"/>
        <v>2614847500</v>
      </c>
      <c r="J21" s="75">
        <f t="shared" si="31"/>
        <v>2352490709</v>
      </c>
      <c r="K21" s="205">
        <f t="shared" si="32"/>
        <v>2352490709</v>
      </c>
      <c r="L21" s="205">
        <v>2846671000</v>
      </c>
      <c r="M21" s="205">
        <v>9564700</v>
      </c>
      <c r="N21" s="167"/>
      <c r="O21" s="167" t="str">
        <f>IF(ISERROR(VLOOKUP(N21,POA!$A$2:$C$16,3,0)),"",VLOOKUP(N21,POA!$A$2:$C$16,3,0))</f>
        <v/>
      </c>
      <c r="P21" s="78"/>
      <c r="Q21" s="78" t="str">
        <f>IF(ISERROR(VLOOKUP(P21,POA!$A$2:$F$16,4,0)),"",VLOOKUP(P21,POA!$A$2:$F$16,4,0))</f>
        <v/>
      </c>
      <c r="R21" s="79" t="str">
        <f>IF(ISERROR(VLOOKUP(N21,POA!$A$2:$C$16,2,0)),"",VLOOKUP(N21,POA!$A$2:$C$16,2,0))</f>
        <v/>
      </c>
      <c r="S21" s="83"/>
      <c r="T21" s="82" t="str">
        <f>IF(OR(S19=0,N21="",R21=""),"",IF(S19&gt;=$T$9,"HABIL","NO HABIL"))</f>
        <v/>
      </c>
      <c r="U21" s="114"/>
      <c r="V21" s="82" t="str">
        <f>IF(OR(U19=0,N21="",R21=""),"",IF(U19&lt;=$V$9,"HABIL","NO HABIL"))</f>
        <v/>
      </c>
      <c r="W21" s="78" t="s">
        <v>239</v>
      </c>
      <c r="X21" s="78"/>
      <c r="Y21" s="82" t="str">
        <f>IF(OR(X19=0,N21="",R21=""),"",IF(X19&gt;=$Y$9,"HABIL","NO HABIL"))</f>
        <v/>
      </c>
      <c r="Z21" s="82"/>
      <c r="AA21" s="115">
        <f>IF(ISERROR(F21/$AB$9),"",F21/$AB$9)</f>
        <v>4973.5872754543852</v>
      </c>
      <c r="AB21" s="108" t="str">
        <f t="shared" ref="AB21" si="33">+IF(AA21&lt;$AB$10,"MIPYME","NO CUMPLE")</f>
        <v>MIPYME</v>
      </c>
      <c r="AC21" s="123"/>
      <c r="AD21" s="82" t="str">
        <f>IF(OR(AC19=0,N21="",R21=""),"",IF(AC19&gt;=$AD$9,"HABIL","NO HABIL"))</f>
        <v/>
      </c>
      <c r="AE21" s="123"/>
      <c r="AF21" s="82" t="str">
        <f>IF(OR(AE19=0,N21="",R21=""),"",IF(AE19&gt;=$AF$9,"HABIL","NO HABIL"))</f>
        <v/>
      </c>
      <c r="AG21" s="119" t="str">
        <f t="shared" ref="AG21:AG22" si="34">IF(OR(AD21="",AF21=""),"",IF(AD21="NO HABIL","NO HABIL",IF(AF21="NO HABIL","NO HABIL",IF(AF21="NO HABIL","NO HABIL","HABIL"))))</f>
        <v/>
      </c>
    </row>
    <row r="22" spans="2:33" ht="18" customHeight="1" x14ac:dyDescent="0.25">
      <c r="B22" s="84">
        <v>7</v>
      </c>
      <c r="C22" s="85" t="s">
        <v>255</v>
      </c>
      <c r="D22" s="98">
        <v>1</v>
      </c>
      <c r="E22" s="86">
        <v>9000000</v>
      </c>
      <c r="F22" s="86">
        <v>25000000</v>
      </c>
      <c r="G22" s="86">
        <v>2000000</v>
      </c>
      <c r="H22" s="86">
        <v>2000000</v>
      </c>
      <c r="I22" s="86">
        <f t="shared" si="30"/>
        <v>7000000</v>
      </c>
      <c r="J22" s="86">
        <f>F22-H22</f>
        <v>23000000</v>
      </c>
      <c r="K22" s="86">
        <f>IF(ISERROR(F15-H15),"",F15-H15)</f>
        <v>41900000</v>
      </c>
      <c r="L22" s="86">
        <v>15000000</v>
      </c>
      <c r="M22" s="86">
        <v>1</v>
      </c>
      <c r="N22" s="80">
        <v>1</v>
      </c>
      <c r="O22" s="206">
        <f>IF(ISERROR(VLOOKUP(N22,POA!$A$2:$C$16,3,0)),"",VLOOKUP(N22,POA!$A$2:$C$16,3,0))</f>
        <v>33</v>
      </c>
      <c r="P22" s="100"/>
      <c r="Q22" s="80" t="e">
        <f>+SUM(#REF!)</f>
        <v>#REF!</v>
      </c>
      <c r="R22" s="81">
        <f>IF(ISERROR(VLOOKUP(N22,POA!$A$2:$C$16,2,0)),"",VLOOKUP(N22,POA!$A$2:$C$16,2,0))</f>
        <v>564638879</v>
      </c>
      <c r="S22" s="86">
        <f>IF(ISERROR(SUM(E22/G22)),0,SUM(E22/G22))</f>
        <v>4.5</v>
      </c>
      <c r="T22" s="87" t="str">
        <f>IF(OR(S22=0,N22="",R22=""),"",IF(S22&gt;=$T$9,"HABIL","NO HABIL"))</f>
        <v>HABIL</v>
      </c>
      <c r="U22" s="210">
        <f>IF(ISERROR(SUM(H22/F22)),0,SUM(H22/F22))</f>
        <v>0.08</v>
      </c>
      <c r="V22" s="87" t="str">
        <f>IF(OR(U22=0,N22="",R22=""),"",IF(U22&lt;=$V$9,"HABIL","NO HABIL"))</f>
        <v>HABIL</v>
      </c>
      <c r="W22" s="80" t="e">
        <f>+SUM(#REF!)</f>
        <v>#REF!</v>
      </c>
      <c r="X22" s="210">
        <f>IF(ISERROR(SUM(L22/M22)),0,SUM(L22/M22))</f>
        <v>15000000</v>
      </c>
      <c r="Y22" s="87" t="str">
        <f>IF(OR(X22=0,N22="",R22=""),"",IF(X22&gt;=$Y$9,"HABIL","NO HABIL"))</f>
        <v>HABIL</v>
      </c>
      <c r="Z22" s="87" t="str">
        <f t="shared" ref="Z22" si="35">IF(OR(T22="",V22="",Y22=""),"",IF(T22="NO HABIL","NO HABIL",IF(V22="NO HABIL","NO HABIL",IF(Y22="NO HABIL","NO HABIL",IF(Y22="NO HABIL","NO HABIL","HABIL")))))</f>
        <v>HABIL</v>
      </c>
      <c r="AA22" s="116"/>
      <c r="AB22" s="107"/>
      <c r="AC22" s="210">
        <f>IF(ISERROR(SUM(L22/K22)),0,SUM(L22/K22))</f>
        <v>0.35799522673031026</v>
      </c>
      <c r="AD22" s="87" t="str">
        <f>IF(OR(AC22=0,N22="",R22=""),"",IF(AC22&gt;=$AD$9,"HABIL","NO HABIL"))</f>
        <v>HABIL</v>
      </c>
      <c r="AE22" s="210">
        <f>IF(ISERROR(SUM(L22/F22)),0,SUM(L22/F22))</f>
        <v>0.6</v>
      </c>
      <c r="AF22" s="87" t="str">
        <f>IF(OR(AE22=0,N22="",R22=""),"",IF(AE22&gt;=$AF$9,"HABIL","NO HABIL"))</f>
        <v>HABIL</v>
      </c>
      <c r="AG22" s="117" t="str">
        <f t="shared" si="34"/>
        <v>HABIL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AE7:AF7"/>
    <mergeCell ref="AE8:AF8"/>
    <mergeCell ref="AG8:AG10"/>
    <mergeCell ref="X7:Y7"/>
    <mergeCell ref="X8:Y8"/>
    <mergeCell ref="AC7:AD7"/>
    <mergeCell ref="AC8:AD8"/>
    <mergeCell ref="AA7:AB7"/>
    <mergeCell ref="B8:B10"/>
    <mergeCell ref="P8:P10"/>
    <mergeCell ref="Z8:Z10"/>
    <mergeCell ref="S8:T8"/>
    <mergeCell ref="U8:V8"/>
    <mergeCell ref="G8:G10"/>
    <mergeCell ref="W8:W10"/>
    <mergeCell ref="D8:D10"/>
    <mergeCell ref="F8:F10"/>
    <mergeCell ref="H8:H10"/>
    <mergeCell ref="I8:I10"/>
    <mergeCell ref="K8:K10"/>
    <mergeCell ref="B1:Z1"/>
    <mergeCell ref="B4:AG4"/>
    <mergeCell ref="B3:AG3"/>
    <mergeCell ref="B2:AG2"/>
    <mergeCell ref="R8:R10"/>
    <mergeCell ref="O8:O10"/>
    <mergeCell ref="Q8:Q10"/>
    <mergeCell ref="N8:N10"/>
    <mergeCell ref="C8:C10"/>
    <mergeCell ref="J8:J10"/>
    <mergeCell ref="E8:E10"/>
    <mergeCell ref="B7:D7"/>
    <mergeCell ref="S7:T7"/>
    <mergeCell ref="U7:V7"/>
    <mergeCell ref="E7:J7"/>
    <mergeCell ref="B5:AG5"/>
  </mergeCells>
  <phoneticPr fontId="0" type="noConversion"/>
  <conditionalFormatting sqref="Z7:Z10 AA11 AA7:AA9 AB8:AB9 AA10:AB10 AA12:AB14 AG7:AG11 AC11:AF11 W12:Y14 AH1:IW11 AA1:AG1 C12:C14 N12:S14">
    <cfRule type="cellIs" dxfId="319" priority="9146" stopIfTrue="1" operator="equal">
      <formula>"NO ADMISIBLE"</formula>
    </cfRule>
  </conditionalFormatting>
  <conditionalFormatting sqref="X12 Z12:Z14 T12:V14 Z18:Z19">
    <cfRule type="cellIs" dxfId="318" priority="9147" stopIfTrue="1" operator="equal">
      <formula>"NO ADMISIBLE"</formula>
    </cfRule>
    <cfRule type="cellIs" dxfId="317" priority="9148" stopIfTrue="1" operator="equal">
      <formula>"ADMISIBLE"</formula>
    </cfRule>
  </conditionalFormatting>
  <conditionalFormatting sqref="Y12:Y14">
    <cfRule type="cellIs" dxfId="316" priority="8015" stopIfTrue="1" operator="equal">
      <formula>"NO ADMISIBLE"</formula>
    </cfRule>
    <cfRule type="cellIs" dxfId="315" priority="8016" stopIfTrue="1" operator="equal">
      <formula>"ADMISIBLE"</formula>
    </cfRule>
  </conditionalFormatting>
  <conditionalFormatting sqref="AC12:AD14">
    <cfRule type="cellIs" dxfId="314" priority="8014" stopIfTrue="1" operator="equal">
      <formula>"NO ADMISIBLE"</formula>
    </cfRule>
  </conditionalFormatting>
  <conditionalFormatting sqref="AC12">
    <cfRule type="cellIs" dxfId="313" priority="8012" stopIfTrue="1" operator="equal">
      <formula>"NO ADMISIBLE"</formula>
    </cfRule>
    <cfRule type="cellIs" dxfId="312" priority="8013" stopIfTrue="1" operator="equal">
      <formula>"ADMISIBLE"</formula>
    </cfRule>
  </conditionalFormatting>
  <conditionalFormatting sqref="AD12:AD14">
    <cfRule type="cellIs" dxfId="311" priority="8010" stopIfTrue="1" operator="equal">
      <formula>"NO ADMISIBLE"</formula>
    </cfRule>
    <cfRule type="cellIs" dxfId="310" priority="8011" stopIfTrue="1" operator="equal">
      <formula>"ADMISIBLE"</formula>
    </cfRule>
  </conditionalFormatting>
  <conditionalFormatting sqref="AE12:AF14">
    <cfRule type="cellIs" dxfId="309" priority="8009" stopIfTrue="1" operator="equal">
      <formula>"NO ADMISIBLE"</formula>
    </cfRule>
  </conditionalFormatting>
  <conditionalFormatting sqref="AE12">
    <cfRule type="cellIs" dxfId="308" priority="8007" stopIfTrue="1" operator="equal">
      <formula>"NO ADMISIBLE"</formula>
    </cfRule>
    <cfRule type="cellIs" dxfId="307" priority="8008" stopIfTrue="1" operator="equal">
      <formula>"ADMISIBLE"</formula>
    </cfRule>
  </conditionalFormatting>
  <conditionalFormatting sqref="AF12:AF14">
    <cfRule type="cellIs" dxfId="306" priority="8005" stopIfTrue="1" operator="equal">
      <formula>"NO ADMISIBLE"</formula>
    </cfRule>
    <cfRule type="cellIs" dxfId="305" priority="8006" stopIfTrue="1" operator="equal">
      <formula>"ADMISIBLE"</formula>
    </cfRule>
  </conditionalFormatting>
  <conditionalFormatting sqref="AG12:AG14">
    <cfRule type="cellIs" dxfId="304" priority="8003" stopIfTrue="1" operator="equal">
      <formula>"NO ADMISIBLE"</formula>
    </cfRule>
    <cfRule type="cellIs" dxfId="303" priority="8004" stopIfTrue="1" operator="equal">
      <formula>"ADMISIBLE"</formula>
    </cfRule>
  </conditionalFormatting>
  <conditionalFormatting sqref="D12:D14">
    <cfRule type="cellIs" dxfId="302" priority="6155" stopIfTrue="1" operator="equal">
      <formula>"NO ADMISIBLE"</formula>
    </cfRule>
  </conditionalFormatting>
  <conditionalFormatting sqref="J13:K14">
    <cfRule type="cellIs" dxfId="301" priority="1252" stopIfTrue="1" operator="equal">
      <formula>"NO ADMISIBLE"</formula>
    </cfRule>
  </conditionalFormatting>
  <conditionalFormatting sqref="AA15:AB15 W15:Y15 C15 N15:S15">
    <cfRule type="cellIs" dxfId="300" priority="1249" stopIfTrue="1" operator="equal">
      <formula>"NO ADMISIBLE"</formula>
    </cfRule>
  </conditionalFormatting>
  <conditionalFormatting sqref="X15 T15:V15 T16">
    <cfRule type="cellIs" dxfId="299" priority="1250" stopIfTrue="1" operator="equal">
      <formula>"NO ADMISIBLE"</formula>
    </cfRule>
    <cfRule type="cellIs" dxfId="298" priority="1251" stopIfTrue="1" operator="equal">
      <formula>"ADMISIBLE"</formula>
    </cfRule>
  </conditionalFormatting>
  <conditionalFormatting sqref="Y15">
    <cfRule type="cellIs" dxfId="297" priority="1247" stopIfTrue="1" operator="equal">
      <formula>"NO ADMISIBLE"</formula>
    </cfRule>
    <cfRule type="cellIs" dxfId="296" priority="1248" stopIfTrue="1" operator="equal">
      <formula>"ADMISIBLE"</formula>
    </cfRule>
  </conditionalFormatting>
  <conditionalFormatting sqref="AC15:AD15">
    <cfRule type="cellIs" dxfId="295" priority="1246" stopIfTrue="1" operator="equal">
      <formula>"NO ADMISIBLE"</formula>
    </cfRule>
  </conditionalFormatting>
  <conditionalFormatting sqref="AC15">
    <cfRule type="cellIs" dxfId="294" priority="1244" stopIfTrue="1" operator="equal">
      <formula>"NO ADMISIBLE"</formula>
    </cfRule>
    <cfRule type="cellIs" dxfId="293" priority="1245" stopIfTrue="1" operator="equal">
      <formula>"ADMISIBLE"</formula>
    </cfRule>
  </conditionalFormatting>
  <conditionalFormatting sqref="AD15">
    <cfRule type="cellIs" dxfId="292" priority="1242" stopIfTrue="1" operator="equal">
      <formula>"NO ADMISIBLE"</formula>
    </cfRule>
    <cfRule type="cellIs" dxfId="291" priority="1243" stopIfTrue="1" operator="equal">
      <formula>"ADMISIBLE"</formula>
    </cfRule>
  </conditionalFormatting>
  <conditionalFormatting sqref="AE15:AF15">
    <cfRule type="cellIs" dxfId="290" priority="1241" stopIfTrue="1" operator="equal">
      <formula>"NO ADMISIBLE"</formula>
    </cfRule>
  </conditionalFormatting>
  <conditionalFormatting sqref="AE15">
    <cfRule type="cellIs" dxfId="289" priority="1239" stopIfTrue="1" operator="equal">
      <formula>"NO ADMISIBLE"</formula>
    </cfRule>
    <cfRule type="cellIs" dxfId="288" priority="1240" stopIfTrue="1" operator="equal">
      <formula>"ADMISIBLE"</formula>
    </cfRule>
  </conditionalFormatting>
  <conditionalFormatting sqref="AF15">
    <cfRule type="cellIs" dxfId="287" priority="1237" stopIfTrue="1" operator="equal">
      <formula>"NO ADMISIBLE"</formula>
    </cfRule>
    <cfRule type="cellIs" dxfId="286" priority="1238" stopIfTrue="1" operator="equal">
      <formula>"ADMISIBLE"</formula>
    </cfRule>
  </conditionalFormatting>
  <conditionalFormatting sqref="AG15">
    <cfRule type="cellIs" dxfId="285" priority="1235" stopIfTrue="1" operator="equal">
      <formula>"NO ADMISIBLE"</formula>
    </cfRule>
    <cfRule type="cellIs" dxfId="284" priority="1236" stopIfTrue="1" operator="equal">
      <formula>"ADMISIBLE"</formula>
    </cfRule>
  </conditionalFormatting>
  <conditionalFormatting sqref="D15">
    <cfRule type="cellIs" dxfId="283" priority="1228" stopIfTrue="1" operator="equal">
      <formula>"NO ADMISIBLE"</formula>
    </cfRule>
  </conditionalFormatting>
  <conditionalFormatting sqref="AA16:AB16 W16:Y16 C16:C17 N16:S16 R18">
    <cfRule type="cellIs" dxfId="282" priority="1224" stopIfTrue="1" operator="equal">
      <formula>"NO ADMISIBLE"</formula>
    </cfRule>
  </conditionalFormatting>
  <conditionalFormatting sqref="X16 U16:V16">
    <cfRule type="cellIs" dxfId="281" priority="1225" stopIfTrue="1" operator="equal">
      <formula>"NO ADMISIBLE"</formula>
    </cfRule>
    <cfRule type="cellIs" dxfId="280" priority="1226" stopIfTrue="1" operator="equal">
      <formula>"ADMISIBLE"</formula>
    </cfRule>
  </conditionalFormatting>
  <conditionalFormatting sqref="Y16">
    <cfRule type="cellIs" dxfId="279" priority="1222" stopIfTrue="1" operator="equal">
      <formula>"NO ADMISIBLE"</formula>
    </cfRule>
    <cfRule type="cellIs" dxfId="278" priority="1223" stopIfTrue="1" operator="equal">
      <formula>"ADMISIBLE"</formula>
    </cfRule>
  </conditionalFormatting>
  <conditionalFormatting sqref="AC16:AD16">
    <cfRule type="cellIs" dxfId="277" priority="1221" stopIfTrue="1" operator="equal">
      <formula>"NO ADMISIBLE"</formula>
    </cfRule>
  </conditionalFormatting>
  <conditionalFormatting sqref="AC16">
    <cfRule type="cellIs" dxfId="276" priority="1219" stopIfTrue="1" operator="equal">
      <formula>"NO ADMISIBLE"</formula>
    </cfRule>
    <cfRule type="cellIs" dxfId="275" priority="1220" stopIfTrue="1" operator="equal">
      <formula>"ADMISIBLE"</formula>
    </cfRule>
  </conditionalFormatting>
  <conditionalFormatting sqref="AD16">
    <cfRule type="cellIs" dxfId="274" priority="1217" stopIfTrue="1" operator="equal">
      <formula>"NO ADMISIBLE"</formula>
    </cfRule>
    <cfRule type="cellIs" dxfId="273" priority="1218" stopIfTrue="1" operator="equal">
      <formula>"ADMISIBLE"</formula>
    </cfRule>
  </conditionalFormatting>
  <conditionalFormatting sqref="AE16:AF16">
    <cfRule type="cellIs" dxfId="272" priority="1216" stopIfTrue="1" operator="equal">
      <formula>"NO ADMISIBLE"</formula>
    </cfRule>
  </conditionalFormatting>
  <conditionalFormatting sqref="AE16">
    <cfRule type="cellIs" dxfId="271" priority="1214" stopIfTrue="1" operator="equal">
      <formula>"NO ADMISIBLE"</formula>
    </cfRule>
    <cfRule type="cellIs" dxfId="270" priority="1215" stopIfTrue="1" operator="equal">
      <formula>"ADMISIBLE"</formula>
    </cfRule>
  </conditionalFormatting>
  <conditionalFormatting sqref="AF16">
    <cfRule type="cellIs" dxfId="269" priority="1212" stopIfTrue="1" operator="equal">
      <formula>"NO ADMISIBLE"</formula>
    </cfRule>
    <cfRule type="cellIs" dxfId="268" priority="1213" stopIfTrue="1" operator="equal">
      <formula>"ADMISIBLE"</formula>
    </cfRule>
  </conditionalFormatting>
  <conditionalFormatting sqref="AG16">
    <cfRule type="cellIs" dxfId="267" priority="1210" stopIfTrue="1" operator="equal">
      <formula>"NO ADMISIBLE"</formula>
    </cfRule>
    <cfRule type="cellIs" dxfId="266" priority="1211" stopIfTrue="1" operator="equal">
      <formula>"ADMISIBLE"</formula>
    </cfRule>
  </conditionalFormatting>
  <conditionalFormatting sqref="D16">
    <cfRule type="cellIs" dxfId="265" priority="1203" stopIfTrue="1" operator="equal">
      <formula>"NO ADMISIBLE"</formula>
    </cfRule>
  </conditionalFormatting>
  <conditionalFormatting sqref="AA18:AB18 W18:Y18 S18 C18 N18:Q18">
    <cfRule type="cellIs" dxfId="264" priority="1174" stopIfTrue="1" operator="equal">
      <formula>"NO ADMISIBLE"</formula>
    </cfRule>
  </conditionalFormatting>
  <conditionalFormatting sqref="X18 T18:V18">
    <cfRule type="cellIs" dxfId="263" priority="1175" stopIfTrue="1" operator="equal">
      <formula>"NO ADMISIBLE"</formula>
    </cfRule>
    <cfRule type="cellIs" dxfId="262" priority="1176" stopIfTrue="1" operator="equal">
      <formula>"ADMISIBLE"</formula>
    </cfRule>
  </conditionalFormatting>
  <conditionalFormatting sqref="Y18">
    <cfRule type="cellIs" dxfId="261" priority="1172" stopIfTrue="1" operator="equal">
      <formula>"NO ADMISIBLE"</formula>
    </cfRule>
    <cfRule type="cellIs" dxfId="260" priority="1173" stopIfTrue="1" operator="equal">
      <formula>"ADMISIBLE"</formula>
    </cfRule>
  </conditionalFormatting>
  <conditionalFormatting sqref="AC18:AD18">
    <cfRule type="cellIs" dxfId="259" priority="1171" stopIfTrue="1" operator="equal">
      <formula>"NO ADMISIBLE"</formula>
    </cfRule>
  </conditionalFormatting>
  <conditionalFormatting sqref="AC18">
    <cfRule type="cellIs" dxfId="258" priority="1169" stopIfTrue="1" operator="equal">
      <formula>"NO ADMISIBLE"</formula>
    </cfRule>
    <cfRule type="cellIs" dxfId="257" priority="1170" stopIfTrue="1" operator="equal">
      <formula>"ADMISIBLE"</formula>
    </cfRule>
  </conditionalFormatting>
  <conditionalFormatting sqref="AD18">
    <cfRule type="cellIs" dxfId="256" priority="1167" stopIfTrue="1" operator="equal">
      <formula>"NO ADMISIBLE"</formula>
    </cfRule>
    <cfRule type="cellIs" dxfId="255" priority="1168" stopIfTrue="1" operator="equal">
      <formula>"ADMISIBLE"</formula>
    </cfRule>
  </conditionalFormatting>
  <conditionalFormatting sqref="AE18:AF18">
    <cfRule type="cellIs" dxfId="254" priority="1166" stopIfTrue="1" operator="equal">
      <formula>"NO ADMISIBLE"</formula>
    </cfRule>
  </conditionalFormatting>
  <conditionalFormatting sqref="AE18">
    <cfRule type="cellIs" dxfId="253" priority="1164" stopIfTrue="1" operator="equal">
      <formula>"NO ADMISIBLE"</formula>
    </cfRule>
    <cfRule type="cellIs" dxfId="252" priority="1165" stopIfTrue="1" operator="equal">
      <formula>"ADMISIBLE"</formula>
    </cfRule>
  </conditionalFormatting>
  <conditionalFormatting sqref="AF18">
    <cfRule type="cellIs" dxfId="251" priority="1162" stopIfTrue="1" operator="equal">
      <formula>"NO ADMISIBLE"</formula>
    </cfRule>
    <cfRule type="cellIs" dxfId="250" priority="1163" stopIfTrue="1" operator="equal">
      <formula>"ADMISIBLE"</formula>
    </cfRule>
  </conditionalFormatting>
  <conditionalFormatting sqref="AG18">
    <cfRule type="cellIs" dxfId="249" priority="1160" stopIfTrue="1" operator="equal">
      <formula>"NO ADMISIBLE"</formula>
    </cfRule>
    <cfRule type="cellIs" dxfId="248" priority="1161" stopIfTrue="1" operator="equal">
      <formula>"ADMISIBLE"</formula>
    </cfRule>
  </conditionalFormatting>
  <conditionalFormatting sqref="D18">
    <cfRule type="cellIs" dxfId="247" priority="1153" stopIfTrue="1" operator="equal">
      <formula>"NO ADMISIBLE"</formula>
    </cfRule>
  </conditionalFormatting>
  <conditionalFormatting sqref="AA19:AB21 W19:Y21 C19:C21 N19:S21">
    <cfRule type="cellIs" dxfId="246" priority="1149" stopIfTrue="1" operator="equal">
      <formula>"NO ADMISIBLE"</formula>
    </cfRule>
  </conditionalFormatting>
  <conditionalFormatting sqref="X19 Z20:Z21 T19:V21">
    <cfRule type="cellIs" dxfId="245" priority="1150" stopIfTrue="1" operator="equal">
      <formula>"NO ADMISIBLE"</formula>
    </cfRule>
    <cfRule type="cellIs" dxfId="244" priority="1151" stopIfTrue="1" operator="equal">
      <formula>"ADMISIBLE"</formula>
    </cfRule>
  </conditionalFormatting>
  <conditionalFormatting sqref="Y19:Y21">
    <cfRule type="cellIs" dxfId="243" priority="1147" stopIfTrue="1" operator="equal">
      <formula>"NO ADMISIBLE"</formula>
    </cfRule>
    <cfRule type="cellIs" dxfId="242" priority="1148" stopIfTrue="1" operator="equal">
      <formula>"ADMISIBLE"</formula>
    </cfRule>
  </conditionalFormatting>
  <conditionalFormatting sqref="AC19:AD21">
    <cfRule type="cellIs" dxfId="241" priority="1146" stopIfTrue="1" operator="equal">
      <formula>"NO ADMISIBLE"</formula>
    </cfRule>
  </conditionalFormatting>
  <conditionalFormatting sqref="AC19">
    <cfRule type="cellIs" dxfId="240" priority="1144" stopIfTrue="1" operator="equal">
      <formula>"NO ADMISIBLE"</formula>
    </cfRule>
    <cfRule type="cellIs" dxfId="239" priority="1145" stopIfTrue="1" operator="equal">
      <formula>"ADMISIBLE"</formula>
    </cfRule>
  </conditionalFormatting>
  <conditionalFormatting sqref="AD19:AD21">
    <cfRule type="cellIs" dxfId="238" priority="1142" stopIfTrue="1" operator="equal">
      <formula>"NO ADMISIBLE"</formula>
    </cfRule>
    <cfRule type="cellIs" dxfId="237" priority="1143" stopIfTrue="1" operator="equal">
      <formula>"ADMISIBLE"</formula>
    </cfRule>
  </conditionalFormatting>
  <conditionalFormatting sqref="AE19:AF21">
    <cfRule type="cellIs" dxfId="236" priority="1141" stopIfTrue="1" operator="equal">
      <formula>"NO ADMISIBLE"</formula>
    </cfRule>
  </conditionalFormatting>
  <conditionalFormatting sqref="AE19">
    <cfRule type="cellIs" dxfId="235" priority="1139" stopIfTrue="1" operator="equal">
      <formula>"NO ADMISIBLE"</formula>
    </cfRule>
    <cfRule type="cellIs" dxfId="234" priority="1140" stopIfTrue="1" operator="equal">
      <formula>"ADMISIBLE"</formula>
    </cfRule>
  </conditionalFormatting>
  <conditionalFormatting sqref="AF19:AF21">
    <cfRule type="cellIs" dxfId="233" priority="1137" stopIfTrue="1" operator="equal">
      <formula>"NO ADMISIBLE"</formula>
    </cfRule>
    <cfRule type="cellIs" dxfId="232" priority="1138" stopIfTrue="1" operator="equal">
      <formula>"ADMISIBLE"</formula>
    </cfRule>
  </conditionalFormatting>
  <conditionalFormatting sqref="AG19:AG21">
    <cfRule type="cellIs" dxfId="231" priority="1135" stopIfTrue="1" operator="equal">
      <formula>"NO ADMISIBLE"</formula>
    </cfRule>
    <cfRule type="cellIs" dxfId="230" priority="1136" stopIfTrue="1" operator="equal">
      <formula>"ADMISIBLE"</formula>
    </cfRule>
  </conditionalFormatting>
  <conditionalFormatting sqref="D19:D21">
    <cfRule type="cellIs" dxfId="229" priority="1128" stopIfTrue="1" operator="equal">
      <formula>"NO ADMISIBLE"</formula>
    </cfRule>
  </conditionalFormatting>
  <conditionalFormatting sqref="J20:K21">
    <cfRule type="cellIs" dxfId="228" priority="1127" stopIfTrue="1" operator="equal">
      <formula>"NO ADMISIBLE"</formula>
    </cfRule>
  </conditionalFormatting>
  <conditionalFormatting sqref="AA22:AB22 W22:Y22 C22 N22:S22">
    <cfRule type="cellIs" dxfId="227" priority="1124" stopIfTrue="1" operator="equal">
      <formula>"NO ADMISIBLE"</formula>
    </cfRule>
  </conditionalFormatting>
  <conditionalFormatting sqref="X22 T22:V22">
    <cfRule type="cellIs" dxfId="226" priority="1125" stopIfTrue="1" operator="equal">
      <formula>"NO ADMISIBLE"</formula>
    </cfRule>
    <cfRule type="cellIs" dxfId="225" priority="1126" stopIfTrue="1" operator="equal">
      <formula>"ADMISIBLE"</formula>
    </cfRule>
  </conditionalFormatting>
  <conditionalFormatting sqref="Y22">
    <cfRule type="cellIs" dxfId="224" priority="1122" stopIfTrue="1" operator="equal">
      <formula>"NO ADMISIBLE"</formula>
    </cfRule>
    <cfRule type="cellIs" dxfId="223" priority="1123" stopIfTrue="1" operator="equal">
      <formula>"ADMISIBLE"</formula>
    </cfRule>
  </conditionalFormatting>
  <conditionalFormatting sqref="AC22:AD22">
    <cfRule type="cellIs" dxfId="222" priority="1121" stopIfTrue="1" operator="equal">
      <formula>"NO ADMISIBLE"</formula>
    </cfRule>
  </conditionalFormatting>
  <conditionalFormatting sqref="AC22">
    <cfRule type="cellIs" dxfId="221" priority="1119" stopIfTrue="1" operator="equal">
      <formula>"NO ADMISIBLE"</formula>
    </cfRule>
    <cfRule type="cellIs" dxfId="220" priority="1120" stopIfTrue="1" operator="equal">
      <formula>"ADMISIBLE"</formula>
    </cfRule>
  </conditionalFormatting>
  <conditionalFormatting sqref="AD22">
    <cfRule type="cellIs" dxfId="219" priority="1117" stopIfTrue="1" operator="equal">
      <formula>"NO ADMISIBLE"</formula>
    </cfRule>
    <cfRule type="cellIs" dxfId="218" priority="1118" stopIfTrue="1" operator="equal">
      <formula>"ADMISIBLE"</formula>
    </cfRule>
  </conditionalFormatting>
  <conditionalFormatting sqref="AE22:AF22">
    <cfRule type="cellIs" dxfId="217" priority="1116" stopIfTrue="1" operator="equal">
      <formula>"NO ADMISIBLE"</formula>
    </cfRule>
  </conditionalFormatting>
  <conditionalFormatting sqref="AE22">
    <cfRule type="cellIs" dxfId="216" priority="1114" stopIfTrue="1" operator="equal">
      <formula>"NO ADMISIBLE"</formula>
    </cfRule>
    <cfRule type="cellIs" dxfId="215" priority="1115" stopIfTrue="1" operator="equal">
      <formula>"ADMISIBLE"</formula>
    </cfRule>
  </conditionalFormatting>
  <conditionalFormatting sqref="AF22">
    <cfRule type="cellIs" dxfId="214" priority="1112" stopIfTrue="1" operator="equal">
      <formula>"NO ADMISIBLE"</formula>
    </cfRule>
    <cfRule type="cellIs" dxfId="213" priority="1113" stopIfTrue="1" operator="equal">
      <formula>"ADMISIBLE"</formula>
    </cfRule>
  </conditionalFormatting>
  <conditionalFormatting sqref="AG22">
    <cfRule type="cellIs" dxfId="212" priority="1110" stopIfTrue="1" operator="equal">
      <formula>"NO ADMISIBLE"</formula>
    </cfRule>
    <cfRule type="cellIs" dxfId="211" priority="1111" stopIfTrue="1" operator="equal">
      <formula>"ADMISIBLE"</formula>
    </cfRule>
  </conditionalFormatting>
  <conditionalFormatting sqref="D22">
    <cfRule type="cellIs" dxfId="210" priority="1103" stopIfTrue="1" operator="equal">
      <formula>"NO ADMISIBLE"</formula>
    </cfRule>
  </conditionalFormatting>
  <conditionalFormatting sqref="Z15:Z16">
    <cfRule type="cellIs" dxfId="209" priority="1089" stopIfTrue="1" operator="equal">
      <formula>"NO ADMISIBLE"</formula>
    </cfRule>
    <cfRule type="cellIs" dxfId="208" priority="1090" stopIfTrue="1" operator="equal">
      <formula>"ADMISIBLE"</formula>
    </cfRule>
  </conditionalFormatting>
  <conditionalFormatting sqref="Z22">
    <cfRule type="cellIs" dxfId="207" priority="1087" stopIfTrue="1" operator="equal">
      <formula>"NO ADMISIBLE"</formula>
    </cfRule>
    <cfRule type="cellIs" dxfId="206" priority="1088" stopIfTrue="1" operator="equal">
      <formula>"ADMISIBLE"</formula>
    </cfRule>
  </conditionalFormatting>
  <conditionalFormatting sqref="T17">
    <cfRule type="cellIs" dxfId="205" priority="21" stopIfTrue="1" operator="equal">
      <formula>"NO ADMISIBLE"</formula>
    </cfRule>
    <cfRule type="cellIs" dxfId="204" priority="22" stopIfTrue="1" operator="equal">
      <formula>"ADMISIBLE"</formula>
    </cfRule>
  </conditionalFormatting>
  <conditionalFormatting sqref="AA17:AB17 W17:Y17 N17:S17">
    <cfRule type="cellIs" dxfId="203" priority="18" stopIfTrue="1" operator="equal">
      <formula>"NO ADMISIBLE"</formula>
    </cfRule>
  </conditionalFormatting>
  <conditionalFormatting sqref="X17 U17:V17">
    <cfRule type="cellIs" dxfId="202" priority="19" stopIfTrue="1" operator="equal">
      <formula>"NO ADMISIBLE"</formula>
    </cfRule>
    <cfRule type="cellIs" dxfId="201" priority="20" stopIfTrue="1" operator="equal">
      <formula>"ADMISIBLE"</formula>
    </cfRule>
  </conditionalFormatting>
  <conditionalFormatting sqref="Y17">
    <cfRule type="cellIs" dxfId="200" priority="16" stopIfTrue="1" operator="equal">
      <formula>"NO ADMISIBLE"</formula>
    </cfRule>
    <cfRule type="cellIs" dxfId="199" priority="17" stopIfTrue="1" operator="equal">
      <formula>"ADMISIBLE"</formula>
    </cfRule>
  </conditionalFormatting>
  <conditionalFormatting sqref="AC17:AD17">
    <cfRule type="cellIs" dxfId="198" priority="15" stopIfTrue="1" operator="equal">
      <formula>"NO ADMISIBLE"</formula>
    </cfRule>
  </conditionalFormatting>
  <conditionalFormatting sqref="AC17">
    <cfRule type="cellIs" dxfId="197" priority="13" stopIfTrue="1" operator="equal">
      <formula>"NO ADMISIBLE"</formula>
    </cfRule>
    <cfRule type="cellIs" dxfId="196" priority="14" stopIfTrue="1" operator="equal">
      <formula>"ADMISIBLE"</formula>
    </cfRule>
  </conditionalFormatting>
  <conditionalFormatting sqref="AD17">
    <cfRule type="cellIs" dxfId="195" priority="11" stopIfTrue="1" operator="equal">
      <formula>"NO ADMISIBLE"</formula>
    </cfRule>
    <cfRule type="cellIs" dxfId="194" priority="12" stopIfTrue="1" operator="equal">
      <formula>"ADMISIBLE"</formula>
    </cfRule>
  </conditionalFormatting>
  <conditionalFormatting sqref="AE17:AF17">
    <cfRule type="cellIs" dxfId="193" priority="10" stopIfTrue="1" operator="equal">
      <formula>"NO ADMISIBLE"</formula>
    </cfRule>
  </conditionalFormatting>
  <conditionalFormatting sqref="AE17">
    <cfRule type="cellIs" dxfId="192" priority="8" stopIfTrue="1" operator="equal">
      <formula>"NO ADMISIBLE"</formula>
    </cfRule>
    <cfRule type="cellIs" dxfId="191" priority="9" stopIfTrue="1" operator="equal">
      <formula>"ADMISIBLE"</formula>
    </cfRule>
  </conditionalFormatting>
  <conditionalFormatting sqref="AF17">
    <cfRule type="cellIs" dxfId="190" priority="6" stopIfTrue="1" operator="equal">
      <formula>"NO ADMISIBLE"</formula>
    </cfRule>
    <cfRule type="cellIs" dxfId="189" priority="7" stopIfTrue="1" operator="equal">
      <formula>"ADMISIBLE"</formula>
    </cfRule>
  </conditionalFormatting>
  <conditionalFormatting sqref="AG17">
    <cfRule type="cellIs" dxfId="188" priority="4" stopIfTrue="1" operator="equal">
      <formula>"NO ADMISIBLE"</formula>
    </cfRule>
    <cfRule type="cellIs" dxfId="187" priority="5" stopIfTrue="1" operator="equal">
      <formula>"ADMISIBLE"</formula>
    </cfRule>
  </conditionalFormatting>
  <conditionalFormatting sqref="D17">
    <cfRule type="cellIs" dxfId="186" priority="3" stopIfTrue="1" operator="equal">
      <formula>"NO ADMISIBLE"</formula>
    </cfRule>
  </conditionalFormatting>
  <conditionalFormatting sqref="Z17">
    <cfRule type="cellIs" dxfId="185" priority="1" stopIfTrue="1" operator="equal">
      <formula>"NO ADMISIBLE"</formula>
    </cfRule>
    <cfRule type="cellIs" dxfId="184" priority="2" stopIfTrue="1" operator="equal">
      <formula>"ADMISIBLE"</formula>
    </cfRule>
  </conditionalFormatting>
  <dataValidations count="1">
    <dataValidation type="list" allowBlank="1" showInputMessage="1" showErrorMessage="1" sqref="C12:D22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2:O19"/>
  <sheetViews>
    <sheetView topLeftCell="A7" workbookViewId="0">
      <selection activeCell="F19" sqref="F19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15" style="149" customWidth="1"/>
    <col min="6" max="6" width="22.28515625" style="149" customWidth="1"/>
    <col min="7" max="8" width="17" style="149" customWidth="1"/>
    <col min="9" max="9" width="13.85546875" style="136" customWidth="1"/>
    <col min="10" max="10" width="36.140625" style="136" customWidth="1"/>
    <col min="11" max="11" width="32.28515625" style="149" customWidth="1"/>
    <col min="12" max="12" width="13.85546875" style="161" customWidth="1"/>
    <col min="13" max="13" width="9.7109375" style="162" customWidth="1"/>
    <col min="14" max="14" width="12.5703125" style="149" customWidth="1"/>
    <col min="15" max="15" width="12.7109375" style="149" customWidth="1"/>
    <col min="16" max="16384" width="11.42578125" style="149"/>
  </cols>
  <sheetData>
    <row r="2" spans="1:15" s="151" customFormat="1" ht="20.25" customHeight="1" x14ac:dyDescent="0.2">
      <c r="C2" s="309" t="s">
        <v>196</v>
      </c>
      <c r="D2" s="309"/>
      <c r="E2" s="309"/>
      <c r="F2" s="309"/>
      <c r="G2" s="309"/>
      <c r="H2" s="309"/>
      <c r="I2" s="309"/>
      <c r="J2" s="309"/>
      <c r="L2" s="152"/>
      <c r="M2" s="153"/>
    </row>
    <row r="3" spans="1:15" s="151" customFormat="1" ht="18" customHeight="1" x14ac:dyDescent="0.2">
      <c r="C3" s="310" t="s">
        <v>210</v>
      </c>
      <c r="D3" s="310"/>
      <c r="E3" s="310"/>
      <c r="F3" s="310"/>
      <c r="G3" s="310"/>
      <c r="H3" s="310"/>
      <c r="I3" s="310"/>
      <c r="J3" s="310"/>
      <c r="L3" s="152"/>
      <c r="M3" s="153"/>
    </row>
    <row r="4" spans="1:15" s="151" customFormat="1" ht="13.5" customHeight="1" x14ac:dyDescent="0.2">
      <c r="C4" s="311" t="str">
        <f>'Capacidad Financiera'!B4</f>
        <v>DIRECCIÓN TERRITORIAL MAGDALENA</v>
      </c>
      <c r="D4" s="311"/>
      <c r="E4" s="311"/>
      <c r="F4" s="311"/>
      <c r="G4" s="311"/>
      <c r="H4" s="311"/>
      <c r="I4" s="311"/>
      <c r="J4" s="311"/>
      <c r="L4" s="152"/>
      <c r="M4" s="153"/>
    </row>
    <row r="5" spans="1:15" s="151" customFormat="1" ht="13.5" customHeight="1" x14ac:dyDescent="0.2">
      <c r="C5" s="311" t="s">
        <v>212</v>
      </c>
      <c r="D5" s="311"/>
      <c r="E5" s="311"/>
      <c r="F5" s="311"/>
      <c r="G5" s="311"/>
      <c r="H5" s="311"/>
      <c r="I5" s="311"/>
      <c r="J5" s="311"/>
      <c r="L5" s="152"/>
      <c r="M5" s="153"/>
    </row>
    <row r="6" spans="1:15" s="151" customFormat="1" ht="14.25" thickBot="1" x14ac:dyDescent="0.25">
      <c r="C6" s="154"/>
      <c r="D6" s="155"/>
      <c r="E6" s="156"/>
      <c r="F6" s="156"/>
      <c r="G6" s="156"/>
      <c r="H6" s="157"/>
      <c r="I6" s="159"/>
      <c r="J6" s="159"/>
      <c r="L6" s="152"/>
      <c r="M6" s="153"/>
    </row>
    <row r="7" spans="1:15" ht="69" customHeight="1" x14ac:dyDescent="0.2">
      <c r="C7" s="312" t="s">
        <v>157</v>
      </c>
      <c r="D7" s="314" t="s">
        <v>156</v>
      </c>
      <c r="E7" s="316" t="s">
        <v>213</v>
      </c>
      <c r="F7" s="316" t="s">
        <v>230</v>
      </c>
      <c r="G7" s="316" t="s">
        <v>231</v>
      </c>
      <c r="H7" s="316" t="s">
        <v>232</v>
      </c>
      <c r="I7" s="307" t="s">
        <v>212</v>
      </c>
      <c r="J7" s="308"/>
    </row>
    <row r="8" spans="1:15" ht="73.5" customHeight="1" thickBot="1" x14ac:dyDescent="0.25">
      <c r="C8" s="313"/>
      <c r="D8" s="315"/>
      <c r="E8" s="317"/>
      <c r="F8" s="317"/>
      <c r="G8" s="317"/>
      <c r="H8" s="317"/>
      <c r="I8" s="192" t="s">
        <v>214</v>
      </c>
      <c r="J8" s="193" t="s">
        <v>215</v>
      </c>
    </row>
    <row r="9" spans="1:15" ht="13.5" thickBot="1" x14ac:dyDescent="0.25">
      <c r="A9" s="180" t="s">
        <v>216</v>
      </c>
      <c r="C9" s="92">
        <f>+'Capacidad Financiera'!B12</f>
        <v>1</v>
      </c>
      <c r="D9" s="93" t="str">
        <f>IF(ISERROR(VLOOKUP(C9,'Capacidad Financiera'!$B$12:$Z$59051,2,0)),"",VLOOKUP(C9,'Capacidad Financiera'!$B$12:$Z$59051,2,0))</f>
        <v>COBOL</v>
      </c>
      <c r="E9" s="94">
        <f>IF(ISERROR(VLOOKUP(C9,'Capacidad Financiera'!$B$12:$Z$59051,3,0)),"",VLOOKUP(C9,'Capacidad Financiera'!$B$12:$Z$59051,3,0))</f>
        <v>1</v>
      </c>
      <c r="F9" s="95">
        <f>F10+F11</f>
        <v>3048435775.7200003</v>
      </c>
      <c r="G9" s="95">
        <f>G10+G11</f>
        <v>3681.17</v>
      </c>
      <c r="H9" s="95">
        <f>POA!B2</f>
        <v>564638879</v>
      </c>
      <c r="I9" s="232">
        <f>G9/(H9*E9)</f>
        <v>6.5195120933215089E-6</v>
      </c>
      <c r="J9" s="232">
        <f>IF(OR(D9="",E9="",F9=""),"",IF(AND(I9&gt;0,I9&lt;=Experiencia1),Puntajes!$D$4,IF(AND(I9&gt;Experiencia1,I9&lt;=Experiencia2),Puntajes!$D$5,IF(AND(I9&gt;Experiencia2,I9&lt;=Experiencia3),Puntajes!$D$6,IF(I9&gt;Experiencia3,Puntajes!$D$7,0)))))</f>
        <v>60</v>
      </c>
      <c r="L9" s="163"/>
      <c r="M9" s="164"/>
      <c r="N9" s="150"/>
      <c r="O9" s="165"/>
    </row>
    <row r="10" spans="1:15" ht="13.5" thickBot="1" x14ac:dyDescent="0.25">
      <c r="A10" s="189">
        <v>1</v>
      </c>
      <c r="C10" s="97">
        <f>+'Capacidad Financiera'!B13</f>
        <v>1.1000000000000001</v>
      </c>
      <c r="D10" s="128" t="str">
        <f>IF(ISERROR(VLOOKUP(C10,'Capacidad Financiera'!$B$12:$Z$59051,2,0)),"",VLOOKUP(C10,'Capacidad Financiera'!$B$12:$Z$59051,2,0))</f>
        <v>COOTRASCIBOL</v>
      </c>
      <c r="E10" s="187">
        <f>IF(ISERROR(VLOOKUP(C10,'Capacidad Financiera'!$B$12:$Z$59051,3,0)),"",VLOOKUP(C10,'Capacidad Financiera'!$B$12:$Z$59051,3,0))</f>
        <v>0.6</v>
      </c>
      <c r="F10" s="229">
        <v>1505448638.72</v>
      </c>
      <c r="G10" s="229">
        <f>IF(OR(D10="",E10="",F10=""),"",F10/SALACTUAL)</f>
        <v>1817.92</v>
      </c>
      <c r="H10" s="229"/>
      <c r="I10" s="196"/>
      <c r="J10" s="198"/>
    </row>
    <row r="11" spans="1:15" ht="13.5" thickBot="1" x14ac:dyDescent="0.25">
      <c r="C11" s="97">
        <f>+'Capacidad Financiera'!B14</f>
        <v>1.2</v>
      </c>
      <c r="D11" s="128" t="str">
        <f>IF(ISERROR(VLOOKUP(C11,'Capacidad Financiera'!$B$12:$Z$59051,2,0)),"",VLOOKUP(C11,'Capacidad Financiera'!$B$12:$Z$59051,2,0))</f>
        <v>COOTRASERVIM</v>
      </c>
      <c r="E11" s="187">
        <f>IF(ISERROR(VLOOKUP(C11,'Capacidad Financiera'!$B$12:$Z$59051,3,0)),"",VLOOKUP(C11,'Capacidad Financiera'!$B$12:$Z$59051,3,0))</f>
        <v>0.4</v>
      </c>
      <c r="F11" s="229">
        <v>1542987137</v>
      </c>
      <c r="G11" s="229">
        <f t="shared" ref="G11:G13" si="0">IF(OR(D11="",E11="",F11=""),"",F11/SALACTUAL)</f>
        <v>1863.25</v>
      </c>
      <c r="H11" s="229"/>
      <c r="I11" s="196"/>
      <c r="J11" s="198"/>
    </row>
    <row r="12" spans="1:15" ht="13.5" thickBot="1" x14ac:dyDescent="0.25">
      <c r="C12" s="92">
        <v>2</v>
      </c>
      <c r="D12" s="93" t="str">
        <f>IF(ISERROR(VLOOKUP(C12,'Capacidad Financiera'!$B$12:$Z$59051,2,0)),"",VLOOKUP(C12,'Capacidad Financiera'!$B$12:$Z$59051,2,0))</f>
        <v>COOTRAVAR</v>
      </c>
      <c r="E12" s="94">
        <f>IF(ISERROR(VLOOKUP(C12,'Capacidad Financiera'!$B$12:$Z$59051,3,0)),"",VLOOKUP(C12,'Capacidad Financiera'!$B$12:$Z$59051,3,0))</f>
        <v>1</v>
      </c>
      <c r="F12" s="95">
        <v>1986029197</v>
      </c>
      <c r="G12" s="95">
        <f t="shared" si="0"/>
        <v>2398.25</v>
      </c>
      <c r="H12" s="95">
        <f>POA!B2</f>
        <v>564638879</v>
      </c>
      <c r="I12" s="232">
        <f t="shared" ref="I12" si="1">IF(OR(D12="",E12="",G12=""),"",IF(C12&lt;&gt;"",G12/(H12*E12),""))</f>
        <v>4.247405003791813E-6</v>
      </c>
      <c r="J12" s="232">
        <f>IF(OR(D12="",E12="",F12=""),"",IF(AND(I12&gt;0,I12&lt;=Experiencia1),Puntajes!$D$4,IF(AND(I12&gt;Experiencia1,I12&lt;=Experiencia2),Puntajes!$D$5,IF(AND(I12&gt;Experiencia2,I12&lt;=Experiencia3),Puntajes!$D$6,IF(I12&gt;Experiencia3,Puntajes!$D$7,0)))))</f>
        <v>60</v>
      </c>
    </row>
    <row r="13" spans="1:15" ht="13.5" thickBot="1" x14ac:dyDescent="0.25">
      <c r="C13" s="92">
        <v>3</v>
      </c>
      <c r="D13" s="93" t="str">
        <f>IF(ISERROR(VLOOKUP(C13,'Capacidad Financiera'!$B$12:$Z$59051,2,0)),"",VLOOKUP(C13,'Capacidad Financiera'!$B$12:$Z$59051,2,0))</f>
        <v>MANTENIMIENTO VIAL JJ S.A.S</v>
      </c>
      <c r="E13" s="94">
        <f>IF(ISERROR(VLOOKUP(C13,'Capacidad Financiera'!$B$12:$Z$59051,3,0)),"",VLOOKUP(C13,'Capacidad Financiera'!$B$12:$Z$59051,3,0))</f>
        <v>1</v>
      </c>
      <c r="F13" s="95">
        <v>6763927270.6000004</v>
      </c>
      <c r="G13" s="95">
        <f t="shared" si="0"/>
        <v>8167.85</v>
      </c>
      <c r="H13" s="95">
        <f>H12</f>
        <v>564638879</v>
      </c>
      <c r="I13" s="232">
        <f t="shared" ref="I13" si="2">IF(OR(D13="",E13="",G13=""),"",IF(C13&lt;&gt;"",G13/(H13*E13),""))</f>
        <v>1.4465617412788892E-5</v>
      </c>
      <c r="J13" s="232">
        <f>IF(OR(D13="",E13="",F13=""),"",IF(AND(I13&gt;0,I13&lt;=Experiencia1),Puntajes!$D$4,IF(AND(I13&gt;Experiencia1,I13&lt;=Experiencia2),Puntajes!$D$5,IF(AND(I13&gt;Experiencia2,I13&lt;=Experiencia3),Puntajes!$D$6,IF(I13&gt;Experiencia3,Puntajes!$D$7,0)))))</f>
        <v>60</v>
      </c>
    </row>
    <row r="14" spans="1:15" ht="26.25" thickBot="1" x14ac:dyDescent="0.25">
      <c r="C14" s="92">
        <v>4</v>
      </c>
      <c r="D14" s="93" t="str">
        <f>IF(ISERROR(VLOOKUP(C14,'Capacidad Financiera'!$B$12:$Z$59051,2,0)),"",VLOOKUP(C14,'Capacidad Financiera'!$B$12:$Z$59051,2,0))</f>
        <v>SERVICIOS Y MANTENIMIENTOS GOMEZ CADENA SAS</v>
      </c>
      <c r="E14" s="94">
        <f>IF(ISERROR(VLOOKUP(C14,'Capacidad Financiera'!$B$12:$Z$59051,3,0)),"",VLOOKUP(C14,'Capacidad Financiera'!$B$12:$Z$59051,3,0))</f>
        <v>1</v>
      </c>
      <c r="F14" s="95">
        <v>3076335003.7600002</v>
      </c>
      <c r="G14" s="95">
        <f t="shared" ref="G14:G15" si="3">IF(OR(D14="",E14="",F14=""),"",F14/SALACTUAL)</f>
        <v>3714.86</v>
      </c>
      <c r="H14" s="95">
        <f t="shared" ref="H14:H18" si="4">H13</f>
        <v>564638879</v>
      </c>
      <c r="I14" s="232">
        <f t="shared" ref="I14:I16" si="5">IF(OR(D14="",E14="",G14=""),"",IF(C14&lt;&gt;"",G14/(H14*E14),""))</f>
        <v>6.5791785478519981E-6</v>
      </c>
      <c r="J14" s="232">
        <f>IF(OR(D14="",E14="",F14=""),"",IF(AND(I14&gt;0,I14&lt;=Experiencia1),Puntajes!$D$4,IF(AND(I14&gt;Experiencia1,I14&lt;=Experiencia2),Puntajes!$D$5,IF(AND(I14&gt;Experiencia2,I14&lt;=Experiencia3),Puntajes!$D$6,IF(I14&gt;Experiencia3,Puntajes!$D$7,0)))))</f>
        <v>60</v>
      </c>
    </row>
    <row r="15" spans="1:15" ht="13.5" thickBot="1" x14ac:dyDescent="0.25">
      <c r="C15" s="92">
        <v>5</v>
      </c>
      <c r="D15" s="93" t="str">
        <f>IF(ISERROR(VLOOKUP(C15,'Capacidad Financiera'!$B$12:$Z$59051,2,0)),"",VLOOKUP(C15,'Capacidad Financiera'!$B$12:$Z$59051,2,0))</f>
        <v>COOTENEGRAN</v>
      </c>
      <c r="E15" s="94">
        <f>IF(ISERROR(VLOOKUP(C15,'Capacidad Financiera'!$B$12:$Z$59051,3,0)),"",VLOOKUP(C15,'Capacidad Financiera'!$B$12:$Z$59051,3,0))</f>
        <v>1</v>
      </c>
      <c r="F15" s="95">
        <v>2166575047.3200002</v>
      </c>
      <c r="G15" s="95">
        <f t="shared" si="3"/>
        <v>2616.27</v>
      </c>
      <c r="H15" s="95">
        <f t="shared" si="4"/>
        <v>564638879</v>
      </c>
      <c r="I15" s="232">
        <f t="shared" si="5"/>
        <v>4.6335279012906942E-6</v>
      </c>
      <c r="J15" s="232">
        <f>IF(OR(D15="",E15="",F15=""),"",IF(AND(I15&gt;0,I15&lt;=Experiencia1),Puntajes!$D$4,IF(AND(I15&gt;Experiencia1,I15&lt;=Experiencia2),Puntajes!$D$5,IF(AND(I15&gt;Experiencia2,I15&lt;=Experiencia3),Puntajes!$D$6,IF(I15&gt;Experiencia3,Puntajes!$D$7,0)))))</f>
        <v>60</v>
      </c>
    </row>
    <row r="16" spans="1:15" ht="13.5" thickBot="1" x14ac:dyDescent="0.25">
      <c r="C16" s="92">
        <v>6</v>
      </c>
      <c r="D16" s="93" t="str">
        <f>IF(ISERROR(VLOOKUP(C16,'Capacidad Financiera'!$B$12:$Z$59051,2,0)),"",VLOOKUP(C16,'Capacidad Financiera'!$B$12:$Z$59051,2,0))</f>
        <v>CONSORCIO MV MAGDALENA 2019</v>
      </c>
      <c r="E16" s="94">
        <f>IF(ISERROR(VLOOKUP(C16,'Capacidad Financiera'!$B$12:$Z$59051,3,0)),"",VLOOKUP(C16,'Capacidad Financiera'!$B$12:$Z$59051,3,0))</f>
        <v>1</v>
      </c>
      <c r="F16" s="95">
        <f>F17+F18</f>
        <v>235181859426.54999</v>
      </c>
      <c r="G16" s="95">
        <f>G17+G18</f>
        <v>283996.27519157948</v>
      </c>
      <c r="H16" s="95">
        <f t="shared" si="4"/>
        <v>564638879</v>
      </c>
      <c r="I16" s="232">
        <f t="shared" si="5"/>
        <v>5.0296974890313832E-4</v>
      </c>
      <c r="J16" s="232">
        <f>IF(OR(D16="",E16="",F16=""),"",IF(AND(I16&gt;0,I16&lt;=Experiencia1),Puntajes!$D$4,IF(AND(I16&gt;Experiencia1,I16&lt;=Experiencia2),Puntajes!$D$5,IF(AND(I16&gt;Experiencia2,I16&lt;=Experiencia3),Puntajes!$D$6,IF(I16&gt;Experiencia3,Puntajes!$D$7,0)))))</f>
        <v>60</v>
      </c>
    </row>
    <row r="17" spans="3:10" ht="13.5" thickBot="1" x14ac:dyDescent="0.25">
      <c r="C17" s="97">
        <f>+'Capacidad Financiera'!B20</f>
        <v>6.1</v>
      </c>
      <c r="D17" s="128" t="str">
        <f>IF(ISERROR(VLOOKUP(C17,'Capacidad Financiera'!$B$12:$Z$59051,2,0)),"",VLOOKUP(C17,'Capacidad Financiera'!$B$12:$Z$59051,2,0))</f>
        <v>CIVILTEC S.A.S</v>
      </c>
      <c r="E17" s="187">
        <f>IF(ISERROR(VLOOKUP(C17,'Capacidad Financiera'!$B$12:$Z$59051,3,0)),"",VLOOKUP(C17,'Capacidad Financiera'!$B$12:$Z$59051,3,0))</f>
        <v>0.6</v>
      </c>
      <c r="F17" s="229">
        <v>109016948306.27</v>
      </c>
      <c r="G17" s="229">
        <f t="shared" ref="G17:G19" si="6">IF(OR(D17="",E17="",F17=""),"",F17/SALACTUAL)</f>
        <v>131644.53809160794</v>
      </c>
      <c r="H17" s="230"/>
      <c r="I17" s="231"/>
      <c r="J17" s="233"/>
    </row>
    <row r="18" spans="3:10" ht="13.5" thickBot="1" x14ac:dyDescent="0.25">
      <c r="C18" s="97">
        <f>+'Capacidad Financiera'!B21</f>
        <v>6.2</v>
      </c>
      <c r="D18" s="128" t="str">
        <f>IF(ISERROR(VLOOKUP(C18,'Capacidad Financiera'!$B$12:$Z$59051,2,0)),"",VLOOKUP(C18,'Capacidad Financiera'!$B$12:$Z$59051,2,0))</f>
        <v>BGDSA S.A.S</v>
      </c>
      <c r="E18" s="187">
        <f>IF(ISERROR(VLOOKUP(C18,'Capacidad Financiera'!$B$12:$Z$59051,3,0)),"",VLOOKUP(C18,'Capacidad Financiera'!$B$12:$Z$59051,3,0))</f>
        <v>0.4</v>
      </c>
      <c r="F18" s="229">
        <v>126164911120.28</v>
      </c>
      <c r="G18" s="229">
        <f t="shared" si="6"/>
        <v>152351.73709997151</v>
      </c>
      <c r="H18" s="230">
        <f t="shared" si="4"/>
        <v>0</v>
      </c>
      <c r="I18" s="196"/>
      <c r="J18" s="233"/>
    </row>
    <row r="19" spans="3:10" x14ac:dyDescent="0.2">
      <c r="C19" s="92">
        <v>7</v>
      </c>
      <c r="D19" s="93" t="str">
        <f>IF(ISERROR(VLOOKUP(C19,'Capacidad Financiera'!$B$12:$Z$59051,2,0)),"",VLOOKUP(C19,'Capacidad Financiera'!$B$12:$Z$59051,2,0))</f>
        <v>COOPIRAGUA</v>
      </c>
      <c r="E19" s="94">
        <f>IF(ISERROR(VLOOKUP(C19,'Capacidad Financiera'!$B$12:$Z$59051,3,0)),"",VLOOKUP(C19,'Capacidad Financiera'!$B$12:$Z$59051,3,0))</f>
        <v>1</v>
      </c>
      <c r="F19" s="95">
        <v>2182541123.8000002</v>
      </c>
      <c r="G19" s="95">
        <f t="shared" si="6"/>
        <v>2635.55</v>
      </c>
      <c r="H19" s="95">
        <f>POA!B2</f>
        <v>564638879</v>
      </c>
      <c r="I19" s="232">
        <f>G19/(H19*E19)</f>
        <v>4.6676736194072817E-6</v>
      </c>
      <c r="J19" s="232">
        <f>IF(OR(D19="",E19="",F19=""),"",IF(AND(I19&gt;0,I19&lt;=Experiencia1),Puntajes!$D$4,IF(AND(I19&gt;Experiencia1,I19&lt;=Experiencia2),Puntajes!$D$5,IF(AND(I19&gt;Experiencia2,I19&lt;=Experiencia3),Puntajes!$D$6,IF(I19&gt;Experiencia3,Puntajes!$D$7,0)))))</f>
        <v>60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183" priority="1177" stopIfTrue="1">
      <formula>IF($B6-INT($B6)&gt;0,TRUE,FALSE)</formula>
    </cfRule>
  </conditionalFormatting>
  <conditionalFormatting sqref="D9:D11 D6 I6:J6">
    <cfRule type="cellIs" dxfId="182" priority="1178" stopIfTrue="1" operator="equal">
      <formula>"NO ADMISIBLE"</formula>
    </cfRule>
  </conditionalFormatting>
  <conditionalFormatting sqref="E10 I10:J10 I11 I17">
    <cfRule type="expression" dxfId="181" priority="1172" stopIfTrue="1">
      <formula>IF($B2-INT($B2)&gt;0,TRUE,FALSE)</formula>
    </cfRule>
  </conditionalFormatting>
  <conditionalFormatting sqref="E9 H9">
    <cfRule type="expression" dxfId="180" priority="1179" stopIfTrue="1">
      <formula>IF(#REF!-INT(#REF!)&gt;0,TRUE,FALSE)</formula>
    </cfRule>
  </conditionalFormatting>
  <conditionalFormatting sqref="H10:H11">
    <cfRule type="expression" dxfId="179" priority="1171" stopIfTrue="1">
      <formula>IF(#REF!-INT(#REF!)&gt;0,TRUE,FALSE)</formula>
    </cfRule>
  </conditionalFormatting>
  <conditionalFormatting sqref="E11 J11">
    <cfRule type="expression" dxfId="178" priority="3679" stopIfTrue="1">
      <formula>IF($B5-INT($B5)&gt;0,TRUE,FALSE)</formula>
    </cfRule>
  </conditionalFormatting>
  <conditionalFormatting sqref="F9:G9">
    <cfRule type="expression" dxfId="177" priority="1168" stopIfTrue="1">
      <formula>IF(#REF!-INT(#REF!)&gt;0,TRUE,FALSE)</formula>
    </cfRule>
  </conditionalFormatting>
  <conditionalFormatting sqref="F10:G11">
    <cfRule type="expression" dxfId="176" priority="1167" stopIfTrue="1">
      <formula>IF(#REF!-INT(#REF!)&gt;0,TRUE,FALSE)</formula>
    </cfRule>
  </conditionalFormatting>
  <conditionalFormatting sqref="I18">
    <cfRule type="expression" dxfId="175" priority="66" stopIfTrue="1">
      <formula>IF(#REF!-INT(#REF!)&gt;0,TRUE,FALSE)</formula>
    </cfRule>
  </conditionalFormatting>
  <conditionalFormatting sqref="D17:D18">
    <cfRule type="cellIs" dxfId="174" priority="41" stopIfTrue="1" operator="equal">
      <formula>"NO ADMISIBLE"</formula>
    </cfRule>
  </conditionalFormatting>
  <conditionalFormatting sqref="E17">
    <cfRule type="expression" dxfId="173" priority="39" stopIfTrue="1">
      <formula>IF(#REF!-INT(#REF!)&gt;0,TRUE,FALSE)</formula>
    </cfRule>
  </conditionalFormatting>
  <conditionalFormatting sqref="E18">
    <cfRule type="expression" dxfId="172" priority="43" stopIfTrue="1">
      <formula>IF(#REF!-INT(#REF!)&gt;0,TRUE,FALSE)</formula>
    </cfRule>
  </conditionalFormatting>
  <conditionalFormatting sqref="F17:G18">
    <cfRule type="expression" dxfId="171" priority="36" stopIfTrue="1">
      <formula>IF(#REF!-INT(#REF!)&gt;0,TRUE,FALSE)</formula>
    </cfRule>
  </conditionalFormatting>
  <conditionalFormatting sqref="D19">
    <cfRule type="cellIs" dxfId="170" priority="32" stopIfTrue="1" operator="equal">
      <formula>"NO ADMISIBLE"</formula>
    </cfRule>
  </conditionalFormatting>
  <conditionalFormatting sqref="E19 H19:I19">
    <cfRule type="expression" dxfId="169" priority="33" stopIfTrue="1">
      <formula>IF(#REF!-INT(#REF!)&gt;0,TRUE,FALSE)</formula>
    </cfRule>
  </conditionalFormatting>
  <conditionalFormatting sqref="F19">
    <cfRule type="expression" dxfId="168" priority="28" stopIfTrue="1">
      <formula>IF(#REF!-INT(#REF!)&gt;0,TRUE,FALSE)</formula>
    </cfRule>
  </conditionalFormatting>
  <conditionalFormatting sqref="H17:H18">
    <cfRule type="expression" dxfId="167" priority="25" stopIfTrue="1">
      <formula>IF(#REF!-INT(#REF!)&gt;0,TRUE,FALSE)</formula>
    </cfRule>
  </conditionalFormatting>
  <conditionalFormatting sqref="I9:J9">
    <cfRule type="expression" dxfId="166" priority="18" stopIfTrue="1">
      <formula>IF(#REF!-INT(#REF!)&gt;0,TRUE,FALSE)</formula>
    </cfRule>
  </conditionalFormatting>
  <conditionalFormatting sqref="D12:D13">
    <cfRule type="cellIs" dxfId="165" priority="16" stopIfTrue="1" operator="equal">
      <formula>"NO ADMISIBLE"</formula>
    </cfRule>
  </conditionalFormatting>
  <conditionalFormatting sqref="E12:E13 H12:H13">
    <cfRule type="expression" dxfId="164" priority="17" stopIfTrue="1">
      <formula>IF(#REF!-INT(#REF!)&gt;0,TRUE,FALSE)</formula>
    </cfRule>
  </conditionalFormatting>
  <conditionalFormatting sqref="F12:G13">
    <cfRule type="expression" dxfId="163" priority="15" stopIfTrue="1">
      <formula>IF(#REF!-INT(#REF!)&gt;0,TRUE,FALSE)</formula>
    </cfRule>
  </conditionalFormatting>
  <conditionalFormatting sqref="I12:J13">
    <cfRule type="expression" dxfId="162" priority="14" stopIfTrue="1">
      <formula>IF(#REF!-INT(#REF!)&gt;0,TRUE,FALSE)</formula>
    </cfRule>
  </conditionalFormatting>
  <conditionalFormatting sqref="D14">
    <cfRule type="cellIs" dxfId="161" priority="12" stopIfTrue="1" operator="equal">
      <formula>"NO ADMISIBLE"</formula>
    </cfRule>
  </conditionalFormatting>
  <conditionalFormatting sqref="E14 H14">
    <cfRule type="expression" dxfId="160" priority="13" stopIfTrue="1">
      <formula>IF(#REF!-INT(#REF!)&gt;0,TRUE,FALSE)</formula>
    </cfRule>
  </conditionalFormatting>
  <conditionalFormatting sqref="F14:G14">
    <cfRule type="expression" dxfId="159" priority="11" stopIfTrue="1">
      <formula>IF(#REF!-INT(#REF!)&gt;0,TRUE,FALSE)</formula>
    </cfRule>
  </conditionalFormatting>
  <conditionalFormatting sqref="I14:J14">
    <cfRule type="expression" dxfId="158" priority="10" stopIfTrue="1">
      <formula>IF(#REF!-INT(#REF!)&gt;0,TRUE,FALSE)</formula>
    </cfRule>
  </conditionalFormatting>
  <conditionalFormatting sqref="D15">
    <cfRule type="cellIs" dxfId="157" priority="8" stopIfTrue="1" operator="equal">
      <formula>"NO ADMISIBLE"</formula>
    </cfRule>
  </conditionalFormatting>
  <conditionalFormatting sqref="E15 H15">
    <cfRule type="expression" dxfId="156" priority="9" stopIfTrue="1">
      <formula>IF(#REF!-INT(#REF!)&gt;0,TRUE,FALSE)</formula>
    </cfRule>
  </conditionalFormatting>
  <conditionalFormatting sqref="F15:G15">
    <cfRule type="expression" dxfId="155" priority="7" stopIfTrue="1">
      <formula>IF(#REF!-INT(#REF!)&gt;0,TRUE,FALSE)</formula>
    </cfRule>
  </conditionalFormatting>
  <conditionalFormatting sqref="I15:J15 J16:J19">
    <cfRule type="expression" dxfId="154" priority="6" stopIfTrue="1">
      <formula>IF(#REF!-INT(#REF!)&gt;0,TRUE,FALSE)</formula>
    </cfRule>
  </conditionalFormatting>
  <conditionalFormatting sqref="D16">
    <cfRule type="cellIs" dxfId="153" priority="4" stopIfTrue="1" operator="equal">
      <formula>"NO ADMISIBLE"</formula>
    </cfRule>
  </conditionalFormatting>
  <conditionalFormatting sqref="E16 H16">
    <cfRule type="expression" dxfId="152" priority="5" stopIfTrue="1">
      <formula>IF(#REF!-INT(#REF!)&gt;0,TRUE,FALSE)</formula>
    </cfRule>
  </conditionalFormatting>
  <conditionalFormatting sqref="F16:G16">
    <cfRule type="expression" dxfId="151" priority="3" stopIfTrue="1">
      <formula>IF(#REF!-INT(#REF!)&gt;0,TRUE,FALSE)</formula>
    </cfRule>
  </conditionalFormatting>
  <conditionalFormatting sqref="I16">
    <cfRule type="expression" dxfId="150" priority="2" stopIfTrue="1">
      <formula>IF(#REF!-INT(#REF!)&gt;0,TRUE,FALSE)</formula>
    </cfRule>
  </conditionalFormatting>
  <conditionalFormatting sqref="G19">
    <cfRule type="expression" dxfId="149" priority="1" stopIfTrue="1">
      <formula>IF(#REF!-INT(#REF!)&gt;0,TRUE,FALSE)</formula>
    </cfRule>
  </conditionalFormatting>
  <dataValidations count="1">
    <dataValidation type="list" allowBlank="1" showInputMessage="1" showErrorMessage="1" sqref="D6 D9:D19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C2:K19"/>
  <sheetViews>
    <sheetView topLeftCell="A4" workbookViewId="0">
      <selection activeCell="F19" sqref="F19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35" style="148" customWidth="1"/>
    <col min="6" max="6" width="35" style="183" customWidth="1"/>
    <col min="7" max="7" width="11.42578125" style="149"/>
    <col min="8" max="8" width="13.85546875" style="161" customWidth="1"/>
    <col min="9" max="9" width="9.7109375" style="162" customWidth="1"/>
    <col min="10" max="10" width="12.5703125" style="149" customWidth="1"/>
    <col min="11" max="11" width="12.7109375" style="149" customWidth="1"/>
    <col min="12" max="16384" width="11.42578125" style="149"/>
  </cols>
  <sheetData>
    <row r="2" spans="3:11" s="151" customFormat="1" ht="20.25" customHeight="1" x14ac:dyDescent="0.2">
      <c r="C2" s="309" t="s">
        <v>196</v>
      </c>
      <c r="D2" s="309"/>
      <c r="E2" s="309"/>
      <c r="F2" s="309"/>
      <c r="H2" s="152"/>
      <c r="I2" s="153"/>
    </row>
    <row r="3" spans="3:11" s="151" customFormat="1" ht="18" customHeight="1" x14ac:dyDescent="0.2">
      <c r="C3" s="310" t="s">
        <v>210</v>
      </c>
      <c r="D3" s="310"/>
      <c r="E3" s="310"/>
      <c r="F3" s="310"/>
      <c r="H3" s="152"/>
      <c r="I3" s="153"/>
    </row>
    <row r="4" spans="3:11" s="151" customFormat="1" ht="13.5" customHeight="1" x14ac:dyDescent="0.2">
      <c r="C4" s="311" t="str">
        <f>'Capacidad Financiera'!B4</f>
        <v>DIRECCIÓN TERRITORIAL MAGDALENA</v>
      </c>
      <c r="D4" s="311"/>
      <c r="E4" s="311"/>
      <c r="F4" s="311"/>
      <c r="H4" s="152"/>
      <c r="I4" s="153"/>
    </row>
    <row r="5" spans="3:11" s="151" customFormat="1" ht="13.5" customHeight="1" x14ac:dyDescent="0.2">
      <c r="C5" s="311" t="s">
        <v>209</v>
      </c>
      <c r="D5" s="311"/>
      <c r="E5" s="311"/>
      <c r="F5" s="311"/>
      <c r="H5" s="152"/>
      <c r="I5" s="153"/>
    </row>
    <row r="6" spans="3:11" s="151" customFormat="1" ht="14.25" thickBot="1" x14ac:dyDescent="0.25">
      <c r="C6" s="154"/>
      <c r="D6" s="155"/>
      <c r="E6" s="158"/>
      <c r="F6" s="159"/>
      <c r="H6" s="152"/>
      <c r="I6" s="153"/>
    </row>
    <row r="7" spans="3:11" ht="19.5" customHeight="1" x14ac:dyDescent="0.2">
      <c r="C7" s="312" t="s">
        <v>157</v>
      </c>
      <c r="D7" s="314" t="s">
        <v>156</v>
      </c>
      <c r="E7" s="190" t="s">
        <v>199</v>
      </c>
      <c r="F7" s="191" t="s">
        <v>209</v>
      </c>
    </row>
    <row r="8" spans="3:11" ht="67.5" customHeight="1" thickBot="1" x14ac:dyDescent="0.25">
      <c r="C8" s="313"/>
      <c r="D8" s="315"/>
      <c r="E8" s="192" t="s">
        <v>200</v>
      </c>
      <c r="F8" s="193" t="s">
        <v>211</v>
      </c>
    </row>
    <row r="9" spans="3:11" x14ac:dyDescent="0.2">
      <c r="C9" s="92">
        <f>+'Capacidad Financiera'!B12</f>
        <v>1</v>
      </c>
      <c r="D9" s="93" t="str">
        <f>IF(ISERROR(VLOOKUP(C9,'Capacidad Financiera'!$B$12:$Z$59051,2,0)),"",VLOOKUP(C9,'Capacidad Financiera'!$B$12:$Z$59051,2,0))</f>
        <v>COBOL</v>
      </c>
      <c r="E9" s="245">
        <f>+E10+E11</f>
        <v>43</v>
      </c>
      <c r="F9" s="246">
        <f>IF(OR(D9="",E9=""),"",IF(AND(E9&gt;0,E9&lt;=CapTecnica1),Puntajes!$H$4,IF(AND(E9&gt;CapTecnica1,E9&lt;=CapTecnica2),Puntajes!$H$5,IF(E9&gt;CapTecnica2,Puntajes!$H$6,0))))</f>
        <v>40</v>
      </c>
      <c r="H9" s="163"/>
      <c r="I9" s="164"/>
      <c r="J9" s="150"/>
      <c r="K9" s="165"/>
    </row>
    <row r="10" spans="3:11" x14ac:dyDescent="0.2">
      <c r="C10" s="97">
        <f>+'Capacidad Financiera'!B13</f>
        <v>1.1000000000000001</v>
      </c>
      <c r="D10" s="128" t="str">
        <f>IF(ISERROR(VLOOKUP(C10,'Capacidad Financiera'!$B$12:$Z$59051,2,0)),"",VLOOKUP(C10,'Capacidad Financiera'!$B$12:$Z$59051,2,0))</f>
        <v>COOTRASCIBOL</v>
      </c>
      <c r="E10" s="244">
        <v>16</v>
      </c>
      <c r="F10" s="198">
        <f>IF(OR(D10="",E10=""),"",IF(AND(E10&gt;0,E10&lt;=CapTecnica1),Puntajes!$H$4,IF(AND(E10&gt;CapTecnica1,E10&lt;=CapTecnica2),Puntajes!$H$5,IF(E10&gt;CapTecnica2,Puntajes!$H$6,0))))</f>
        <v>40</v>
      </c>
    </row>
    <row r="11" spans="3:11" ht="13.5" thickBot="1" x14ac:dyDescent="0.25">
      <c r="C11" s="97">
        <f>+'Capacidad Financiera'!B14</f>
        <v>1.2</v>
      </c>
      <c r="D11" s="128" t="str">
        <f>IF(ISERROR(VLOOKUP(C11,'Capacidad Financiera'!$B$12:$Z$59051,2,0)),"",VLOOKUP(C11,'Capacidad Financiera'!$B$12:$Z$59051,2,0))</f>
        <v>COOTRASERVIM</v>
      </c>
      <c r="E11" s="244">
        <v>27</v>
      </c>
      <c r="F11" s="198">
        <f>IF(OR(D11="",E11=""),"",IF(AND(E11&gt;0,E11&lt;=CapTecnica1),Puntajes!$H$4,IF(AND(E11&gt;CapTecnica1,E11&lt;=CapTecnica2),Puntajes!$H$5,IF(E11&gt;CapTecnica2,Puntajes!$H$6,0))))</f>
        <v>40</v>
      </c>
    </row>
    <row r="12" spans="3:11" ht="13.5" thickBot="1" x14ac:dyDescent="0.25">
      <c r="C12" s="92">
        <v>2</v>
      </c>
      <c r="D12" s="93" t="str">
        <f>IF(ISERROR(VLOOKUP(C12,'Capacidad Financiera'!$B$12:$Z$59051,2,0)),"",VLOOKUP(C12,'Capacidad Financiera'!$B$12:$Z$59051,2,0))</f>
        <v>COOTRAVAR</v>
      </c>
      <c r="E12" s="184">
        <v>36</v>
      </c>
      <c r="F12" s="246">
        <f>IF(OR(D12="",E12=""),"",IF(AND(E12&gt;0,E12&lt;=CapTecnica1),Puntajes!$H$4,IF(AND(E12&gt;CapTecnica1,E12&lt;=CapTecnica2),Puntajes!$H$5,IF(E12&gt;CapTecnica2,Puntajes!$H$6,0))))</f>
        <v>40</v>
      </c>
    </row>
    <row r="13" spans="3:11" ht="13.5" thickBot="1" x14ac:dyDescent="0.25">
      <c r="C13" s="92">
        <v>3</v>
      </c>
      <c r="D13" s="93" t="str">
        <f>IF(ISERROR(VLOOKUP(C13,'Capacidad Financiera'!$B$12:$Z$59051,2,0)),"",VLOOKUP(C13,'Capacidad Financiera'!$B$12:$Z$59051,2,0))</f>
        <v>MANTENIMIENTO VIAL JJ S.A.S</v>
      </c>
      <c r="E13" s="184">
        <v>11</v>
      </c>
      <c r="F13" s="185">
        <f>IF(C96="",IF(E13="","",IF(AND(E13&gt;0,E13&lt;=CapTecnica1),Puntajes!$H$4,IF(AND(E13&gt;CapTecnica1,E13&lt;=CapTecnica2),Puntajes!$H$5,IF(E13&gt;CapTecnica2,Puntajes!$H$6,0)))),"")</f>
        <v>40</v>
      </c>
    </row>
    <row r="14" spans="3:11" ht="26.25" thickBot="1" x14ac:dyDescent="0.25">
      <c r="C14" s="92">
        <v>4</v>
      </c>
      <c r="D14" s="93" t="str">
        <f>IF(ISERROR(VLOOKUP(C14,'Capacidad Financiera'!$B$12:$Z$59051,2,0)),"",VLOOKUP(C14,'Capacidad Financiera'!$B$12:$Z$59051,2,0))</f>
        <v>SERVICIOS Y MANTENIMIENTOS GOMEZ CADENA SAS</v>
      </c>
      <c r="E14" s="184">
        <v>11</v>
      </c>
      <c r="F14" s="185">
        <f>IF(C97="",IF(E14="","",IF(AND(E14&gt;0,E14&lt;=CapTecnica1),Puntajes!$H$4,IF(AND(E14&gt;CapTecnica1,E14&lt;=CapTecnica2),Puntajes!$H$5,IF(E14&gt;CapTecnica2,Puntajes!$H$6,0)))),"")</f>
        <v>40</v>
      </c>
    </row>
    <row r="15" spans="3:11" ht="13.5" thickBot="1" x14ac:dyDescent="0.25">
      <c r="C15" s="92">
        <v>5</v>
      </c>
      <c r="D15" s="93" t="str">
        <f>IF(ISERROR(VLOOKUP(C15,'Capacidad Financiera'!$B$12:$Z$59051,2,0)),"",VLOOKUP(C15,'Capacidad Financiera'!$B$12:$Z$59051,2,0))</f>
        <v>COOTENEGRAN</v>
      </c>
      <c r="E15" s="184">
        <v>5</v>
      </c>
      <c r="F15" s="185">
        <f>IF(C98="",IF(E15="","",IF(AND(E15&gt;0,E15&lt;=CapTecnica1),Puntajes!$H$4,IF(AND(E15&gt;CapTecnica1,E15&lt;=CapTecnica2),Puntajes!$H$5,IF(E15&gt;CapTecnica2,Puntajes!$H$6,0)))),"")</f>
        <v>20</v>
      </c>
    </row>
    <row r="16" spans="3:11" x14ac:dyDescent="0.2">
      <c r="C16" s="92">
        <v>6</v>
      </c>
      <c r="D16" s="93" t="str">
        <f>IF(ISERROR(VLOOKUP(C16,'Capacidad Financiera'!$B$12:$Z$59051,2,0)),"",VLOOKUP(C16,'Capacidad Financiera'!$B$12:$Z$59051,2,0))</f>
        <v>CONSORCIO MV MAGDALENA 2019</v>
      </c>
      <c r="E16" s="184">
        <f>E17+E18</f>
        <v>2</v>
      </c>
      <c r="F16" s="184">
        <f>F17+F18</f>
        <v>40</v>
      </c>
    </row>
    <row r="17" spans="3:6" x14ac:dyDescent="0.2">
      <c r="C17" s="97">
        <f>+'Capacidad Financiera'!B20</f>
        <v>6.1</v>
      </c>
      <c r="D17" s="128" t="str">
        <f>IF(ISERROR(VLOOKUP(C17,'Capacidad Financiera'!$B$12:$Z$59051,2,0)),"",VLOOKUP(C17,'Capacidad Financiera'!$B$12:$Z$59051,2,0))</f>
        <v>CIVILTEC S.A.S</v>
      </c>
      <c r="E17" s="186">
        <v>1</v>
      </c>
      <c r="F17" s="198">
        <f>IF(OR(D17="",E17=""),"",IF(AND(E17&gt;0,E17&lt;=CapTecnica1),Puntajes!$H$4,IF(AND(E17&gt;CapTecnica1,E17&lt;=CapTecnica2),Puntajes!$H$5,IF(E17&gt;CapTecnica2,Puntajes!$H$6,0))))</f>
        <v>20</v>
      </c>
    </row>
    <row r="18" spans="3:6" ht="13.5" thickBot="1" x14ac:dyDescent="0.25">
      <c r="C18" s="97">
        <f>+'Capacidad Financiera'!B21</f>
        <v>6.2</v>
      </c>
      <c r="D18" s="128" t="str">
        <f>IF(ISERROR(VLOOKUP(C18,'Capacidad Financiera'!$B$12:$Z$59051,2,0)),"",VLOOKUP(C18,'Capacidad Financiera'!$B$12:$Z$59051,2,0))</f>
        <v>BGDSA S.A.S</v>
      </c>
      <c r="E18" s="186">
        <v>1</v>
      </c>
      <c r="F18" s="198">
        <f>IF(OR(D18="",E18=""),"",IF(AND(E18&gt;0,E18&lt;=CapTecnica1),Puntajes!$H$4,IF(AND(E18&gt;CapTecnica1,E18&lt;=CapTecnica2),Puntajes!$H$5,IF(E18&gt;CapTecnica2,Puntajes!$H$6,0))))</f>
        <v>20</v>
      </c>
    </row>
    <row r="19" spans="3:6" x14ac:dyDescent="0.2">
      <c r="C19" s="92">
        <v>7</v>
      </c>
      <c r="D19" s="93" t="str">
        <f>IF(ISERROR(VLOOKUP(C19,'Capacidad Financiera'!$B$12:$Z$59051,2,0)),"",VLOOKUP(C19,'Capacidad Financiera'!$B$12:$Z$59051,2,0))</f>
        <v>COOPIRAGUA</v>
      </c>
      <c r="E19" s="184">
        <v>12</v>
      </c>
      <c r="F19" s="198">
        <f>IF(OR(D19="",E19=""),"",IF(AND(E19&gt;0,E19&lt;=CapTecnica1),Puntajes!$H$4,IF(AND(E19&gt;CapTecnica1,E19&lt;=CapTecnica2),Puntajes!$H$5,IF(E19&gt;CapTecnica2,Puntajes!$H$6,0))))</f>
        <v>40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48" priority="269" stopIfTrue="1">
      <formula>IF($B6-INT($B6)&gt;0,TRUE,FALSE)</formula>
    </cfRule>
  </conditionalFormatting>
  <conditionalFormatting sqref="D9:D11 D6 F6">
    <cfRule type="cellIs" dxfId="147" priority="270" stopIfTrue="1" operator="equal">
      <formula>"NO ADMISIBLE"</formula>
    </cfRule>
  </conditionalFormatting>
  <conditionalFormatting sqref="F10:F12">
    <cfRule type="expression" dxfId="146" priority="264" stopIfTrue="1">
      <formula>IF($B2-INT($B2)&gt;0,TRUE,FALSE)</formula>
    </cfRule>
  </conditionalFormatting>
  <conditionalFormatting sqref="E9:E11">
    <cfRule type="expression" dxfId="145" priority="271" stopIfTrue="1">
      <formula>IF(#REF!-INT(#REF!)&gt;0,TRUE,FALSE)</formula>
    </cfRule>
  </conditionalFormatting>
  <conditionalFormatting sqref="D12">
    <cfRule type="cellIs" dxfId="144" priority="19" stopIfTrue="1" operator="equal">
      <formula>"NO ADMISIBLE"</formula>
    </cfRule>
  </conditionalFormatting>
  <conditionalFormatting sqref="E12">
    <cfRule type="expression" dxfId="143" priority="20" stopIfTrue="1">
      <formula>IF(#REF!-INT(#REF!)&gt;0,TRUE,FALSE)</formula>
    </cfRule>
  </conditionalFormatting>
  <conditionalFormatting sqref="D13">
    <cfRule type="cellIs" dxfId="142" priority="16" stopIfTrue="1" operator="equal">
      <formula>"NO ADMISIBLE"</formula>
    </cfRule>
  </conditionalFormatting>
  <conditionalFormatting sqref="E13">
    <cfRule type="expression" dxfId="141" priority="17" stopIfTrue="1">
      <formula>IF(#REF!-INT(#REF!)&gt;0,TRUE,FALSE)</formula>
    </cfRule>
  </conditionalFormatting>
  <conditionalFormatting sqref="D14">
    <cfRule type="cellIs" dxfId="140" priority="13" stopIfTrue="1" operator="equal">
      <formula>"NO ADMISIBLE"</formula>
    </cfRule>
  </conditionalFormatting>
  <conditionalFormatting sqref="E14:F14 F13:F15">
    <cfRule type="expression" dxfId="139" priority="14" stopIfTrue="1">
      <formula>IF(#REF!-INT(#REF!)&gt;0,TRUE,FALSE)</formula>
    </cfRule>
  </conditionalFormatting>
  <conditionalFormatting sqref="D15">
    <cfRule type="cellIs" dxfId="138" priority="10" stopIfTrue="1" operator="equal">
      <formula>"NO ADMISIBLE"</formula>
    </cfRule>
  </conditionalFormatting>
  <conditionalFormatting sqref="E15">
    <cfRule type="expression" dxfId="137" priority="11" stopIfTrue="1">
      <formula>IF(#REF!-INT(#REF!)&gt;0,TRUE,FALSE)</formula>
    </cfRule>
  </conditionalFormatting>
  <conditionalFormatting sqref="D16:D18">
    <cfRule type="cellIs" dxfId="136" priority="7" stopIfTrue="1" operator="equal">
      <formula>"NO ADMISIBLE"</formula>
    </cfRule>
  </conditionalFormatting>
  <conditionalFormatting sqref="E17:E18 E16:F16">
    <cfRule type="expression" dxfId="135" priority="8" stopIfTrue="1">
      <formula>IF(#REF!-INT(#REF!)&gt;0,TRUE,FALSE)</formula>
    </cfRule>
  </conditionalFormatting>
  <conditionalFormatting sqref="D19">
    <cfRule type="cellIs" dxfId="134" priority="4" stopIfTrue="1" operator="equal">
      <formula>"NO ADMISIBLE"</formula>
    </cfRule>
  </conditionalFormatting>
  <conditionalFormatting sqref="E19">
    <cfRule type="expression" dxfId="133" priority="5" stopIfTrue="1">
      <formula>IF(#REF!-INT(#REF!)&gt;0,TRUE,FALSE)</formula>
    </cfRule>
  </conditionalFormatting>
  <conditionalFormatting sqref="F17:F19">
    <cfRule type="expression" dxfId="132" priority="8061" stopIfTrue="1">
      <formula>IF(#REF!-INT(#REF!)&gt;0,TRUE,FALSE)</formula>
    </cfRule>
  </conditionalFormatting>
  <conditionalFormatting sqref="F9">
    <cfRule type="expression" dxfId="131" priority="1" stopIfTrue="1">
      <formula>IF($B1-INT($B1)&gt;0,TRUE,FALSE)</formula>
    </cfRule>
  </conditionalFormatting>
  <dataValidations count="1">
    <dataValidation type="list" allowBlank="1" showInputMessage="1" showErrorMessage="1" sqref="D6 D9:D19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M19"/>
  <sheetViews>
    <sheetView topLeftCell="A6" workbookViewId="0">
      <selection activeCell="E19" sqref="E19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6" width="18.7109375" style="136" customWidth="1"/>
    <col min="7" max="7" width="14.7109375" style="136" bestFit="1" customWidth="1"/>
    <col min="8" max="8" width="42.42578125" style="136" customWidth="1"/>
    <col min="9" max="9" width="11.42578125" style="149"/>
    <col min="10" max="10" width="13.85546875" style="161" customWidth="1"/>
    <col min="11" max="11" width="9.7109375" style="162" customWidth="1"/>
    <col min="12" max="12" width="12.5703125" style="149" customWidth="1"/>
    <col min="13" max="13" width="12.7109375" style="149" customWidth="1"/>
    <col min="14" max="16384" width="11.42578125" style="149"/>
  </cols>
  <sheetData>
    <row r="2" spans="3:13" s="151" customFormat="1" ht="20.25" customHeight="1" x14ac:dyDescent="0.2">
      <c r="C2" s="309" t="s">
        <v>196</v>
      </c>
      <c r="D2" s="309"/>
      <c r="E2" s="309"/>
      <c r="F2" s="309"/>
      <c r="G2" s="309"/>
      <c r="H2" s="309"/>
      <c r="J2" s="152"/>
      <c r="K2" s="153"/>
    </row>
    <row r="3" spans="3:13" s="151" customFormat="1" ht="18" customHeight="1" x14ac:dyDescent="0.2">
      <c r="C3" s="310" t="s">
        <v>210</v>
      </c>
      <c r="D3" s="310"/>
      <c r="E3" s="310"/>
      <c r="F3" s="310"/>
      <c r="G3" s="310"/>
      <c r="H3" s="310"/>
      <c r="J3" s="152"/>
      <c r="K3" s="153"/>
    </row>
    <row r="4" spans="3:13" s="151" customFormat="1" ht="13.5" customHeight="1" x14ac:dyDescent="0.2">
      <c r="C4" s="311" t="str">
        <f>'Capacidad Financiera'!B4</f>
        <v>DIRECCIÓN TERRITORIAL MAGDALENA</v>
      </c>
      <c r="D4" s="311"/>
      <c r="E4" s="311"/>
      <c r="F4" s="311"/>
      <c r="G4" s="311"/>
      <c r="H4" s="311"/>
      <c r="J4" s="152"/>
      <c r="K4" s="153"/>
    </row>
    <row r="5" spans="3:13" s="151" customFormat="1" ht="13.5" customHeight="1" x14ac:dyDescent="0.2">
      <c r="C5" s="311" t="s">
        <v>217</v>
      </c>
      <c r="D5" s="311"/>
      <c r="E5" s="311"/>
      <c r="F5" s="311"/>
      <c r="G5" s="311"/>
      <c r="H5" s="311"/>
      <c r="J5" s="152"/>
      <c r="K5" s="153"/>
    </row>
    <row r="6" spans="3:13" s="151" customFormat="1" ht="14.25" thickBot="1" x14ac:dyDescent="0.25">
      <c r="C6" s="154"/>
      <c r="D6" s="155"/>
      <c r="E6" s="159"/>
      <c r="F6" s="159"/>
      <c r="G6" s="159"/>
      <c r="H6" s="159"/>
      <c r="J6" s="152"/>
      <c r="K6" s="153"/>
    </row>
    <row r="7" spans="3:13" ht="43.5" customHeight="1" x14ac:dyDescent="0.2">
      <c r="C7" s="312" t="s">
        <v>157</v>
      </c>
      <c r="D7" s="314" t="s">
        <v>156</v>
      </c>
      <c r="E7" s="316" t="s">
        <v>218</v>
      </c>
      <c r="F7" s="318" t="s">
        <v>219</v>
      </c>
      <c r="G7" s="318" t="s">
        <v>220</v>
      </c>
      <c r="H7" s="191" t="s">
        <v>217</v>
      </c>
    </row>
    <row r="8" spans="3:13" ht="84.75" customHeight="1" thickBot="1" x14ac:dyDescent="0.25">
      <c r="C8" s="313"/>
      <c r="D8" s="315"/>
      <c r="E8" s="317"/>
      <c r="F8" s="319"/>
      <c r="G8" s="319"/>
      <c r="H8" s="193" t="s">
        <v>221</v>
      </c>
    </row>
    <row r="9" spans="3:13" x14ac:dyDescent="0.2">
      <c r="C9" s="92">
        <f>+'Capacidad Financiera'!B12</f>
        <v>1</v>
      </c>
      <c r="D9" s="93" t="str">
        <f>IF(ISERROR(VLOOKUP(C9,'Capacidad Financiera'!$B$12:$Z$59051,2,0)),"",VLOOKUP(C9,'Capacidad Financiera'!$B$12:$Z$59051,2,0))</f>
        <v>COBOL</v>
      </c>
      <c r="E9" s="194">
        <f>E10+E11</f>
        <v>143619247</v>
      </c>
      <c r="F9" s="194">
        <f>F10+F11</f>
        <v>4050000</v>
      </c>
      <c r="G9" s="236">
        <f t="shared" ref="G9" si="0">IF(OR(D9="",E9="",F9=""),"",IF(OR(E9=0,F9=0),0,E9/F9))</f>
        <v>35.4615424691358</v>
      </c>
      <c r="H9" s="236">
        <f>IF(OR(D9="",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</f>
        <v>40</v>
      </c>
      <c r="J9" s="163"/>
      <c r="K9" s="164"/>
      <c r="L9" s="150"/>
      <c r="M9" s="165"/>
    </row>
    <row r="10" spans="3:13" x14ac:dyDescent="0.2">
      <c r="C10" s="234">
        <f>+'Capacidad Financiera'!B13</f>
        <v>1.1000000000000001</v>
      </c>
      <c r="D10" s="128" t="str">
        <f>IF(ISERROR(VLOOKUP(C10,'Capacidad Financiera'!$B$12:$Z$59051,2,0)),"",VLOOKUP(C10,'Capacidad Financiera'!$B$12:$Z$59051,2,0))</f>
        <v>COOTRASCIBOL</v>
      </c>
      <c r="E10" s="195">
        <f>IF(OR(C10="",D10=""),"",IF(ISERROR(VLOOKUP(D10,'Capacidad Financiera'!$C$13:$Z$59051,3,0)),"",VLOOKUP(D10,'Capacidad Financiera'!$C$13:$Z$59051,3,0)))</f>
        <v>43190000</v>
      </c>
      <c r="F10" s="195">
        <f>IF(OR(C10="",D10=""),"",IF(ISERROR(VLOOKUP(D10,'Capacidad Financiera'!$C$13:$Z$59051,5,0)),"",VLOOKUP(D10,'Capacidad Financiera'!$C$13:$Z$59051,5,0)))</f>
        <v>550000</v>
      </c>
      <c r="G10" s="195"/>
      <c r="H10" s="195"/>
    </row>
    <row r="11" spans="3:13" x14ac:dyDescent="0.2">
      <c r="C11" s="234">
        <f>+'Capacidad Financiera'!B14</f>
        <v>1.2</v>
      </c>
      <c r="D11" s="128" t="str">
        <f>IF(ISERROR(VLOOKUP(C11,'Capacidad Financiera'!$B$12:$Z$59051,2,0)),"",VLOOKUP(C11,'Capacidad Financiera'!$B$12:$Z$59051,2,0))</f>
        <v>COOTRASERVIM</v>
      </c>
      <c r="E11" s="195">
        <f>IF(OR(C11="",D11=""),"",IF(ISERROR(VLOOKUP(D11,'Capacidad Financiera'!$C$13:$Z$59051,3,0)),"",VLOOKUP(D11,'Capacidad Financiera'!$C$13:$Z$59051,3,0)))</f>
        <v>100429247</v>
      </c>
      <c r="F11" s="195">
        <f>IF(OR(C11="",D11=""),"",IF(ISERROR(VLOOKUP(D11,'Capacidad Financiera'!$C$13:$Z$59051,5,0)),"",VLOOKUP(D11,'Capacidad Financiera'!$C$13:$Z$59051,5,0)))</f>
        <v>3500000</v>
      </c>
      <c r="G11" s="195"/>
      <c r="H11" s="195"/>
    </row>
    <row r="12" spans="3:13" x14ac:dyDescent="0.2">
      <c r="C12" s="235">
        <v>2</v>
      </c>
      <c r="D12" s="129" t="str">
        <f>IF(ISERROR(VLOOKUP(C12,'Capacidad Financiera'!$B$12:$Z$59051,2,0)),"",VLOOKUP(C12,'Capacidad Financiera'!$B$12:$Z$59051,2,0))</f>
        <v>COOTRAVAR</v>
      </c>
      <c r="E12" s="236">
        <f>IF(OR(C12="",D12=""),"",IF(ISERROR(VLOOKUP(D12,'Capacidad Financiera'!$C$13:$Z$59051,3,0)),"",VLOOKUP(D12,'Capacidad Financiera'!$C$13:$Z$59051,3,0)))</f>
        <v>28500000</v>
      </c>
      <c r="F12" s="236">
        <f>IF(OR(C12="",D12=""),"",IF(ISERROR(VLOOKUP(D12,'Capacidad Financiera'!$C$13:$Z$59051,5,0)),"",VLOOKUP(D12,'Capacidad Financiera'!$C$13:$Z$59051,5,0)))</f>
        <v>9000000</v>
      </c>
      <c r="G12" s="236">
        <f>IF(OR(D12="",E12="",F12=""),"",IF(OR(E12=0,F12=0),0,E12/F12))</f>
        <v>3.1666666666666665</v>
      </c>
      <c r="H12" s="236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>40</v>
      </c>
    </row>
    <row r="13" spans="3:13" x14ac:dyDescent="0.2">
      <c r="C13" s="235">
        <v>3</v>
      </c>
      <c r="D13" s="129" t="str">
        <f>IF(ISERROR(VLOOKUP(C13,'Capacidad Financiera'!$B$12:$Z$59051,2,0)),"",VLOOKUP(C13,'Capacidad Financiera'!$B$12:$Z$59051,2,0))</f>
        <v>MANTENIMIENTO VIAL JJ S.A.S</v>
      </c>
      <c r="E13" s="195">
        <f>IF(OR(C13="",D13=""),"",IF(ISERROR(VLOOKUP(D13,'Capacidad Financiera'!$C$13:$Z$59051,3,0)),"",VLOOKUP(D13,'Capacidad Financiera'!$C$13:$Z$59051,3,0)))</f>
        <v>1000000</v>
      </c>
      <c r="F13" s="195">
        <f>IF(OR(C13="",D13=""),"",IF(ISERROR(VLOOKUP(D13,'Capacidad Financiera'!$C$13:$Z$59051,5,0)),"",VLOOKUP(D13,'Capacidad Financiera'!$C$13:$Z$59051,5,0)))</f>
        <v>1</v>
      </c>
      <c r="G13" s="195">
        <f>IF(OR(D13="",E13="",F13=""),"",IF(OR(E13=0,F13=0),0,E13/F13))</f>
        <v>1000000</v>
      </c>
      <c r="H13" s="195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>40</v>
      </c>
    </row>
    <row r="14" spans="3:13" ht="25.5" x14ac:dyDescent="0.2">
      <c r="C14" s="235">
        <v>4</v>
      </c>
      <c r="D14" s="129" t="str">
        <f>IF(ISERROR(VLOOKUP(C14,'Capacidad Financiera'!$B$12:$Z$59051,2,0)),"",VLOOKUP(C14,'Capacidad Financiera'!$B$12:$Z$59051,2,0))</f>
        <v>SERVICIOS Y MANTENIMIENTOS GOMEZ CADENA SAS</v>
      </c>
      <c r="E14" s="236">
        <f>IF(OR(C14="",D14=""),"",IF(ISERROR(VLOOKUP(D14,'Capacidad Financiera'!$C$13:$Z$59051,3,0)),"",VLOOKUP(D14,'Capacidad Financiera'!$C$13:$Z$59051,3,0)))</f>
        <v>20250800</v>
      </c>
      <c r="F14" s="236">
        <f>IF(OR(C14="",D14=""),"",IF(ISERROR(VLOOKUP(D14,'Capacidad Financiera'!$C$13:$Z$59051,5,0)),"",VLOOKUP(D14,'Capacidad Financiera'!$C$13:$Z$59051,5,0)))</f>
        <v>2266100</v>
      </c>
      <c r="G14" s="236">
        <f t="shared" ref="G14" si="1">IF(OR(D14="",E14="",F14=""),"",IF(OR(E14=0,F14=0),0,E14/F14))</f>
        <v>8.9364105732315426</v>
      </c>
      <c r="H14" s="236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>40</v>
      </c>
    </row>
    <row r="15" spans="3:13" x14ac:dyDescent="0.2">
      <c r="C15" s="235">
        <v>5</v>
      </c>
      <c r="D15" s="129" t="str">
        <f>IF(ISERROR(VLOOKUP(C15,'Capacidad Financiera'!$B$12:$Z$59051,2,0)),"",VLOOKUP(C15,'Capacidad Financiera'!$B$12:$Z$59051,2,0))</f>
        <v>COOTENEGRAN</v>
      </c>
      <c r="E15" s="236">
        <f>IF(OR(C15="",D15=""),"",IF(ISERROR(VLOOKUP(D15,'Capacidad Financiera'!$C$13:$Z$59051,3,0)),"",VLOOKUP(D15,'Capacidad Financiera'!$C$13:$Z$59051,3,0)))</f>
        <v>64464442</v>
      </c>
      <c r="F15" s="236">
        <f>IF(OR(C15="",D15=""),"",IF(ISERROR(VLOOKUP(D15,'Capacidad Financiera'!$C$13:$Z$59051,5,0)),"",VLOOKUP(D15,'Capacidad Financiera'!$C$13:$Z$59051,5,0)))</f>
        <v>6929605</v>
      </c>
      <c r="G15" s="236">
        <f t="shared" ref="G15" si="2">IF(OR(D15="",E15="",F15=""),"",IF(OR(E15=0,F15=0),0,E15/F15))</f>
        <v>9.3027585266404067</v>
      </c>
      <c r="H15" s="236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>40</v>
      </c>
    </row>
    <row r="16" spans="3:13" x14ac:dyDescent="0.2">
      <c r="C16" s="235">
        <v>6</v>
      </c>
      <c r="D16" s="129" t="str">
        <f>IF(ISERROR(VLOOKUP(C16,'Capacidad Financiera'!$B$12:$Z$59051,2,0)),"",VLOOKUP(C16,'Capacidad Financiera'!$B$12:$Z$59051,2,0))</f>
        <v>CONSORCIO MV MAGDALENA 2019</v>
      </c>
      <c r="E16" s="236">
        <f>E17+E18</f>
        <v>45861110790</v>
      </c>
      <c r="F16" s="236">
        <f>F17+F18</f>
        <v>477423700</v>
      </c>
      <c r="G16" s="236">
        <f>IF(OR(D16="",E16="",F16=""),"",IF(OR(E16=0,F16=0),0,E16/F16))</f>
        <v>96.059560491027156</v>
      </c>
      <c r="H16" s="236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>40</v>
      </c>
    </row>
    <row r="17" spans="3:8" x14ac:dyDescent="0.2">
      <c r="C17" s="234">
        <f>+'Capacidad Financiera'!B20</f>
        <v>6.1</v>
      </c>
      <c r="D17" s="128" t="str">
        <f>IF(ISERROR(VLOOKUP(C17,'Capacidad Financiera'!$B$12:$Z$59051,2,0)),"",VLOOKUP(C17,'Capacidad Financiera'!$B$12:$Z$59051,2,0))</f>
        <v>CIVILTEC S.A.S</v>
      </c>
      <c r="E17" s="195">
        <f>IF(OR(C17="",D17=""),"",IF(ISERROR(VLOOKUP(D17,'Capacidad Financiera'!$C$13:$Z$59051,3,0)),"",VLOOKUP(D17,'Capacidad Financiera'!$C$13:$Z$59051,3,0)))</f>
        <v>43155662890</v>
      </c>
      <c r="F17" s="195">
        <f>IF(OR(C17="",D17=""),"",IF(ISERROR(VLOOKUP(D17,'Capacidad Financiera'!$C$13:$Z$59051,5,0)),"",VLOOKUP(D17,'Capacidad Financiera'!$C$13:$Z$59051,5,0)))</f>
        <v>386823300</v>
      </c>
      <c r="G17" s="195"/>
      <c r="H17" s="237"/>
    </row>
    <row r="18" spans="3:8" x14ac:dyDescent="0.2">
      <c r="C18" s="234">
        <f>+'Capacidad Financiera'!B21</f>
        <v>6.2</v>
      </c>
      <c r="D18" s="128" t="str">
        <f>IF(ISERROR(VLOOKUP(C18,'Capacidad Financiera'!$B$12:$Z$59051,2,0)),"",VLOOKUP(C18,'Capacidad Financiera'!$B$12:$Z$59051,2,0))</f>
        <v>BGDSA S.A.S</v>
      </c>
      <c r="E18" s="195">
        <f>IF(OR(C18="",D18=""),"",IF(ISERROR(VLOOKUP(D18,'Capacidad Financiera'!$C$13:$Z$59051,3,0)),"",VLOOKUP(D18,'Capacidad Financiera'!$C$13:$Z$59051,3,0)))</f>
        <v>2705447900</v>
      </c>
      <c r="F18" s="195">
        <f>IF(OR(C18="",D18=""),"",IF(ISERROR(VLOOKUP(D18,'Capacidad Financiera'!$C$13:$Z$59051,5,0)),"",VLOOKUP(D18,'Capacidad Financiera'!$C$13:$Z$59051,5,0)))</f>
        <v>90600400</v>
      </c>
      <c r="G18" s="195"/>
      <c r="H18" s="237"/>
    </row>
    <row r="19" spans="3:8" x14ac:dyDescent="0.2">
      <c r="C19" s="235">
        <v>7</v>
      </c>
      <c r="D19" s="129" t="str">
        <f>IF(ISERROR(VLOOKUP(C19,'Capacidad Financiera'!$B$12:$Z$59051,2,0)),"",VLOOKUP(C19,'Capacidad Financiera'!$B$12:$Z$59051,2,0))</f>
        <v>COOPIRAGUA</v>
      </c>
      <c r="E19" s="236">
        <f>IF(OR(C19="",D19=""),"",IF(ISERROR(VLOOKUP(D19,'Capacidad Financiera'!$C$13:$Z$59051,3,0)),"",VLOOKUP(D19,'Capacidad Financiera'!$C$13:$Z$59051,3,0)))</f>
        <v>9000000</v>
      </c>
      <c r="F19" s="236">
        <f>IF(OR(C19="",D19=""),"",IF(ISERROR(VLOOKUP(D19,'Capacidad Financiera'!$C$13:$Z$59051,5,0)),"",VLOOKUP(D19,'Capacidad Financiera'!$C$13:$Z$59051,5,0)))</f>
        <v>2000000</v>
      </c>
      <c r="G19" s="236">
        <f>IF(OR(D19="",E19="",F19=""),"",IF(OR(E19=0,F19=0),0,E19/F19))</f>
        <v>4.5</v>
      </c>
      <c r="H19" s="236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>40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1 D6:H6">
    <cfRule type="cellIs" dxfId="130" priority="543" stopIfTrue="1" operator="equal">
      <formula>"NO ADMISIBLE"</formula>
    </cfRule>
  </conditionalFormatting>
  <conditionalFormatting sqref="E10:G10">
    <cfRule type="expression" dxfId="129" priority="537" stopIfTrue="1">
      <formula>IF($B2-INT($B2)&gt;0,TRUE,FALSE)</formula>
    </cfRule>
  </conditionalFormatting>
  <conditionalFormatting sqref="E9:F9">
    <cfRule type="expression" dxfId="128" priority="544" stopIfTrue="1">
      <formula>IF(#REF!-INT(#REF!)&gt;0,TRUE,FALSE)</formula>
    </cfRule>
  </conditionalFormatting>
  <conditionalFormatting sqref="E11:G11 E13:F13 H10:H11 H13">
    <cfRule type="expression" dxfId="127" priority="3049" stopIfTrue="1">
      <formula>IF($B4-INT($B4)&gt;0,TRUE,FALSE)</formula>
    </cfRule>
  </conditionalFormatting>
  <conditionalFormatting sqref="D12">
    <cfRule type="cellIs" dxfId="126" priority="50" stopIfTrue="1" operator="equal">
      <formula>"NO ADMISIBLE"</formula>
    </cfRule>
  </conditionalFormatting>
  <conditionalFormatting sqref="D13">
    <cfRule type="cellIs" dxfId="125" priority="44" stopIfTrue="1" operator="equal">
      <formula>"NO ADMISIBLE"</formula>
    </cfRule>
  </conditionalFormatting>
  <conditionalFormatting sqref="D16:D18">
    <cfRule type="cellIs" dxfId="124" priority="26" stopIfTrue="1" operator="equal">
      <formula>"NO ADMISIBLE"</formula>
    </cfRule>
  </conditionalFormatting>
  <conditionalFormatting sqref="E17:G17">
    <cfRule type="expression" dxfId="123" priority="24" stopIfTrue="1">
      <formula>IF(#REF!-INT(#REF!)&gt;0,TRUE,FALSE)</formula>
    </cfRule>
  </conditionalFormatting>
  <conditionalFormatting sqref="E16:F16">
    <cfRule type="expression" dxfId="122" priority="27" stopIfTrue="1">
      <formula>IF(#REF!-INT(#REF!)&gt;0,TRUE,FALSE)</formula>
    </cfRule>
  </conditionalFormatting>
  <conditionalFormatting sqref="E18:G18">
    <cfRule type="expression" dxfId="121" priority="28" stopIfTrue="1">
      <formula>IF(#REF!-INT(#REF!)&gt;0,TRUE,FALSE)</formula>
    </cfRule>
  </conditionalFormatting>
  <conditionalFormatting sqref="D19">
    <cfRule type="cellIs" dxfId="120" priority="20" stopIfTrue="1" operator="equal">
      <formula>"NO ADMISIBLE"</formula>
    </cfRule>
  </conditionalFormatting>
  <conditionalFormatting sqref="G13">
    <cfRule type="expression" dxfId="119" priority="17" stopIfTrue="1">
      <formula>IF($B7-INT($B7)&gt;0,TRUE,FALSE)</formula>
    </cfRule>
  </conditionalFormatting>
  <conditionalFormatting sqref="G16:H16 H17:H19">
    <cfRule type="expression" dxfId="118" priority="15" stopIfTrue="1">
      <formula>IF(#REF!-INT(#REF!)&gt;0,TRUE,FALSE)</formula>
    </cfRule>
  </conditionalFormatting>
  <conditionalFormatting sqref="E19:F19">
    <cfRule type="expression" dxfId="117" priority="13" stopIfTrue="1">
      <formula>IF(#REF!-INT(#REF!)&gt;0,TRUE,FALSE)</formula>
    </cfRule>
  </conditionalFormatting>
  <conditionalFormatting sqref="G19">
    <cfRule type="expression" dxfId="116" priority="12" stopIfTrue="1">
      <formula>IF(#REF!-INT(#REF!)&gt;0,TRUE,FALSE)</formula>
    </cfRule>
  </conditionalFormatting>
  <conditionalFormatting sqref="G9:H9">
    <cfRule type="expression" dxfId="115" priority="10" stopIfTrue="1">
      <formula>IF(#REF!-INT(#REF!)&gt;0,TRUE,FALSE)</formula>
    </cfRule>
  </conditionalFormatting>
  <conditionalFormatting sqref="E12:F12">
    <cfRule type="expression" dxfId="114" priority="8" stopIfTrue="1">
      <formula>IF(#REF!-INT(#REF!)&gt;0,TRUE,FALSE)</formula>
    </cfRule>
  </conditionalFormatting>
  <conditionalFormatting sqref="G12:H12">
    <cfRule type="expression" dxfId="113" priority="7" stopIfTrue="1">
      <formula>IF(#REF!-INT(#REF!)&gt;0,TRUE,FALSE)</formula>
    </cfRule>
  </conditionalFormatting>
  <conditionalFormatting sqref="D14">
    <cfRule type="cellIs" dxfId="112" priority="6" stopIfTrue="1" operator="equal">
      <formula>"NO ADMISIBLE"</formula>
    </cfRule>
  </conditionalFormatting>
  <conditionalFormatting sqref="E14:F14">
    <cfRule type="expression" dxfId="111" priority="5" stopIfTrue="1">
      <formula>IF(#REF!-INT(#REF!)&gt;0,TRUE,FALSE)</formula>
    </cfRule>
  </conditionalFormatting>
  <conditionalFormatting sqref="G14:H14">
    <cfRule type="expression" dxfId="110" priority="4" stopIfTrue="1">
      <formula>IF(#REF!-INT(#REF!)&gt;0,TRUE,FALSE)</formula>
    </cfRule>
  </conditionalFormatting>
  <conditionalFormatting sqref="D15">
    <cfRule type="cellIs" dxfId="109" priority="3" stopIfTrue="1" operator="equal">
      <formula>"NO ADMISIBLE"</formula>
    </cfRule>
  </conditionalFormatting>
  <conditionalFormatting sqref="E15:F15">
    <cfRule type="expression" dxfId="108" priority="2" stopIfTrue="1">
      <formula>IF(#REF!-INT(#REF!)&gt;0,TRUE,FALSE)</formula>
    </cfRule>
  </conditionalFormatting>
  <conditionalFormatting sqref="G15:H15">
    <cfRule type="expression" dxfId="107" priority="1" stopIfTrue="1">
      <formula>IF(#REF!-INT(#REF!)&gt;0,TRUE,FALSE)</formula>
    </cfRule>
  </conditionalFormatting>
  <dataValidations count="1">
    <dataValidation type="list" allowBlank="1" showInputMessage="1" showErrorMessage="1" sqref="D6 D9:D19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C2:J19"/>
  <sheetViews>
    <sheetView topLeftCell="B4" workbookViewId="0">
      <selection activeCell="E19" sqref="E19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34.140625" style="149" customWidth="1"/>
    <col min="5" max="5" width="42" style="136" customWidth="1"/>
    <col min="6" max="6" width="11.42578125" style="149"/>
    <col min="7" max="7" width="13.85546875" style="161" customWidth="1"/>
    <col min="8" max="8" width="9.7109375" style="162" customWidth="1"/>
    <col min="9" max="9" width="12.5703125" style="149" customWidth="1"/>
    <col min="10" max="10" width="12.7109375" style="149" customWidth="1"/>
    <col min="11" max="16384" width="11.42578125" style="149"/>
  </cols>
  <sheetData>
    <row r="2" spans="3:10" s="151" customFormat="1" ht="20.25" customHeight="1" x14ac:dyDescent="0.2">
      <c r="C2" s="309" t="s">
        <v>196</v>
      </c>
      <c r="D2" s="309"/>
      <c r="E2" s="309"/>
      <c r="G2" s="152"/>
      <c r="H2" s="153"/>
    </row>
    <row r="3" spans="3:10" s="151" customFormat="1" ht="18" customHeight="1" x14ac:dyDescent="0.2">
      <c r="C3" s="310" t="s">
        <v>210</v>
      </c>
      <c r="D3" s="310"/>
      <c r="E3" s="310"/>
      <c r="G3" s="152"/>
      <c r="H3" s="153"/>
    </row>
    <row r="4" spans="3:10" s="151" customFormat="1" ht="13.5" customHeight="1" x14ac:dyDescent="0.2">
      <c r="C4" s="311" t="str">
        <f>'Capacidad Financiera'!B4</f>
        <v>DIRECCIÓN TERRITORIAL MAGDALENA</v>
      </c>
      <c r="D4" s="311"/>
      <c r="E4" s="311"/>
      <c r="G4" s="152"/>
      <c r="H4" s="153"/>
    </row>
    <row r="5" spans="3:10" s="151" customFormat="1" ht="13.5" customHeight="1" x14ac:dyDescent="0.2">
      <c r="C5" s="311" t="s">
        <v>222</v>
      </c>
      <c r="D5" s="311"/>
      <c r="E5" s="311"/>
      <c r="G5" s="152"/>
      <c r="H5" s="153"/>
    </row>
    <row r="6" spans="3:10" s="151" customFormat="1" ht="14.25" thickBot="1" x14ac:dyDescent="0.25">
      <c r="C6" s="154"/>
      <c r="D6" s="155"/>
      <c r="E6" s="159"/>
      <c r="G6" s="152"/>
      <c r="H6" s="153"/>
    </row>
    <row r="7" spans="3:10" ht="36" customHeight="1" x14ac:dyDescent="0.2">
      <c r="C7" s="312" t="s">
        <v>157</v>
      </c>
      <c r="D7" s="314" t="s">
        <v>156</v>
      </c>
      <c r="E7" s="320" t="s">
        <v>223</v>
      </c>
    </row>
    <row r="8" spans="3:10" ht="36" customHeight="1" thickBot="1" x14ac:dyDescent="0.25">
      <c r="C8" s="313"/>
      <c r="D8" s="315"/>
      <c r="E8" s="321"/>
    </row>
    <row r="9" spans="3:10" x14ac:dyDescent="0.2">
      <c r="C9" s="92">
        <f>+'Capacidad Financiera'!B12</f>
        <v>1</v>
      </c>
      <c r="D9" s="93" t="str">
        <f>IF(ISERROR(VLOOKUP(C9,'Capacidad Financiera'!$B$12:$Z$59051,2,0)),"",VLOOKUP(C9,'Capacidad Financiera'!$B$12:$Z$59051,2,0))</f>
        <v>COBOL</v>
      </c>
      <c r="E9" s="241">
        <f>E10+E11</f>
        <v>41591666.859999999</v>
      </c>
      <c r="G9" s="163"/>
      <c r="H9" s="164"/>
      <c r="I9" s="150"/>
      <c r="J9" s="165"/>
    </row>
    <row r="10" spans="3:10" x14ac:dyDescent="0.2">
      <c r="C10" s="97">
        <f>+'Capacidad Financiera'!B13</f>
        <v>1.1000000000000001</v>
      </c>
      <c r="D10" s="128" t="str">
        <f>IF(ISERROR(VLOOKUP(C10,'Capacidad Financiera'!$B$12:$Z$59051,2,0)),"",VLOOKUP(C10,'Capacidad Financiera'!$B$12:$Z$59051,2,0))</f>
        <v>COOTRASCIBOL</v>
      </c>
      <c r="E10" s="242">
        <v>29166666.859999999</v>
      </c>
    </row>
    <row r="11" spans="3:10" ht="13.5" thickBot="1" x14ac:dyDescent="0.25">
      <c r="C11" s="97">
        <f>+'Capacidad Financiera'!B14</f>
        <v>1.2</v>
      </c>
      <c r="D11" s="128" t="str">
        <f>IF(ISERROR(VLOOKUP(C11,'Capacidad Financiera'!$B$12:$Z$59051,2,0)),"",VLOOKUP(C11,'Capacidad Financiera'!$B$12:$Z$59051,2,0))</f>
        <v>COOTRASERVIM</v>
      </c>
      <c r="E11" s="242">
        <v>12425000</v>
      </c>
    </row>
    <row r="12" spans="3:10" ht="13.5" thickBot="1" x14ac:dyDescent="0.25">
      <c r="C12" s="92">
        <v>2</v>
      </c>
      <c r="D12" s="93" t="str">
        <f>IF(ISERROR(VLOOKUP(C12,'Capacidad Financiera'!$B$12:$Z$59051,2,0)),"",VLOOKUP(C12,'Capacidad Financiera'!$B$12:$Z$59051,2,0))</f>
        <v>COOTRAVAR</v>
      </c>
      <c r="E12" s="241">
        <v>0</v>
      </c>
    </row>
    <row r="13" spans="3:10" ht="13.5" thickBot="1" x14ac:dyDescent="0.25">
      <c r="C13" s="92">
        <v>3</v>
      </c>
      <c r="D13" s="93" t="str">
        <f>IF(ISERROR(VLOOKUP(C13,'Capacidad Financiera'!$B$12:$Z$59051,2,0)),"",VLOOKUP(C13,'Capacidad Financiera'!$B$12:$Z$59051,2,0))</f>
        <v>MANTENIMIENTO VIAL JJ S.A.S</v>
      </c>
      <c r="E13" s="241">
        <v>104008595.29000001</v>
      </c>
    </row>
    <row r="14" spans="3:10" ht="26.25" thickBot="1" x14ac:dyDescent="0.25">
      <c r="C14" s="92">
        <v>4</v>
      </c>
      <c r="D14" s="93" t="str">
        <f>IF(ISERROR(VLOOKUP(C14,'Capacidad Financiera'!$B$12:$Z$59051,2,0)),"",VLOOKUP(C14,'Capacidad Financiera'!$B$12:$Z$59051,2,0))</f>
        <v>SERVICIOS Y MANTENIMIENTOS GOMEZ CADENA SAS</v>
      </c>
      <c r="E14" s="241">
        <v>29755047.960000001</v>
      </c>
    </row>
    <row r="15" spans="3:10" ht="13.5" thickBot="1" x14ac:dyDescent="0.25">
      <c r="C15" s="92">
        <v>5</v>
      </c>
      <c r="D15" s="93" t="str">
        <f>IF(ISERROR(VLOOKUP(C15,'Capacidad Financiera'!$B$12:$Z$59051,2,0)),"",VLOOKUP(C15,'Capacidad Financiera'!$B$12:$Z$59051,2,0))</f>
        <v>COOTENEGRAN</v>
      </c>
      <c r="E15" s="241">
        <v>41359634.039999999</v>
      </c>
    </row>
    <row r="16" spans="3:10" x14ac:dyDescent="0.2">
      <c r="C16" s="92">
        <v>6</v>
      </c>
      <c r="D16" s="93" t="str">
        <f>IF(ISERROR(VLOOKUP(C16,'Capacidad Financiera'!$B$12:$Z$59051,2,0)),"",VLOOKUP(C16,'Capacidad Financiera'!$B$12:$Z$59051,2,0))</f>
        <v>CONSORCIO MV MAGDALENA 2019</v>
      </c>
      <c r="E16" s="241">
        <v>0</v>
      </c>
    </row>
    <row r="17" spans="3:5" x14ac:dyDescent="0.2">
      <c r="C17" s="97">
        <f>+'Capacidad Financiera'!B20</f>
        <v>6.1</v>
      </c>
      <c r="D17" s="128" t="str">
        <f>IF(ISERROR(VLOOKUP(C17,'Capacidad Financiera'!$B$12:$Z$59051,2,0)),"",VLOOKUP(C17,'Capacidad Financiera'!$B$12:$Z$59051,2,0))</f>
        <v>CIVILTEC S.A.S</v>
      </c>
      <c r="E17" s="242">
        <v>0</v>
      </c>
    </row>
    <row r="18" spans="3:5" ht="13.5" thickBot="1" x14ac:dyDescent="0.25">
      <c r="C18" s="97">
        <f>+'Capacidad Financiera'!B21</f>
        <v>6.2</v>
      </c>
      <c r="D18" s="128" t="str">
        <f>IF(ISERROR(VLOOKUP(C18,'Capacidad Financiera'!$B$12:$Z$59051,2,0)),"",VLOOKUP(C18,'Capacidad Financiera'!$B$12:$Z$59051,2,0))</f>
        <v>BGDSA S.A.S</v>
      </c>
      <c r="E18" s="242">
        <v>0</v>
      </c>
    </row>
    <row r="19" spans="3:5" x14ac:dyDescent="0.2">
      <c r="C19" s="92">
        <v>7</v>
      </c>
      <c r="D19" s="93" t="str">
        <f>IF(ISERROR(VLOOKUP(C19,'Capacidad Financiera'!$B$12:$Z$59051,2,0)),"",VLOOKUP(C19,'Capacidad Financiera'!$B$12:$Z$59051,2,0))</f>
        <v>COOPIRAGUA</v>
      </c>
      <c r="E19" s="241">
        <v>0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1 D6:E6">
    <cfRule type="cellIs" dxfId="106" priority="531" stopIfTrue="1" operator="equal">
      <formula>"NO ADMISIBLE"</formula>
    </cfRule>
  </conditionalFormatting>
  <conditionalFormatting sqref="E10">
    <cfRule type="expression" dxfId="105" priority="525" stopIfTrue="1">
      <formula>IF($B2-INT($B2)&gt;0,TRUE,FALSE)</formula>
    </cfRule>
  </conditionalFormatting>
  <conditionalFormatting sqref="E9">
    <cfRule type="expression" dxfId="104" priority="532" stopIfTrue="1">
      <formula>IF(#REF!-INT(#REF!)&gt;0,TRUE,FALSE)</formula>
    </cfRule>
  </conditionalFormatting>
  <conditionalFormatting sqref="E11">
    <cfRule type="expression" dxfId="103" priority="3040" stopIfTrue="1">
      <formula>IF($B5-INT($B5)&gt;0,TRUE,FALSE)</formula>
    </cfRule>
  </conditionalFormatting>
  <conditionalFormatting sqref="D12">
    <cfRule type="cellIs" dxfId="102" priority="34" stopIfTrue="1" operator="equal">
      <formula>"NO ADMISIBLE"</formula>
    </cfRule>
  </conditionalFormatting>
  <conditionalFormatting sqref="E12">
    <cfRule type="expression" dxfId="101" priority="35" stopIfTrue="1">
      <formula>IF(#REF!-INT(#REF!)&gt;0,TRUE,FALSE)</formula>
    </cfRule>
  </conditionalFormatting>
  <conditionalFormatting sqref="D13">
    <cfRule type="cellIs" dxfId="100" priority="28" stopIfTrue="1" operator="equal">
      <formula>"NO ADMISIBLE"</formula>
    </cfRule>
  </conditionalFormatting>
  <conditionalFormatting sqref="E13">
    <cfRule type="expression" dxfId="99" priority="29" stopIfTrue="1">
      <formula>IF(#REF!-INT(#REF!)&gt;0,TRUE,FALSE)</formula>
    </cfRule>
  </conditionalFormatting>
  <conditionalFormatting sqref="D14">
    <cfRule type="cellIs" dxfId="98" priority="22" stopIfTrue="1" operator="equal">
      <formula>"NO ADMISIBLE"</formula>
    </cfRule>
  </conditionalFormatting>
  <conditionalFormatting sqref="D15">
    <cfRule type="cellIs" dxfId="97" priority="16" stopIfTrue="1" operator="equal">
      <formula>"NO ADMISIBLE"</formula>
    </cfRule>
  </conditionalFormatting>
  <conditionalFormatting sqref="E15">
    <cfRule type="expression" dxfId="96" priority="17" stopIfTrue="1">
      <formula>IF(#REF!-INT(#REF!)&gt;0,TRUE,FALSE)</formula>
    </cfRule>
  </conditionalFormatting>
  <conditionalFormatting sqref="D16:D18">
    <cfRule type="cellIs" dxfId="95" priority="10" stopIfTrue="1" operator="equal">
      <formula>"NO ADMISIBLE"</formula>
    </cfRule>
  </conditionalFormatting>
  <conditionalFormatting sqref="E17">
    <cfRule type="expression" dxfId="94" priority="8" stopIfTrue="1">
      <formula>IF(#REF!-INT(#REF!)&gt;0,TRUE,FALSE)</formula>
    </cfRule>
  </conditionalFormatting>
  <conditionalFormatting sqref="E16">
    <cfRule type="expression" dxfId="93" priority="11" stopIfTrue="1">
      <formula>IF(#REF!-INT(#REF!)&gt;0,TRUE,FALSE)</formula>
    </cfRule>
  </conditionalFormatting>
  <conditionalFormatting sqref="E18">
    <cfRule type="expression" dxfId="92" priority="12" stopIfTrue="1">
      <formula>IF(#REF!-INT(#REF!)&gt;0,TRUE,FALSE)</formula>
    </cfRule>
  </conditionalFormatting>
  <conditionalFormatting sqref="D19">
    <cfRule type="cellIs" dxfId="91" priority="4" stopIfTrue="1" operator="equal">
      <formula>"NO ADMISIBLE"</formula>
    </cfRule>
  </conditionalFormatting>
  <conditionalFormatting sqref="E19">
    <cfRule type="expression" dxfId="90" priority="5" stopIfTrue="1">
      <formula>IF(#REF!-INT(#REF!)&gt;0,TRUE,FALSE)</formula>
    </cfRule>
  </conditionalFormatting>
  <conditionalFormatting sqref="E14">
    <cfRule type="expression" dxfId="89" priority="1" stopIfTrue="1">
      <formula>IF(#REF!-INT(#REF!)&gt;0,TRUE,FALSE)</formula>
    </cfRule>
  </conditionalFormatting>
  <dataValidations count="1">
    <dataValidation type="list" allowBlank="1" showInputMessage="1" showErrorMessage="1" sqref="D6 D9:D19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C2:J19"/>
  <sheetViews>
    <sheetView topLeftCell="A4" workbookViewId="0">
      <selection activeCell="E13" sqref="E13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35.140625" style="149" customWidth="1"/>
    <col min="5" max="5" width="68.140625" style="136" customWidth="1"/>
    <col min="6" max="6" width="11.42578125" style="149"/>
    <col min="7" max="7" width="13.85546875" style="161" customWidth="1"/>
    <col min="8" max="8" width="9.7109375" style="162" customWidth="1"/>
    <col min="9" max="9" width="12.5703125" style="149" customWidth="1"/>
    <col min="10" max="10" width="12.7109375" style="149" customWidth="1"/>
    <col min="11" max="16384" width="11.42578125" style="149"/>
  </cols>
  <sheetData>
    <row r="2" spans="3:10" s="151" customFormat="1" ht="20.25" customHeight="1" x14ac:dyDescent="0.2">
      <c r="C2" s="309" t="s">
        <v>196</v>
      </c>
      <c r="D2" s="309"/>
      <c r="E2" s="309"/>
      <c r="G2" s="152"/>
      <c r="H2" s="153"/>
    </row>
    <row r="3" spans="3:10" s="151" customFormat="1" ht="18" customHeight="1" x14ac:dyDescent="0.2">
      <c r="C3" s="310" t="s">
        <v>210</v>
      </c>
      <c r="D3" s="310"/>
      <c r="E3" s="310"/>
      <c r="G3" s="152"/>
      <c r="H3" s="153"/>
    </row>
    <row r="4" spans="3:10" s="151" customFormat="1" ht="13.5" customHeight="1" x14ac:dyDescent="0.2">
      <c r="C4" s="311" t="str">
        <f>'Capacidad Financiera'!B4</f>
        <v>DIRECCIÓN TERRITORIAL MAGDALENA</v>
      </c>
      <c r="D4" s="311"/>
      <c r="E4" s="311"/>
      <c r="G4" s="152"/>
      <c r="H4" s="153"/>
    </row>
    <row r="5" spans="3:10" s="151" customFormat="1" ht="13.5" customHeight="1" x14ac:dyDescent="0.2">
      <c r="C5" s="311" t="s">
        <v>224</v>
      </c>
      <c r="D5" s="311"/>
      <c r="E5" s="311"/>
      <c r="G5" s="152"/>
      <c r="H5" s="153"/>
    </row>
    <row r="6" spans="3:10" s="151" customFormat="1" ht="14.25" thickBot="1" x14ac:dyDescent="0.25">
      <c r="C6" s="154"/>
      <c r="D6" s="155"/>
      <c r="E6" s="159"/>
      <c r="G6" s="152"/>
      <c r="H6" s="153"/>
    </row>
    <row r="7" spans="3:10" ht="23.25" customHeight="1" x14ac:dyDescent="0.2">
      <c r="C7" s="312" t="s">
        <v>157</v>
      </c>
      <c r="D7" s="314" t="s">
        <v>156</v>
      </c>
      <c r="E7" s="191" t="s">
        <v>225</v>
      </c>
    </row>
    <row r="8" spans="3:10" ht="66" customHeight="1" thickBot="1" x14ac:dyDescent="0.25">
      <c r="C8" s="313"/>
      <c r="D8" s="315"/>
      <c r="E8" s="201" t="s">
        <v>229</v>
      </c>
    </row>
    <row r="9" spans="3:10" x14ac:dyDescent="0.2">
      <c r="C9" s="92">
        <f>+'Capacidad Financiera'!B12</f>
        <v>1</v>
      </c>
      <c r="D9" s="93" t="str">
        <f>IF(ISERROR(VLOOKUP(C9,'Capacidad Financiera'!$B$12:$Z$59051,2,0)),"",VLOOKUP(C9,'Capacidad Financiera'!$B$12:$Z$59051,2,0))</f>
        <v>COBOL</v>
      </c>
      <c r="E9" s="188">
        <f>E10+E11</f>
        <v>874951300</v>
      </c>
      <c r="G9" s="163"/>
      <c r="H9" s="164"/>
      <c r="I9" s="150"/>
      <c r="J9" s="165"/>
    </row>
    <row r="10" spans="3:10" x14ac:dyDescent="0.2">
      <c r="C10" s="97">
        <f>+'Capacidad Financiera'!B13</f>
        <v>1.1000000000000001</v>
      </c>
      <c r="D10" s="128" t="str">
        <f>IF(ISERROR(VLOOKUP(C10,'Capacidad Financiera'!$B$12:$Z$59051,2,0)),"",VLOOKUP(C10,'Capacidad Financiera'!$B$12:$Z$59051,2,0))</f>
        <v>COOTRASCIBOL</v>
      </c>
      <c r="E10" s="202">
        <v>377079000</v>
      </c>
    </row>
    <row r="11" spans="3:10" ht="13.5" thickBot="1" x14ac:dyDescent="0.25">
      <c r="C11" s="97">
        <f>+'Capacidad Financiera'!B14</f>
        <v>1.2</v>
      </c>
      <c r="D11" s="128" t="str">
        <f>IF(ISERROR(VLOOKUP(C11,'Capacidad Financiera'!$B$12:$Z$59051,2,0)),"",VLOOKUP(C11,'Capacidad Financiera'!$B$12:$Z$59051,2,0))</f>
        <v>COOTRASERVIM</v>
      </c>
      <c r="E11" s="202">
        <v>497872300</v>
      </c>
    </row>
    <row r="12" spans="3:10" ht="13.5" thickBot="1" x14ac:dyDescent="0.25">
      <c r="C12" s="92">
        <v>2</v>
      </c>
      <c r="D12" s="93" t="str">
        <f>IF(ISERROR(VLOOKUP(C12,'Capacidad Financiera'!$B$12:$Z$59051,2,0)),"",VLOOKUP(C12,'Capacidad Financiera'!$B$12:$Z$59051,2,0))</f>
        <v>COOTRAVAR</v>
      </c>
      <c r="E12" s="188">
        <v>377077000</v>
      </c>
    </row>
    <row r="13" spans="3:10" ht="13.5" thickBot="1" x14ac:dyDescent="0.25">
      <c r="C13" s="92">
        <v>3</v>
      </c>
      <c r="D13" s="93" t="str">
        <f>IF(ISERROR(VLOOKUP(C13,'Capacidad Financiera'!$B$12:$Z$59051,2,0)),"",VLOOKUP(C13,'Capacidad Financiera'!$B$12:$Z$59051,2,0))</f>
        <v>MANTENIMIENTO VIAL JJ S.A.S</v>
      </c>
      <c r="E13" s="188">
        <v>377079000</v>
      </c>
    </row>
    <row r="14" spans="3:10" ht="26.25" thickBot="1" x14ac:dyDescent="0.25">
      <c r="C14" s="92">
        <v>4</v>
      </c>
      <c r="D14" s="93" t="str">
        <f>IF(ISERROR(VLOOKUP(C14,'Capacidad Financiera'!$B$12:$Z$59051,2,0)),"",VLOOKUP(C14,'Capacidad Financiera'!$B$12:$Z$59051,2,0))</f>
        <v>SERVICIOS Y MANTENIMIENTOS GOMEZ CADENA SAS</v>
      </c>
      <c r="E14" s="188">
        <v>377079000</v>
      </c>
    </row>
    <row r="15" spans="3:10" ht="13.5" thickBot="1" x14ac:dyDescent="0.25">
      <c r="C15" s="92">
        <v>5</v>
      </c>
      <c r="D15" s="93" t="str">
        <f>IF(ISERROR(VLOOKUP(C15,'Capacidad Financiera'!$B$12:$Z$59051,2,0)),"",VLOOKUP(C15,'Capacidad Financiera'!$B$12:$Z$59051,2,0))</f>
        <v>COOTENEGRAN</v>
      </c>
      <c r="E15" s="188">
        <v>377079000</v>
      </c>
    </row>
    <row r="16" spans="3:10" x14ac:dyDescent="0.2">
      <c r="C16" s="92">
        <v>6</v>
      </c>
      <c r="D16" s="93" t="str">
        <f>IF(ISERROR(VLOOKUP(C16,'Capacidad Financiera'!$B$12:$Z$59051,2,0)),"",VLOOKUP(C16,'Capacidad Financiera'!$B$12:$Z$59051,2,0))</f>
        <v>CONSORCIO MV MAGDALENA 2019</v>
      </c>
      <c r="E16" s="188">
        <f>E17+E18</f>
        <v>21081259087</v>
      </c>
    </row>
    <row r="17" spans="3:5" x14ac:dyDescent="0.2">
      <c r="C17" s="97">
        <f>+'Capacidad Financiera'!B20</f>
        <v>6.1</v>
      </c>
      <c r="D17" s="128" t="str">
        <f>IF(ISERROR(VLOOKUP(C17,'Capacidad Financiera'!$B$12:$Z$59051,2,0)),"",VLOOKUP(C17,'Capacidad Financiera'!$B$12:$Z$59051,2,0))</f>
        <v>CIVILTEC S.A.S</v>
      </c>
      <c r="E17" s="202">
        <v>16756459087</v>
      </c>
    </row>
    <row r="18" spans="3:5" ht="13.5" thickBot="1" x14ac:dyDescent="0.25">
      <c r="C18" s="97">
        <f>+'Capacidad Financiera'!B21</f>
        <v>6.2</v>
      </c>
      <c r="D18" s="128" t="str">
        <f>IF(ISERROR(VLOOKUP(C18,'Capacidad Financiera'!$B$12:$Z$59051,2,0)),"",VLOOKUP(C18,'Capacidad Financiera'!$B$12:$Z$59051,2,0))</f>
        <v>BGDSA S.A.S</v>
      </c>
      <c r="E18" s="202">
        <v>4324800000</v>
      </c>
    </row>
    <row r="19" spans="3:5" x14ac:dyDescent="0.2">
      <c r="C19" s="92">
        <v>7</v>
      </c>
      <c r="D19" s="93" t="str">
        <f>IF(ISERROR(VLOOKUP(C19,'Capacidad Financiera'!$B$12:$Z$59051,2,0)),"",VLOOKUP(C19,'Capacidad Financiera'!$B$12:$Z$59051,2,0))</f>
        <v>COOPIRAGUA</v>
      </c>
      <c r="E19" s="188">
        <v>377079000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9:D11 D6:E6">
    <cfRule type="cellIs" dxfId="88" priority="368" stopIfTrue="1" operator="equal">
      <formula>"NO ADMISIBLE"</formula>
    </cfRule>
  </conditionalFormatting>
  <conditionalFormatting sqref="E10">
    <cfRule type="expression" dxfId="87" priority="362" stopIfTrue="1">
      <formula>IF($B2-INT($B2)&gt;0,TRUE,FALSE)</formula>
    </cfRule>
  </conditionalFormatting>
  <conditionalFormatting sqref="E9">
    <cfRule type="expression" dxfId="86" priority="369" stopIfTrue="1">
      <formula>IF(#REF!-INT(#REF!)&gt;0,TRUE,FALSE)</formula>
    </cfRule>
  </conditionalFormatting>
  <conditionalFormatting sqref="E11">
    <cfRule type="expression" dxfId="85" priority="352" stopIfTrue="1">
      <formula>IF($B3-INT($B3)&gt;0,TRUE,FALSE)</formula>
    </cfRule>
  </conditionalFormatting>
  <conditionalFormatting sqref="D12">
    <cfRule type="cellIs" dxfId="84" priority="25" stopIfTrue="1" operator="equal">
      <formula>"NO ADMISIBLE"</formula>
    </cfRule>
  </conditionalFormatting>
  <conditionalFormatting sqref="D13">
    <cfRule type="cellIs" dxfId="83" priority="21" stopIfTrue="1" operator="equal">
      <formula>"NO ADMISIBLE"</formula>
    </cfRule>
  </conditionalFormatting>
  <conditionalFormatting sqref="E18">
    <cfRule type="expression" dxfId="82" priority="20" stopIfTrue="1">
      <formula>IF(#REF!-INT(#REF!)&gt;0,TRUE,FALSE)</formula>
    </cfRule>
  </conditionalFormatting>
  <conditionalFormatting sqref="E13">
    <cfRule type="expression" dxfId="81" priority="22" stopIfTrue="1">
      <formula>IF(#REF!-INT(#REF!)&gt;0,TRUE,FALSE)</formula>
    </cfRule>
  </conditionalFormatting>
  <conditionalFormatting sqref="D14">
    <cfRule type="cellIs" dxfId="80" priority="17" stopIfTrue="1" operator="equal">
      <formula>"NO ADMISIBLE"</formula>
    </cfRule>
  </conditionalFormatting>
  <conditionalFormatting sqref="E14">
    <cfRule type="expression" dxfId="79" priority="18" stopIfTrue="1">
      <formula>IF(#REF!-INT(#REF!)&gt;0,TRUE,FALSE)</formula>
    </cfRule>
  </conditionalFormatting>
  <conditionalFormatting sqref="D15">
    <cfRule type="cellIs" dxfId="78" priority="13" stopIfTrue="1" operator="equal">
      <formula>"NO ADMISIBLE"</formula>
    </cfRule>
  </conditionalFormatting>
  <conditionalFormatting sqref="E15">
    <cfRule type="expression" dxfId="77" priority="14" stopIfTrue="1">
      <formula>IF(#REF!-INT(#REF!)&gt;0,TRUE,FALSE)</formula>
    </cfRule>
  </conditionalFormatting>
  <conditionalFormatting sqref="D16:D18">
    <cfRule type="cellIs" dxfId="76" priority="9" stopIfTrue="1" operator="equal">
      <formula>"NO ADMISIBLE"</formula>
    </cfRule>
  </conditionalFormatting>
  <conditionalFormatting sqref="E17">
    <cfRule type="expression" dxfId="75" priority="8" stopIfTrue="1">
      <formula>IF(#REF!-INT(#REF!)&gt;0,TRUE,FALSE)</formula>
    </cfRule>
  </conditionalFormatting>
  <conditionalFormatting sqref="D19">
    <cfRule type="cellIs" dxfId="74" priority="5" stopIfTrue="1" operator="equal">
      <formula>"NO ADMISIBLE"</formula>
    </cfRule>
  </conditionalFormatting>
  <conditionalFormatting sqref="E19">
    <cfRule type="expression" dxfId="73" priority="6" stopIfTrue="1">
      <formula>IF(#REF!-INT(#REF!)&gt;0,TRUE,FALSE)</formula>
    </cfRule>
  </conditionalFormatting>
  <conditionalFormatting sqref="E16">
    <cfRule type="expression" dxfId="72" priority="2" stopIfTrue="1">
      <formula>IF(#REF!-INT(#REF!)&gt;0,TRUE,FALSE)</formula>
    </cfRule>
  </conditionalFormatting>
  <conditionalFormatting sqref="E12">
    <cfRule type="expression" dxfId="71" priority="1" stopIfTrue="1">
      <formula>IF(#REF!-INT(#REF!)&gt;0,TRUE,FALSE)</formula>
    </cfRule>
  </conditionalFormatting>
  <dataValidations count="1">
    <dataValidation type="list" allowBlank="1" showInputMessage="1" showErrorMessage="1" sqref="D6 D9:D19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20"/>
  <sheetViews>
    <sheetView tabSelected="1" workbookViewId="0">
      <selection activeCell="J30" sqref="J30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11.5703125" style="149" customWidth="1"/>
    <col min="6" max="6" width="3.85546875" style="149" customWidth="1"/>
    <col min="7" max="7" width="17" style="149" customWidth="1"/>
    <col min="8" max="8" width="15.5703125" style="149" customWidth="1"/>
    <col min="9" max="9" width="3.7109375" style="149" customWidth="1"/>
    <col min="10" max="10" width="29" style="149" customWidth="1"/>
    <col min="11" max="11" width="16.5703125" style="136" customWidth="1"/>
    <col min="12" max="12" width="14.5703125" style="136" customWidth="1"/>
    <col min="13" max="13" width="8.85546875" style="136" hidden="1" customWidth="1"/>
    <col min="14" max="14" width="14.5703125" style="136" hidden="1" customWidth="1"/>
    <col min="15" max="15" width="13.140625" style="136" customWidth="1"/>
    <col min="16" max="16" width="13.85546875" style="136" bestFit="1" customWidth="1"/>
    <col min="17" max="17" width="20.7109375" style="136" customWidth="1"/>
    <col min="18" max="18" width="26.42578125" style="136" customWidth="1"/>
    <col min="19" max="19" width="29.42578125" style="149" customWidth="1"/>
    <col min="20" max="20" width="11.42578125" style="149"/>
    <col min="21" max="21" width="18.140625" style="161" customWidth="1"/>
    <col min="22" max="22" width="9.7109375" style="162" customWidth="1"/>
    <col min="23" max="23" width="12.5703125" style="149" customWidth="1"/>
    <col min="24" max="24" width="12.7109375" style="149" customWidth="1"/>
    <col min="25" max="16384" width="11.42578125" style="149"/>
  </cols>
  <sheetData>
    <row r="2" spans="3:24" s="151" customFormat="1" ht="20.25" customHeight="1" x14ac:dyDescent="0.2">
      <c r="C2" s="309" t="s">
        <v>196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U2" s="152"/>
      <c r="V2" s="153"/>
    </row>
    <row r="3" spans="3:24" s="151" customFormat="1" ht="18" customHeight="1" x14ac:dyDescent="0.2">
      <c r="C3" s="310" t="s">
        <v>210</v>
      </c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U3" s="152"/>
      <c r="V3" s="153"/>
    </row>
    <row r="4" spans="3:24" s="151" customFormat="1" ht="13.5" customHeight="1" x14ac:dyDescent="0.2">
      <c r="C4" s="311" t="str">
        <f>'Capacidad Financiera'!B4</f>
        <v>DIRECCIÓN TERRITORIAL MAGDALENA</v>
      </c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U4" s="152"/>
      <c r="V4" s="153"/>
    </row>
    <row r="5" spans="3:24" s="151" customFormat="1" ht="13.5" customHeight="1" x14ac:dyDescent="0.2">
      <c r="C5" s="311" t="s">
        <v>197</v>
      </c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1"/>
      <c r="R5" s="311"/>
      <c r="S5" s="311"/>
      <c r="U5" s="152"/>
      <c r="V5" s="153"/>
    </row>
    <row r="6" spans="3:24" s="151" customFormat="1" ht="14.25" thickBot="1" x14ac:dyDescent="0.25">
      <c r="C6" s="154"/>
      <c r="D6" s="155"/>
      <c r="E6" s="156"/>
      <c r="F6" s="156"/>
      <c r="G6" s="157"/>
      <c r="H6" s="157"/>
      <c r="I6" s="157"/>
      <c r="J6" s="158"/>
      <c r="L6" s="159"/>
      <c r="M6" s="159"/>
      <c r="N6" s="159"/>
      <c r="O6" s="159"/>
      <c r="P6" s="159"/>
      <c r="Q6" s="159"/>
      <c r="R6" s="159"/>
      <c r="S6" s="160"/>
      <c r="U6" s="152"/>
      <c r="V6" s="153"/>
    </row>
    <row r="7" spans="3:24" ht="54" customHeight="1" x14ac:dyDescent="0.2">
      <c r="C7" s="322" t="s">
        <v>157</v>
      </c>
      <c r="D7" s="325" t="s">
        <v>156</v>
      </c>
      <c r="E7" s="88" t="s">
        <v>201</v>
      </c>
      <c r="F7" s="330" t="s">
        <v>162</v>
      </c>
      <c r="G7" s="88" t="s">
        <v>188</v>
      </c>
      <c r="H7" s="88" t="s">
        <v>189</v>
      </c>
      <c r="I7" s="333" t="s">
        <v>1</v>
      </c>
      <c r="J7" s="124" t="s">
        <v>190</v>
      </c>
      <c r="K7" s="88" t="s">
        <v>191</v>
      </c>
      <c r="L7" s="88" t="s">
        <v>192</v>
      </c>
      <c r="M7" s="292" t="s">
        <v>168</v>
      </c>
      <c r="N7" s="300" t="s">
        <v>169</v>
      </c>
      <c r="O7" s="88" t="s">
        <v>206</v>
      </c>
      <c r="P7" s="89" t="s">
        <v>193</v>
      </c>
      <c r="Q7" s="125" t="s">
        <v>227</v>
      </c>
      <c r="R7" s="127" t="s">
        <v>194</v>
      </c>
      <c r="S7" s="203" t="s">
        <v>228</v>
      </c>
    </row>
    <row r="8" spans="3:24" x14ac:dyDescent="0.2">
      <c r="C8" s="323"/>
      <c r="D8" s="326"/>
      <c r="E8" s="328" t="s">
        <v>2</v>
      </c>
      <c r="F8" s="331"/>
      <c r="G8" s="328" t="s">
        <v>3</v>
      </c>
      <c r="H8" s="328" t="s">
        <v>3</v>
      </c>
      <c r="I8" s="334"/>
      <c r="J8" s="338" t="s">
        <v>195</v>
      </c>
      <c r="K8" s="340" t="s">
        <v>226</v>
      </c>
      <c r="L8" s="340" t="s">
        <v>203</v>
      </c>
      <c r="M8" s="293"/>
      <c r="N8" s="274"/>
      <c r="O8" s="340" t="s">
        <v>203</v>
      </c>
      <c r="P8" s="340" t="s">
        <v>203</v>
      </c>
      <c r="Q8" s="340" t="s">
        <v>226</v>
      </c>
      <c r="R8" s="338" t="s">
        <v>256</v>
      </c>
      <c r="S8" s="336" t="s">
        <v>176</v>
      </c>
    </row>
    <row r="9" spans="3:24" ht="51" customHeight="1" thickBot="1" x14ac:dyDescent="0.25">
      <c r="C9" s="324"/>
      <c r="D9" s="327"/>
      <c r="E9" s="329"/>
      <c r="F9" s="332"/>
      <c r="G9" s="329"/>
      <c r="H9" s="329"/>
      <c r="I9" s="335"/>
      <c r="J9" s="339"/>
      <c r="K9" s="341"/>
      <c r="L9" s="341"/>
      <c r="M9" s="294"/>
      <c r="N9" s="301"/>
      <c r="O9" s="341"/>
      <c r="P9" s="341"/>
      <c r="Q9" s="341"/>
      <c r="R9" s="339"/>
      <c r="S9" s="337"/>
      <c r="V9" s="239"/>
    </row>
    <row r="10" spans="3:24" x14ac:dyDescent="0.2">
      <c r="C10" s="92">
        <f>+'Capacidad Financiera'!B12</f>
        <v>1</v>
      </c>
      <c r="D10" s="93" t="str">
        <f>IF(ISERROR(VLOOKUP(C10,'Capacidad Financiera'!$B$12:$Z$59051,2,0)),"",VLOOKUP(C10,'Capacidad Financiera'!$B$12:$Z$59051,2,0))</f>
        <v>COBOL</v>
      </c>
      <c r="E10" s="94">
        <f>IF(ISERROR(VLOOKUP(C10,'Capacidad Financiera'!$B$12:$Z$59051,3,0)),"",VLOOKUP(C10,'Capacidad Financiera'!$B$12:$Z$59051,3,0))</f>
        <v>1</v>
      </c>
      <c r="F10" s="96">
        <f>'Capacidad Financiera'!N12</f>
        <v>1</v>
      </c>
      <c r="G10" s="95">
        <f>IF(ISERROR(VLOOKUP(F10,POA!$A$2:$D$16,2,0)),"",VLOOKUP(F10,POA!$A$2:$D$16,2,0))</f>
        <v>564638879</v>
      </c>
      <c r="H10" s="95">
        <f>IF(ISERROR(VLOOKUP(F10,POA!$A$2:$D$16,3,0)),"",VLOOKUP(F10,POA!$A$2:$D$16,4,0))</f>
        <v>225855551.60000002</v>
      </c>
      <c r="I10" s="96">
        <f>IF(ISERROR(VLOOKUP(F10,POA!$A$2:$D$2,3,0)),"",VLOOKUP(F10,POA!$A$2:$D$2,3,0))</f>
        <v>33</v>
      </c>
      <c r="J10" s="93">
        <f t="shared" ref="J10:J13" si="0">IF(I10="","",IF(I10&lt;12,(G10-H10),IF(I10&gt;=12,(((G10-H10)/I10)*12),"")))</f>
        <v>123193937.23636362</v>
      </c>
      <c r="K10" s="93">
        <f>IF(IF(ISERROR(VLOOKUP(C10,'Cap Organización'!$C$9:$E$30,3,0)),0,VLOOKUP(C10,'Cap Organización'!$C$9:$E$30,3,0))=0,0,IF(ISERROR(VLOOKUP(C10,'Cap Organización'!$C$9:$E$30,3,0)),0,VLOOKUP(C10,'Cap Organización'!$C$9:$E$30,3,0)))</f>
        <v>874951300</v>
      </c>
      <c r="L10" s="238">
        <f>IF(ISERROR(VLOOKUP(C10,'Puntaje Exp'!$C$9:$J$1048576,8,0)),"",VLOOKUP(C10,'Puntaje Exp'!$C$9:$J$1048576,8,0))</f>
        <v>60</v>
      </c>
      <c r="M10" s="238"/>
      <c r="N10" s="238">
        <f>+SUM(N11:N12)</f>
        <v>0</v>
      </c>
      <c r="O10" s="238">
        <f>IF(ISERROR(VLOOKUP(C10,'Puntaje CT'!$C$9:$F$19,4,0)),"",VLOOKUP(C10,'Puntaje CT'!$C$9:$F$19,4,0))</f>
        <v>40</v>
      </c>
      <c r="P10" s="238">
        <f>IF(ISERROR(VLOOKUP(C10,'Puntaje CF'!C9:H19,6,0)),"",VLOOKUP(C10,'Puntaje CF'!C9:H19,6,0))</f>
        <v>40</v>
      </c>
      <c r="Q10" s="93">
        <f>IF(IF(ISERROR(VLOOKUP(C10,'Saldo CtosEjecución'!$C$9:$I$1048576,3,0)),"",VLOOKUP(C10,'Saldo CtosEjecución'!$C$9:$I$1048576,3,0))=0,"",IF(ISERROR(VLOOKUP(C10,'Saldo CtosEjecución'!$C$9:$I$1048576,3,0)),"",VLOOKUP(C10,'Saldo CtosEjecución'!$C$9:$I$1048576,3,0)))</f>
        <v>41591666.859999999</v>
      </c>
      <c r="R10" s="240">
        <f>(K10*((L10+O10+P10)/100))-Q10</f>
        <v>1183340153.1400001</v>
      </c>
      <c r="S10" s="209" t="str">
        <f>+IF(OR(R10=0,F10=""),"",IF(R10&gt;=J10,"HABIL","NO HABIL"))</f>
        <v>HABIL</v>
      </c>
      <c r="U10" s="163"/>
      <c r="V10" s="164"/>
      <c r="W10" s="150"/>
      <c r="X10" s="165"/>
    </row>
    <row r="11" spans="3:24" x14ac:dyDescent="0.2">
      <c r="C11" s="97">
        <f>+'Capacidad Financiera'!B13</f>
        <v>1.1000000000000001</v>
      </c>
      <c r="D11" s="91" t="str">
        <f>IF(ISERROR(VLOOKUP(C11,'Capacidad Financiera'!$B$12:$Z$59051,2,0)),"",VLOOKUP(C11,'Capacidad Financiera'!$B$12:$Z$59051,2,0))</f>
        <v>COOTRASCIBOL</v>
      </c>
      <c r="E11" s="90">
        <f>IF(ISERROR(VLOOKUP(C11,'Capacidad Financiera'!$B$12:$Z$59051,3,0)),"",VLOOKUP(C11,'Capacidad Financiera'!$B$12:$Z$59051,3,0))</f>
        <v>0.6</v>
      </c>
      <c r="F11" s="130">
        <f>'Capacidad Financiera'!N13</f>
        <v>0</v>
      </c>
      <c r="G11" s="169" t="str">
        <f>IF(ISERROR(VLOOKUP(F11,POA!$A$2:$D$16,2,0)),"",VLOOKUP(F11,POA!$A$2:$D$16,2,0))</f>
        <v/>
      </c>
      <c r="H11" s="169" t="str">
        <f>IF(ISERROR(VLOOKUP(F11,POA!$A$2:$D$16,3,0)),"",VLOOKUP(F11,POA!$A$2:$D$16,4,0))</f>
        <v/>
      </c>
      <c r="I11" s="130" t="str">
        <f>IF(ISERROR(VLOOKUP(F11,POA!$A$2:$D$2,3,0)),"",VLOOKUP(F11,POA!$A$2:$D$2,3,0))</f>
        <v/>
      </c>
      <c r="J11" s="129" t="str">
        <f t="shared" si="0"/>
        <v/>
      </c>
      <c r="K11" s="204">
        <f>IF(IF(ISERROR(VLOOKUP(C11,'Cap Organización'!$C$10:$I$1048576,3,0)),"",VLOOKUP(C11,'Cap Organización'!$C$10:$I$1048576,3,0))=0,"",IF(ISERROR(VLOOKUP(C11,'Cap Organización'!$C$10:$I$1048576,3,0)),"",VLOOKUP(C11,'Cap Organización'!$C$10:$I$1048576,3,0)))</f>
        <v>377079000</v>
      </c>
      <c r="L11" s="199">
        <f>IF(ISERROR(VLOOKUP(C11,'Puntaje Exp'!$C$10:$J$1048576,8,0)),"",VLOOKUP(C11,'Puntaje Exp'!$C$10:$J$1048576,8,0))</f>
        <v>0</v>
      </c>
      <c r="M11" s="199">
        <f>+'Capacidad Financiera'!P13</f>
        <v>0</v>
      </c>
      <c r="N11" s="199" t="str">
        <f>IF(ISERROR(VLOOKUP(M11,POA!$A$2:$F$16,6,0)),"",VLOOKUP(M11,POA!$A$2:$F$16,6,0))</f>
        <v/>
      </c>
      <c r="O11" s="199">
        <f>IF(ISERROR(VLOOKUP(C11,'Puntaje CT'!$C$10:$I$1048576,4,0)),"",VLOOKUP(C11,'Puntaje CT'!$C$10:$I$1048576,4,0))</f>
        <v>40</v>
      </c>
      <c r="P11" s="199">
        <f>IF(ISERROR(VLOOKUP(C11,'Puntaje CF'!$C$10:$I$1048576,6,0)),"",VLOOKUP(C11,'Puntaje CF'!$C$10:$I$1048576,6,0))</f>
        <v>0</v>
      </c>
      <c r="Q11" s="200">
        <f>IF(IF(ISERROR(VLOOKUP(C11,'Saldo CtosEjecución'!$C$10:$I$1048576,3,0)),"",VLOOKUP(C11,'Saldo CtosEjecución'!$C$10:$I$1048576,3,0))=0,"",IF(ISERROR(VLOOKUP(C11,'Saldo CtosEjecución'!$C$10:$I$1048576,3,0)),"",VLOOKUP(C11,'Saldo CtosEjecución'!$C$10:$I$1048576,3,0)))</f>
        <v>29166666.859999999</v>
      </c>
      <c r="R11" s="126">
        <f>IF(OR(K11="",L11="",O11="",P11="",Q11=""),"",(K11*((L11+O11+P11)/100))-Q11)</f>
        <v>121664933.14</v>
      </c>
      <c r="S11" s="208"/>
      <c r="V11" s="239"/>
    </row>
    <row r="12" spans="3:24" ht="13.5" thickBot="1" x14ac:dyDescent="0.25">
      <c r="C12" s="97">
        <f>+'Capacidad Financiera'!B14</f>
        <v>1.2</v>
      </c>
      <c r="D12" s="91" t="str">
        <f>IF(ISERROR(VLOOKUP(C12,'Capacidad Financiera'!$B$12:$Z$59051,2,0)),"",VLOOKUP(C12,'Capacidad Financiera'!$B$12:$Z$59051,2,0))</f>
        <v>COOTRASERVIM</v>
      </c>
      <c r="E12" s="90">
        <f>IF(ISERROR(VLOOKUP(C12,'Capacidad Financiera'!$B$12:$Z$59051,3,0)),"",VLOOKUP(C12,'Capacidad Financiera'!$B$12:$Z$59051,3,0))</f>
        <v>0.4</v>
      </c>
      <c r="F12" s="130">
        <f>'Capacidad Financiera'!N14</f>
        <v>0</v>
      </c>
      <c r="G12" s="169" t="str">
        <f>IF(ISERROR(VLOOKUP(F12,POA!$A$2:$D$16,2,0)),"",VLOOKUP(F12,POA!$A$2:$D$16,2,0))</f>
        <v/>
      </c>
      <c r="H12" s="169" t="str">
        <f>IF(ISERROR(VLOOKUP(F12,POA!$A$2:$D$16,3,0)),"",VLOOKUP(F12,POA!$A$2:$D$16,4,0))</f>
        <v/>
      </c>
      <c r="I12" s="130" t="str">
        <f>IF(ISERROR(VLOOKUP(F12,POA!$A$2:$D$2,3,0)),"",VLOOKUP(F12,POA!$A$2:$D$2,3,0))</f>
        <v/>
      </c>
      <c r="J12" s="129" t="str">
        <f t="shared" si="0"/>
        <v/>
      </c>
      <c r="K12" s="204">
        <f>IF(IF(ISERROR(VLOOKUP(C12,'Cap Organización'!$C$10:$I$1048576,3,0)),"",VLOOKUP(C12,'Cap Organización'!$C$10:$I$1048576,3,0))=0,"",IF(ISERROR(VLOOKUP(C12,'Cap Organización'!$C$10:$I$1048576,3,0)),"",VLOOKUP(C12,'Cap Organización'!$C$10:$I$1048576,3,0)))</f>
        <v>497872300</v>
      </c>
      <c r="L12" s="199">
        <f>IF(ISERROR(VLOOKUP(C12,'Puntaje Exp'!$C$10:$J$1048576,8,0)),"",VLOOKUP(C12,'Puntaje Exp'!$C$10:$J$1048576,8,0))</f>
        <v>0</v>
      </c>
      <c r="M12" s="197">
        <f>+'Capacidad Financiera'!P14</f>
        <v>0</v>
      </c>
      <c r="N12" s="197" t="str">
        <f>IF(ISERROR(VLOOKUP(M12,POA!$A$2:$F$16,6,0)),"",VLOOKUP(M12,POA!$A$2:$F$16,6,0))</f>
        <v/>
      </c>
      <c r="O12" s="199">
        <f>IF(ISERROR(VLOOKUP(C12,'Puntaje CT'!$C$10:$I$1048576,4,0)),"",VLOOKUP(C12,'Puntaje CT'!$C$10:$I$1048576,4,0))</f>
        <v>40</v>
      </c>
      <c r="P12" s="199">
        <f>IF(ISERROR(VLOOKUP(C12,'Puntaje CF'!$C$10:$I$1048576,6,0)),"",VLOOKUP(C12,'Puntaje CF'!$C$10:$I$1048576,6,0))</f>
        <v>0</v>
      </c>
      <c r="Q12" s="200">
        <f>IF(IF(ISERROR(VLOOKUP(C12,'Saldo CtosEjecución'!$C$10:$I$1048576,3,0)),"",VLOOKUP(C12,'Saldo CtosEjecución'!$C$10:$I$1048576,3,0))=0,"",IF(ISERROR(VLOOKUP(C12,'Saldo CtosEjecución'!$C$10:$I$1048576,3,0)),"",VLOOKUP(C12,'Saldo CtosEjecución'!$C$10:$I$1048576,3,0)))</f>
        <v>12425000</v>
      </c>
      <c r="R12" s="126">
        <f>IF(OR(K12="",L12="",O12="",P12="",Q12=""),"",(K12*((L12+O12+P12)/100))-Q12)</f>
        <v>186723920</v>
      </c>
      <c r="S12" s="208"/>
      <c r="V12" s="239"/>
    </row>
    <row r="13" spans="3:24" ht="13.5" thickBot="1" x14ac:dyDescent="0.25">
      <c r="C13" s="92">
        <v>2</v>
      </c>
      <c r="D13" s="93" t="str">
        <f>IF(ISERROR(VLOOKUP(C13,'Capacidad Financiera'!$B$12:$Z$59051,2,0)),"",VLOOKUP(C13,'Capacidad Financiera'!$B$12:$Z$59051,2,0))</f>
        <v>COOTRAVAR</v>
      </c>
      <c r="E13" s="94">
        <f>IF(ISERROR(VLOOKUP(C13,'Capacidad Financiera'!$B$12:$Z$59051,3,0)),"",VLOOKUP(C13,'Capacidad Financiera'!$B$12:$Z$59051,3,0))</f>
        <v>1</v>
      </c>
      <c r="F13" s="96">
        <f>'Capacidad Financiera'!N15</f>
        <v>1</v>
      </c>
      <c r="G13" s="95">
        <f>IF(ISERROR(VLOOKUP(F13,POA!$A$2:$D$16,2,0)),"",VLOOKUP(F13,POA!$A$2:$D$16,2,0))</f>
        <v>564638879</v>
      </c>
      <c r="H13" s="95">
        <f>IF(ISERROR(VLOOKUP(F13,POA!$A$2:$D$16,3,0)),"",VLOOKUP(F13,POA!$A$2:$D$16,4,0))</f>
        <v>225855551.60000002</v>
      </c>
      <c r="I13" s="96">
        <f>IF(ISERROR(VLOOKUP(F13,POA!$A$2:$D$2,3,0)),"",VLOOKUP(F13,POA!$A$2:$D$2,3,0))</f>
        <v>33</v>
      </c>
      <c r="J13" s="93">
        <f t="shared" si="0"/>
        <v>123193937.23636362</v>
      </c>
      <c r="K13" s="93">
        <f>IF(IF(ISERROR(VLOOKUP(C13,'Cap Organización'!$C$9:$E$30,3,0)),0,VLOOKUP(C13,'Cap Organización'!$C$9:$E$30,3,0))=0,0,IF(ISERROR(VLOOKUP(C13,'Cap Organización'!$C$9:$E$30,3,0)),0,VLOOKUP(C13,'Cap Organización'!$C$9:$E$30,3,0)))</f>
        <v>377077000</v>
      </c>
      <c r="L13" s="93">
        <f>IF(ISERROR(VLOOKUP(C13,'Puntaje Exp'!$C$9:$J$1048576,8,0)),"",VLOOKUP(C13,'Puntaje Exp'!$C$9:$J$1048576,8,0))</f>
        <v>60</v>
      </c>
      <c r="M13" s="93"/>
      <c r="N13" s="93" t="e">
        <f>+SUM(#REF!)</f>
        <v>#REF!</v>
      </c>
      <c r="O13" s="96">
        <f>IF(ISERROR(VLOOKUP(C13,'Puntaje CT'!$C$9:$F$19,4,0)),"",VLOOKUP(C13,'Puntaje CT'!$C$9:$F$19,4,0))</f>
        <v>40</v>
      </c>
      <c r="P13" s="93">
        <f>IF(ISERROR(VLOOKUP(C13,'Puntaje CF'!C12:H22,6,0)),"",VLOOKUP(C13,'Puntaje CF'!C12:H22,6,0))</f>
        <v>40</v>
      </c>
      <c r="Q13" s="238">
        <f>IF(IF(ISERROR(VLOOKUP(C13,'Saldo CtosEjecución'!$C$9:$I$1048576,3,0)),0,VLOOKUP(C13,'Saldo CtosEjecución'!$C$9:$I$1048576,3,0))=0,0,IF(ISERROR(VLOOKUP(C13,'Saldo CtosEjecución'!$C$9:$I$1048576,3,0)),0,VLOOKUP(C13,'Saldo CtosEjecución'!$C$9:$I$1048576,3,0)))</f>
        <v>0</v>
      </c>
      <c r="R13" s="240">
        <f t="shared" ref="R13:R17" si="1">(K13*((L13+O13+P13)/100))-Q13</f>
        <v>527907799.99999994</v>
      </c>
      <c r="S13" s="209" t="str">
        <f>+IF(OR(R13=0,F13=""),"",IF(R13&gt;=J13,"HABIL","NO HABIL"))</f>
        <v>HABIL</v>
      </c>
      <c r="V13" s="239"/>
    </row>
    <row r="14" spans="3:24" ht="13.5" thickBot="1" x14ac:dyDescent="0.25">
      <c r="C14" s="92">
        <v>3</v>
      </c>
      <c r="D14" s="93" t="str">
        <f>IF(ISERROR(VLOOKUP(C14,'Capacidad Financiera'!$B$12:$Z$59051,2,0)),"",VLOOKUP(C14,'Capacidad Financiera'!$B$12:$Z$59051,2,0))</f>
        <v>MANTENIMIENTO VIAL JJ S.A.S</v>
      </c>
      <c r="E14" s="94">
        <f>IF(ISERROR(VLOOKUP(C14,'Capacidad Financiera'!$B$12:$Z$59051,3,0)),"",VLOOKUP(C14,'Capacidad Financiera'!$B$12:$Z$59051,3,0))</f>
        <v>1</v>
      </c>
      <c r="F14" s="96">
        <f>'Capacidad Financiera'!N16</f>
        <v>1</v>
      </c>
      <c r="G14" s="95">
        <f>IF(ISERROR(VLOOKUP(F14,POA!$A$2:$D$16,2,0)),"",VLOOKUP(F14,POA!$A$2:$D$16,2,0))</f>
        <v>564638879</v>
      </c>
      <c r="H14" s="95">
        <f>IF(ISERROR(VLOOKUP(F14,POA!$A$2:$D$16,3,0)),"",VLOOKUP(F14,POA!$A$2:$D$16,4,0))</f>
        <v>225855551.60000002</v>
      </c>
      <c r="I14" s="96">
        <f>IF(ISERROR(VLOOKUP(F14,POA!$A$2:$D$2,3,0)),"",VLOOKUP(F14,POA!$A$2:$D$2,3,0))</f>
        <v>33</v>
      </c>
      <c r="J14" s="93">
        <f t="shared" ref="J14:J20" si="2">IF(I14="","",IF(I14&lt;12,(G14-H14),IF(I14&gt;=12,(((G14-H14)/I14)*12),"")))</f>
        <v>123193937.23636362</v>
      </c>
      <c r="K14" s="93">
        <f>IF(IF(ISERROR(VLOOKUP(C14,'Cap Organización'!$C$9:$E$30,3,0)),0,VLOOKUP(C14,'Cap Organización'!$C$9:$E$30,3,0))=0,0,IF(ISERROR(VLOOKUP(C14,'Cap Organización'!$C$9:$E$30,3,0)),0,VLOOKUP(C14,'Cap Organización'!$C$9:$E$30,3,0)))</f>
        <v>377079000</v>
      </c>
      <c r="L14" s="93">
        <f>IF(ISERROR(VLOOKUP(C14,'Puntaje Exp'!$C$9:$J$1048576,8,0)),"",VLOOKUP(C14,'Puntaje Exp'!$C$9:$J$1048576,8,0))</f>
        <v>60</v>
      </c>
      <c r="M14" s="93"/>
      <c r="N14" s="93" t="e">
        <f>+SUM(#REF!)</f>
        <v>#REF!</v>
      </c>
      <c r="O14" s="96">
        <f>IF(ISERROR(VLOOKUP(C14,'Puntaje CT'!$C$9:$F$19,4,0)),"",VLOOKUP(C14,'Puntaje CT'!$C$9:$F$19,4,0))</f>
        <v>40</v>
      </c>
      <c r="P14" s="93">
        <f>IF(ISERROR(VLOOKUP(C14,'Puntaje CF'!C13:H23,6,0)),"",VLOOKUP(C14,'Puntaje CF'!C13:H23,6,0))</f>
        <v>40</v>
      </c>
      <c r="Q14" s="238">
        <f>IF(IF(ISERROR(VLOOKUP(C14,'Saldo CtosEjecución'!$C$9:$I$1048576,3,0)),0,VLOOKUP(C14,'Saldo CtosEjecución'!$C$9:$I$1048576,3,0))=0,0,IF(ISERROR(VLOOKUP(C14,'Saldo CtosEjecución'!$C$9:$I$1048576,3,0)),0,VLOOKUP(C14,'Saldo CtosEjecución'!$C$9:$I$1048576,3,0)))</f>
        <v>104008595.29000001</v>
      </c>
      <c r="R14" s="240">
        <f t="shared" si="1"/>
        <v>423902004.70999992</v>
      </c>
      <c r="S14" s="209" t="str">
        <f>+IF(OR(R14=0,F14=""),"",IF(R14&gt;=J14,"HABIL","NO HABIL"))</f>
        <v>HABIL</v>
      </c>
    </row>
    <row r="15" spans="3:24" ht="26.25" thickBot="1" x14ac:dyDescent="0.25">
      <c r="C15" s="92">
        <v>4</v>
      </c>
      <c r="D15" s="93" t="str">
        <f>IF(ISERROR(VLOOKUP(C15,'Capacidad Financiera'!$B$12:$Z$59051,2,0)),"",VLOOKUP(C15,'Capacidad Financiera'!$B$12:$Z$59051,2,0))</f>
        <v>SERVICIOS Y MANTENIMIENTOS GOMEZ CADENA SAS</v>
      </c>
      <c r="E15" s="94">
        <f>IF(ISERROR(VLOOKUP(C15,'Capacidad Financiera'!$B$12:$Z$59051,3,0)),"",VLOOKUP(C15,'Capacidad Financiera'!$B$12:$Z$59051,3,0))</f>
        <v>1</v>
      </c>
      <c r="F15" s="96">
        <f>'Capacidad Financiera'!N17</f>
        <v>1</v>
      </c>
      <c r="G15" s="95">
        <f>IF(ISERROR(VLOOKUP(F15,POA!$A$2:$D$16,2,0)),"",VLOOKUP(F15,POA!$A$2:$D$16,2,0))</f>
        <v>564638879</v>
      </c>
      <c r="H15" s="95">
        <f>IF(ISERROR(VLOOKUP(F15,POA!$A$2:$D$16,3,0)),"",VLOOKUP(F15,POA!$A$2:$D$16,4,0))</f>
        <v>225855551.60000002</v>
      </c>
      <c r="I15" s="96">
        <f>IF(ISERROR(VLOOKUP(F15,POA!$A$2:$D$2,3,0)),"",VLOOKUP(F15,POA!$A$2:$D$2,3,0))</f>
        <v>33</v>
      </c>
      <c r="J15" s="93">
        <f t="shared" si="2"/>
        <v>123193937.23636362</v>
      </c>
      <c r="K15" s="93">
        <f>IF(IF(ISERROR(VLOOKUP(C15,'Cap Organización'!$C$9:$E$30,3,0)),0,VLOOKUP(C15,'Cap Organización'!$C$9:$E$30,3,0))=0,0,IF(ISERROR(VLOOKUP(C15,'Cap Organización'!$C$9:$E$30,3,0)),0,VLOOKUP(C15,'Cap Organización'!$C$9:$E$30,3,0)))</f>
        <v>377079000</v>
      </c>
      <c r="L15" s="93">
        <f>IF(ISERROR(VLOOKUP(C15,'Puntaje Exp'!$C$9:$J$1048576,8,0)),"",VLOOKUP(C15,'Puntaje Exp'!$C$9:$J$1048576,8,0))</f>
        <v>60</v>
      </c>
      <c r="M15" s="93"/>
      <c r="N15" s="93" t="e">
        <f>+SUM(#REF!)</f>
        <v>#REF!</v>
      </c>
      <c r="O15" s="96">
        <f>IF(ISERROR(VLOOKUP(C15,'Puntaje CT'!$C$9:$F$19,4,0)),"",VLOOKUP(C15,'Puntaje CT'!$C$9:$F$19,4,0))</f>
        <v>40</v>
      </c>
      <c r="P15" s="93">
        <f>IF(ISERROR(VLOOKUP(C15,'Puntaje CF'!C14:H24,6,0)),"",VLOOKUP(C15,'Puntaje CF'!C14:H24,6,0))</f>
        <v>40</v>
      </c>
      <c r="Q15" s="238">
        <f>IF(IF(ISERROR(VLOOKUP(C15,'Saldo CtosEjecución'!$C$9:$I$1048576,3,0)),0,VLOOKUP(C15,'Saldo CtosEjecución'!$C$9:$I$1048576,3,0))=0,0,IF(ISERROR(VLOOKUP(C15,'Saldo CtosEjecución'!$C$9:$I$1048576,3,0)),0,VLOOKUP(C15,'Saldo CtosEjecución'!$C$9:$I$1048576,3,0)))</f>
        <v>29755047.960000001</v>
      </c>
      <c r="R15" s="240">
        <f t="shared" si="1"/>
        <v>498155552.03999996</v>
      </c>
      <c r="S15" s="209" t="str">
        <f>+IF(OR(R15=0,F15=""),"",IF(R15&gt;=J15,"HABIL","NO HABIL"))</f>
        <v>HABIL</v>
      </c>
    </row>
    <row r="16" spans="3:24" ht="13.5" thickBot="1" x14ac:dyDescent="0.25">
      <c r="C16" s="92">
        <v>5</v>
      </c>
      <c r="D16" s="93" t="str">
        <f>IF(ISERROR(VLOOKUP(C16,'Capacidad Financiera'!$B$12:$Z$59051,2,0)),"",VLOOKUP(C16,'Capacidad Financiera'!$B$12:$Z$59051,2,0))</f>
        <v>COOTENEGRAN</v>
      </c>
      <c r="E16" s="94">
        <f>IF(ISERROR(VLOOKUP(C16,'Capacidad Financiera'!$B$12:$Z$59051,3,0)),"",VLOOKUP(C16,'Capacidad Financiera'!$B$12:$Z$59051,3,0))</f>
        <v>1</v>
      </c>
      <c r="F16" s="96">
        <f>'Capacidad Financiera'!N18</f>
        <v>1</v>
      </c>
      <c r="G16" s="95">
        <f>IF(ISERROR(VLOOKUP(F16,POA!$A$2:$D$16,2,0)),"",VLOOKUP(F16,POA!$A$2:$D$16,2,0))</f>
        <v>564638879</v>
      </c>
      <c r="H16" s="95">
        <f>IF(ISERROR(VLOOKUP(F16,POA!$A$2:$D$16,3,0)),"",VLOOKUP(F16,POA!$A$2:$D$16,4,0))</f>
        <v>225855551.60000002</v>
      </c>
      <c r="I16" s="96">
        <f>IF(ISERROR(VLOOKUP(F16,POA!$A$2:$D$2,3,0)),"",VLOOKUP(F16,POA!$A$2:$D$2,3,0))</f>
        <v>33</v>
      </c>
      <c r="J16" s="93">
        <f t="shared" si="2"/>
        <v>123193937.23636362</v>
      </c>
      <c r="K16" s="93">
        <f>IF(IF(ISERROR(VLOOKUP(C16,'Cap Organización'!$C$9:$E$30,3,0)),0,VLOOKUP(C16,'Cap Organización'!$C$9:$E$30,3,0))=0,0,IF(ISERROR(VLOOKUP(C16,'Cap Organización'!$C$9:$E$30,3,0)),0,VLOOKUP(C16,'Cap Organización'!$C$9:$E$30,3,0)))</f>
        <v>377079000</v>
      </c>
      <c r="L16" s="93">
        <f>IF(ISERROR(VLOOKUP(C16,'Puntaje Exp'!$C$9:$J$1048576,8,0)),"",VLOOKUP(C16,'Puntaje Exp'!$C$9:$J$1048576,8,0))</f>
        <v>60</v>
      </c>
      <c r="M16" s="93"/>
      <c r="N16" s="93" t="e">
        <f>+SUM(#REF!)</f>
        <v>#REF!</v>
      </c>
      <c r="O16" s="96">
        <f>IF(ISERROR(VLOOKUP(C16,'Puntaje CT'!$C$9:$F$19,4,0)),"",VLOOKUP(C16,'Puntaje CT'!$C$9:$F$19,4,0))</f>
        <v>20</v>
      </c>
      <c r="P16" s="93">
        <f>IF(ISERROR(VLOOKUP(C16,'Puntaje CF'!C15:H25,6,0)),"",VLOOKUP(C16,'Puntaje CF'!C15:H25,6,0))</f>
        <v>40</v>
      </c>
      <c r="Q16" s="93">
        <f>IF(IF(ISERROR(VLOOKUP(C16,'Saldo CtosEjecución'!$C$9:$I$1048576,3,0)),"",VLOOKUP(C16,'Saldo CtosEjecución'!$C$9:$I$1048576,3,0))=0,"",IF(ISERROR(VLOOKUP(C16,'Saldo CtosEjecución'!$C$9:$I$1048576,3,0)),"",VLOOKUP(C16,'Saldo CtosEjecución'!$C$9:$I$1048576,3,0)))</f>
        <v>41359634.039999999</v>
      </c>
      <c r="R16" s="240">
        <f t="shared" si="1"/>
        <v>411135165.95999998</v>
      </c>
      <c r="S16" s="209" t="str">
        <f>+IF(OR(R16=0,F16=""),"",IF(R16&gt;=J16,"HABIL","NO HABIL"))</f>
        <v>HABIL</v>
      </c>
    </row>
    <row r="17" spans="3:19" x14ac:dyDescent="0.2">
      <c r="C17" s="92">
        <v>6</v>
      </c>
      <c r="D17" s="93" t="str">
        <f>IF(ISERROR(VLOOKUP(C17,'Capacidad Financiera'!$B$12:$Z$59051,2,0)),"",VLOOKUP(C17,'Capacidad Financiera'!$B$12:$Z$59051,2,0))</f>
        <v>CONSORCIO MV MAGDALENA 2019</v>
      </c>
      <c r="E17" s="94">
        <f>IF(ISERROR(VLOOKUP(C17,'Capacidad Financiera'!$B$12:$Z$59051,3,0)),"",VLOOKUP(C17,'Capacidad Financiera'!$B$12:$Z$59051,3,0))</f>
        <v>1</v>
      </c>
      <c r="F17" s="96">
        <f>'Capacidad Financiera'!N19</f>
        <v>1</v>
      </c>
      <c r="G17" s="95">
        <f>IF(ISERROR(VLOOKUP(F17,POA!$A$2:$D$16,2,0)),"",VLOOKUP(F17,POA!$A$2:$D$16,2,0))</f>
        <v>564638879</v>
      </c>
      <c r="H17" s="95">
        <f>IF(ISERROR(VLOOKUP(F17,POA!$A$2:$D$16,3,0)),"",VLOOKUP(F17,POA!$A$2:$D$16,4,0))</f>
        <v>225855551.60000002</v>
      </c>
      <c r="I17" s="96">
        <f>IF(ISERROR(VLOOKUP(F17,POA!$A$2:$D$2,3,0)),"",VLOOKUP(F17,POA!$A$2:$D$2,3,0))</f>
        <v>33</v>
      </c>
      <c r="J17" s="93">
        <f t="shared" si="2"/>
        <v>123193937.23636362</v>
      </c>
      <c r="K17" s="93">
        <f>IF(IF(ISERROR(VLOOKUP(C17,'Cap Organización'!$C$9:$E$30,3,0)),0,VLOOKUP(C17,'Cap Organización'!$C$9:$E$30,3,0))=0,0,IF(ISERROR(VLOOKUP(C17,'Cap Organización'!$C$9:$E$30,3,0)),0,VLOOKUP(C17,'Cap Organización'!$C$9:$E$30,3,0)))</f>
        <v>21081259087</v>
      </c>
      <c r="L17" s="93">
        <f>IF(ISERROR(VLOOKUP(C17,'Puntaje Exp'!$C$9:$J$1048576,8,0)),"",VLOOKUP(C17,'Puntaje Exp'!$C$9:$J$1048576,8,0))</f>
        <v>60</v>
      </c>
      <c r="M17" s="93"/>
      <c r="N17" s="93">
        <f>+SUM(N18:N19)</f>
        <v>0</v>
      </c>
      <c r="O17" s="96">
        <f>IF(ISERROR(VLOOKUP(C17,'Puntaje CT'!$C$9:$F$19,4,0)),"",VLOOKUP(C17,'Puntaje CT'!$C$9:$F$19,4,0))</f>
        <v>40</v>
      </c>
      <c r="P17" s="93">
        <f>IF(ISERROR(VLOOKUP(C17,'Puntaje CF'!C16:H26,6,0)),"",VLOOKUP(C17,'Puntaje CF'!C16:H26,6,0))</f>
        <v>40</v>
      </c>
      <c r="Q17" s="238">
        <f>IF(IF(ISERROR(VLOOKUP(C17,'Saldo CtosEjecución'!$C$9:$I$1048576,3,0)),0,VLOOKUP(C17,'Saldo CtosEjecución'!$C$9:$I$1048576,3,0))=0,0,IF(ISERROR(VLOOKUP(C17,'Saldo CtosEjecución'!$C$9:$I$1048576,3,0)),0,VLOOKUP(C17,'Saldo CtosEjecución'!$C$9:$I$1048576,3,0)))</f>
        <v>0</v>
      </c>
      <c r="R17" s="240">
        <f t="shared" si="1"/>
        <v>29513762721.799999</v>
      </c>
      <c r="S17" s="209" t="str">
        <f>+IF(OR(R17=0,F17=""),"",IF(R17&gt;=J17,"HABIL","NO HABIL"))</f>
        <v>HABIL</v>
      </c>
    </row>
    <row r="18" spans="3:19" x14ac:dyDescent="0.2">
      <c r="C18" s="97">
        <f>+'Capacidad Financiera'!B20</f>
        <v>6.1</v>
      </c>
      <c r="D18" s="91" t="str">
        <f>IF(ISERROR(VLOOKUP(C18,'Capacidad Financiera'!$B$12:$Z$59051,2,0)),"",VLOOKUP(C18,'Capacidad Financiera'!$B$12:$Z$59051,2,0))</f>
        <v>CIVILTEC S.A.S</v>
      </c>
      <c r="E18" s="90">
        <f>IF(ISERROR(VLOOKUP(C18,'Capacidad Financiera'!$B$12:$Z$59051,3,0)),"",VLOOKUP(C18,'Capacidad Financiera'!$B$12:$Z$59051,3,0))</f>
        <v>0.6</v>
      </c>
      <c r="F18" s="130">
        <f>'Capacidad Financiera'!N20</f>
        <v>0</v>
      </c>
      <c r="G18" s="169" t="str">
        <f>IF(ISERROR(VLOOKUP(F18,POA!$A$2:$D$16,2,0)),"",VLOOKUP(F18,POA!$A$2:$D$16,2,0))</f>
        <v/>
      </c>
      <c r="H18" s="169" t="str">
        <f>IF(ISERROR(VLOOKUP(F18,POA!$A$2:$D$16,3,0)),"",VLOOKUP(F18,POA!$A$2:$D$16,4,0))</f>
        <v/>
      </c>
      <c r="I18" s="130" t="str">
        <f>IF(ISERROR(VLOOKUP(F18,POA!$A$2:$D$2,3,0)),"",VLOOKUP(F18,POA!$A$2:$D$2,3,0))</f>
        <v/>
      </c>
      <c r="J18" s="129" t="str">
        <f t="shared" si="2"/>
        <v/>
      </c>
      <c r="K18" s="204">
        <f>IF(IF(ISERROR(VLOOKUP(C18,'Cap Organización'!$C$10:$I$1048576,3,0)),"",VLOOKUP(C18,'Cap Organización'!$C$10:$I$1048576,3,0))=0,"",IF(ISERROR(VLOOKUP(C18,'Cap Organización'!$C$10:$I$1048576,3,0)),"",VLOOKUP(C18,'Cap Organización'!$C$10:$I$1048576,3,0)))</f>
        <v>16756459087</v>
      </c>
      <c r="L18" s="199">
        <f>IF(ISERROR(VLOOKUP(C18,'Puntaje Exp'!$C$10:$J$1048576,8,0)),"",VLOOKUP(C18,'Puntaje Exp'!$C$10:$J$1048576,8,0))</f>
        <v>0</v>
      </c>
      <c r="M18" s="199">
        <f>+'Capacidad Financiera'!P20</f>
        <v>0</v>
      </c>
      <c r="N18" s="199" t="str">
        <f>IF(ISERROR(VLOOKUP(M18,POA!$A$2:$F$16,6,0)),"",VLOOKUP(M18,POA!$A$2:$F$16,6,0))</f>
        <v/>
      </c>
      <c r="O18" s="199">
        <f>IF(ISERROR(VLOOKUP(C18,'Puntaje CT'!$C$10:$I$1048576,4,0)),"",VLOOKUP(C18,'Puntaje CT'!$C$10:$I$1048576,4,0))</f>
        <v>20</v>
      </c>
      <c r="P18" s="199">
        <f>IF(ISERROR(VLOOKUP(C18,'Puntaje CF'!$C$10:$I$1048576,6,0)),"",VLOOKUP(C18,'Puntaje CF'!$C$10:$I$1048576,6,0))</f>
        <v>0</v>
      </c>
      <c r="Q18" s="243" t="str">
        <f>IF(IF(ISERROR(VLOOKUP(C18,'Saldo CtosEjecución'!$C$10:$I$1048576,3,0)),"",VLOOKUP(C18,'Saldo CtosEjecución'!$C$10:$I$1048576,3,0))=0,"",IF(ISERROR(VLOOKUP(C18,'Saldo CtosEjecución'!$C$10:$I$1048576,3,0)),"",VLOOKUP(C18,'Saldo CtosEjecución'!$C$10:$I$1048576,3,0)))</f>
        <v/>
      </c>
      <c r="R18" s="126" t="str">
        <f>IF(OR(K18="",L18="",O18="",P18="",Q18=""),"",(K18*((L18+O18+P18)/100))-Q18)</f>
        <v/>
      </c>
      <c r="S18" s="208"/>
    </row>
    <row r="19" spans="3:19" ht="13.5" thickBot="1" x14ac:dyDescent="0.25">
      <c r="C19" s="97">
        <f>+'Capacidad Financiera'!B21</f>
        <v>6.2</v>
      </c>
      <c r="D19" s="91" t="str">
        <f>IF(ISERROR(VLOOKUP(C19,'Capacidad Financiera'!$B$12:$Z$59051,2,0)),"",VLOOKUP(C19,'Capacidad Financiera'!$B$12:$Z$59051,2,0))</f>
        <v>BGDSA S.A.S</v>
      </c>
      <c r="E19" s="90">
        <f>IF(ISERROR(VLOOKUP(C19,'Capacidad Financiera'!$B$12:$Z$59051,3,0)),"",VLOOKUP(C19,'Capacidad Financiera'!$B$12:$Z$59051,3,0))</f>
        <v>0.4</v>
      </c>
      <c r="F19" s="130">
        <f>'Capacidad Financiera'!N21</f>
        <v>0</v>
      </c>
      <c r="G19" s="169" t="str">
        <f>IF(ISERROR(VLOOKUP(F19,POA!$A$2:$D$16,2,0)),"",VLOOKUP(F19,POA!$A$2:$D$16,2,0))</f>
        <v/>
      </c>
      <c r="H19" s="169" t="str">
        <f>IF(ISERROR(VLOOKUP(F19,POA!$A$2:$D$16,3,0)),"",VLOOKUP(F19,POA!$A$2:$D$16,4,0))</f>
        <v/>
      </c>
      <c r="I19" s="130" t="str">
        <f>IF(ISERROR(VLOOKUP(F19,POA!$A$2:$D$2,3,0)),"",VLOOKUP(F19,POA!$A$2:$D$2,3,0))</f>
        <v/>
      </c>
      <c r="J19" s="129" t="str">
        <f t="shared" si="2"/>
        <v/>
      </c>
      <c r="K19" s="204">
        <f>IF(IF(ISERROR(VLOOKUP(C19,'Cap Organización'!$C$10:$I$1048576,3,0)),"",VLOOKUP(C19,'Cap Organización'!$C$10:$I$1048576,3,0))=0,"",IF(ISERROR(VLOOKUP(C19,'Cap Organización'!$C$10:$I$1048576,3,0)),"",VLOOKUP(C19,'Cap Organización'!$C$10:$I$1048576,3,0)))</f>
        <v>4324800000</v>
      </c>
      <c r="L19" s="199">
        <f>IF(ISERROR(VLOOKUP(C19,'Puntaje Exp'!$C$10:$J$1048576,8,0)),"",VLOOKUP(C19,'Puntaje Exp'!$C$10:$J$1048576,8,0))</f>
        <v>0</v>
      </c>
      <c r="M19" s="197">
        <f>+'Capacidad Financiera'!P21</f>
        <v>0</v>
      </c>
      <c r="N19" s="197" t="str">
        <f>IF(ISERROR(VLOOKUP(M19,POA!$A$2:$F$16,6,0)),"",VLOOKUP(M19,POA!$A$2:$F$16,6,0))</f>
        <v/>
      </c>
      <c r="O19" s="199">
        <f>IF(ISERROR(VLOOKUP(C19,'Puntaje CT'!$C$10:$I$1048576,4,0)),"",VLOOKUP(C19,'Puntaje CT'!$C$10:$I$1048576,4,0))</f>
        <v>20</v>
      </c>
      <c r="P19" s="199">
        <f>IF(ISERROR(VLOOKUP(C19,'Puntaje CF'!$C$10:$I$1048576,6,0)),"",VLOOKUP(C19,'Puntaje CF'!$C$10:$I$1048576,6,0))</f>
        <v>0</v>
      </c>
      <c r="Q19" s="243" t="str">
        <f>IF(IF(ISERROR(VLOOKUP(C19,'Saldo CtosEjecución'!$C$10:$I$1048576,3,0)),"",VLOOKUP(C19,'Saldo CtosEjecución'!$C$10:$I$1048576,3,0))=0,"",IF(ISERROR(VLOOKUP(C19,'Saldo CtosEjecución'!$C$10:$I$1048576,3,0)),"",VLOOKUP(C19,'Saldo CtosEjecución'!$C$10:$I$1048576,3,0)))</f>
        <v/>
      </c>
      <c r="R19" s="126" t="str">
        <f>IF(OR(K19="",L19="",O19="",P19="",Q19=""),"",(K19*((L19+O19+P19)/100))-Q19)</f>
        <v/>
      </c>
      <c r="S19" s="208"/>
    </row>
    <row r="20" spans="3:19" x14ac:dyDescent="0.2">
      <c r="C20" s="92">
        <v>7</v>
      </c>
      <c r="D20" s="93" t="str">
        <f>IF(ISERROR(VLOOKUP(C20,'Capacidad Financiera'!$B$12:$Z$59051,2,0)),"",VLOOKUP(C20,'Capacidad Financiera'!$B$12:$Z$59051,2,0))</f>
        <v>COOPIRAGUA</v>
      </c>
      <c r="E20" s="94">
        <f>IF(ISERROR(VLOOKUP(C20,'Capacidad Financiera'!$B$12:$Z$59051,3,0)),"",VLOOKUP(C20,'Capacidad Financiera'!$B$12:$Z$59051,3,0))</f>
        <v>1</v>
      </c>
      <c r="F20" s="96">
        <f>'Capacidad Financiera'!N22</f>
        <v>1</v>
      </c>
      <c r="G20" s="95">
        <f>IF(ISERROR(VLOOKUP(F20,POA!$A$2:$D$16,2,0)),"",VLOOKUP(F20,POA!$A$2:$D$16,2,0))</f>
        <v>564638879</v>
      </c>
      <c r="H20" s="95">
        <f>IF(ISERROR(VLOOKUP(F20,POA!$A$2:$D$16,3,0)),"",VLOOKUP(F20,POA!$A$2:$D$16,4,0))</f>
        <v>225855551.60000002</v>
      </c>
      <c r="I20" s="96">
        <f>IF(ISERROR(VLOOKUP(F20,POA!$A$2:$D$2,3,0)),"",VLOOKUP(F20,POA!$A$2:$D$2,3,0))</f>
        <v>33</v>
      </c>
      <c r="J20" s="93">
        <f t="shared" si="2"/>
        <v>123193937.23636362</v>
      </c>
      <c r="K20" s="93">
        <f>IF(IF(ISERROR(VLOOKUP(C20,'Cap Organización'!$C$9:$E$30,3,0)),"",VLOOKUP(C20,'Cap Organización'!$C$9:$E$30,3,0))=0,"",IF(ISERROR(VLOOKUP(C20,'Cap Organización'!$C$9:$E$30,3,0)),"",VLOOKUP(C20,'Cap Organización'!$C$9:$E$30,3,0)))</f>
        <v>377079000</v>
      </c>
      <c r="L20" s="93">
        <f>IF(ISERROR(VLOOKUP(C20,'Puntaje Exp'!$C$9:$J$1048576,8,0)),"",VLOOKUP(C20,'Puntaje Exp'!$C$9:$J$1048576,8,0))</f>
        <v>60</v>
      </c>
      <c r="M20" s="93"/>
      <c r="N20" s="93" t="e">
        <f>+SUM(#REF!)</f>
        <v>#REF!</v>
      </c>
      <c r="O20" s="96">
        <f>IF(ISERROR(VLOOKUP(C20,'Puntaje CT'!$C$9:$F$19,4,0)),"",VLOOKUP(C20,'Puntaje CT'!$C$9:$F$19,4,0))</f>
        <v>40</v>
      </c>
      <c r="P20" s="93">
        <f>IF(ISERROR(VLOOKUP(C20,'Puntaje CF'!C19:H29,6,0)),"",VLOOKUP(C20,'Puntaje CF'!C19:H29,6,0))</f>
        <v>40</v>
      </c>
      <c r="Q20" s="238">
        <f>IF(IF(ISERROR(VLOOKUP(C20,'Saldo CtosEjecución'!$C$9:$I$1048576,3,0)),0,VLOOKUP(C20,'Saldo CtosEjecución'!$C$9:$I$1048576,3,0))=0,0,IF(ISERROR(VLOOKUP(C20,'Saldo CtosEjecución'!$C$9:$I$1048576,3,0)),0,VLOOKUP(C20,'Saldo CtosEjecución'!$C$9:$I$1048576,3,0)))</f>
        <v>0</v>
      </c>
      <c r="R20" s="240">
        <f t="shared" ref="R20" si="3">(K20*((L20+O20+P20)/100))-Q20</f>
        <v>527910599.99999994</v>
      </c>
      <c r="S20" s="209" t="str">
        <f>+IF(OR(R20=0,F20=""),"",IF(R20&gt;=J20,"HABIL","NO HABIL"))</f>
        <v>HABIL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5" type="noConversion"/>
  <conditionalFormatting sqref="S6 E6:J6">
    <cfRule type="expression" dxfId="70" priority="3916" stopIfTrue="1">
      <formula>IF($B6-INT($B6)&gt;0,TRUE,FALSE)</formula>
    </cfRule>
  </conditionalFormatting>
  <conditionalFormatting sqref="D10:D12 D6 L6:R6">
    <cfRule type="cellIs" dxfId="69" priority="3917" stopIfTrue="1" operator="equal">
      <formula>"NO ADMISIBLE"</formula>
    </cfRule>
  </conditionalFormatting>
  <conditionalFormatting sqref="M12:N12 E12">
    <cfRule type="expression" dxfId="68" priority="3915" stopIfTrue="1">
      <formula>IF($B5-INT($B5)&gt;0,TRUE,FALSE)</formula>
    </cfRule>
  </conditionalFormatting>
  <conditionalFormatting sqref="S10:S12">
    <cfRule type="cellIs" dxfId="67" priority="3912" stopIfTrue="1" operator="equal">
      <formula>"NO ADMISIBLE"</formula>
    </cfRule>
    <cfRule type="cellIs" dxfId="66" priority="3913" stopIfTrue="1" operator="equal">
      <formula>"ADMISIBLE"</formula>
    </cfRule>
  </conditionalFormatting>
  <conditionalFormatting sqref="S10:S12">
    <cfRule type="cellIs" dxfId="65" priority="3911" stopIfTrue="1" operator="equal">
      <formula>"PENDIENTE"</formula>
    </cfRule>
  </conditionalFormatting>
  <conditionalFormatting sqref="E11 L11:P11 R11">
    <cfRule type="expression" dxfId="64" priority="3906" stopIfTrue="1">
      <formula>IF($B2-INT($B2)&gt;0,TRUE,FALSE)</formula>
    </cfRule>
  </conditionalFormatting>
  <conditionalFormatting sqref="E10:J10 J11:J12 F11:F12 M10:P10">
    <cfRule type="expression" dxfId="63" priority="3921" stopIfTrue="1">
      <formula>IF(#REF!-INT(#REF!)&gt;0,TRUE,FALSE)</formula>
    </cfRule>
  </conditionalFormatting>
  <conditionalFormatting sqref="G11:G12">
    <cfRule type="expression" dxfId="62" priority="1414" stopIfTrue="1">
      <formula>IF(#REF!-INT(#REF!)&gt;0,TRUE,FALSE)</formula>
    </cfRule>
  </conditionalFormatting>
  <conditionalFormatting sqref="H11:H12">
    <cfRule type="expression" dxfId="61" priority="1413" stopIfTrue="1">
      <formula>IF(#REF!-INT(#REF!)&gt;0,TRUE,FALSE)</formula>
    </cfRule>
  </conditionalFormatting>
  <conditionalFormatting sqref="I11:I12">
    <cfRule type="expression" dxfId="60" priority="1412" stopIfTrue="1">
      <formula>IF(#REF!-INT(#REF!)&gt;0,TRUE,FALSE)</formula>
    </cfRule>
  </conditionalFormatting>
  <conditionalFormatting sqref="K11:K12">
    <cfRule type="expression" dxfId="59" priority="1411" stopIfTrue="1">
      <formula>IF($B2-INT($B2)&gt;0,TRUE,FALSE)</formula>
    </cfRule>
  </conditionalFormatting>
  <conditionalFormatting sqref="L12">
    <cfRule type="expression" dxfId="58" priority="1410" stopIfTrue="1">
      <formula>IF($B3-INT($B3)&gt;0,TRUE,FALSE)</formula>
    </cfRule>
  </conditionalFormatting>
  <conditionalFormatting sqref="O12">
    <cfRule type="expression" dxfId="57" priority="1409" stopIfTrue="1">
      <formula>IF($B3-INT($B3)&gt;0,TRUE,FALSE)</formula>
    </cfRule>
  </conditionalFormatting>
  <conditionalFormatting sqref="P12">
    <cfRule type="expression" dxfId="56" priority="1408" stopIfTrue="1">
      <formula>IF($B3-INT($B3)&gt;0,TRUE,FALSE)</formula>
    </cfRule>
  </conditionalFormatting>
  <conditionalFormatting sqref="R12">
    <cfRule type="expression" dxfId="55" priority="1407" stopIfTrue="1">
      <formula>IF($B3-INT($B3)&gt;0,TRUE,FALSE)</formula>
    </cfRule>
  </conditionalFormatting>
  <conditionalFormatting sqref="Q11:Q12">
    <cfRule type="expression" dxfId="54" priority="1406" stopIfTrue="1">
      <formula>IF($B2-INT($B2)&gt;0,TRUE,FALSE)</formula>
    </cfRule>
  </conditionalFormatting>
  <conditionalFormatting sqref="D13">
    <cfRule type="cellIs" dxfId="53" priority="121" stopIfTrue="1" operator="equal">
      <formula>"NO ADMISIBLE"</formula>
    </cfRule>
  </conditionalFormatting>
  <conditionalFormatting sqref="S13">
    <cfRule type="cellIs" dxfId="52" priority="118" stopIfTrue="1" operator="equal">
      <formula>"NO ADMISIBLE"</formula>
    </cfRule>
    <cfRule type="cellIs" dxfId="51" priority="119" stopIfTrue="1" operator="equal">
      <formula>"ADMISIBLE"</formula>
    </cfRule>
  </conditionalFormatting>
  <conditionalFormatting sqref="S13">
    <cfRule type="cellIs" dxfId="50" priority="117" stopIfTrue="1" operator="equal">
      <formula>"PENDIENTE"</formula>
    </cfRule>
  </conditionalFormatting>
  <conditionalFormatting sqref="E13:J13 M13:N13">
    <cfRule type="expression" dxfId="49" priority="122" stopIfTrue="1">
      <formula>IF(#REF!-INT(#REF!)&gt;0,TRUE,FALSE)</formula>
    </cfRule>
  </conditionalFormatting>
  <conditionalFormatting sqref="D14">
    <cfRule type="cellIs" dxfId="48" priority="105" stopIfTrue="1" operator="equal">
      <formula>"NO ADMISIBLE"</formula>
    </cfRule>
  </conditionalFormatting>
  <conditionalFormatting sqref="S14">
    <cfRule type="cellIs" dxfId="47" priority="102" stopIfTrue="1" operator="equal">
      <formula>"NO ADMISIBLE"</formula>
    </cfRule>
    <cfRule type="cellIs" dxfId="46" priority="103" stopIfTrue="1" operator="equal">
      <formula>"ADMISIBLE"</formula>
    </cfRule>
  </conditionalFormatting>
  <conditionalFormatting sqref="S14">
    <cfRule type="cellIs" dxfId="45" priority="101" stopIfTrue="1" operator="equal">
      <formula>"PENDIENTE"</formula>
    </cfRule>
  </conditionalFormatting>
  <conditionalFormatting sqref="L18:P18 K18:K19 L19 O19:P19 Q18:R19">
    <cfRule type="expression" dxfId="44" priority="100" stopIfTrue="1">
      <formula>IF(#REF!-INT(#REF!)&gt;0,TRUE,FALSE)</formula>
    </cfRule>
  </conditionalFormatting>
  <conditionalFormatting sqref="E14:J14">
    <cfRule type="expression" dxfId="43" priority="106" stopIfTrue="1">
      <formula>IF(#REF!-INT(#REF!)&gt;0,TRUE,FALSE)</formula>
    </cfRule>
  </conditionalFormatting>
  <conditionalFormatting sqref="D15">
    <cfRule type="cellIs" dxfId="42" priority="89" stopIfTrue="1" operator="equal">
      <formula>"NO ADMISIBLE"</formula>
    </cfRule>
  </conditionalFormatting>
  <conditionalFormatting sqref="S15">
    <cfRule type="cellIs" dxfId="41" priority="86" stopIfTrue="1" operator="equal">
      <formula>"NO ADMISIBLE"</formula>
    </cfRule>
    <cfRule type="cellIs" dxfId="40" priority="87" stopIfTrue="1" operator="equal">
      <formula>"ADMISIBLE"</formula>
    </cfRule>
  </conditionalFormatting>
  <conditionalFormatting sqref="S15">
    <cfRule type="cellIs" dxfId="39" priority="85" stopIfTrue="1" operator="equal">
      <formula>"PENDIENTE"</formula>
    </cfRule>
  </conditionalFormatting>
  <conditionalFormatting sqref="E15 G15:J15">
    <cfRule type="expression" dxfId="38" priority="90" stopIfTrue="1">
      <formula>IF(#REF!-INT(#REF!)&gt;0,TRUE,FALSE)</formula>
    </cfRule>
  </conditionalFormatting>
  <conditionalFormatting sqref="D16">
    <cfRule type="cellIs" dxfId="37" priority="73" stopIfTrue="1" operator="equal">
      <formula>"NO ADMISIBLE"</formula>
    </cfRule>
  </conditionalFormatting>
  <conditionalFormatting sqref="S16">
    <cfRule type="cellIs" dxfId="36" priority="70" stopIfTrue="1" operator="equal">
      <formula>"NO ADMISIBLE"</formula>
    </cfRule>
    <cfRule type="cellIs" dxfId="35" priority="71" stopIfTrue="1" operator="equal">
      <formula>"ADMISIBLE"</formula>
    </cfRule>
  </conditionalFormatting>
  <conditionalFormatting sqref="S16">
    <cfRule type="cellIs" dxfId="34" priority="69" stopIfTrue="1" operator="equal">
      <formula>"PENDIENTE"</formula>
    </cfRule>
  </conditionalFormatting>
  <conditionalFormatting sqref="E16:J16">
    <cfRule type="expression" dxfId="33" priority="74" stopIfTrue="1">
      <formula>IF(#REF!-INT(#REF!)&gt;0,TRUE,FALSE)</formula>
    </cfRule>
  </conditionalFormatting>
  <conditionalFormatting sqref="D17:D19">
    <cfRule type="cellIs" dxfId="32" priority="57" stopIfTrue="1" operator="equal">
      <formula>"NO ADMISIBLE"</formula>
    </cfRule>
  </conditionalFormatting>
  <conditionalFormatting sqref="S17:S19">
    <cfRule type="cellIs" dxfId="31" priority="54" stopIfTrue="1" operator="equal">
      <formula>"NO ADMISIBLE"</formula>
    </cfRule>
    <cfRule type="cellIs" dxfId="30" priority="55" stopIfTrue="1" operator="equal">
      <formula>"ADMISIBLE"</formula>
    </cfRule>
  </conditionalFormatting>
  <conditionalFormatting sqref="S17:S19">
    <cfRule type="cellIs" dxfId="29" priority="53" stopIfTrue="1" operator="equal">
      <formula>"PENDIENTE"</formula>
    </cfRule>
  </conditionalFormatting>
  <conditionalFormatting sqref="E18">
    <cfRule type="expression" dxfId="28" priority="52" stopIfTrue="1">
      <formula>IF(#REF!-INT(#REF!)&gt;0,TRUE,FALSE)</formula>
    </cfRule>
  </conditionalFormatting>
  <conditionalFormatting sqref="E17:J17 J18:J19 F18:F19 M17:N17">
    <cfRule type="expression" dxfId="27" priority="58" stopIfTrue="1">
      <formula>IF(#REF!-INT(#REF!)&gt;0,TRUE,FALSE)</formula>
    </cfRule>
  </conditionalFormatting>
  <conditionalFormatting sqref="G18:G19">
    <cfRule type="expression" dxfId="26" priority="51" stopIfTrue="1">
      <formula>IF(#REF!-INT(#REF!)&gt;0,TRUE,FALSE)</formula>
    </cfRule>
  </conditionalFormatting>
  <conditionalFormatting sqref="H18:H19">
    <cfRule type="expression" dxfId="25" priority="50" stopIfTrue="1">
      <formula>IF(#REF!-INT(#REF!)&gt;0,TRUE,FALSE)</formula>
    </cfRule>
  </conditionalFormatting>
  <conditionalFormatting sqref="I18:I19">
    <cfRule type="expression" dxfId="24" priority="49" stopIfTrue="1">
      <formula>IF(#REF!-INT(#REF!)&gt;0,TRUE,FALSE)</formula>
    </cfRule>
  </conditionalFormatting>
  <conditionalFormatting sqref="D20">
    <cfRule type="cellIs" dxfId="23" priority="41" stopIfTrue="1" operator="equal">
      <formula>"NO ADMISIBLE"</formula>
    </cfRule>
  </conditionalFormatting>
  <conditionalFormatting sqref="S20">
    <cfRule type="cellIs" dxfId="22" priority="38" stopIfTrue="1" operator="equal">
      <formula>"NO ADMISIBLE"</formula>
    </cfRule>
    <cfRule type="cellIs" dxfId="21" priority="39" stopIfTrue="1" operator="equal">
      <formula>"ADMISIBLE"</formula>
    </cfRule>
  </conditionalFormatting>
  <conditionalFormatting sqref="S20">
    <cfRule type="cellIs" dxfId="20" priority="37" stopIfTrue="1" operator="equal">
      <formula>"PENDIENTE"</formula>
    </cfRule>
  </conditionalFormatting>
  <conditionalFormatting sqref="E20:J20 M20:N20">
    <cfRule type="expression" dxfId="19" priority="42" stopIfTrue="1">
      <formula>IF(#REF!-INT(#REF!)&gt;0,TRUE,FALSE)</formula>
    </cfRule>
  </conditionalFormatting>
  <conditionalFormatting sqref="M19:N19 E19">
    <cfRule type="expression" dxfId="18" priority="8089" stopIfTrue="1">
      <formula>IF(#REF!-INT(#REF!)&gt;0,TRUE,FALSE)</formula>
    </cfRule>
  </conditionalFormatting>
  <conditionalFormatting sqref="M14:N16">
    <cfRule type="expression" dxfId="17" priority="26" stopIfTrue="1">
      <formula>IF(#REF!-INT(#REF!)&gt;0,TRUE,FALSE)</formula>
    </cfRule>
  </conditionalFormatting>
  <conditionalFormatting sqref="R10">
    <cfRule type="expression" dxfId="16" priority="25" stopIfTrue="1">
      <formula>IF(#REF!-INT(#REF!)&gt;0,TRUE,FALSE)</formula>
    </cfRule>
  </conditionalFormatting>
  <conditionalFormatting sqref="K10">
    <cfRule type="expression" dxfId="15" priority="22" stopIfTrue="1">
      <formula>IF(#REF!-INT(#REF!)&gt;0,TRUE,FALSE)</formula>
    </cfRule>
  </conditionalFormatting>
  <conditionalFormatting sqref="K20">
    <cfRule type="expression" dxfId="14" priority="20" stopIfTrue="1">
      <formula>IF(#REF!-INT(#REF!)&gt;0,TRUE,FALSE)</formula>
    </cfRule>
  </conditionalFormatting>
  <conditionalFormatting sqref="L10">
    <cfRule type="expression" dxfId="13" priority="18" stopIfTrue="1">
      <formula>IF(#REF!-INT(#REF!)&gt;0,TRUE,FALSE)</formula>
    </cfRule>
  </conditionalFormatting>
  <conditionalFormatting sqref="L13:L17">
    <cfRule type="expression" dxfId="12" priority="17" stopIfTrue="1">
      <formula>IF(#REF!-INT(#REF!)&gt;0,TRUE,FALSE)</formula>
    </cfRule>
  </conditionalFormatting>
  <conditionalFormatting sqref="L20">
    <cfRule type="expression" dxfId="11" priority="16" stopIfTrue="1">
      <formula>IF(#REF!-INT(#REF!)&gt;0,TRUE,FALSE)</formula>
    </cfRule>
  </conditionalFormatting>
  <conditionalFormatting sqref="O13:O17">
    <cfRule type="expression" dxfId="10" priority="13" stopIfTrue="1">
      <formula>IF(#REF!-INT(#REF!)&gt;0,TRUE,FALSE)</formula>
    </cfRule>
  </conditionalFormatting>
  <conditionalFormatting sqref="O20">
    <cfRule type="expression" dxfId="9" priority="12" stopIfTrue="1">
      <formula>IF(#REF!-INT(#REF!)&gt;0,TRUE,FALSE)</formula>
    </cfRule>
  </conditionalFormatting>
  <conditionalFormatting sqref="P13:P17">
    <cfRule type="expression" dxfId="8" priority="11" stopIfTrue="1">
      <formula>IF(#REF!-INT(#REF!)&gt;0,TRUE,FALSE)</formula>
    </cfRule>
  </conditionalFormatting>
  <conditionalFormatting sqref="P20">
    <cfRule type="expression" dxfId="7" priority="10" stopIfTrue="1">
      <formula>IF(#REF!-INT(#REF!)&gt;0,TRUE,FALSE)</formula>
    </cfRule>
  </conditionalFormatting>
  <conditionalFormatting sqref="Q10">
    <cfRule type="expression" dxfId="6" priority="8" stopIfTrue="1">
      <formula>IF(#REF!-INT(#REF!)&gt;0,TRUE,FALSE)</formula>
    </cfRule>
  </conditionalFormatting>
  <conditionalFormatting sqref="Q13:Q17">
    <cfRule type="expression" dxfId="5" priority="7" stopIfTrue="1">
      <formula>IF(#REF!-INT(#REF!)&gt;0,TRUE,FALSE)</formula>
    </cfRule>
  </conditionalFormatting>
  <conditionalFormatting sqref="R13:R17">
    <cfRule type="expression" dxfId="4" priority="5" stopIfTrue="1">
      <formula>IF(#REF!-INT(#REF!)&gt;0,TRUE,FALSE)</formula>
    </cfRule>
  </conditionalFormatting>
  <conditionalFormatting sqref="R20">
    <cfRule type="expression" dxfId="3" priority="4" stopIfTrue="1">
      <formula>IF(#REF!-INT(#REF!)&gt;0,TRUE,FALSE)</formula>
    </cfRule>
  </conditionalFormatting>
  <conditionalFormatting sqref="Q20">
    <cfRule type="expression" dxfId="2" priority="3" stopIfTrue="1">
      <formula>IF(#REF!-INT(#REF!)&gt;0,TRUE,FALSE)</formula>
    </cfRule>
  </conditionalFormatting>
  <conditionalFormatting sqref="K13:K17">
    <cfRule type="expression" dxfId="1" priority="2" stopIfTrue="1">
      <formula>IF(#REF!-INT(#REF!)&gt;0,TRUE,FALSE)</formula>
    </cfRule>
  </conditionalFormatting>
  <conditionalFormatting sqref="F15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D6 D10:D20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7</v>
      </c>
    </row>
    <row r="3" spans="1:2" ht="48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Marisol Piedrahita Urueña</cp:lastModifiedBy>
  <cp:lastPrinted>2014-04-30T17:21:41Z</cp:lastPrinted>
  <dcterms:created xsi:type="dcterms:W3CDTF">2005-03-19T14:11:58Z</dcterms:created>
  <dcterms:modified xsi:type="dcterms:W3CDTF">2019-11-12T19:58:01Z</dcterms:modified>
</cp:coreProperties>
</file>