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E:\adriana.ibarra\Desktop\20200530\Informes del EIP\Corte jul22 C30ago22\"/>
    </mc:Choice>
  </mc:AlternateContent>
  <xr:revisionPtr revIDLastSave="0" documentId="13_ncr:1_{BAA019BB-4F52-430E-A39B-8E6B8CDEF746}" xr6:coauthVersionLast="47" xr6:coauthVersionMax="47" xr10:uidLastSave="{00000000-0000-0000-0000-000000000000}"/>
  <workbookProtection workbookAlgorithmName="SHA-512" workbookHashValue="yHjOxtogxVvJckVmOR/NvuvufmmMkB+C1lq0H2RPaLRevMF+CtsGFjrOdmwd4PQhDvXdx7T/RUr4QDL5ZxFsVA==" workbookSaltValue="7tGAUaxhCkURPfP2SdY4uw==" workbookSpinCount="100000" lockStructure="1"/>
  <bookViews>
    <workbookView xWindow="-120" yWindow="-120" windowWidth="20730" windowHeight="11160" xr2:uid="{00000000-000D-0000-FFFF-FFFF00000000}"/>
  </bookViews>
  <sheets>
    <sheet name="Avance 2021 super" sheetId="37" r:id="rId1"/>
    <sheet name="Avance 2022 super" sheetId="38" r:id="rId2"/>
    <sheet name="Avance 2022" sheetId="36" r:id="rId3"/>
    <sheet name="Avance 2021" sheetId="32" r:id="rId4"/>
    <sheet name="Avance 2020" sheetId="31" state="hidden" r:id="rId5"/>
    <sheet name="2022" sheetId="35" r:id="rId6"/>
    <sheet name="2021" sheetId="30" r:id="rId7"/>
    <sheet name="2020" sheetId="1" state="hidden" r:id="rId8"/>
    <sheet name="Avance contrato" sheetId="33" state="hidden" r:id="rId9"/>
  </sheets>
  <definedNames>
    <definedName name="_ftn1" localSheetId="8">'Avance contrato'!$A$24</definedName>
    <definedName name="_ftn2" localSheetId="8">'Avance contrato'!$A$25</definedName>
    <definedName name="_ftnref1" localSheetId="8">'Avance contrato'!$C$11</definedName>
    <definedName name="_ftnref2" localSheetId="8">'Avance contrato'!$A$14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 i="38" l="1"/>
  <c r="L5" i="38"/>
  <c r="L6" i="38"/>
  <c r="L7" i="38"/>
  <c r="L8" i="38"/>
  <c r="L13" i="38"/>
  <c r="L14" i="38"/>
  <c r="L15" i="38"/>
  <c r="L16" i="38"/>
  <c r="L17" i="38"/>
  <c r="L18" i="38"/>
  <c r="L19" i="38"/>
  <c r="L21" i="38"/>
  <c r="L22" i="38"/>
  <c r="L23" i="38"/>
  <c r="L24" i="38"/>
  <c r="L25" i="38"/>
  <c r="L28" i="38"/>
  <c r="L29" i="38"/>
  <c r="E28" i="38"/>
  <c r="E27" i="38"/>
  <c r="I27" i="38" s="1"/>
  <c r="E26" i="38"/>
  <c r="I26" i="38" s="1"/>
  <c r="L26" i="38" s="1"/>
  <c r="E24" i="38"/>
  <c r="E21" i="38"/>
  <c r="E17" i="38"/>
  <c r="E13" i="38"/>
  <c r="I11" i="38"/>
  <c r="L11" i="38" s="1"/>
  <c r="I10" i="38"/>
  <c r="L10" i="38" s="1"/>
  <c r="I9" i="38"/>
  <c r="L9" i="38" s="1"/>
  <c r="E8" i="38"/>
  <c r="E6" i="38"/>
  <c r="E4" i="38"/>
  <c r="K19" i="37"/>
  <c r="K18" i="37"/>
  <c r="M28" i="38" l="1"/>
  <c r="L27" i="38"/>
  <c r="M27" i="38" s="1"/>
  <c r="E30" i="38"/>
  <c r="E12" i="38"/>
  <c r="E20" i="38"/>
  <c r="E31" i="38" l="1"/>
  <c r="G24" i="38" s="1"/>
  <c r="H25" i="38" s="1"/>
  <c r="G28" i="38"/>
  <c r="N28" i="38" s="1"/>
  <c r="G21" i="38"/>
  <c r="G13" i="38"/>
  <c r="G27" i="38"/>
  <c r="N27" i="38" s="1"/>
  <c r="G17" i="38"/>
  <c r="G26" i="38"/>
  <c r="H26" i="38" s="1"/>
  <c r="M26" i="38" s="1"/>
  <c r="N26" i="38" s="1"/>
  <c r="G6" i="38"/>
  <c r="G4" i="38" l="1"/>
  <c r="G12" i="38" s="1"/>
  <c r="G31" i="38" s="1"/>
  <c r="G8" i="38"/>
  <c r="H24" i="38"/>
  <c r="M24" i="38" s="1"/>
  <c r="N24" i="38" s="1"/>
  <c r="H7" i="38"/>
  <c r="H6" i="38"/>
  <c r="H23" i="38"/>
  <c r="G30" i="38"/>
  <c r="H22" i="38"/>
  <c r="H21" i="38"/>
  <c r="H5" i="38"/>
  <c r="H4" i="38"/>
  <c r="G20" i="38"/>
  <c r="H15" i="38"/>
  <c r="H16" i="38"/>
  <c r="H14" i="38"/>
  <c r="H13" i="38"/>
  <c r="H9" i="38"/>
  <c r="H8" i="38"/>
  <c r="H10" i="38"/>
  <c r="H19" i="38"/>
  <c r="H18" i="38"/>
  <c r="H17" i="38"/>
  <c r="M8" i="38" l="1"/>
  <c r="N8" i="38" s="1"/>
  <c r="M17" i="38"/>
  <c r="N17" i="38" s="1"/>
  <c r="M6" i="38"/>
  <c r="N6" i="38" s="1"/>
  <c r="M13" i="38"/>
  <c r="M21" i="38"/>
  <c r="H12" i="38"/>
  <c r="M4" i="38"/>
  <c r="N21" i="38" l="1"/>
  <c r="M30" i="38"/>
  <c r="N30" i="38" s="1"/>
  <c r="O30" i="38" s="1"/>
  <c r="M12" i="38"/>
  <c r="N4" i="38"/>
  <c r="N13" i="38"/>
  <c r="M20" i="38"/>
  <c r="N20" i="38" s="1"/>
  <c r="O20" i="38" s="1"/>
  <c r="M31" i="38" l="1"/>
  <c r="N31" i="38" s="1"/>
  <c r="N12" i="38"/>
  <c r="O12" i="38" s="1"/>
  <c r="K25" i="37" l="1"/>
  <c r="E30" i="37"/>
  <c r="L29" i="37"/>
  <c r="L28" i="37"/>
  <c r="M28" i="37" s="1"/>
  <c r="M27" i="37"/>
  <c r="L27" i="37"/>
  <c r="L26" i="37"/>
  <c r="M26" i="37" s="1"/>
  <c r="L25" i="37"/>
  <c r="L24" i="37"/>
  <c r="L23" i="37"/>
  <c r="L22" i="37"/>
  <c r="L21" i="37"/>
  <c r="M21" i="37" s="1"/>
  <c r="E20" i="37"/>
  <c r="L19" i="37"/>
  <c r="H19" i="37"/>
  <c r="L18" i="37"/>
  <c r="H18" i="37"/>
  <c r="L17" i="37"/>
  <c r="L16" i="37"/>
  <c r="L15" i="37"/>
  <c r="L14" i="37"/>
  <c r="L13" i="37"/>
  <c r="L12" i="37"/>
  <c r="E11" i="37"/>
  <c r="E31" i="37" s="1"/>
  <c r="I10" i="37"/>
  <c r="L10" i="37" s="1"/>
  <c r="I9" i="37"/>
  <c r="L9" i="37" s="1"/>
  <c r="L8" i="37"/>
  <c r="L7" i="37"/>
  <c r="L6" i="37"/>
  <c r="L5" i="37"/>
  <c r="L4" i="37"/>
  <c r="M4" i="37" s="1"/>
  <c r="K11" i="36"/>
  <c r="I11" i="36"/>
  <c r="I10" i="36"/>
  <c r="M6" i="37" l="1"/>
  <c r="G6" i="37"/>
  <c r="N6" i="37" s="1"/>
  <c r="G4" i="37"/>
  <c r="N4" i="37" s="1"/>
  <c r="G12" i="37"/>
  <c r="G21" i="37"/>
  <c r="G8" i="37"/>
  <c r="G28" i="37"/>
  <c r="N28" i="37" s="1"/>
  <c r="G27" i="37"/>
  <c r="N27" i="37" s="1"/>
  <c r="G26" i="37"/>
  <c r="G24" i="37"/>
  <c r="G17" i="37"/>
  <c r="N21" i="37"/>
  <c r="M8" i="37"/>
  <c r="N8" i="37" s="1"/>
  <c r="M17" i="37"/>
  <c r="N26" i="37"/>
  <c r="J19" i="32"/>
  <c r="J18" i="32"/>
  <c r="G20" i="37" l="1"/>
  <c r="H14" i="37"/>
  <c r="H15" i="37"/>
  <c r="H13" i="37"/>
  <c r="H12" i="37"/>
  <c r="M11" i="37"/>
  <c r="G11" i="37"/>
  <c r="G31" i="37" s="1"/>
  <c r="H25" i="37"/>
  <c r="H24" i="37"/>
  <c r="N17" i="37"/>
  <c r="G30" i="37"/>
  <c r="J25" i="32"/>
  <c r="N11" i="37" l="1"/>
  <c r="O11" i="37" s="1"/>
  <c r="M24" i="37"/>
  <c r="M12" i="37"/>
  <c r="K14" i="32"/>
  <c r="M20" i="37" l="1"/>
  <c r="N12" i="37"/>
  <c r="N24" i="37"/>
  <c r="M30" i="37"/>
  <c r="N30" i="37" s="1"/>
  <c r="O30" i="37" s="1"/>
  <c r="I9" i="36"/>
  <c r="I10" i="32"/>
  <c r="N20" i="37" l="1"/>
  <c r="O20" i="37" s="1"/>
  <c r="M31" i="37"/>
  <c r="N31" i="37" s="1"/>
  <c r="H17" i="31"/>
  <c r="B16" i="33" s="1"/>
  <c r="K10" i="36"/>
  <c r="E28" i="36"/>
  <c r="E27" i="36"/>
  <c r="I27" i="36" s="1"/>
  <c r="K27" i="36" s="1"/>
  <c r="L27" i="36" s="1"/>
  <c r="E26" i="36"/>
  <c r="I26" i="36" s="1"/>
  <c r="K26" i="36" s="1"/>
  <c r="E24" i="36"/>
  <c r="E21" i="36"/>
  <c r="E17" i="36"/>
  <c r="E13" i="36"/>
  <c r="E20" i="36" s="1"/>
  <c r="E8" i="36"/>
  <c r="E6" i="36"/>
  <c r="E12" i="36" s="1"/>
  <c r="E4" i="36"/>
  <c r="K8" i="36"/>
  <c r="K29" i="36"/>
  <c r="K28" i="36"/>
  <c r="K25" i="36"/>
  <c r="K24" i="36"/>
  <c r="K23" i="36"/>
  <c r="K22" i="36"/>
  <c r="K21" i="36"/>
  <c r="K19" i="36"/>
  <c r="K18" i="36"/>
  <c r="K17" i="36"/>
  <c r="K16" i="36"/>
  <c r="K15" i="36"/>
  <c r="K14" i="36"/>
  <c r="K13" i="36"/>
  <c r="K9" i="36"/>
  <c r="K7" i="36"/>
  <c r="K6" i="36"/>
  <c r="K5" i="36"/>
  <c r="K4" i="36"/>
  <c r="H19" i="32"/>
  <c r="H18" i="32"/>
  <c r="E10" i="35"/>
  <c r="E13" i="35"/>
  <c r="F19" i="35"/>
  <c r="E19" i="35"/>
  <c r="E20" i="35" s="1"/>
  <c r="G18" i="35"/>
  <c r="G17" i="35"/>
  <c r="G16" i="35"/>
  <c r="G15" i="35"/>
  <c r="G14" i="35"/>
  <c r="F13" i="35"/>
  <c r="G12" i="35"/>
  <c r="G11" i="35"/>
  <c r="F10" i="35"/>
  <c r="G9" i="35"/>
  <c r="G8" i="35"/>
  <c r="G7" i="35"/>
  <c r="D14" i="33"/>
  <c r="B17" i="33"/>
  <c r="E30" i="36" l="1"/>
  <c r="E31" i="36" s="1"/>
  <c r="F20" i="35"/>
  <c r="L28" i="36"/>
  <c r="K19" i="32"/>
  <c r="K18" i="32"/>
  <c r="G19" i="35"/>
  <c r="G13" i="35"/>
  <c r="G10" i="35"/>
  <c r="E23" i="35"/>
  <c r="E24" i="35" s="1"/>
  <c r="E25" i="35" s="1"/>
  <c r="G26" i="36" l="1"/>
  <c r="H26" i="36" s="1"/>
  <c r="L26" i="36" s="1"/>
  <c r="M26" i="36" s="1"/>
  <c r="G4" i="36"/>
  <c r="G17" i="36"/>
  <c r="G13" i="36"/>
  <c r="G27" i="36"/>
  <c r="M27" i="36" s="1"/>
  <c r="G21" i="36"/>
  <c r="G24" i="36"/>
  <c r="G8" i="36"/>
  <c r="H10" i="36" s="1"/>
  <c r="G28" i="36"/>
  <c r="M28" i="36" s="1"/>
  <c r="G6" i="36"/>
  <c r="G20" i="35"/>
  <c r="K17" i="32"/>
  <c r="H22" i="36" l="1"/>
  <c r="H21" i="36"/>
  <c r="H23" i="36"/>
  <c r="G20" i="36"/>
  <c r="H14" i="36"/>
  <c r="H13" i="36"/>
  <c r="H15" i="36"/>
  <c r="H16" i="36"/>
  <c r="H6" i="36"/>
  <c r="H7" i="36"/>
  <c r="H19" i="36"/>
  <c r="H17" i="36"/>
  <c r="H18" i="36"/>
  <c r="H9" i="36"/>
  <c r="H8" i="36"/>
  <c r="L8" i="36" s="1"/>
  <c r="H25" i="36"/>
  <c r="H24" i="36"/>
  <c r="G12" i="36"/>
  <c r="H4" i="36"/>
  <c r="H5" i="36"/>
  <c r="L17" i="32"/>
  <c r="G30" i="36"/>
  <c r="D21" i="33"/>
  <c r="D22" i="33" s="1"/>
  <c r="K7" i="32"/>
  <c r="K6" i="32"/>
  <c r="K5" i="32"/>
  <c r="L24" i="36" l="1"/>
  <c r="M24" i="36" s="1"/>
  <c r="H12" i="36"/>
  <c r="L4" i="36"/>
  <c r="L21" i="36"/>
  <c r="M21" i="36" s="1"/>
  <c r="L13" i="36"/>
  <c r="M8" i="36"/>
  <c r="L17" i="36"/>
  <c r="M17" i="36" s="1"/>
  <c r="L6" i="36"/>
  <c r="M6" i="36" s="1"/>
  <c r="G31" i="36"/>
  <c r="E14" i="33"/>
  <c r="E21" i="33" s="1"/>
  <c r="E22" i="33" s="1"/>
  <c r="L20" i="36" l="1"/>
  <c r="M20" i="36" s="1"/>
  <c r="N20" i="36" s="1"/>
  <c r="M13" i="36"/>
  <c r="M4" i="36"/>
  <c r="L12" i="36"/>
  <c r="M12" i="36" s="1"/>
  <c r="N12" i="36" s="1"/>
  <c r="L30" i="36"/>
  <c r="M30" i="36" s="1"/>
  <c r="N30" i="36" s="1"/>
  <c r="L6" i="32"/>
  <c r="I18" i="31"/>
  <c r="I17" i="31"/>
  <c r="I19" i="31"/>
  <c r="K24" i="32"/>
  <c r="K25" i="32"/>
  <c r="K27" i="32"/>
  <c r="K12" i="32"/>
  <c r="K8" i="32"/>
  <c r="K4" i="32"/>
  <c r="L4" i="32" s="1"/>
  <c r="K22" i="32"/>
  <c r="K23" i="32"/>
  <c r="K26" i="32"/>
  <c r="L26" i="32" s="1"/>
  <c r="K28" i="32"/>
  <c r="K29" i="32"/>
  <c r="K21" i="32"/>
  <c r="K13" i="32"/>
  <c r="K15" i="32"/>
  <c r="K16" i="32"/>
  <c r="K10" i="32"/>
  <c r="I9" i="32"/>
  <c r="K9" i="32" s="1"/>
  <c r="I4" i="31"/>
  <c r="I15" i="31"/>
  <c r="I20" i="31"/>
  <c r="I14" i="31"/>
  <c r="I10" i="31"/>
  <c r="I11" i="31"/>
  <c r="I12" i="31"/>
  <c r="I9" i="31"/>
  <c r="I5" i="31"/>
  <c r="I6" i="31"/>
  <c r="C7" i="33"/>
  <c r="E20" i="32"/>
  <c r="E30" i="32"/>
  <c r="E11" i="32"/>
  <c r="D13" i="31"/>
  <c r="G11" i="30"/>
  <c r="G12" i="30"/>
  <c r="G14" i="30"/>
  <c r="G15" i="30"/>
  <c r="G16" i="30"/>
  <c r="G17" i="30"/>
  <c r="G18" i="30"/>
  <c r="G8" i="30"/>
  <c r="G9" i="30"/>
  <c r="G7" i="30"/>
  <c r="F13" i="30"/>
  <c r="E13" i="30"/>
  <c r="L31" i="36" l="1"/>
  <c r="M31" i="36" s="1"/>
  <c r="L21" i="32"/>
  <c r="L8" i="32"/>
  <c r="L28" i="32"/>
  <c r="L27" i="32"/>
  <c r="E31" i="32"/>
  <c r="D8" i="31"/>
  <c r="D21" i="31"/>
  <c r="G13" i="30"/>
  <c r="E10" i="30"/>
  <c r="F10" i="30"/>
  <c r="F19" i="30"/>
  <c r="E19" i="30"/>
  <c r="G28" i="32" l="1"/>
  <c r="M28" i="32" s="1"/>
  <c r="G4" i="32"/>
  <c r="M4" i="32" s="1"/>
  <c r="G6" i="32"/>
  <c r="M6" i="32" s="1"/>
  <c r="G21" i="32"/>
  <c r="M21" i="32" s="1"/>
  <c r="G17" i="32"/>
  <c r="M17" i="32" s="1"/>
  <c r="G27" i="32"/>
  <c r="M27" i="32" s="1"/>
  <c r="G8" i="32"/>
  <c r="M8" i="32" s="1"/>
  <c r="G24" i="32"/>
  <c r="G12" i="32"/>
  <c r="G26" i="32"/>
  <c r="M26" i="32" s="1"/>
  <c r="D22" i="31"/>
  <c r="G10" i="30"/>
  <c r="G19" i="30"/>
  <c r="F20" i="30"/>
  <c r="E20" i="30"/>
  <c r="E23" i="30" s="1"/>
  <c r="G7" i="1"/>
  <c r="H12" i="32" l="1"/>
  <c r="H15" i="32"/>
  <c r="H13" i="32"/>
  <c r="H14" i="32"/>
  <c r="F4" i="31"/>
  <c r="F17" i="31"/>
  <c r="J17" i="31" s="1"/>
  <c r="H25" i="32"/>
  <c r="H24" i="32"/>
  <c r="L24" i="32" s="1"/>
  <c r="M24" i="32" s="1"/>
  <c r="F21" i="31"/>
  <c r="F9" i="31"/>
  <c r="J9" i="31" s="1"/>
  <c r="G20" i="32"/>
  <c r="L11" i="32"/>
  <c r="G11" i="32"/>
  <c r="G30" i="32"/>
  <c r="F6" i="31"/>
  <c r="J6" i="31" s="1"/>
  <c r="F22" i="31"/>
  <c r="F18" i="31"/>
  <c r="J18" i="31" s="1"/>
  <c r="F14" i="31"/>
  <c r="F7" i="31"/>
  <c r="J7" i="31" s="1"/>
  <c r="F19" i="31"/>
  <c r="F13" i="31"/>
  <c r="F8" i="31"/>
  <c r="D25" i="31"/>
  <c r="G20" i="30"/>
  <c r="E24" i="30"/>
  <c r="E25" i="30" s="1"/>
  <c r="G24" i="1"/>
  <c r="J16" i="31" l="1"/>
  <c r="J14" i="31"/>
  <c r="J15" i="31"/>
  <c r="J20" i="31"/>
  <c r="J19" i="31"/>
  <c r="J5" i="31"/>
  <c r="J4" i="31"/>
  <c r="J8" i="31" s="1"/>
  <c r="L12" i="32"/>
  <c r="L30" i="32"/>
  <c r="M11" i="32"/>
  <c r="N11" i="32" s="1"/>
  <c r="G31" i="32"/>
  <c r="J10" i="31"/>
  <c r="J11" i="31"/>
  <c r="J12" i="31"/>
  <c r="D26" i="31"/>
  <c r="D27" i="31" s="1"/>
  <c r="G25" i="1"/>
  <c r="G26" i="1" s="1"/>
  <c r="H8" i="1"/>
  <c r="J8" i="1" s="1"/>
  <c r="H11" i="1"/>
  <c r="L31" i="32" l="1"/>
  <c r="M31" i="32" s="1"/>
  <c r="L20" i="32"/>
  <c r="M20" i="32" s="1"/>
  <c r="N20" i="32" s="1"/>
  <c r="M12" i="32"/>
  <c r="J21" i="31"/>
  <c r="M30" i="32"/>
  <c r="N30" i="32" s="1"/>
  <c r="J13" i="31"/>
  <c r="K17" i="1"/>
  <c r="G11" i="1"/>
  <c r="G13" i="1" s="1"/>
  <c r="F11" i="1"/>
  <c r="F13" i="1" s="1"/>
  <c r="J7" i="1"/>
  <c r="K7" i="1" s="1"/>
  <c r="B6" i="33" l="1"/>
  <c r="C21" i="33" s="1"/>
  <c r="C22" i="33" s="1"/>
  <c r="B24" i="33" s="1"/>
  <c r="J22" i="31"/>
  <c r="B5" i="33" s="1"/>
  <c r="H9" i="1"/>
  <c r="B7" i="33" l="1"/>
  <c r="B21" i="33"/>
  <c r="B22" i="33" s="1"/>
  <c r="B23" i="33" s="1"/>
  <c r="G9" i="1"/>
  <c r="F9" i="1"/>
  <c r="E13" i="1" l="1"/>
  <c r="F19" i="1" l="1"/>
  <c r="H18" i="1"/>
  <c r="F18" i="1" s="1"/>
  <c r="G18" i="1" s="1"/>
  <c r="M7" i="1"/>
  <c r="N7" i="1" s="1"/>
  <c r="O7" i="1"/>
  <c r="O6" i="1" s="1"/>
  <c r="H7" i="1"/>
  <c r="G10" i="1" s="1"/>
  <c r="E10" i="1"/>
  <c r="J10" i="1" s="1"/>
  <c r="E20" i="1" l="1"/>
  <c r="J11" i="1" s="1"/>
  <c r="H14" i="1"/>
  <c r="F14" i="1" s="1"/>
  <c r="G14" i="1" s="1"/>
  <c r="G20" i="1" s="1"/>
  <c r="I21" i="1" s="1"/>
  <c r="I22" i="1" s="1"/>
  <c r="I23" i="1" s="1"/>
  <c r="I24" i="1" s="1"/>
  <c r="I25" i="1" s="1"/>
  <c r="L7" i="1"/>
  <c r="F7" i="1"/>
  <c r="F10" i="1" s="1"/>
  <c r="E21" i="1" l="1"/>
  <c r="K11" i="1" s="1"/>
  <c r="I30" i="1"/>
  <c r="I31" i="1" s="1"/>
  <c r="I32" i="1" s="1"/>
  <c r="I33" i="1" s="1"/>
  <c r="G22" i="1"/>
  <c r="I26" i="1"/>
  <c r="I27" i="1"/>
  <c r="I28" i="1" s="1"/>
  <c r="F20" i="1"/>
  <c r="F21" i="1" s="1"/>
  <c r="E24" i="1" l="1"/>
  <c r="E25" i="1" s="1"/>
  <c r="E26" i="1" s="1"/>
  <c r="K10" i="1"/>
  <c r="F24" i="1"/>
  <c r="F25" i="1" s="1"/>
  <c r="F2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Adriana Mercedes Ibarra</author>
    <author>Cristina</author>
    <author>BUEN DIA!</author>
  </authors>
  <commentList>
    <comment ref="J3" authorId="0" shapeId="0" xr:uid="{6CD845A7-DADD-4BF9-96B7-70A532518AA4}">
      <text>
        <r>
          <rPr>
            <b/>
            <sz val="9"/>
            <color indexed="81"/>
            <rFont val="Tahoma"/>
            <family val="2"/>
          </rPr>
          <t>Adriana Mercedes Ibarra:</t>
        </r>
        <r>
          <rPr>
            <sz val="9"/>
            <color indexed="81"/>
            <rFont val="Tahoma"/>
            <family val="2"/>
          </rPr>
          <t xml:space="preserve">
Solo actualizar esta columna</t>
        </r>
      </text>
    </comment>
    <comment ref="K3" authorId="0" shapeId="0" xr:uid="{6CDE656B-408C-4CC4-BD7E-B263730784DF}">
      <text>
        <r>
          <rPr>
            <b/>
            <sz val="9"/>
            <color indexed="81"/>
            <rFont val="Tahoma"/>
            <family val="2"/>
          </rPr>
          <t>Adriana Mercedes Ibarra:</t>
        </r>
        <r>
          <rPr>
            <sz val="9"/>
            <color indexed="81"/>
            <rFont val="Tahoma"/>
            <family val="2"/>
          </rPr>
          <t xml:space="preserve">
Solo actualizar esta columna</t>
        </r>
      </text>
    </comment>
    <comment ref="I8" authorId="0" shapeId="0" xr:uid="{4CCF1B89-196E-4ECD-AFD6-407A911296C9}">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J8" authorId="1" shapeId="0" xr:uid="{7325CAFF-06DD-4B53-94FB-D77BB3BF91B9}">
      <text>
        <r>
          <rPr>
            <b/>
            <sz val="9"/>
            <color indexed="81"/>
            <rFont val="Tahoma"/>
            <family val="2"/>
          </rPr>
          <t>Cristina:</t>
        </r>
        <r>
          <rPr>
            <sz val="9"/>
            <color indexed="81"/>
            <rFont val="Tahoma"/>
            <family val="2"/>
          </rPr>
          <t xml:space="preserve">
PREGUNTAR A LOREN DATO ACTUALIZADO</t>
        </r>
      </text>
    </comment>
    <comment ref="K8" authorId="1" shapeId="0" xr:uid="{3ABF5F0A-12D4-4548-9F63-2C367440D96B}">
      <text>
        <r>
          <rPr>
            <b/>
            <sz val="9"/>
            <color indexed="81"/>
            <rFont val="Tahoma"/>
            <family val="2"/>
          </rPr>
          <t>Cristina:</t>
        </r>
        <r>
          <rPr>
            <sz val="9"/>
            <color indexed="81"/>
            <rFont val="Tahoma"/>
            <family val="2"/>
          </rPr>
          <t xml:space="preserve">
PREGUNTAR A LOREN DATO ACTUALIZADO</t>
        </r>
      </text>
    </comment>
    <comment ref="I9" authorId="0" shapeId="0" xr:uid="{6B943188-E57F-4049-9C73-AEFD3ADD75FF}">
      <text>
        <r>
          <rPr>
            <b/>
            <sz val="9"/>
            <color indexed="81"/>
            <rFont val="Tahoma"/>
            <family val="2"/>
          </rPr>
          <t>Adriana Mercedes Ibarra:</t>
        </r>
        <r>
          <rPr>
            <sz val="9"/>
            <color indexed="81"/>
            <rFont val="Tahoma"/>
            <family val="2"/>
          </rPr>
          <t xml:space="preserve">
Se resta una alianza que no tendra monitoreo por liquidación anticipada</t>
        </r>
      </text>
    </comment>
    <comment ref="J9" authorId="0" shapeId="0" xr:uid="{34707441-2883-43F5-AF8C-042E28B711A6}">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K9" authorId="0" shapeId="0" xr:uid="{FF4AE433-349D-48E2-8A01-6C56126C4956}">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H10" authorId="0" shapeId="0" xr:uid="{F18FB0E5-B98F-4D57-A097-386F8C9A69AA}">
      <text>
        <r>
          <rPr>
            <b/>
            <sz val="9"/>
            <color indexed="81"/>
            <rFont val="Tahoma"/>
            <family val="2"/>
          </rPr>
          <t>Adriana Mercedes Ibarra:</t>
        </r>
        <r>
          <rPr>
            <sz val="9"/>
            <color indexed="81"/>
            <rFont val="Tahoma"/>
            <family val="2"/>
          </rPr>
          <t xml:space="preserve">
pendiente determinar si se coloca peso o no</t>
        </r>
      </text>
    </comment>
    <comment ref="I10" authorId="0" shapeId="0" xr:uid="{CF498DED-2F15-420A-A05B-EC7EE2CDFEA5}">
      <text>
        <r>
          <rPr>
            <b/>
            <sz val="9"/>
            <color indexed="81"/>
            <rFont val="Tahoma"/>
            <family val="2"/>
          </rPr>
          <t>Adriana Mercedes Ibarra:</t>
        </r>
        <r>
          <rPr>
            <sz val="9"/>
            <color indexed="81"/>
            <rFont val="Tahoma"/>
            <family val="2"/>
          </rPr>
          <t xml:space="preserve">
Actualice meta de 442 a 478, considerando el informe del EIP con corte a diciembre de 2021.
Para el cálculo se multiplica por 7 monitoreos teniendo en cuenta que los recursos asignados para la vigencia 2021 corresponde a esta cantidad de monitoreos (los 3 monitoreos restantes se pagarán con recursos del 2022)
</t>
        </r>
      </text>
    </comment>
    <comment ref="I12" authorId="0" shapeId="0" xr:uid="{8BF06A6F-0534-4270-B1DA-E2AEA1992C86}">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I13" authorId="0" shapeId="0" xr:uid="{93DF49E6-820F-47AC-A57D-F4D1E1A208AA}">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F14" authorId="1" shapeId="0" xr:uid="{CDB22148-F39C-41AF-B234-EEB4BFC75442}">
      <text>
        <r>
          <rPr>
            <b/>
            <sz val="9"/>
            <color indexed="81"/>
            <rFont val="Tahoma"/>
            <family val="2"/>
          </rPr>
          <t>Cristina:</t>
        </r>
        <r>
          <rPr>
            <sz val="9"/>
            <color indexed="81"/>
            <rFont val="Tahoma"/>
            <family val="2"/>
          </rPr>
          <t xml:space="preserve">
Incluida de ahora en adelante 21-2-22</t>
        </r>
      </text>
    </comment>
    <comment ref="I15" authorId="0" shapeId="0" xr:uid="{30ED8AC7-1ABF-4543-BF77-5F4E33C59F99}">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I16" authorId="0" shapeId="0" xr:uid="{5E5EB8D3-18FA-4E88-90FD-402364F9101C}">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J16" authorId="1" shapeId="0" xr:uid="{DF88A52A-2F0F-4B69-A2F2-885F1EAD9C10}">
      <text>
        <r>
          <rPr>
            <b/>
            <sz val="9"/>
            <color indexed="81"/>
            <rFont val="Tahoma"/>
            <family val="2"/>
          </rPr>
          <t>Cristina:</t>
        </r>
        <r>
          <rPr>
            <sz val="9"/>
            <color indexed="81"/>
            <rFont val="Tahoma"/>
            <family val="2"/>
          </rPr>
          <t xml:space="preserve">
SACO YOOO</t>
        </r>
      </text>
    </comment>
    <comment ref="K16" authorId="1" shapeId="0" xr:uid="{60918B04-4A7B-4A22-A1C3-72BAD53AA957}">
      <text>
        <r>
          <rPr>
            <b/>
            <sz val="9"/>
            <color indexed="81"/>
            <rFont val="Tahoma"/>
            <family val="2"/>
          </rPr>
          <t>Cristina:</t>
        </r>
        <r>
          <rPr>
            <sz val="9"/>
            <color indexed="81"/>
            <rFont val="Tahoma"/>
            <family val="2"/>
          </rPr>
          <t xml:space="preserve">
SACO YOOO</t>
        </r>
      </text>
    </comment>
    <comment ref="I17" authorId="0" shapeId="0" xr:uid="{6261CFA2-9A34-458F-BF35-15E21024E3D7}">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 ref="J17" authorId="0" shapeId="0" xr:uid="{32BBE548-E8EC-4F04-958B-5179AAE30DDC}">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K17" authorId="0" shapeId="0" xr:uid="{C8CB4616-4F29-4843-8547-46C0E7D10E31}">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I18" authorId="0" shapeId="0" xr:uid="{20DAB760-2CE4-41D2-B8EF-0E688808E8C8}">
      <text>
        <r>
          <rPr>
            <b/>
            <sz val="9"/>
            <color indexed="81"/>
            <rFont val="Tahoma"/>
            <family val="2"/>
          </rPr>
          <t>Adriana Mercedes Ibarra:</t>
        </r>
        <r>
          <rPr>
            <sz val="9"/>
            <color indexed="81"/>
            <rFont val="Tahoma"/>
            <family val="2"/>
          </rPr>
          <t xml:space="preserve">
Son 5 estrategias</t>
        </r>
      </text>
    </comment>
    <comment ref="J18" authorId="0" shapeId="0" xr:uid="{43019CAD-8A91-4192-BD6F-7D5E70E98CAD}">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K18" authorId="0" shapeId="0" xr:uid="{749842FF-2304-40AF-809A-660CBE0E2E2C}">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J19" authorId="0" shapeId="0" xr:uid="{9F7A9FED-03EE-4E2A-827B-0E0CE243628F}">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K19" authorId="0" shapeId="0" xr:uid="{3FA391A2-B7A3-4051-8A82-7E98D12683E8}">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L23" authorId="0" shapeId="0" xr:uid="{D29B6364-7840-4588-8F32-94E37D688BF1}">
      <text>
        <r>
          <rPr>
            <b/>
            <sz val="9"/>
            <color indexed="81"/>
            <rFont val="Tahoma"/>
            <family val="2"/>
          </rPr>
          <t>Adriana Mercedes Ibarra:</t>
        </r>
        <r>
          <rPr>
            <sz val="9"/>
            <color indexed="81"/>
            <rFont val="Tahoma"/>
            <family val="2"/>
          </rPr>
          <t xml:space="preserve">
El avaunce se calcula por el total de meses transcurridos</t>
        </r>
      </text>
    </comment>
    <comment ref="I24" authorId="0" shapeId="0" xr:uid="{68B731FC-3FAF-4036-9A59-E74BA2774DF7}">
      <text>
        <r>
          <rPr>
            <b/>
            <sz val="9"/>
            <color indexed="81"/>
            <rFont val="Tahoma"/>
            <family val="2"/>
          </rPr>
          <t>Adriana Mercedes Ibarra:</t>
        </r>
        <r>
          <rPr>
            <sz val="9"/>
            <color indexed="81"/>
            <rFont val="Tahoma"/>
            <family val="2"/>
          </rPr>
          <t xml:space="preserve">
Son 8 grandes módulos</t>
        </r>
      </text>
    </comment>
    <comment ref="J24" authorId="0" shapeId="0" xr:uid="{62970D5E-4268-4080-85EA-B2B65DF284FE}">
      <text>
        <r>
          <rPr>
            <b/>
            <sz val="9"/>
            <color indexed="81"/>
            <rFont val="Tahoma"/>
            <family val="2"/>
          </rPr>
          <t>Adriana Mercedes Ibarra:</t>
        </r>
        <r>
          <rPr>
            <sz val="9"/>
            <color indexed="81"/>
            <rFont val="Tahoma"/>
            <family val="2"/>
          </rPr>
          <t xml:space="preserve">
proceso de avance por módulo:
1. Desarrollo del módulo 70%
2. Producción en TICS 30%</t>
        </r>
      </text>
    </comment>
    <comment ref="K24" authorId="0" shapeId="0" xr:uid="{E50E9194-CF84-4FEA-A845-66033378CEC9}">
      <text>
        <r>
          <rPr>
            <b/>
            <sz val="9"/>
            <color indexed="81"/>
            <rFont val="Tahoma"/>
            <family val="2"/>
          </rPr>
          <t>Adriana Mercedes Ibarra:</t>
        </r>
        <r>
          <rPr>
            <sz val="9"/>
            <color indexed="81"/>
            <rFont val="Tahoma"/>
            <family val="2"/>
          </rPr>
          <t xml:space="preserve">
proceso de avance por módulo:
1. Desarrollo del módulo 70%
2. Producción en TICS 30%</t>
        </r>
      </text>
    </comment>
    <comment ref="F25" authorId="0" shapeId="0" xr:uid="{DAE16A8A-50B1-4F2D-929E-4C400FB36F55}">
      <text>
        <r>
          <rPr>
            <b/>
            <sz val="9"/>
            <color indexed="81"/>
            <rFont val="Tahoma"/>
            <family val="2"/>
          </rPr>
          <t>Adriana Mercedes Ibarra:</t>
        </r>
        <r>
          <rPr>
            <sz val="9"/>
            <color indexed="81"/>
            <rFont val="Tahoma"/>
            <family val="2"/>
          </rPr>
          <t xml:space="preserve">
Se contrato una empresa para el proceso de implementación el 3 de diciembre de 2021</t>
        </r>
      </text>
    </comment>
    <comment ref="J25" authorId="0" shapeId="0" xr:uid="{8F2F7030-61EE-4B24-9C90-9CE96845A1AA}">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K25" authorId="0" shapeId="0" xr:uid="{77AE8AF5-AD78-47DC-81AF-0E91440A80BD}">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E27" authorId="0" shapeId="0" xr:uid="{8925A3D6-B65C-413F-8835-4D80FED58304}">
      <text>
        <r>
          <rPr>
            <b/>
            <sz val="9"/>
            <color indexed="81"/>
            <rFont val="Tahoma"/>
            <family val="2"/>
          </rPr>
          <t>Adriana Mercedes Ibarra:</t>
        </r>
        <r>
          <rPr>
            <sz val="9"/>
            <color indexed="81"/>
            <rFont val="Tahoma"/>
            <family val="2"/>
          </rPr>
          <t xml:space="preserve">
Actualmente (agosto 2021) se esta ejecutando La orden de compra del 2020 para los  TKTs</t>
        </r>
      </text>
    </comment>
    <comment ref="I27" authorId="0" shapeId="0" xr:uid="{D976795B-56D4-4E63-B9CF-C6B12C993F81}">
      <text>
        <r>
          <rPr>
            <b/>
            <sz val="9"/>
            <color indexed="81"/>
            <rFont val="Tahoma"/>
            <family val="2"/>
          </rPr>
          <t>Adriana Mercedes Ibarra:</t>
        </r>
        <r>
          <rPr>
            <sz val="9"/>
            <color indexed="81"/>
            <rFont val="Tahoma"/>
            <family val="2"/>
          </rPr>
          <t xml:space="preserve">
Actualmente (agosto 2021) se esta ejecutando La orden de compra del 2020 para los  TKTs</t>
        </r>
      </text>
    </comment>
    <comment ref="J27" authorId="2" shapeId="0" xr:uid="{4101BCBA-5EA7-4B7E-9E45-D18886F8C83A}">
      <text>
        <r>
          <rPr>
            <b/>
            <sz val="9"/>
            <color indexed="81"/>
            <rFont val="Tahoma"/>
            <family val="2"/>
          </rPr>
          <t>BUEN DIA!:</t>
        </r>
        <r>
          <rPr>
            <sz val="9"/>
            <color indexed="81"/>
            <rFont val="Tahoma"/>
            <family val="2"/>
          </rPr>
          <t xml:space="preserve">
Se actualiza el v/r de $301.168.095 a $295.933.487
</t>
        </r>
      </text>
    </comment>
    <comment ref="K27" authorId="2" shapeId="0" xr:uid="{001C8C95-31DF-40DE-8287-F989EC38315F}">
      <text>
        <r>
          <rPr>
            <b/>
            <sz val="9"/>
            <color indexed="81"/>
            <rFont val="Tahoma"/>
            <family val="2"/>
          </rPr>
          <t>BUEN DIA!:</t>
        </r>
        <r>
          <rPr>
            <sz val="9"/>
            <color indexed="81"/>
            <rFont val="Tahoma"/>
            <family val="2"/>
          </rPr>
          <t xml:space="preserve">
Se actualiza el v/r de $301.168.095 a $295.933.487
</t>
        </r>
      </text>
    </comment>
    <comment ref="L27" authorId="2" shapeId="0" xr:uid="{09B3B200-B537-476E-A783-3E7A5D6D5E32}">
      <text>
        <r>
          <rPr>
            <b/>
            <sz val="9"/>
            <color indexed="81"/>
            <rFont val="Tahoma"/>
            <family val="2"/>
          </rPr>
          <t>BUEN DIA!:</t>
        </r>
        <r>
          <rPr>
            <sz val="9"/>
            <color indexed="81"/>
            <rFont val="Tahoma"/>
            <family val="2"/>
          </rPr>
          <t xml:space="preserve">
Esta actividad ya no se va a ejecutar más por tanto los recursos fueron devueltos al Tesoro Nacional</t>
        </r>
      </text>
    </comment>
    <comment ref="I28" authorId="0" shapeId="0" xr:uid="{677524E8-C897-4C9B-A328-0CFDB1F11D58}">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 ref="J28" authorId="0" shapeId="0" xr:uid="{B900B4BB-461A-4201-8EC4-D158B12FDBB9}">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K28" authorId="0" shapeId="0" xr:uid="{B12C5FB6-54CA-4B50-BB91-BA085128DBC1}">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I29" authorId="0" shapeId="0" xr:uid="{7AAD204B-7E6E-40FB-9FD0-1B099009576D}">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Adriana Mercedes Ibarra</author>
  </authors>
  <commentList>
    <comment ref="J3" authorId="0" shapeId="0" xr:uid="{09105016-5AFC-4784-85ED-19A1B0A2F2EF}">
      <text>
        <r>
          <rPr>
            <b/>
            <sz val="9"/>
            <color indexed="81"/>
            <rFont val="Tahoma"/>
            <family val="2"/>
          </rPr>
          <t>Adriana Mercedes Ibarra:</t>
        </r>
        <r>
          <rPr>
            <sz val="9"/>
            <color indexed="81"/>
            <rFont val="Tahoma"/>
            <family val="2"/>
          </rPr>
          <t xml:space="preserve">
Solo actualizar esta columna</t>
        </r>
      </text>
    </comment>
    <comment ref="K3" authorId="0" shapeId="0" xr:uid="{183068F8-9087-4A61-9DBA-65656B531411}">
      <text>
        <r>
          <rPr>
            <b/>
            <sz val="9"/>
            <color indexed="81"/>
            <rFont val="Tahoma"/>
            <family val="2"/>
          </rPr>
          <t>Adriana Mercedes Ibarra:</t>
        </r>
        <r>
          <rPr>
            <sz val="9"/>
            <color indexed="81"/>
            <rFont val="Tahoma"/>
            <family val="2"/>
          </rPr>
          <t xml:space="preserve">
Solo actualizar esta columna</t>
        </r>
      </text>
    </comment>
    <comment ref="F9" authorId="0" shapeId="0" xr:uid="{DC6AF4CD-BBF4-4B57-B465-6D8918AAED1C}">
      <text>
        <r>
          <rPr>
            <b/>
            <sz val="9"/>
            <color indexed="81"/>
            <rFont val="Tahoma"/>
            <family val="2"/>
          </rPr>
          <t>Adriana Mercedes Ibarra:</t>
        </r>
        <r>
          <rPr>
            <sz val="9"/>
            <color indexed="81"/>
            <rFont val="Tahoma"/>
            <family val="2"/>
          </rPr>
          <t xml:space="preserve">
Actividades de seguimiento y monitoreo:
- Actualización de POA mensual del operador local
- Cargue de informe del  al sistema
- Cargue de actas de CDA  mensuales al sistema
- Cumplir con el plan de monitoreo  cargado al sistema (visitas, llamadas, entre otros)
Los soportes de esta actividad corresponden a:
- El informe de gestión mensual del OR
- El informe de cumplimiento mensual del OR
</t>
        </r>
      </text>
    </comment>
    <comment ref="I9" authorId="0" shapeId="0" xr:uid="{B20DB846-52BF-439B-90DB-B74EDCBD8D93}">
      <text>
        <r>
          <rPr>
            <b/>
            <sz val="9"/>
            <color indexed="81"/>
            <rFont val="Tahoma"/>
            <family val="2"/>
          </rPr>
          <t>Adriana Mercedes Ibarra:</t>
        </r>
        <r>
          <rPr>
            <sz val="9"/>
            <color indexed="81"/>
            <rFont val="Tahoma"/>
            <family val="2"/>
          </rPr>
          <t xml:space="preserve">
Actualice meta de 442 a 478, considerando el informe del EIP con corte a diciembre de 2021.
Para el cálculo se multiplica por 7 monitoreos teniendo en cuenta que los recursos asignados para la vigencia 2021 corresponde a esta cantidad de monitoreos (los 3 monitoreos restantes se pagarán con recursos del 2022</t>
        </r>
      </text>
    </comment>
    <comment ref="J9" authorId="0" shapeId="0" xr:uid="{56F77F33-09CB-43BD-A98A-AD7D6B6502E9}">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K9" authorId="0" shapeId="0" xr:uid="{09C86207-486A-4C27-8114-72CBF2607348}">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F10" authorId="0" shapeId="0" xr:uid="{03306F2F-B587-4818-BDAA-8E2594FF5EF3}">
      <text>
        <r>
          <rPr>
            <b/>
            <sz val="9"/>
            <color indexed="81"/>
            <rFont val="Tahoma"/>
            <family val="2"/>
          </rPr>
          <t>Adriana Mercedes Ibarra:</t>
        </r>
        <r>
          <rPr>
            <sz val="9"/>
            <color indexed="81"/>
            <rFont val="Tahoma"/>
            <family val="2"/>
          </rPr>
          <t xml:space="preserve">
Actividades de seguimiento y monitoreo:
- Actualización de POA mensual del operador local
- Cargue de informe del  al sistema
- Cargue de actas de CDA  mensuales al sistema
- Cumplir con el plan de monitoreo  cargado al sistema (visitas, llamadas, entre otros)
Los soportes de esta actividad corresponden a:
- El informe de gestión mensual del OR
- El informe de cumplimiento mensual del OR
- El informe del coordinador</t>
        </r>
      </text>
    </comment>
    <comment ref="I10" authorId="0" shapeId="0" xr:uid="{893DF302-D602-41DF-88B6-87F5C0F211C3}">
      <text>
        <r>
          <rPr>
            <b/>
            <sz val="9"/>
            <color indexed="81"/>
            <rFont val="Tahoma"/>
            <family val="2"/>
          </rPr>
          <t>Adriana Mercedes Ibarra:</t>
        </r>
        <r>
          <rPr>
            <sz val="9"/>
            <color indexed="81"/>
            <rFont val="Tahoma"/>
            <family val="2"/>
          </rPr>
          <t xml:space="preserve">
Se programaron 2 monitoreos por alianza, equivalentes a 2 meses de seguimiento según cronograma. La visita de inducción se encuentra incluida dentro de los 2 monitoreos, pero en este formato decidimos realizar
 un seguimiento aparte a esta visita por lo tanto para actividad se cuentan 1 monitoreo.</t>
        </r>
      </text>
    </comment>
    <comment ref="J10" authorId="0" shapeId="0" xr:uid="{4008DC33-5B5F-4F8E-ACD6-484F0832072D}">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K10" authorId="0" shapeId="0" xr:uid="{6DF80457-968C-4644-970F-F4CB8F11ABFC}">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I11" authorId="0" shapeId="0" xr:uid="{2C51E0D2-40AD-46E0-994C-A2A6239FE63B}">
      <text>
        <r>
          <rPr>
            <b/>
            <sz val="9"/>
            <color indexed="81"/>
            <rFont val="Tahoma"/>
            <family val="2"/>
          </rPr>
          <t>Adriana Mercedes Ibarra:</t>
        </r>
        <r>
          <rPr>
            <sz val="9"/>
            <color indexed="81"/>
            <rFont val="Tahoma"/>
            <family val="2"/>
          </rPr>
          <t xml:space="preserve">
Se programaron ´4 monitoreos adicionales a las alianzas 2020 fase I, equivalentes a 4 meses de monitoreos adiicionales para finalizar la ejecución de las alianzas
Se toma el numero de alianzas 170 porque 7 están en liquidación anticipada
</t>
        </r>
      </text>
    </comment>
    <comment ref="I13" authorId="0" shapeId="0" xr:uid="{E4B68ED8-CD9D-4484-9198-69F8938CD07E}">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4" authorId="0" shapeId="0" xr:uid="{C55BEA89-BED7-4793-A585-CF84856EB088}">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5" authorId="0" shapeId="0" xr:uid="{6368C3FA-68FA-49B0-B19C-44CE423E39C6}">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6" authorId="0" shapeId="0" xr:uid="{6FF4A6B8-8E5B-4C4B-83A3-EFE20642DC4F}">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7" authorId="0" shapeId="0" xr:uid="{F0874223-8DCB-4A43-BF26-A282E259C442}">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 ref="J17" authorId="0" shapeId="0" xr:uid="{E23FF290-6286-48FE-A76D-6F3181807755}">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K17" authorId="0" shapeId="0" xr:uid="{8271AFAE-CFB0-4FB4-8DC0-DF197948A75B}">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I18" authorId="0" shapeId="0" xr:uid="{24BC22C0-1E49-478D-BDDD-C360CCBD841E}">
      <text>
        <r>
          <rPr>
            <b/>
            <sz val="9"/>
            <color indexed="81"/>
            <rFont val="Tahoma"/>
            <family val="2"/>
          </rPr>
          <t>Adriana Mercedes Ibarra:</t>
        </r>
        <r>
          <rPr>
            <sz val="9"/>
            <color indexed="81"/>
            <rFont val="Tahoma"/>
            <family val="2"/>
          </rPr>
          <t xml:space="preserve">
Son 5 estrategias</t>
        </r>
      </text>
    </comment>
    <comment ref="J18" authorId="0" shapeId="0" xr:uid="{BE8D9202-3FE6-4A72-B839-D2EC1FD0B9A7}">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K18" authorId="0" shapeId="0" xr:uid="{ED07E6A9-50ED-4436-B360-16DD025D5BC2}">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J19" authorId="0" shapeId="0" xr:uid="{2CADBE78-6C09-47C7-B543-A25D053CD1C0}">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K19" authorId="0" shapeId="0" xr:uid="{BA72E367-5D74-4548-831D-67E626E3F0A1}">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I21" authorId="0" shapeId="0" xr:uid="{1D4C5EEE-A4BF-419A-83CB-57577580D130}">
      <text>
        <r>
          <rPr>
            <b/>
            <sz val="9"/>
            <color indexed="81"/>
            <rFont val="Tahoma"/>
            <family val="2"/>
          </rPr>
          <t>Adriana Mercedes Ibarra:</t>
        </r>
        <r>
          <rPr>
            <sz val="9"/>
            <color indexed="81"/>
            <rFont val="Tahoma"/>
            <family val="2"/>
          </rPr>
          <t xml:space="preserve">
Se realiza un divulgación por convocatoria, este año se realizara una, por lo tanto la meta es uno</t>
        </r>
      </text>
    </comment>
    <comment ref="J21" authorId="0" shapeId="0" xr:uid="{295F73F7-3585-4EBB-9F26-9E7082623E66}">
      <text>
        <r>
          <rPr>
            <b/>
            <sz val="9"/>
            <color indexed="81"/>
            <rFont val="Tahoma"/>
            <family val="2"/>
          </rPr>
          <t>Adriana Mercedes Ibarra:</t>
        </r>
        <r>
          <rPr>
            <sz val="9"/>
            <color indexed="81"/>
            <rFont val="Tahoma"/>
            <family val="2"/>
          </rPr>
          <t xml:space="preserve">
La divulgación se realiza durante todo el periodo en que la convocatoria está abierta, por lo tanto el % de avance se mide de acuerdo al periodo del reporte.
1. Publicación de TdR 50%
2. Divulgación general 50%
</t>
        </r>
      </text>
    </comment>
    <comment ref="K21" authorId="0" shapeId="0" xr:uid="{98041145-4214-4EFA-B0A5-290F70BDD033}">
      <text>
        <r>
          <rPr>
            <b/>
            <sz val="9"/>
            <color indexed="81"/>
            <rFont val="Tahoma"/>
            <family val="2"/>
          </rPr>
          <t>Adriana Mercedes Ibarra:</t>
        </r>
        <r>
          <rPr>
            <sz val="9"/>
            <color indexed="81"/>
            <rFont val="Tahoma"/>
            <family val="2"/>
          </rPr>
          <t xml:space="preserve">
La divulgación se realiza durante todo el periodo en que la convocatoria está abierta, por lo tanto el % de avance se mide de acuerdo al periodo del reporte.
1. Publicación de TdR 50%
2. Divulgación general 50%
</t>
        </r>
      </text>
    </comment>
    <comment ref="I22" authorId="0" shapeId="0" xr:uid="{D7B70E28-FDCA-4259-B7EA-5EFA9EE97133}">
      <text>
        <r>
          <rPr>
            <b/>
            <sz val="9"/>
            <color indexed="81"/>
            <rFont val="Tahoma"/>
            <family val="2"/>
          </rPr>
          <t>Adriana Mercedes Ibarra:</t>
        </r>
        <r>
          <rPr>
            <sz val="9"/>
            <color indexed="81"/>
            <rFont val="Tahoma"/>
            <family val="2"/>
          </rPr>
          <t xml:space="preserve">
Se realiza un cierre por convocatoria, este año se realizara una, por lo tanto la meta es uno</t>
        </r>
      </text>
    </comment>
    <comment ref="J22" authorId="0" shapeId="0" xr:uid="{88AA6CF0-42A3-42C3-9A32-40CB2C7A908F}">
      <text>
        <r>
          <rPr>
            <b/>
            <sz val="9"/>
            <color indexed="81"/>
            <rFont val="Tahoma"/>
            <family val="2"/>
          </rPr>
          <t>Adriana Mercedes Ibarra:</t>
        </r>
        <r>
          <rPr>
            <sz val="9"/>
            <color indexed="81"/>
            <rFont val="Tahoma"/>
            <family val="2"/>
          </rPr>
          <t xml:space="preserve">
La actividad  se ejecuta mientras se realiza la convocatoria  la cual finaliza el  1 de marzo de 2022 a las 5:00 pm, modificado CIN 81 a 18 de marzo22
</t>
        </r>
      </text>
    </comment>
    <comment ref="K22" authorId="0" shapeId="0" xr:uid="{B8AF984F-C700-459A-9FDC-92E4916A7C99}">
      <text>
        <r>
          <rPr>
            <b/>
            <sz val="9"/>
            <color indexed="81"/>
            <rFont val="Tahoma"/>
            <family val="2"/>
          </rPr>
          <t>Adriana Mercedes Ibarra:</t>
        </r>
        <r>
          <rPr>
            <sz val="9"/>
            <color indexed="81"/>
            <rFont val="Tahoma"/>
            <family val="2"/>
          </rPr>
          <t xml:space="preserve">
La actividad  se ejecuta mientras se realiza la convocatoria  la cual finaliza el  1 de marzo de 2022 a las 5:00 pm, modificado CIN 81 a 18 de marzo22
</t>
        </r>
      </text>
    </comment>
    <comment ref="I23" authorId="0" shapeId="0" xr:uid="{9EE1498D-4ECA-4C25-90E8-BDC2BE618AB0}">
      <text>
        <r>
          <rPr>
            <b/>
            <sz val="9"/>
            <color indexed="81"/>
            <rFont val="Tahoma"/>
            <family val="2"/>
          </rPr>
          <t>Adriana Mercedes Ibarra:</t>
        </r>
        <r>
          <rPr>
            <sz val="9"/>
            <color indexed="81"/>
            <rFont val="Tahoma"/>
            <family val="2"/>
          </rPr>
          <t xml:space="preserve">
Esta actividad se realiza los 12 meses del año, por lo tanto la meta es 12.</t>
        </r>
      </text>
    </comment>
    <comment ref="J23" authorId="0" shapeId="0" xr:uid="{FF0C4AF8-8552-4E08-8190-A8B1A791BE71}">
      <text>
        <r>
          <rPr>
            <b/>
            <sz val="9"/>
            <color indexed="81"/>
            <rFont val="Tahoma"/>
            <family val="2"/>
          </rPr>
          <t>Adriana Mercedes Ibarra:</t>
        </r>
        <r>
          <rPr>
            <sz val="9"/>
            <color indexed="81"/>
            <rFont val="Tahoma"/>
            <family val="2"/>
          </rPr>
          <t xml:space="preserve">
Se registra según meses de acompañamiento.</t>
        </r>
      </text>
    </comment>
    <comment ref="K23" authorId="0" shapeId="0" xr:uid="{0D4B1D6C-FA4E-45A2-87C1-FB8BA6555C3B}">
      <text>
        <r>
          <rPr>
            <b/>
            <sz val="9"/>
            <color indexed="81"/>
            <rFont val="Tahoma"/>
            <family val="2"/>
          </rPr>
          <t>Adriana Mercedes Ibarra:</t>
        </r>
        <r>
          <rPr>
            <sz val="9"/>
            <color indexed="81"/>
            <rFont val="Tahoma"/>
            <family val="2"/>
          </rPr>
          <t xml:space="preserve">
Se registra según meses de acompañamiento.</t>
        </r>
      </text>
    </comment>
    <comment ref="L23" authorId="0" shapeId="0" xr:uid="{BD350DB0-F5AB-4E18-B5B7-CF3B7E84580B}">
      <text>
        <r>
          <rPr>
            <b/>
            <sz val="9"/>
            <color indexed="81"/>
            <rFont val="Tahoma"/>
            <family val="2"/>
          </rPr>
          <t>Adriana Mercedes Ibarra:</t>
        </r>
        <r>
          <rPr>
            <sz val="9"/>
            <color indexed="81"/>
            <rFont val="Tahoma"/>
            <family val="2"/>
          </rPr>
          <t xml:space="preserve">
El avaunce se calcula por el total de meses transcurridos</t>
        </r>
      </text>
    </comment>
    <comment ref="I24" authorId="0" shapeId="0" xr:uid="{874D5680-7F04-4149-9C02-30A8B3772127}">
      <text>
        <r>
          <rPr>
            <b/>
            <sz val="9"/>
            <color indexed="81"/>
            <rFont val="Tahoma"/>
            <family val="2"/>
          </rPr>
          <t>Adriana Mercedes Ibarra:</t>
        </r>
        <r>
          <rPr>
            <sz val="9"/>
            <color indexed="81"/>
            <rFont val="Tahoma"/>
            <family val="2"/>
          </rPr>
          <t xml:space="preserve">
Son 8 grandes módulos. Durante el 2021 se desarrollaron 7 y en durante el 2022 se desarrollara el octavo módulo que el mas extenso, y además el mólulo financiero. Por lo tanto, la meta para este año es 2
Se incluyó un módulo más para un total de 9 módulos</t>
        </r>
      </text>
    </comment>
    <comment ref="J24" authorId="0" shapeId="0" xr:uid="{08320BEA-91B7-41E7-9732-AA0503F8879C}">
      <text>
        <r>
          <rPr>
            <b/>
            <sz val="9"/>
            <color indexed="81"/>
            <rFont val="Tahoma"/>
            <family val="2"/>
          </rPr>
          <t>Adriana Mercedes Ibarra:</t>
        </r>
        <r>
          <rPr>
            <sz val="9"/>
            <color indexed="81"/>
            <rFont val="Tahoma"/>
            <family val="2"/>
          </rPr>
          <t xml:space="preserve">
proceso de avance por módulo:
1. Desarrollo del módulo 70%
2. Producción en TICS 30%</t>
        </r>
      </text>
    </comment>
    <comment ref="K24" authorId="0" shapeId="0" xr:uid="{AFE1454A-2130-4098-915E-B14BDE4CE481}">
      <text>
        <r>
          <rPr>
            <b/>
            <sz val="9"/>
            <color indexed="81"/>
            <rFont val="Tahoma"/>
            <family val="2"/>
          </rPr>
          <t>Adriana Mercedes Ibarra:</t>
        </r>
        <r>
          <rPr>
            <sz val="9"/>
            <color indexed="81"/>
            <rFont val="Tahoma"/>
            <family val="2"/>
          </rPr>
          <t xml:space="preserve">
proceso de avance por módulo:
1. Desarrollo del módulo 70%
2. Producción en TICS 30%</t>
        </r>
      </text>
    </comment>
    <comment ref="J25" authorId="0" shapeId="0" xr:uid="{A1ED6996-0B76-4597-8113-1B18A16B3E23}">
      <text>
        <r>
          <rPr>
            <b/>
            <sz val="9"/>
            <color indexed="81"/>
            <rFont val="Tahoma"/>
            <family val="2"/>
          </rPr>
          <t>Adriana Mercedes Ibarra:</t>
        </r>
        <r>
          <rPr>
            <sz val="9"/>
            <color indexed="81"/>
            <rFont val="Tahoma"/>
            <family val="2"/>
          </rPr>
          <t xml:space="preserve">
Se mide de acuerdo a los avances presentados por los ingenieros contrados para realizar la impplementación del SSyM
MELISSA: Se ajusta teniendo en cuenta que se contrató una empresa para finalizar la actividad, el pago corresponde a 35% 35% 30%</t>
        </r>
      </text>
    </comment>
    <comment ref="K25" authorId="0" shapeId="0" xr:uid="{87F11CBE-1794-4776-9655-DF5E8C192BDA}">
      <text>
        <r>
          <rPr>
            <b/>
            <sz val="9"/>
            <color indexed="81"/>
            <rFont val="Tahoma"/>
            <family val="2"/>
          </rPr>
          <t>Adriana Mercedes Ibarra:</t>
        </r>
        <r>
          <rPr>
            <sz val="9"/>
            <color indexed="81"/>
            <rFont val="Tahoma"/>
            <family val="2"/>
          </rPr>
          <t xml:space="preserve">
Se mide de acuerdo a los avances presentados por los ingenieros contrados para realizar la impplementación del SSyM
MELISSA: Se ajusta teniendo en cuenta que se contrató una empresa para finalizar la actividad, el pago corresponde a 35% 35% 30%</t>
        </r>
      </text>
    </comment>
    <comment ref="E27" authorId="0" shapeId="0" xr:uid="{204E61D6-8193-4EB1-9921-3F71CD12C104}">
      <text>
        <r>
          <rPr>
            <b/>
            <sz val="9"/>
            <color indexed="81"/>
            <rFont val="Tahoma"/>
            <family val="2"/>
          </rPr>
          <t>Adriana Mercedes Ibarra:</t>
        </r>
        <r>
          <rPr>
            <sz val="9"/>
            <color indexed="81"/>
            <rFont val="Tahoma"/>
            <family val="2"/>
          </rPr>
          <t xml:space="preserve">
Actualmente (agosto 2021) se esta ejecutando La orden de compra del 2020 para los  TKTs</t>
        </r>
      </text>
    </comment>
    <comment ref="J28" authorId="0" shapeId="0" xr:uid="{AEE4B5E1-7A21-4E32-BAA1-9FFFF078170D}">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K28" authorId="0" shapeId="0" xr:uid="{69342734-FF0C-4620-A431-886CC67DED3D}">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Adriana Mercedes Ibarra</author>
  </authors>
  <commentList>
    <comment ref="J3" authorId="0" shapeId="0" xr:uid="{00000000-0006-0000-0000-000001000000}">
      <text>
        <r>
          <rPr>
            <b/>
            <sz val="9"/>
            <color indexed="81"/>
            <rFont val="Tahoma"/>
            <family val="2"/>
          </rPr>
          <t>Adriana Mercedes Ibarra:</t>
        </r>
        <r>
          <rPr>
            <sz val="9"/>
            <color indexed="81"/>
            <rFont val="Tahoma"/>
            <family val="2"/>
          </rPr>
          <t xml:space="preserve">
Solo actualizar esta columna</t>
        </r>
      </text>
    </comment>
    <comment ref="F9" authorId="0" shapeId="0" xr:uid="{00000000-0006-0000-0000-000002000000}">
      <text>
        <r>
          <rPr>
            <b/>
            <sz val="9"/>
            <color indexed="81"/>
            <rFont val="Tahoma"/>
            <family val="2"/>
          </rPr>
          <t>Adriana Mercedes Ibarra:</t>
        </r>
        <r>
          <rPr>
            <sz val="9"/>
            <color indexed="81"/>
            <rFont val="Tahoma"/>
            <family val="2"/>
          </rPr>
          <t xml:space="preserve">
Actividades de seguimiento y monitoreo:
- Actualización de POA mensual del operador local
- Cargue de informe del  al sistema
- Cargue de actas de CDA  mensuales al sistema
- Cumplir con el plan de monitoreo  cargado al sistema (visitas, llamadas, entre otros)
Los soportes de esta actividad corresponden a:
- El informe de gestión mensual del OR
- El informe de cumplimiento mensual del OR
</t>
        </r>
      </text>
    </comment>
    <comment ref="I9" authorId="0" shapeId="0" xr:uid="{00000000-0006-0000-0000-000003000000}">
      <text>
        <r>
          <rPr>
            <b/>
            <sz val="9"/>
            <color indexed="81"/>
            <rFont val="Tahoma"/>
            <family val="2"/>
          </rPr>
          <t>Adriana Mercedes Ibarra:</t>
        </r>
        <r>
          <rPr>
            <sz val="9"/>
            <color indexed="81"/>
            <rFont val="Tahoma"/>
            <family val="2"/>
          </rPr>
          <t xml:space="preserve">
Actualice meta de 442 a 478, considerando el informe del EIP con corte a diciembre de 2021.
Para el cálculo se multiplica por 7 monitoreos teniendo en cuenta que los recursos asignados para la vigencia 2021 corresponde a esta cantidad de monitoreos (los 3 monitoreos restantes se pagarán con recursos del 2022</t>
        </r>
      </text>
    </comment>
    <comment ref="J9" authorId="0" shapeId="0" xr:uid="{00000000-0006-0000-0000-000004000000}">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F10" authorId="0" shapeId="0" xr:uid="{00000000-0006-0000-0000-000005000000}">
      <text>
        <r>
          <rPr>
            <b/>
            <sz val="9"/>
            <color indexed="81"/>
            <rFont val="Tahoma"/>
            <family val="2"/>
          </rPr>
          <t>Adriana Mercedes Ibarra:</t>
        </r>
        <r>
          <rPr>
            <sz val="9"/>
            <color indexed="81"/>
            <rFont val="Tahoma"/>
            <family val="2"/>
          </rPr>
          <t xml:space="preserve">
Actividades de seguimiento y monitoreo:
- Actualización de POA mensual del operador local
- Cargue de informe del  al sistema
- Cargue de actas de CDA  mensuales al sistema
- Cumplir con el plan de monitoreo  cargado al sistema (visitas, llamadas, entre otros)
Los soportes de esta actividad corresponden a:
- El informe de gestión mensual del OR
- El informe de cumplimiento mensual del OR
- El informe del coordinador</t>
        </r>
      </text>
    </comment>
    <comment ref="I10" authorId="0" shapeId="0" xr:uid="{00000000-0006-0000-0000-000006000000}">
      <text>
        <r>
          <rPr>
            <b/>
            <sz val="9"/>
            <color indexed="81"/>
            <rFont val="Tahoma"/>
            <family val="2"/>
          </rPr>
          <t>Adriana Mercedes Ibarra:</t>
        </r>
        <r>
          <rPr>
            <sz val="9"/>
            <color indexed="81"/>
            <rFont val="Tahoma"/>
            <family val="2"/>
          </rPr>
          <t xml:space="preserve">
Se programaron 2 monitoreos por alianza, equivalentes a 2 meses de seguimiento según cronograma. La visita de inducción se encuentra incluida dentro de los 2 monitoreos, pero en este formato decidimos realizar
 un seguimiento aparte a esta visita por lo tanto para actividad se cuentan 1 monitoreo.</t>
        </r>
      </text>
    </comment>
    <comment ref="J10" authorId="0" shapeId="0" xr:uid="{00000000-0006-0000-0000-000007000000}">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I11" authorId="0" shapeId="0" xr:uid="{00000000-0006-0000-0000-000008000000}">
      <text>
        <r>
          <rPr>
            <b/>
            <sz val="9"/>
            <color indexed="81"/>
            <rFont val="Tahoma"/>
            <family val="2"/>
          </rPr>
          <t>Adriana Mercedes Ibarra:</t>
        </r>
        <r>
          <rPr>
            <sz val="9"/>
            <color indexed="81"/>
            <rFont val="Tahoma"/>
            <family val="2"/>
          </rPr>
          <t xml:space="preserve">
Se programaron ´4 monitoreos adicionales a las alianzas 2020 fase I, equivalentes a 4 meses de monitoreos adiicionales para finalizar la ejecución de las alianzas
Se toma el numero de alianzas 170 porque 7 están en liquidación anticipada
</t>
        </r>
      </text>
    </comment>
    <comment ref="I13" authorId="0" shapeId="0" xr:uid="{00000000-0006-0000-0000-000009000000}">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4" authorId="0" shapeId="0" xr:uid="{00000000-0006-0000-0000-00000A000000}">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5" authorId="0" shapeId="0" xr:uid="{00000000-0006-0000-0000-00000B000000}">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6" authorId="0" shapeId="0" xr:uid="{00000000-0006-0000-0000-00000C000000}">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7" authorId="0" shapeId="0" xr:uid="{00000000-0006-0000-0000-00000D000000}">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 ref="J17" authorId="0" shapeId="0" xr:uid="{00000000-0006-0000-0000-00000E000000}">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I18" authorId="0" shapeId="0" xr:uid="{00000000-0006-0000-0000-00000F000000}">
      <text>
        <r>
          <rPr>
            <b/>
            <sz val="9"/>
            <color indexed="81"/>
            <rFont val="Tahoma"/>
            <family val="2"/>
          </rPr>
          <t>Adriana Mercedes Ibarra:</t>
        </r>
        <r>
          <rPr>
            <sz val="9"/>
            <color indexed="81"/>
            <rFont val="Tahoma"/>
            <family val="2"/>
          </rPr>
          <t xml:space="preserve">
Son 5 estrategias</t>
        </r>
      </text>
    </comment>
    <comment ref="J18" authorId="0" shapeId="0" xr:uid="{00000000-0006-0000-0000-000010000000}">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J19" authorId="0" shapeId="0" xr:uid="{00000000-0006-0000-0000-000011000000}">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I21" authorId="0" shapeId="0" xr:uid="{00000000-0006-0000-0000-000012000000}">
      <text>
        <r>
          <rPr>
            <b/>
            <sz val="9"/>
            <color indexed="81"/>
            <rFont val="Tahoma"/>
            <family val="2"/>
          </rPr>
          <t>Adriana Mercedes Ibarra:</t>
        </r>
        <r>
          <rPr>
            <sz val="9"/>
            <color indexed="81"/>
            <rFont val="Tahoma"/>
            <family val="2"/>
          </rPr>
          <t xml:space="preserve">
Se realiza un divulgación por convocatoria, este año se realizara una, por lo tanto la meta es uno</t>
        </r>
      </text>
    </comment>
    <comment ref="J21" authorId="0" shapeId="0" xr:uid="{00000000-0006-0000-0000-000013000000}">
      <text>
        <r>
          <rPr>
            <b/>
            <sz val="9"/>
            <color indexed="81"/>
            <rFont val="Tahoma"/>
            <family val="2"/>
          </rPr>
          <t>Adriana Mercedes Ibarra:</t>
        </r>
        <r>
          <rPr>
            <sz val="9"/>
            <color indexed="81"/>
            <rFont val="Tahoma"/>
            <family val="2"/>
          </rPr>
          <t xml:space="preserve">
La divulgación se realiza durante todo el periodo en que la convocatoria está abierta, por lo tanto el % de avance se mide de acuerdo al periodo del reporte.
1. Publicación de TdR 50%
2. Divulgación general 50%
</t>
        </r>
      </text>
    </comment>
    <comment ref="I22" authorId="0" shapeId="0" xr:uid="{00000000-0006-0000-0000-000014000000}">
      <text>
        <r>
          <rPr>
            <b/>
            <sz val="9"/>
            <color indexed="81"/>
            <rFont val="Tahoma"/>
            <family val="2"/>
          </rPr>
          <t>Adriana Mercedes Ibarra:</t>
        </r>
        <r>
          <rPr>
            <sz val="9"/>
            <color indexed="81"/>
            <rFont val="Tahoma"/>
            <family val="2"/>
          </rPr>
          <t xml:space="preserve">
Se realiza un cierre por convocatoria, este año se realizara una, por lo tanto la meta es uno</t>
        </r>
      </text>
    </comment>
    <comment ref="J22" authorId="0" shapeId="0" xr:uid="{00000000-0006-0000-0000-000015000000}">
      <text>
        <r>
          <rPr>
            <b/>
            <sz val="9"/>
            <color indexed="81"/>
            <rFont val="Tahoma"/>
            <family val="2"/>
          </rPr>
          <t>Adriana Mercedes Ibarra:</t>
        </r>
        <r>
          <rPr>
            <sz val="9"/>
            <color indexed="81"/>
            <rFont val="Tahoma"/>
            <family val="2"/>
          </rPr>
          <t xml:space="preserve">
La actividad  se ejecuta mientras se realiza la convocatoria  la cual finaliza el  1 de marzo de 2022 a las 5:00 pm, modificado CIN 81 a 18 de marzo22
</t>
        </r>
      </text>
    </comment>
    <comment ref="I23" authorId="0" shapeId="0" xr:uid="{00000000-0006-0000-0000-000016000000}">
      <text>
        <r>
          <rPr>
            <b/>
            <sz val="9"/>
            <color indexed="81"/>
            <rFont val="Tahoma"/>
            <family val="2"/>
          </rPr>
          <t>Adriana Mercedes Ibarra:</t>
        </r>
        <r>
          <rPr>
            <sz val="9"/>
            <color indexed="81"/>
            <rFont val="Tahoma"/>
            <family val="2"/>
          </rPr>
          <t xml:space="preserve">
Esta actividad se realiza los 12 meses del año, por lo tanto la meta es 12.</t>
        </r>
      </text>
    </comment>
    <comment ref="J23" authorId="0" shapeId="0" xr:uid="{00000000-0006-0000-0000-000017000000}">
      <text>
        <r>
          <rPr>
            <b/>
            <sz val="9"/>
            <color indexed="81"/>
            <rFont val="Tahoma"/>
            <family val="2"/>
          </rPr>
          <t>Adriana Mercedes Ibarra:</t>
        </r>
        <r>
          <rPr>
            <sz val="9"/>
            <color indexed="81"/>
            <rFont val="Tahoma"/>
            <family val="2"/>
          </rPr>
          <t xml:space="preserve">
Se registra según meses de acompañamiento.</t>
        </r>
      </text>
    </comment>
    <comment ref="K23" authorId="0" shapeId="0" xr:uid="{00000000-0006-0000-0000-000018000000}">
      <text>
        <r>
          <rPr>
            <b/>
            <sz val="9"/>
            <color indexed="81"/>
            <rFont val="Tahoma"/>
            <family val="2"/>
          </rPr>
          <t>Adriana Mercedes Ibarra:</t>
        </r>
        <r>
          <rPr>
            <sz val="9"/>
            <color indexed="81"/>
            <rFont val="Tahoma"/>
            <family val="2"/>
          </rPr>
          <t xml:space="preserve">
El avaunce se calcula por el total de meses transcurridos</t>
        </r>
      </text>
    </comment>
    <comment ref="I24" authorId="0" shapeId="0" xr:uid="{00000000-0006-0000-0000-000019000000}">
      <text>
        <r>
          <rPr>
            <b/>
            <sz val="9"/>
            <color indexed="81"/>
            <rFont val="Tahoma"/>
            <family val="2"/>
          </rPr>
          <t>Adriana Mercedes Ibarra:</t>
        </r>
        <r>
          <rPr>
            <sz val="9"/>
            <color indexed="81"/>
            <rFont val="Tahoma"/>
            <family val="2"/>
          </rPr>
          <t xml:space="preserve">
Son 8 grandes módulos. Durante el 2021 se desarrollaron 7 y en durante el 2022 se desarrollara el octavo módulo que el mas extenso, y además el mólulo financiero. Por lo tanto, la meta para este año es 2
Se incluyó un módulo más para un total de 9 módulos</t>
        </r>
      </text>
    </comment>
    <comment ref="J24" authorId="0" shapeId="0" xr:uid="{00000000-0006-0000-0000-00001A000000}">
      <text>
        <r>
          <rPr>
            <b/>
            <sz val="9"/>
            <color indexed="81"/>
            <rFont val="Tahoma"/>
            <family val="2"/>
          </rPr>
          <t>Adriana Mercedes Ibarra:</t>
        </r>
        <r>
          <rPr>
            <sz val="9"/>
            <color indexed="81"/>
            <rFont val="Tahoma"/>
            <family val="2"/>
          </rPr>
          <t xml:space="preserve">
proceso de avance por módulo:
1. Desarrollo del módulo 70%
2. Producción en TICS 30%</t>
        </r>
      </text>
    </comment>
    <comment ref="J25" authorId="0" shapeId="0" xr:uid="{00000000-0006-0000-0000-00001B000000}">
      <text>
        <r>
          <rPr>
            <b/>
            <sz val="9"/>
            <color indexed="81"/>
            <rFont val="Tahoma"/>
            <family val="2"/>
          </rPr>
          <t>Adriana Mercedes Ibarra:</t>
        </r>
        <r>
          <rPr>
            <sz val="9"/>
            <color indexed="81"/>
            <rFont val="Tahoma"/>
            <family val="2"/>
          </rPr>
          <t xml:space="preserve">
Se mide de acuerdo a los avances presentados por los ingenieros contrados para realizar la impplementación del SSyM
MELISSA: Se ajusta teniendo en cuenta que se contrató una empresa para finalizar la actividad, el pago corresponde a 35% 35% 30%</t>
        </r>
      </text>
    </comment>
    <comment ref="E27" authorId="0" shapeId="0" xr:uid="{00000000-0006-0000-0000-00001C000000}">
      <text>
        <r>
          <rPr>
            <b/>
            <sz val="9"/>
            <color indexed="81"/>
            <rFont val="Tahoma"/>
            <family val="2"/>
          </rPr>
          <t>Adriana Mercedes Ibarra:</t>
        </r>
        <r>
          <rPr>
            <sz val="9"/>
            <color indexed="81"/>
            <rFont val="Tahoma"/>
            <family val="2"/>
          </rPr>
          <t xml:space="preserve">
Actualmente (agosto 2021) se esta ejecutando La orden de compra del 2020 para los  TKTs</t>
        </r>
      </text>
    </comment>
    <comment ref="J28" authorId="0" shapeId="0" xr:uid="{00000000-0006-0000-0000-00001D000000}">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Adriana Mercedes Ibarra</author>
    <author>Cristina</author>
    <author>BUEN DIA!</author>
  </authors>
  <commentList>
    <comment ref="J3" authorId="0" shapeId="0" xr:uid="{00000000-0006-0000-0100-000001000000}">
      <text>
        <r>
          <rPr>
            <b/>
            <sz val="9"/>
            <color indexed="81"/>
            <rFont val="Tahoma"/>
            <family val="2"/>
          </rPr>
          <t>Adriana Mercedes Ibarra:</t>
        </r>
        <r>
          <rPr>
            <sz val="9"/>
            <color indexed="81"/>
            <rFont val="Tahoma"/>
            <family val="2"/>
          </rPr>
          <t xml:space="preserve">
Solo actualizar esta columna</t>
        </r>
      </text>
    </comment>
    <comment ref="I8" authorId="0" shapeId="0" xr:uid="{00000000-0006-0000-0100-000002000000}">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J8" authorId="1" shapeId="0" xr:uid="{00000000-0006-0000-0100-000003000000}">
      <text>
        <r>
          <rPr>
            <b/>
            <sz val="9"/>
            <color indexed="81"/>
            <rFont val="Tahoma"/>
            <family val="2"/>
          </rPr>
          <t>Cristina:</t>
        </r>
        <r>
          <rPr>
            <sz val="9"/>
            <color indexed="81"/>
            <rFont val="Tahoma"/>
            <family val="2"/>
          </rPr>
          <t xml:space="preserve">
PREGUNTAR A LOREN DATO ACTUALIZADO</t>
        </r>
      </text>
    </comment>
    <comment ref="I9" authorId="0" shapeId="0" xr:uid="{00000000-0006-0000-0100-000004000000}">
      <text>
        <r>
          <rPr>
            <b/>
            <sz val="9"/>
            <color indexed="81"/>
            <rFont val="Tahoma"/>
            <family val="2"/>
          </rPr>
          <t>Adriana Mercedes Ibarra:</t>
        </r>
        <r>
          <rPr>
            <sz val="9"/>
            <color indexed="81"/>
            <rFont val="Tahoma"/>
            <family val="2"/>
          </rPr>
          <t xml:space="preserve">
Se resta una alianza que no tendra monitoreo por liquidación anticipada</t>
        </r>
      </text>
    </comment>
    <comment ref="J9" authorId="0" shapeId="0" xr:uid="{00000000-0006-0000-0100-000005000000}">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H10" authorId="0" shapeId="0" xr:uid="{00000000-0006-0000-0100-000006000000}">
      <text>
        <r>
          <rPr>
            <b/>
            <sz val="9"/>
            <color indexed="81"/>
            <rFont val="Tahoma"/>
            <family val="2"/>
          </rPr>
          <t>Adriana Mercedes Ibarra:</t>
        </r>
        <r>
          <rPr>
            <sz val="9"/>
            <color indexed="81"/>
            <rFont val="Tahoma"/>
            <family val="2"/>
          </rPr>
          <t xml:space="preserve">
pendiente determinar si se coloca peso o no</t>
        </r>
      </text>
    </comment>
    <comment ref="I10" authorId="0" shapeId="0" xr:uid="{00000000-0006-0000-0100-000007000000}">
      <text>
        <r>
          <rPr>
            <b/>
            <sz val="9"/>
            <color indexed="81"/>
            <rFont val="Tahoma"/>
            <family val="2"/>
          </rPr>
          <t>Adriana Mercedes Ibarra:</t>
        </r>
        <r>
          <rPr>
            <sz val="9"/>
            <color indexed="81"/>
            <rFont val="Tahoma"/>
            <family val="2"/>
          </rPr>
          <t xml:space="preserve">
Actualice meta de 442 a 478, considerando el informe del EIP con corte a diciembre de 2021.
Para el cálculo se multiplica por 7 monitoreos teniendo en cuenta que los recursos asignados para la vigencia 2021 corresponde a esta cantidad de monitoreos (los 3 monitoreos restantes se pagarán con recursos del 2022)
</t>
        </r>
      </text>
    </comment>
    <comment ref="I12" authorId="0" shapeId="0" xr:uid="{00000000-0006-0000-0100-000008000000}">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I13" authorId="0" shapeId="0" xr:uid="{00000000-0006-0000-0100-000009000000}">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F14" authorId="1" shapeId="0" xr:uid="{00000000-0006-0000-0100-00000A000000}">
      <text>
        <r>
          <rPr>
            <b/>
            <sz val="9"/>
            <color indexed="81"/>
            <rFont val="Tahoma"/>
            <family val="2"/>
          </rPr>
          <t>Cristina:</t>
        </r>
        <r>
          <rPr>
            <sz val="9"/>
            <color indexed="81"/>
            <rFont val="Tahoma"/>
            <family val="2"/>
          </rPr>
          <t xml:space="preserve">
Incluida de ahora en adelante 21-2-22</t>
        </r>
      </text>
    </comment>
    <comment ref="I15" authorId="0" shapeId="0" xr:uid="{00000000-0006-0000-0100-00000B000000}">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I16" authorId="0" shapeId="0" xr:uid="{00000000-0006-0000-0100-00000C000000}">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J16" authorId="1" shapeId="0" xr:uid="{00000000-0006-0000-0100-00000D000000}">
      <text>
        <r>
          <rPr>
            <b/>
            <sz val="9"/>
            <color indexed="81"/>
            <rFont val="Tahoma"/>
            <family val="2"/>
          </rPr>
          <t>Cristina:</t>
        </r>
        <r>
          <rPr>
            <sz val="9"/>
            <color indexed="81"/>
            <rFont val="Tahoma"/>
            <family val="2"/>
          </rPr>
          <t xml:space="preserve">
SACO YOOO</t>
        </r>
      </text>
    </comment>
    <comment ref="I17" authorId="0" shapeId="0" xr:uid="{00000000-0006-0000-0100-00000E000000}">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 ref="J17" authorId="0" shapeId="0" xr:uid="{00000000-0006-0000-0100-00000F000000}">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I18" authorId="0" shapeId="0" xr:uid="{00000000-0006-0000-0100-000010000000}">
      <text>
        <r>
          <rPr>
            <b/>
            <sz val="9"/>
            <color indexed="81"/>
            <rFont val="Tahoma"/>
            <family val="2"/>
          </rPr>
          <t>Adriana Mercedes Ibarra:</t>
        </r>
        <r>
          <rPr>
            <sz val="9"/>
            <color indexed="81"/>
            <rFont val="Tahoma"/>
            <family val="2"/>
          </rPr>
          <t xml:space="preserve">
Son 5 estrategias</t>
        </r>
      </text>
    </comment>
    <comment ref="J18" authorId="0" shapeId="0" xr:uid="{00000000-0006-0000-0100-000011000000}">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J19" authorId="0" shapeId="0" xr:uid="{00000000-0006-0000-0100-000012000000}">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K23" authorId="0" shapeId="0" xr:uid="{00000000-0006-0000-0100-000013000000}">
      <text>
        <r>
          <rPr>
            <b/>
            <sz val="9"/>
            <color indexed="81"/>
            <rFont val="Tahoma"/>
            <family val="2"/>
          </rPr>
          <t>Adriana Mercedes Ibarra:</t>
        </r>
        <r>
          <rPr>
            <sz val="9"/>
            <color indexed="81"/>
            <rFont val="Tahoma"/>
            <family val="2"/>
          </rPr>
          <t xml:space="preserve">
El avaunce se calcula por el total de meses transcurridos</t>
        </r>
      </text>
    </comment>
    <comment ref="I24" authorId="0" shapeId="0" xr:uid="{00000000-0006-0000-0100-000014000000}">
      <text>
        <r>
          <rPr>
            <b/>
            <sz val="9"/>
            <color indexed="81"/>
            <rFont val="Tahoma"/>
            <family val="2"/>
          </rPr>
          <t>Adriana Mercedes Ibarra:</t>
        </r>
        <r>
          <rPr>
            <sz val="9"/>
            <color indexed="81"/>
            <rFont val="Tahoma"/>
            <family val="2"/>
          </rPr>
          <t xml:space="preserve">
Son 8 grandes módulos</t>
        </r>
      </text>
    </comment>
    <comment ref="J24" authorId="0" shapeId="0" xr:uid="{00000000-0006-0000-0100-000015000000}">
      <text>
        <r>
          <rPr>
            <b/>
            <sz val="9"/>
            <color indexed="81"/>
            <rFont val="Tahoma"/>
            <family val="2"/>
          </rPr>
          <t>Adriana Mercedes Ibarra:</t>
        </r>
        <r>
          <rPr>
            <sz val="9"/>
            <color indexed="81"/>
            <rFont val="Tahoma"/>
            <family val="2"/>
          </rPr>
          <t xml:space="preserve">
proceso de avance por módulo:
1. Desarrollo del módulo 70%
2. Producción en TICS 30%</t>
        </r>
      </text>
    </comment>
    <comment ref="F25" authorId="0" shapeId="0" xr:uid="{00000000-0006-0000-0100-000016000000}">
      <text>
        <r>
          <rPr>
            <b/>
            <sz val="9"/>
            <color indexed="81"/>
            <rFont val="Tahoma"/>
            <family val="2"/>
          </rPr>
          <t>Adriana Mercedes Ibarra:</t>
        </r>
        <r>
          <rPr>
            <sz val="9"/>
            <color indexed="81"/>
            <rFont val="Tahoma"/>
            <family val="2"/>
          </rPr>
          <t xml:space="preserve">
Se contrato una empresa para el proceso de implementación el 3 de diciembre de 2021</t>
        </r>
      </text>
    </comment>
    <comment ref="J25" authorId="0" shapeId="0" xr:uid="{00000000-0006-0000-0100-000017000000}">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E27" authorId="0" shapeId="0" xr:uid="{00000000-0006-0000-0100-000018000000}">
      <text>
        <r>
          <rPr>
            <b/>
            <sz val="9"/>
            <color indexed="81"/>
            <rFont val="Tahoma"/>
            <family val="2"/>
          </rPr>
          <t>Adriana Mercedes Ibarra:</t>
        </r>
        <r>
          <rPr>
            <sz val="9"/>
            <color indexed="81"/>
            <rFont val="Tahoma"/>
            <family val="2"/>
          </rPr>
          <t xml:space="preserve">
Actualmente (agosto 2021) se esta ejecutando La orden de compra del 2020 para los  TKTs</t>
        </r>
      </text>
    </comment>
    <comment ref="I27" authorId="0" shapeId="0" xr:uid="{00000000-0006-0000-0100-000019000000}">
      <text>
        <r>
          <rPr>
            <b/>
            <sz val="9"/>
            <color indexed="81"/>
            <rFont val="Tahoma"/>
            <family val="2"/>
          </rPr>
          <t>Adriana Mercedes Ibarra:</t>
        </r>
        <r>
          <rPr>
            <sz val="9"/>
            <color indexed="81"/>
            <rFont val="Tahoma"/>
            <family val="2"/>
          </rPr>
          <t xml:space="preserve">
Actualmente (agosto 2021) se esta ejecutando La orden de compra del 2020 para los  TKTs</t>
        </r>
      </text>
    </comment>
    <comment ref="J27" authorId="2" shapeId="0" xr:uid="{00000000-0006-0000-0100-00001A000000}">
      <text>
        <r>
          <rPr>
            <b/>
            <sz val="9"/>
            <color indexed="81"/>
            <rFont val="Tahoma"/>
            <family val="2"/>
          </rPr>
          <t>BUEN DIA!:</t>
        </r>
        <r>
          <rPr>
            <sz val="9"/>
            <color indexed="81"/>
            <rFont val="Tahoma"/>
            <family val="2"/>
          </rPr>
          <t xml:space="preserve">
Se actualiza el v/r de $301.168.095 a $295.933.487
</t>
        </r>
      </text>
    </comment>
    <comment ref="K27" authorId="2" shapeId="0" xr:uid="{00000000-0006-0000-0100-00001B000000}">
      <text>
        <r>
          <rPr>
            <b/>
            <sz val="9"/>
            <color indexed="81"/>
            <rFont val="Tahoma"/>
            <family val="2"/>
          </rPr>
          <t>BUEN DIA!:</t>
        </r>
        <r>
          <rPr>
            <sz val="9"/>
            <color indexed="81"/>
            <rFont val="Tahoma"/>
            <family val="2"/>
          </rPr>
          <t xml:space="preserve">
Esta actividad ya no se va a ejecutar más por tanto los recursos fueron devueltos al Tesoro Nacional</t>
        </r>
      </text>
    </comment>
    <comment ref="I28" authorId="0" shapeId="0" xr:uid="{00000000-0006-0000-0100-00001C000000}">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 ref="J28" authorId="0" shapeId="0" xr:uid="{00000000-0006-0000-0100-00001D000000}">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I29" authorId="0" shapeId="0" xr:uid="{00000000-0006-0000-0100-00001E000000}">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Adriana Mercedes Ibarra</author>
  </authors>
  <commentList>
    <comment ref="H3" authorId="0" shapeId="0" xr:uid="{00000000-0006-0000-0200-000001000000}">
      <text>
        <r>
          <rPr>
            <b/>
            <sz val="9"/>
            <color indexed="81"/>
            <rFont val="Tahoma"/>
            <family val="2"/>
          </rPr>
          <t>Adriana Mercedes Ibarra:</t>
        </r>
        <r>
          <rPr>
            <sz val="9"/>
            <color indexed="81"/>
            <rFont val="Tahoma"/>
            <family val="2"/>
          </rPr>
          <t xml:space="preserve">
digitar avance en porcentaje</t>
        </r>
      </text>
    </comment>
    <comment ref="H17" authorId="0" shapeId="0" xr:uid="{00000000-0006-0000-0200-000002000000}">
      <text>
        <r>
          <rPr>
            <b/>
            <sz val="9"/>
            <color indexed="81"/>
            <rFont val="Tahoma"/>
            <family val="2"/>
          </rPr>
          <t>Adriana Mercedes Ibarra:</t>
        </r>
        <r>
          <rPr>
            <sz val="9"/>
            <color indexed="81"/>
            <rFont val="Tahoma"/>
            <family val="2"/>
          </rPr>
          <t xml:space="preserve">
Dividir valor pagado por apropiación</t>
        </r>
      </text>
    </comment>
    <comment ref="H18" authorId="0" shapeId="0" xr:uid="{00000000-0006-0000-0200-000003000000}">
      <text>
        <r>
          <rPr>
            <b/>
            <sz val="9"/>
            <color indexed="81"/>
            <rFont val="Tahoma"/>
            <family val="2"/>
          </rPr>
          <t>Adriana Mercedes Ibarra:</t>
        </r>
        <r>
          <rPr>
            <sz val="9"/>
            <color indexed="81"/>
            <rFont val="Tahoma"/>
            <family val="2"/>
          </rPr>
          <t xml:space="preserve">
Dividir valor pagado por apropiación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Adriana Mercedes Ibarra</author>
  </authors>
  <commentList>
    <comment ref="C4" authorId="0" shapeId="0" xr:uid="{00000000-0006-0000-0600-000001000000}">
      <text>
        <r>
          <rPr>
            <b/>
            <sz val="9"/>
            <color indexed="81"/>
            <rFont val="Tahoma"/>
            <family val="2"/>
          </rPr>
          <t>Adriana Mercedes Ibarra:</t>
        </r>
        <r>
          <rPr>
            <sz val="9"/>
            <color indexed="81"/>
            <rFont val="Tahoma"/>
            <family val="2"/>
          </rPr>
          <t xml:space="preserve">
Se asigno este valor teniendo en cuenta que las actividades del POA 2020 y 2021 son similares tecnicamente</t>
        </r>
      </text>
    </comment>
    <comment ref="D14" authorId="0" shapeId="0" xr:uid="{00000000-0006-0000-0600-000002000000}">
      <text>
        <r>
          <rPr>
            <b/>
            <sz val="9"/>
            <color indexed="81"/>
            <rFont val="Tahoma"/>
            <family val="2"/>
          </rPr>
          <t>Adriana Mercedes Ibarra:</t>
        </r>
        <r>
          <rPr>
            <sz val="9"/>
            <color indexed="81"/>
            <rFont val="Tahoma"/>
            <family val="2"/>
          </rPr>
          <t xml:space="preserve">
=%tecnico*70% +%financiero*30%</t>
        </r>
      </text>
    </comment>
    <comment ref="E14" authorId="0" shapeId="0" xr:uid="{00000000-0006-0000-0600-000003000000}">
      <text>
        <r>
          <rPr>
            <b/>
            <sz val="9"/>
            <color indexed="81"/>
            <rFont val="Tahoma"/>
            <family val="2"/>
          </rPr>
          <t>Adriana Mercedes Ibarra:</t>
        </r>
        <r>
          <rPr>
            <sz val="9"/>
            <color indexed="81"/>
            <rFont val="Tahoma"/>
            <family val="2"/>
          </rPr>
          <t xml:space="preserve">
=%tecnico*70% +%financiero*30%</t>
        </r>
      </text>
    </comment>
  </commentList>
</comments>
</file>

<file path=xl/sharedStrings.xml><?xml version="1.0" encoding="utf-8"?>
<sst xmlns="http://schemas.openxmlformats.org/spreadsheetml/2006/main" count="616" uniqueCount="193">
  <si>
    <t>COMPONENTES</t>
  </si>
  <si>
    <t xml:space="preserve">CATEGORIAS </t>
  </si>
  <si>
    <t>CONCEPTO GASTO ELEGIBLE</t>
  </si>
  <si>
    <t xml:space="preserve">CLASIFICACIÓN </t>
  </si>
  <si>
    <t xml:space="preserve">APROPIACIÓN </t>
  </si>
  <si>
    <t>RECURSO DISPONIBLE</t>
  </si>
  <si>
    <t>V/U</t>
  </si>
  <si>
    <t>Preparación de Alianzas Productivas (Preinversión)</t>
  </si>
  <si>
    <t>Servicios de Apoyo</t>
  </si>
  <si>
    <t>Preinversiones</t>
  </si>
  <si>
    <t>1.1.1</t>
  </si>
  <si>
    <t>Seguimiento y monitoreo</t>
  </si>
  <si>
    <t>1.1.2</t>
  </si>
  <si>
    <t>1.1.3</t>
  </si>
  <si>
    <t>Apertura del registro verificación de perfiles</t>
  </si>
  <si>
    <t>1.1.2.</t>
  </si>
  <si>
    <t>SUBTOTAL</t>
  </si>
  <si>
    <t>Ejecución de Alianzas Productivas (Inversión)</t>
  </si>
  <si>
    <t>Incentivo Modular</t>
  </si>
  <si>
    <t>2.1.1.</t>
  </si>
  <si>
    <t>Servicios complementarios y acompañamientos adicionales</t>
  </si>
  <si>
    <t>Gerencia, Monitoreo y Evaluación del Proyecto (Seguimiento y Gerencia)</t>
  </si>
  <si>
    <t xml:space="preserve">Contratación EIP </t>
  </si>
  <si>
    <t>3.1.1.</t>
  </si>
  <si>
    <t>Auditoria</t>
  </si>
  <si>
    <t>Costos fiduciaria</t>
  </si>
  <si>
    <t>3.1.4.</t>
  </si>
  <si>
    <t>Evaluación</t>
  </si>
  <si>
    <t>Costos operativos</t>
  </si>
  <si>
    <t>Comisiones EIP - Interventorías - Otros - TQTS</t>
  </si>
  <si>
    <t>3.2.1.</t>
  </si>
  <si>
    <t>Materiales y suministros</t>
  </si>
  <si>
    <t>TOTAL</t>
  </si>
  <si>
    <t>Umbral 10% Preinversiones</t>
  </si>
  <si>
    <t>Umbral 15% Perfiles</t>
  </si>
  <si>
    <t>- Departamentos especiales</t>
  </si>
  <si>
    <t>Estrategias</t>
  </si>
  <si>
    <t>RUBRO</t>
  </si>
  <si>
    <t xml:space="preserve">Preinversiones </t>
  </si>
  <si>
    <t>Sistema de seguimiento y monitoreo</t>
  </si>
  <si>
    <t>2.1.2</t>
  </si>
  <si>
    <t>3.1.4</t>
  </si>
  <si>
    <t>3.1.5</t>
  </si>
  <si>
    <t>3.2.1</t>
  </si>
  <si>
    <t>3.2.2</t>
  </si>
  <si>
    <t>APROPIACIÓN CIN 75</t>
  </si>
  <si>
    <t>AVANCE</t>
  </si>
  <si>
    <t>COMPROMETIDO</t>
  </si>
  <si>
    <t>Divulgación  Convocatoria</t>
  </si>
  <si>
    <t>Cierre Convocatoria</t>
  </si>
  <si>
    <t>Estructuración Preinversiones</t>
  </si>
  <si>
    <t>Apertura del  registro verificación de perfiles</t>
  </si>
  <si>
    <t>Legalización Convenios</t>
  </si>
  <si>
    <t>Constitución Patrimonios</t>
  </si>
  <si>
    <t>Giro Patrimonios</t>
  </si>
  <si>
    <t>Actividades</t>
  </si>
  <si>
    <t>Presentación de resultados ante la Comisión Intersectorial</t>
  </si>
  <si>
    <t>Acompañamiento transversal al PAAP</t>
  </si>
  <si>
    <t>Legalización Contrato proveedoor</t>
  </si>
  <si>
    <t>Entrega de materiales y suministros al MADR</t>
  </si>
  <si>
    <t>meta actividad</t>
  </si>
  <si>
    <t>avance actividad</t>
  </si>
  <si>
    <t>Peso porcentual CGE</t>
  </si>
  <si>
    <t>Avance porcentual CGE</t>
  </si>
  <si>
    <t>CONCEPTO GASTO ELEGIBLE (CGE)</t>
  </si>
  <si>
    <t>Visitas de inducción Alianzas 2020</t>
  </si>
  <si>
    <t>Visitas de inducción Alianzas 2021</t>
  </si>
  <si>
    <t>Desarrollo nuevo sistema de seguimiento y monitoreo</t>
  </si>
  <si>
    <t>Pago Costos fiduciaria</t>
  </si>
  <si>
    <t>Pago Comisiones EIP - Interventorías - Otros - TQTS</t>
  </si>
  <si>
    <t>Contratación Operadores Locales alianzas 2021</t>
  </si>
  <si>
    <t>Contratación Operadores Locales alianzas 2020</t>
  </si>
  <si>
    <t>POA 2020</t>
  </si>
  <si>
    <t>POA 2021</t>
  </si>
  <si>
    <t>% avance</t>
  </si>
  <si>
    <t>POA</t>
  </si>
  <si>
    <t>Peso porcentual técnico POA</t>
  </si>
  <si>
    <t>Avance total contrato</t>
  </si>
  <si>
    <t>Avance contrato 20200530</t>
  </si>
  <si>
    <t>Avance meta actividad</t>
  </si>
  <si>
    <t>Observaciones</t>
  </si>
  <si>
    <t>Se superó la meta. Se verificaron en total 598</t>
  </si>
  <si>
    <t>Se superó la meta. Se presentaron en total 598</t>
  </si>
  <si>
    <t>Monitoreo y ejecución de alianzas 2020</t>
  </si>
  <si>
    <t>Monitoreo y ejecución de alianzas 2021</t>
  </si>
  <si>
    <t>CONCEPTO GASTO ELEGIBLE CGE</t>
  </si>
  <si>
    <t>Peso porcentual actividad</t>
  </si>
  <si>
    <t>POA 2021 avance corte 30 septiembre 2021</t>
  </si>
  <si>
    <t>Se realizaron las CIN y CIR de las 8 regionales</t>
  </si>
  <si>
    <t>Se encuentra en proceso de liquidación una alianza "asomudepaz", es decir quedarían 177 alianzas.  
En el mes de septiembre no se pagaron monitoreos.</t>
  </si>
  <si>
    <t>Avance porcentual CGE (según peso)</t>
  </si>
  <si>
    <t>Avance porcentual real CGE</t>
  </si>
  <si>
    <t>Concepto gasto elegible</t>
  </si>
  <si>
    <t>1.  Preinversiones</t>
  </si>
  <si>
    <t>2.  Seguimiento y monitoreo</t>
  </si>
  <si>
    <t>3. Apertura del registro y verificación de perfiles</t>
  </si>
  <si>
    <t>5. Contratación EIP</t>
  </si>
  <si>
    <t>6. Costos Fiduciaria</t>
  </si>
  <si>
    <t>7. Comisiones EIP – Interventorías – Otros – TQTS</t>
  </si>
  <si>
    <t>8.  Materiales y suministros</t>
  </si>
  <si>
    <t>9. Estrategias</t>
  </si>
  <si>
    <t>NA</t>
  </si>
  <si>
    <t>10. Sistema de seguimiento y monitoreo</t>
  </si>
  <si>
    <t>Encargo fiduciario</t>
  </si>
  <si>
    <t>Patrimonio autonómo</t>
  </si>
  <si>
    <t>Total</t>
  </si>
  <si>
    <t>Total según peso porcentual</t>
  </si>
  <si>
    <t>Total  2020</t>
  </si>
  <si>
    <t>Total 2021</t>
  </si>
  <si>
    <t>4.  Incentivo modular</t>
  </si>
  <si>
    <t>ORDEN DE COMPRA - VENEPLASS
1. Se remitió estudios previos e instrucción de apertura del proceso Marco de Precios a Fiduagraria
2. Se elaboraron las invitaciones a cotizar de las empresas que suministran elementos de papelería para estructurar el estudio de mercado correspondiente
3. Se realizó Orden de Compra 78021 papelería corrugados con Veneplast por $2.839.397,12
CONTRATO PRESTACIÓN DE SERVICIOS - TELECAFÉ
1. Se realizó proceso contractual de prestación de servicios con TELECAFE para operación logística está en aprobada de póliza para el 1-12-21</t>
  </si>
  <si>
    <t>Regional Pacifico cobró las visitas de inducción</t>
  </si>
  <si>
    <t>Se superó a meta, total convenios legalizados a cierre de 31 de diciembre/21 (474) pendientes 4 de organizar unos documentos</t>
  </si>
  <si>
    <t>Se legalizaron dos contratos para ejecutar las estrategias, divididos en dos grandes regiones de pais</t>
  </si>
  <si>
    <t>CLASIFICACIÓN</t>
  </si>
  <si>
    <t>APROPIACIÓN CIN 80</t>
  </si>
  <si>
    <t>POA 2021 avance corte 31 enero 2022</t>
  </si>
  <si>
    <t>Ejecución estrategias contrato Tiempos de paz</t>
  </si>
  <si>
    <t>Ejecución estrategias contrato FEEDR</t>
  </si>
  <si>
    <t>Implementación nuevo sistema de seguimiento y monitoreo (a cargo de la empresa Conexión)</t>
  </si>
  <si>
    <t>Verificación de Perfiles 2021</t>
  </si>
  <si>
    <t>Presentación de resultados de perfiles 2021 ante la Comisión Intersectorial</t>
  </si>
  <si>
    <t>Verificación de Perfiles 2022</t>
  </si>
  <si>
    <t>Estructuración Preinversiones 2022</t>
  </si>
  <si>
    <t>Visitas de inducción Alianzas 2022</t>
  </si>
  <si>
    <t>Presentación de resultados de preinversiones 2021 ante la Comisión Intersectorial</t>
  </si>
  <si>
    <t>Estructuración Preinversiones 2021</t>
  </si>
  <si>
    <t>Legalización Convenios 2021</t>
  </si>
  <si>
    <t>Constitución Patrimonios 2021</t>
  </si>
  <si>
    <t>Giro Patrimonios 2021</t>
  </si>
  <si>
    <t>Monitoreo y ejecución de alianzas 2022</t>
  </si>
  <si>
    <t>Legalización Convenios 2022</t>
  </si>
  <si>
    <t>Constitución Patrimonios 2022</t>
  </si>
  <si>
    <t>Giro Patrimonios 2022</t>
  </si>
  <si>
    <t>Contratación Operadores Locales alianzas 2022</t>
  </si>
  <si>
    <t>Legalización Contratos proveedores</t>
  </si>
  <si>
    <t>Divulgación  Convocatoria 2022</t>
  </si>
  <si>
    <t>Cierre Convocatoria 2022</t>
  </si>
  <si>
    <t>Son ocho grandes módulos. Durante el 2021 se alcanzaron a desarrollar 7. Considerando que el modulo 8 es el más extenso, el desarrollo y la implementación se realizaran durante el 2022, y se pagará con recursos de esa vigencia. En enero 2022, se actualizó meta, pasa de 8 a 7 en el POA 2021.</t>
  </si>
  <si>
    <t>Presentación de resultados de perfiles 2022 ante la Comisión Intersectorial</t>
  </si>
  <si>
    <t>Presentación de resultados de preinversiones 2022 ante la Comisión Intersectorial</t>
  </si>
  <si>
    <t>Soportes</t>
  </si>
  <si>
    <t xml:space="preserve">1. Acta 1: Actas de recepción de perfiles (secretarias de agricultura y Ventanilla MADR)
2. Acta 2: Acta de cumplimiento de requisitos (secretarias de agricultura y  MADR)
3. Acta 3: Acta de priorización ((secretarias de agricultura y MADR)
</t>
  </si>
  <si>
    <t>Estudios de preinversión de cada alianza</t>
  </si>
  <si>
    <t>1. Acta 5: Acta de aprobación de preinversiones susceptibles de cofinanciación</t>
  </si>
  <si>
    <t xml:space="preserve">1. Presentaciones en powert point (OR)
2. Acta 4: Actas de aprobación de perfiles para estudio de preinversión.
</t>
  </si>
  <si>
    <t>1. Convenio firmado por las partes</t>
  </si>
  <si>
    <t>1. Instrucción a fiducia por el EIP
2. Informe de gestión fiducia</t>
  </si>
  <si>
    <t>1. Informe avance vinculación y contratación derivada fiducia</t>
  </si>
  <si>
    <t>1. Contrato publicado en secop</t>
  </si>
  <si>
    <t>1. Entregables del proeveedor para los pagos</t>
  </si>
  <si>
    <t>1. Publicación en la pagina web del MADR</t>
  </si>
  <si>
    <t>1. Contrato de la empresa 
2. Entregables de los pagos</t>
  </si>
  <si>
    <t>1. Facturas
2. Informe comisión fiduciaria</t>
  </si>
  <si>
    <t>1. Informe de gestión de fiducia</t>
  </si>
  <si>
    <t>1. Soporte de entrega del proveedor</t>
  </si>
  <si>
    <t xml:space="preserve">1. El informe de gestión mensual del OR
2. El informe de cumplimiento mensual del OR
</t>
  </si>
  <si>
    <t>Ejecución estrategias contrato 1</t>
  </si>
  <si>
    <t>Ejecución estrategias contrato 2</t>
  </si>
  <si>
    <t>Actualmente, no se ha establecido la cantidad de contratos necesarios para el desarrollo de esta actividad; sin embargo, se mantiene lo desarrollado en la vigencia 2021</t>
  </si>
  <si>
    <t>1. Contratos del EIP publicados en el Secop
2. Informes para pago contratistas</t>
  </si>
  <si>
    <t xml:space="preserve">Implementación nuevo sistema de seguimiento y monitoreo </t>
  </si>
  <si>
    <t>1. Contratos del EIP publicados en el Secop
2. Soportes de pago cuentas mensuales EIP</t>
  </si>
  <si>
    <t>Se realizaron los entregables del 35% del contrato correspondientes a: cronograma, acta de inicio, enfoque metodológico y métodos áreas de trabajo. 
El operador realizó el apoyo logístico en el evento realizado el 21 de enero/22 en la ciudad de Repelón (Atlántico) con ocasión de la visita a Alainzas exitosas del Ministro en esta región pero no han hecho cobro.</t>
  </si>
  <si>
    <t xml:space="preserve">Se recibieron y aprobarón los entregables del primer pago del 35% del contrato correspondientes a: cronograma, acta de inicio, enfoque metodológico y métodos áreas de trabajo.
El operador realizó el apoyo logístico en el evento realizado el 16 de enero/22 en la ciudad de Arauca con ocasión de la visita del Ministro en esta región pero no han hecho cobro.
</t>
  </si>
  <si>
    <t>1. Primer acta de CDA
2. Instrucción de giro a traves de oficio EIP</t>
  </si>
  <si>
    <t xml:space="preserve">1. Se recibieron y aprobarón los entregables del primer pago del 35% del contrato correspondientes a: cronograma, acta de inicio, enfoque metodológico y métodos áreas de trabajo
2. El contratista presentó el informe de avance correspondiente al segundo pago por el 25% del valor del contrato, el cual fue aprobado por el supervisor quedando pendiente de pago para el mes de febrero.
3. Igualmente, presentó el informe final al Director de Capacidades correspondiente al tercer pago del 40% restante del valor del contrato, pero presentó observaciones por parte del supervisor y está en subsanación del contratista. </t>
  </si>
  <si>
    <t>Se actualiza con base en el informe de fiducia enero 2022</t>
  </si>
  <si>
    <t>1. Informe de gestión fiducia con relacion de patrimonios constituidos - RELACIÓN DE Diego</t>
  </si>
  <si>
    <t xml:space="preserve">1. Informe de gestión fiducia </t>
  </si>
  <si>
    <t xml:space="preserve">Legalización de póliza </t>
  </si>
  <si>
    <t>POA 2020 avance corte 28feb2022</t>
  </si>
  <si>
    <t>El cierre de 1 de marzo fue modificado a 18 de marzo en CIN 81</t>
  </si>
  <si>
    <t>1. Publicación en la pagina web del MADR
2. CIN 81</t>
  </si>
  <si>
    <t>En ejecución 3 OL fase II de regional Amazonía</t>
  </si>
  <si>
    <t>1. Primer acta de CDA se encuentra cargada en el SSyM del PAAP
2. Instrucción de giro a traves de oficio EIP será anexo en los soportes de Giro del IM</t>
  </si>
  <si>
    <t>1. Archivos TPS acceso por el link https://coe-madr.visualstudio.com/Alianzas%20Productivas    Se debe pedir permisos al tfs con la OTIC al proyecto Alianzas Productivas
2. Visualización de los módulos desarrollados en sistema nuevo de información 
3. informes de 3 ingenieros</t>
  </si>
  <si>
    <t xml:space="preserve">viáticos </t>
  </si>
  <si>
    <t xml:space="preserve">1. Entregables del proeveedor para los pagos
2. informe 2do pago </t>
  </si>
  <si>
    <t>1. Entregables del proveedor para los pagos
2. Informe para 2do pago</t>
  </si>
  <si>
    <t>1. Informe de gestión de fiducia
2. Pagos de comisiones (evidencias)
3. Se envió rad. 20222360345111 y 20224600361801 a fiducia solicitando devolución a DTN por rec. No ejecutados 2021, se verá reflejado en mayo</t>
  </si>
  <si>
    <t>Son ocho grandes módulos. Durante el 2021 se alcanzaron a desarrollar 7. Considerando que el modulo 8 es el más extenso, el desarrollo y la implementación se realizaran durante el 2022, y se pagará con recursos de esa vigencia. En enero 2022, serán los mismos ingenieros
Para la vigencia 2022 se decidió desarrollar además del módulo reportes un móculo más llamado financiero</t>
  </si>
  <si>
    <t xml:space="preserve">1. En enero y febrero no se tuvo usuario por tanto a prtir de marzo se verán los avances.
2. Para el 2022, se están desarrollando 2 módulos: el de reportes y el financiero. El de reportes va en un 30% de desarrollo y del financiero va en un 10 % de desarrollo.
</t>
  </si>
  <si>
    <t>1. Soporte de entrega del proveedor
2. contrato Operador logístico Telecafé</t>
  </si>
  <si>
    <t>1. Veneplass entregó en 19 de noviembre los elementos de papel y cartón corrugado
2. Telecafé realizó el apoyo logístico en 6 eventos regionales, pasó facturas en mayo las cuales están pagadas y aprobadas</t>
  </si>
  <si>
    <t>POA 2022 avance corte 30 de junio de 2022</t>
  </si>
  <si>
    <t>1. Validación estado contratos OL II  diego 8-8-22</t>
  </si>
  <si>
    <t>En los informe de actividades de Lina Pinzón se ven los avances del compronente financiero que son las historias de usuario
El módulo de reportes los avances se podrán ver en en el código fuente archivo TFS. NOTA: Se ajusta la medición de cumplimiento teniendo en cuenta que se contrató una empresa para finalizar la implementación del nuevo sistema, la forma de pagos es: 35% 35% 30%</t>
  </si>
  <si>
    <t>avance actividad supervisión</t>
  </si>
  <si>
    <t>avance actividad EIP</t>
  </si>
  <si>
    <t>El informe con corte a junio decia que se había pagado $297.266.667, es decir más de lo que se reporta a julio 2022 lo cual no puede ser posible</t>
  </si>
  <si>
    <t>Observaciones EIP</t>
  </si>
  <si>
    <t>Observaciones supervisión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</si>
</sst>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_(* \(#,##0.00\);_(* &quot;-&quot;??_);_(@_)"/>
    <numFmt numFmtId="165" formatCode="&quot;$&quot;\ #,##0_);[Red]\(&quot;$&quot;\ #,##0\)"/>
    <numFmt numFmtId="166" formatCode="&quot;$&quot;\ #,##0"/>
    <numFmt numFmtId="167" formatCode="&quot;$&quot;#,##0.00"/>
    <numFmt numFmtId="168" formatCode="0.0%"/>
    <numFmt numFmtId="169" formatCode="0.0000"/>
    <numFmt numFmtId="170" formatCode="0.000%"/>
  </numFmts>
  <fonts count="20">
    <font>
      <sz val="11"/>
      <color theme="1"/>
      <name val="Calibri"/>
      <family val="2"/>
      <scheme val="minor"/>
    </font>
    <font>
      <b/>
      <sz val="11"/>
      <color theme="1"/>
      <name val="Calibri"/>
      <family val="2"/>
      <scheme val="minor"/>
    </font>
    <font>
      <sz val="11"/>
      <color theme="1"/>
      <name val="Calibri"/>
      <family val="2"/>
      <scheme val="minor"/>
    </font>
    <font>
      <sz val="8"/>
      <color theme="1"/>
      <name val="Calibri"/>
      <family val="2"/>
      <scheme val="minor"/>
    </font>
    <font>
      <b/>
      <sz val="8"/>
      <color rgb="FFFFFFFF"/>
      <name val="Futura-Book"/>
    </font>
    <font>
      <b/>
      <sz val="8"/>
      <color rgb="FF000000"/>
      <name val="Futura-Book"/>
    </font>
    <font>
      <sz val="8"/>
      <color rgb="FF000000"/>
      <name val="Futura-Book"/>
    </font>
    <font>
      <b/>
      <sz val="8"/>
      <color theme="1"/>
      <name val="Futura-Book"/>
    </font>
    <font>
      <sz val="10"/>
      <color theme="1"/>
      <name val="Calibri"/>
      <family val="2"/>
      <scheme val="minor"/>
    </font>
    <font>
      <b/>
      <sz val="8"/>
      <name val="Futura-Book"/>
    </font>
    <font>
      <sz val="11"/>
      <color rgb="FF000000"/>
      <name val="Calibri"/>
      <family val="2"/>
    </font>
    <font>
      <sz val="9"/>
      <color indexed="81"/>
      <name val="Tahoma"/>
      <family val="2"/>
    </font>
    <font>
      <b/>
      <sz val="9"/>
      <color indexed="81"/>
      <name val="Tahoma"/>
      <family val="2"/>
    </font>
    <font>
      <b/>
      <sz val="14"/>
      <color theme="1"/>
      <name val="Calibri"/>
      <family val="2"/>
      <scheme val="minor"/>
    </font>
    <font>
      <b/>
      <sz val="16"/>
      <color theme="1"/>
      <name val="Calibri"/>
      <family val="2"/>
      <scheme val="minor"/>
    </font>
    <font>
      <b/>
      <sz val="11"/>
      <name val="Futura-Book"/>
    </font>
    <font>
      <b/>
      <sz val="11"/>
      <color rgb="FF000000"/>
      <name val="Arial Narrow"/>
      <family val="2"/>
    </font>
    <font>
      <sz val="11"/>
      <color rgb="FF000000"/>
      <name val="Arial Narrow"/>
      <family val="2"/>
    </font>
    <font>
      <u/>
      <sz val="11"/>
      <color theme="10"/>
      <name val="Calibri"/>
      <family val="2"/>
      <scheme val="minor"/>
    </font>
    <font>
      <sz val="11"/>
      <color theme="1"/>
      <name val="Arial Narrow"/>
      <family val="2"/>
    </font>
  </fonts>
  <fills count="13">
    <fill>
      <patternFill patternType="none"/>
    </fill>
    <fill>
      <patternFill patternType="gray125"/>
    </fill>
    <fill>
      <patternFill patternType="solid">
        <fgColor rgb="FFA6A6A6"/>
        <bgColor indexed="64"/>
      </patternFill>
    </fill>
    <fill>
      <patternFill patternType="solid">
        <fgColor rgb="FFD9D9D9"/>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
      <patternFill patternType="solid">
        <fgColor theme="9" tint="0.59999389629810485"/>
        <bgColor indexed="64"/>
      </patternFill>
    </fill>
    <fill>
      <patternFill patternType="solid">
        <fgColor rgb="FF7030A0"/>
        <bgColor indexed="64"/>
      </patternFill>
    </fill>
    <fill>
      <patternFill patternType="solid">
        <fgColor rgb="FFFF0000"/>
        <bgColor indexed="64"/>
      </patternFill>
    </fill>
    <fill>
      <patternFill patternType="solid">
        <fgColor rgb="FFF59FE5"/>
        <bgColor indexed="64"/>
      </patternFill>
    </fill>
  </fills>
  <borders count="37">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style="double">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auto="1"/>
      </bottom>
      <diagonal/>
    </border>
    <border>
      <left style="medium">
        <color indexed="64"/>
      </left>
      <right style="medium">
        <color indexed="64"/>
      </right>
      <top style="double">
        <color indexed="64"/>
      </top>
      <bottom style="medium">
        <color indexed="64"/>
      </bottom>
      <diagonal/>
    </border>
    <border>
      <left style="thin">
        <color indexed="64"/>
      </left>
      <right/>
      <top/>
      <bottom/>
      <diagonal/>
    </border>
    <border>
      <left/>
      <right style="medium">
        <color indexed="64"/>
      </right>
      <top/>
      <bottom/>
      <diagonal/>
    </border>
    <border>
      <left style="thin">
        <color indexed="64"/>
      </left>
      <right style="medium">
        <color indexed="64"/>
      </right>
      <top style="thin">
        <color indexed="64"/>
      </top>
      <bottom/>
      <diagonal/>
    </border>
    <border>
      <left/>
      <right/>
      <top style="medium">
        <color indexed="64"/>
      </top>
      <bottom style="thin">
        <color auto="1"/>
      </bottom>
      <diagonal/>
    </border>
    <border>
      <left style="medium">
        <color indexed="64"/>
      </left>
      <right style="medium">
        <color indexed="64"/>
      </right>
      <top style="thin">
        <color indexed="64"/>
      </top>
      <bottom style="double">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s>
  <cellStyleXfs count="4">
    <xf numFmtId="0" fontId="0" fillId="0" borderId="0"/>
    <xf numFmtId="164" fontId="2" fillId="0" borderId="0" applyFont="0" applyFill="0" applyBorder="0" applyAlignment="0" applyProtection="0"/>
    <xf numFmtId="9" fontId="2" fillId="0" borderId="0" applyFont="0" applyFill="0" applyBorder="0" applyAlignment="0" applyProtection="0"/>
    <xf numFmtId="0" fontId="18" fillId="0" borderId="0" applyNumberFormat="0" applyFill="0" applyBorder="0" applyAlignment="0" applyProtection="0"/>
  </cellStyleXfs>
  <cellXfs count="239">
    <xf numFmtId="0" fontId="0" fillId="0" borderId="0" xfId="0"/>
    <xf numFmtId="0" fontId="0" fillId="0" borderId="0" xfId="0" applyAlignment="1">
      <alignment horizontal="left"/>
    </xf>
    <xf numFmtId="0" fontId="0" fillId="5" borderId="0" xfId="0" applyFill="1"/>
    <xf numFmtId="0" fontId="0" fillId="5" borderId="0" xfId="0" applyFill="1" applyAlignment="1">
      <alignment horizontal="left"/>
    </xf>
    <xf numFmtId="0" fontId="1" fillId="5" borderId="0" xfId="0" applyFont="1" applyFill="1" applyAlignment="1">
      <alignment horizontal="center"/>
    </xf>
    <xf numFmtId="0" fontId="0" fillId="0" borderId="16" xfId="0" applyBorder="1"/>
    <xf numFmtId="166" fontId="3" fillId="5" borderId="0" xfId="0" applyNumberFormat="1" applyFont="1" applyFill="1" applyAlignment="1">
      <alignment horizontal="center"/>
    </xf>
    <xf numFmtId="0" fontId="4" fillId="2" borderId="3" xfId="0" applyFont="1" applyFill="1" applyBorder="1" applyAlignment="1">
      <alignment horizontal="center" vertical="center" wrapText="1"/>
    </xf>
    <xf numFmtId="165" fontId="6" fillId="0" borderId="26" xfId="0" applyNumberFormat="1" applyFont="1" applyBorder="1" applyAlignment="1">
      <alignment horizontal="left" vertical="center" wrapText="1"/>
    </xf>
    <xf numFmtId="165" fontId="6" fillId="0" borderId="6" xfId="0" applyNumberFormat="1" applyFont="1" applyBorder="1" applyAlignment="1">
      <alignment horizontal="center" vertical="center" wrapText="1"/>
    </xf>
    <xf numFmtId="166" fontId="6" fillId="0" borderId="6" xfId="0" applyNumberFormat="1" applyFont="1" applyBorder="1" applyAlignment="1">
      <alignment horizontal="right" vertical="center" wrapText="1"/>
    </xf>
    <xf numFmtId="165" fontId="6" fillId="0" borderId="9" xfId="0" applyNumberFormat="1" applyFont="1" applyBorder="1" applyAlignment="1">
      <alignment horizontal="center" vertical="center" wrapText="1"/>
    </xf>
    <xf numFmtId="0" fontId="5" fillId="3" borderId="10" xfId="0" applyFont="1" applyFill="1" applyBorder="1" applyAlignment="1">
      <alignment horizontal="center" vertical="center" wrapText="1"/>
    </xf>
    <xf numFmtId="166" fontId="5" fillId="3" borderId="10" xfId="0" applyNumberFormat="1" applyFont="1" applyFill="1" applyBorder="1" applyAlignment="1">
      <alignment horizontal="right" vertical="center" wrapText="1"/>
    </xf>
    <xf numFmtId="0" fontId="6" fillId="0" borderId="4" xfId="0" applyFont="1" applyBorder="1" applyAlignment="1">
      <alignment horizontal="justify" vertical="center" wrapText="1"/>
    </xf>
    <xf numFmtId="165" fontId="6" fillId="0" borderId="5" xfId="0" applyNumberFormat="1" applyFont="1" applyBorder="1" applyAlignment="1">
      <alignment horizontal="left" vertical="center" wrapText="1"/>
    </xf>
    <xf numFmtId="166" fontId="6" fillId="0" borderId="9" xfId="0" applyNumberFormat="1" applyFont="1" applyBorder="1" applyAlignment="1">
      <alignment horizontal="right" vertical="center" wrapText="1"/>
    </xf>
    <xf numFmtId="0" fontId="6" fillId="0" borderId="8" xfId="0" applyFont="1" applyBorder="1" applyAlignment="1">
      <alignment horizontal="left" vertical="center" wrapText="1"/>
    </xf>
    <xf numFmtId="0" fontId="6" fillId="0" borderId="9" xfId="0" applyFont="1" applyBorder="1" applyAlignment="1">
      <alignment horizontal="center" vertical="center" wrapText="1"/>
    </xf>
    <xf numFmtId="0" fontId="7" fillId="4" borderId="14" xfId="0" applyFont="1" applyFill="1" applyBorder="1" applyAlignment="1">
      <alignment horizontal="center" vertical="center" wrapText="1"/>
    </xf>
    <xf numFmtId="166" fontId="7" fillId="4" borderId="27" xfId="0" applyNumberFormat="1" applyFont="1" applyFill="1" applyBorder="1" applyAlignment="1">
      <alignment horizontal="right" vertical="center" wrapText="1"/>
    </xf>
    <xf numFmtId="0" fontId="5" fillId="3" borderId="29" xfId="0" applyFont="1" applyFill="1" applyBorder="1" applyAlignment="1">
      <alignment horizontal="center" vertical="center" wrapText="1"/>
    </xf>
    <xf numFmtId="0" fontId="6" fillId="0" borderId="30" xfId="0" applyFont="1" applyBorder="1" applyAlignment="1">
      <alignment horizontal="left" vertical="center" wrapText="1"/>
    </xf>
    <xf numFmtId="165" fontId="6" fillId="0" borderId="31" xfId="0" applyNumberFormat="1" applyFont="1" applyBorder="1" applyAlignment="1">
      <alignment horizontal="left" vertical="center" wrapText="1"/>
    </xf>
    <xf numFmtId="165" fontId="6" fillId="0" borderId="24" xfId="0" applyNumberFormat="1" applyFont="1" applyBorder="1" applyAlignment="1">
      <alignment horizontal="center" vertical="center" wrapText="1"/>
    </xf>
    <xf numFmtId="166" fontId="6" fillId="0" borderId="24" xfId="0" applyNumberFormat="1" applyFont="1" applyBorder="1" applyAlignment="1">
      <alignment horizontal="right" vertical="center" wrapText="1"/>
    </xf>
    <xf numFmtId="166" fontId="0" fillId="5" borderId="0" xfId="0" applyNumberFormat="1" applyFill="1"/>
    <xf numFmtId="166" fontId="7" fillId="4" borderId="12" xfId="0" applyNumberFormat="1" applyFont="1" applyFill="1" applyBorder="1" applyAlignment="1">
      <alignment horizontal="right" vertical="center" wrapText="1"/>
    </xf>
    <xf numFmtId="166" fontId="5" fillId="3" borderId="9" xfId="0" applyNumberFormat="1" applyFont="1" applyFill="1" applyBorder="1" applyAlignment="1">
      <alignment horizontal="right" vertical="center" wrapText="1"/>
    </xf>
    <xf numFmtId="166" fontId="5" fillId="3" borderId="32" xfId="0" applyNumberFormat="1" applyFont="1" applyFill="1" applyBorder="1" applyAlignment="1">
      <alignment horizontal="right" vertical="center" wrapText="1"/>
    </xf>
    <xf numFmtId="165" fontId="6" fillId="0" borderId="10" xfId="0" applyNumberFormat="1" applyFont="1" applyBorder="1" applyAlignment="1">
      <alignment horizontal="center" vertical="center" wrapText="1"/>
    </xf>
    <xf numFmtId="166" fontId="7" fillId="4" borderId="25" xfId="0" applyNumberFormat="1" applyFont="1" applyFill="1" applyBorder="1" applyAlignment="1">
      <alignment horizontal="right" vertical="center" wrapText="1"/>
    </xf>
    <xf numFmtId="0" fontId="4" fillId="5" borderId="0" xfId="0" applyFont="1" applyFill="1" applyAlignment="1">
      <alignment horizontal="center" vertical="center" wrapText="1"/>
    </xf>
    <xf numFmtId="49" fontId="0" fillId="5" borderId="0" xfId="0" applyNumberFormat="1" applyFill="1"/>
    <xf numFmtId="4" fontId="0" fillId="5" borderId="0" xfId="0" applyNumberFormat="1" applyFill="1"/>
    <xf numFmtId="0" fontId="6" fillId="0" borderId="28" xfId="0" applyFont="1" applyBorder="1" applyAlignment="1">
      <alignment horizontal="left"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167" fontId="0" fillId="5" borderId="0" xfId="0" applyNumberFormat="1" applyFill="1"/>
    <xf numFmtId="166" fontId="7" fillId="4" borderId="33" xfId="0" applyNumberFormat="1" applyFont="1" applyFill="1" applyBorder="1" applyAlignment="1">
      <alignment horizontal="right" vertical="center" wrapText="1"/>
    </xf>
    <xf numFmtId="166" fontId="1" fillId="6" borderId="0" xfId="0" applyNumberFormat="1" applyFont="1" applyFill="1"/>
    <xf numFmtId="166" fontId="8" fillId="5" borderId="0" xfId="0" applyNumberFormat="1" applyFont="1" applyFill="1"/>
    <xf numFmtId="10" fontId="8" fillId="5" borderId="0" xfId="0" applyNumberFormat="1" applyFont="1" applyFill="1"/>
    <xf numFmtId="164" fontId="0" fillId="5" borderId="0" xfId="1" applyFont="1" applyFill="1" applyBorder="1"/>
    <xf numFmtId="0" fontId="0" fillId="5" borderId="11" xfId="0" applyFill="1" applyBorder="1"/>
    <xf numFmtId="166" fontId="0" fillId="5" borderId="11" xfId="0" applyNumberFormat="1" applyFill="1" applyBorder="1"/>
    <xf numFmtId="0" fontId="6" fillId="0" borderId="16" xfId="0" applyFont="1" applyBorder="1" applyAlignment="1">
      <alignment horizontal="center" vertical="center" wrapText="1"/>
    </xf>
    <xf numFmtId="0" fontId="6" fillId="0" borderId="26" xfId="0" applyFont="1" applyBorder="1" applyAlignment="1">
      <alignment horizontal="center" vertical="center" wrapText="1"/>
    </xf>
    <xf numFmtId="9" fontId="6" fillId="0" borderId="6" xfId="2" applyFont="1" applyBorder="1" applyAlignment="1">
      <alignment horizontal="right" vertical="center" wrapText="1"/>
    </xf>
    <xf numFmtId="9" fontId="6" fillId="7" borderId="6" xfId="2" applyFont="1" applyFill="1" applyBorder="1" applyAlignment="1">
      <alignment horizontal="right" vertical="center" wrapText="1"/>
    </xf>
    <xf numFmtId="0" fontId="6" fillId="0" borderId="28" xfId="0" applyFont="1" applyBorder="1" applyAlignment="1">
      <alignment horizontal="center" vertical="center" wrapText="1"/>
    </xf>
    <xf numFmtId="0" fontId="6" fillId="0" borderId="18" xfId="0" applyFont="1" applyBorder="1" applyAlignment="1">
      <alignment horizontal="center" vertical="center" wrapText="1"/>
    </xf>
    <xf numFmtId="0" fontId="0" fillId="5" borderId="0" xfId="0" applyFill="1" applyAlignment="1">
      <alignment horizontal="center" vertical="center"/>
    </xf>
    <xf numFmtId="0" fontId="0" fillId="0" borderId="0" xfId="0" applyAlignment="1">
      <alignment horizontal="center" vertical="center"/>
    </xf>
    <xf numFmtId="9" fontId="5" fillId="7" borderId="12" xfId="2" applyFont="1" applyFill="1" applyBorder="1" applyAlignment="1">
      <alignment horizontal="right" vertical="center" wrapText="1"/>
    </xf>
    <xf numFmtId="0" fontId="9" fillId="2" borderId="3"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5" borderId="16" xfId="0" applyFill="1" applyBorder="1"/>
    <xf numFmtId="0" fontId="10" fillId="0" borderId="16" xfId="0" applyFont="1" applyBorder="1" applyAlignment="1">
      <alignment vertical="center" wrapText="1"/>
    </xf>
    <xf numFmtId="0" fontId="0" fillId="5" borderId="0" xfId="0" applyFill="1" applyAlignment="1">
      <alignment horizontal="center"/>
    </xf>
    <xf numFmtId="9" fontId="0" fillId="5" borderId="16" xfId="2" applyFont="1" applyFill="1" applyBorder="1" applyAlignment="1">
      <alignment horizontal="center"/>
    </xf>
    <xf numFmtId="9" fontId="0" fillId="5" borderId="16" xfId="2" applyFont="1" applyFill="1" applyBorder="1" applyAlignment="1">
      <alignment horizontal="center" vertical="center"/>
    </xf>
    <xf numFmtId="168" fontId="0" fillId="5" borderId="16" xfId="2" applyNumberFormat="1" applyFont="1" applyFill="1" applyBorder="1" applyAlignment="1">
      <alignment horizontal="center" vertical="center"/>
    </xf>
    <xf numFmtId="9" fontId="0" fillId="5" borderId="16" xfId="0" applyNumberFormat="1" applyFill="1" applyBorder="1" applyAlignment="1">
      <alignment horizontal="center" vertical="center"/>
    </xf>
    <xf numFmtId="0" fontId="0" fillId="5" borderId="16" xfId="0" applyFill="1" applyBorder="1" applyAlignment="1">
      <alignment horizontal="center" vertical="center"/>
    </xf>
    <xf numFmtId="0" fontId="0" fillId="8" borderId="16" xfId="0" applyFill="1" applyBorder="1"/>
    <xf numFmtId="9" fontId="1" fillId="8" borderId="16" xfId="2" applyFont="1" applyFill="1" applyBorder="1" applyAlignment="1">
      <alignment horizontal="center" vertical="center"/>
    </xf>
    <xf numFmtId="0" fontId="1" fillId="8" borderId="16" xfId="0" applyFont="1" applyFill="1" applyBorder="1" applyAlignment="1">
      <alignment horizontal="center" vertical="center"/>
    </xf>
    <xf numFmtId="0" fontId="1" fillId="8" borderId="16" xfId="0" applyFont="1" applyFill="1" applyBorder="1"/>
    <xf numFmtId="9" fontId="1" fillId="8" borderId="16" xfId="0" applyNumberFormat="1" applyFont="1" applyFill="1" applyBorder="1" applyAlignment="1">
      <alignment horizontal="center" vertical="center"/>
    </xf>
    <xf numFmtId="166" fontId="6" fillId="0" borderId="16" xfId="0" applyNumberFormat="1" applyFont="1" applyBorder="1" applyAlignment="1">
      <alignment horizontal="right" vertical="center" wrapText="1"/>
    </xf>
    <xf numFmtId="165" fontId="6" fillId="0" borderId="16" xfId="0" applyNumberFormat="1" applyFont="1" applyBorder="1" applyAlignment="1">
      <alignment horizontal="left" vertical="center" wrapText="1"/>
    </xf>
    <xf numFmtId="166" fontId="6" fillId="0" borderId="16" xfId="0" applyNumberFormat="1" applyFont="1" applyBorder="1" applyAlignment="1">
      <alignment horizontal="center" vertical="center" wrapText="1"/>
    </xf>
    <xf numFmtId="166" fontId="5" fillId="8" borderId="16" xfId="0" applyNumberFormat="1" applyFont="1" applyFill="1" applyBorder="1" applyAlignment="1">
      <alignment horizontal="right" vertical="center" wrapText="1"/>
    </xf>
    <xf numFmtId="0" fontId="6" fillId="0" borderId="16" xfId="0" applyFont="1" applyBorder="1" applyAlignment="1">
      <alignment horizontal="left" vertical="center" wrapText="1"/>
    </xf>
    <xf numFmtId="166" fontId="7" fillId="4" borderId="16" xfId="0" applyNumberFormat="1" applyFont="1" applyFill="1" applyBorder="1" applyAlignment="1">
      <alignment horizontal="right" vertical="center" wrapText="1"/>
    </xf>
    <xf numFmtId="0" fontId="0" fillId="8" borderId="16" xfId="0" applyFill="1" applyBorder="1" applyAlignment="1">
      <alignment horizontal="center" vertical="center"/>
    </xf>
    <xf numFmtId="9" fontId="0" fillId="8" borderId="16" xfId="0" applyNumberFormat="1" applyFill="1" applyBorder="1" applyAlignment="1">
      <alignment horizontal="center" vertical="center"/>
    </xf>
    <xf numFmtId="168" fontId="0" fillId="5" borderId="16" xfId="0" applyNumberFormat="1" applyFill="1" applyBorder="1" applyAlignment="1">
      <alignment horizontal="center" vertical="center"/>
    </xf>
    <xf numFmtId="0" fontId="4" fillId="2" borderId="17" xfId="0" applyFont="1" applyFill="1" applyBorder="1" applyAlignment="1">
      <alignment horizontal="center" vertical="center" wrapText="1"/>
    </xf>
    <xf numFmtId="0" fontId="4" fillId="2" borderId="10" xfId="0" applyFont="1" applyFill="1" applyBorder="1" applyAlignment="1">
      <alignment horizontal="center" vertical="center" wrapText="1"/>
    </xf>
    <xf numFmtId="168" fontId="1" fillId="8" borderId="16" xfId="0" applyNumberFormat="1" applyFont="1" applyFill="1" applyBorder="1" applyAlignment="1">
      <alignment horizontal="center" vertical="center"/>
    </xf>
    <xf numFmtId="9" fontId="13" fillId="8" borderId="16" xfId="2" applyFont="1" applyFill="1" applyBorder="1" applyAlignment="1">
      <alignment horizontal="center" vertical="center"/>
    </xf>
    <xf numFmtId="0" fontId="0" fillId="5" borderId="0" xfId="0" applyFill="1" applyAlignment="1">
      <alignment horizontal="right"/>
    </xf>
    <xf numFmtId="166" fontId="3" fillId="5" borderId="0" xfId="0" applyNumberFormat="1" applyFont="1" applyFill="1" applyAlignment="1">
      <alignment horizontal="right"/>
    </xf>
    <xf numFmtId="166" fontId="0" fillId="5" borderId="0" xfId="0" applyNumberFormat="1" applyFill="1" applyAlignment="1">
      <alignment horizontal="right"/>
    </xf>
    <xf numFmtId="0" fontId="0" fillId="0" borderId="0" xfId="0" applyAlignment="1">
      <alignment horizontal="right"/>
    </xf>
    <xf numFmtId="0" fontId="9" fillId="2" borderId="35" xfId="0" applyFont="1" applyFill="1" applyBorder="1" applyAlignment="1">
      <alignment horizontal="center" vertical="center" wrapText="1"/>
    </xf>
    <xf numFmtId="168" fontId="13" fillId="8" borderId="16" xfId="0" applyNumberFormat="1" applyFont="1" applyFill="1" applyBorder="1" applyAlignment="1">
      <alignment horizontal="center" vertical="center"/>
    </xf>
    <xf numFmtId="168" fontId="0" fillId="0" borderId="16" xfId="2" applyNumberFormat="1" applyFont="1" applyBorder="1"/>
    <xf numFmtId="9" fontId="0" fillId="0" borderId="16" xfId="0" applyNumberFormat="1" applyBorder="1"/>
    <xf numFmtId="168" fontId="0" fillId="0" borderId="16" xfId="0" applyNumberFormat="1" applyBorder="1"/>
    <xf numFmtId="9" fontId="0" fillId="0" borderId="16" xfId="2" applyFont="1" applyBorder="1"/>
    <xf numFmtId="0" fontId="1" fillId="0" borderId="16" xfId="0" applyFont="1" applyBorder="1"/>
    <xf numFmtId="0" fontId="13" fillId="0" borderId="0" xfId="0" applyFont="1"/>
    <xf numFmtId="9" fontId="0" fillId="8" borderId="16" xfId="2" applyFont="1" applyFill="1" applyBorder="1"/>
    <xf numFmtId="9" fontId="1" fillId="8" borderId="16" xfId="2" applyFont="1" applyFill="1" applyBorder="1"/>
    <xf numFmtId="9" fontId="14" fillId="5" borderId="16" xfId="0" applyNumberFormat="1" applyFont="1" applyFill="1" applyBorder="1" applyAlignment="1">
      <alignment horizontal="center" vertical="center"/>
    </xf>
    <xf numFmtId="0" fontId="14" fillId="5" borderId="16" xfId="0" applyFont="1" applyFill="1" applyBorder="1"/>
    <xf numFmtId="1" fontId="0" fillId="5" borderId="0" xfId="0" applyNumberFormat="1" applyFill="1"/>
    <xf numFmtId="1" fontId="9" fillId="2" borderId="35" xfId="2" applyNumberFormat="1" applyFont="1" applyFill="1" applyBorder="1" applyAlignment="1">
      <alignment horizontal="center" vertical="center" wrapText="1"/>
    </xf>
    <xf numFmtId="1" fontId="0" fillId="5" borderId="16" xfId="2" applyNumberFormat="1" applyFont="1" applyFill="1" applyBorder="1" applyAlignment="1">
      <alignment horizontal="center" vertical="center"/>
    </xf>
    <xf numFmtId="1" fontId="1" fillId="8" borderId="16" xfId="2" applyNumberFormat="1" applyFont="1" applyFill="1" applyBorder="1" applyAlignment="1">
      <alignment horizontal="center" vertical="center"/>
    </xf>
    <xf numFmtId="1" fontId="0" fillId="8" borderId="16" xfId="0" applyNumberFormat="1" applyFill="1" applyBorder="1" applyAlignment="1">
      <alignment horizontal="center" vertical="center"/>
    </xf>
    <xf numFmtId="1" fontId="14" fillId="5" borderId="16" xfId="0" applyNumberFormat="1" applyFont="1" applyFill="1" applyBorder="1" applyAlignment="1">
      <alignment horizontal="center" vertical="center"/>
    </xf>
    <xf numFmtId="10" fontId="0" fillId="5" borderId="16" xfId="2" applyNumberFormat="1" applyFont="1" applyFill="1" applyBorder="1" applyAlignment="1">
      <alignment horizontal="center" vertical="center"/>
    </xf>
    <xf numFmtId="1" fontId="0" fillId="9" borderId="16" xfId="2" applyNumberFormat="1" applyFont="1" applyFill="1" applyBorder="1" applyAlignment="1">
      <alignment horizontal="center" vertical="center"/>
    </xf>
    <xf numFmtId="2" fontId="0" fillId="9" borderId="16" xfId="2" applyNumberFormat="1" applyFont="1" applyFill="1" applyBorder="1" applyAlignment="1">
      <alignment horizontal="center" vertical="center"/>
    </xf>
    <xf numFmtId="0" fontId="9" fillId="9" borderId="35" xfId="0" applyFont="1" applyFill="1" applyBorder="1" applyAlignment="1">
      <alignment horizontal="center" vertical="center" wrapText="1"/>
    </xf>
    <xf numFmtId="166" fontId="6" fillId="9" borderId="16" xfId="0" applyNumberFormat="1" applyFont="1" applyFill="1" applyBorder="1" applyAlignment="1">
      <alignment horizontal="center" vertical="center" wrapText="1"/>
    </xf>
    <xf numFmtId="10" fontId="0" fillId="5" borderId="16" xfId="0" applyNumberFormat="1" applyFill="1" applyBorder="1" applyAlignment="1">
      <alignment horizontal="center" vertical="center"/>
    </xf>
    <xf numFmtId="0" fontId="0" fillId="5" borderId="16" xfId="0" applyFill="1" applyBorder="1" applyAlignment="1">
      <alignment wrapText="1"/>
    </xf>
    <xf numFmtId="9" fontId="0" fillId="5" borderId="0" xfId="0" applyNumberFormat="1" applyFill="1"/>
    <xf numFmtId="168" fontId="0" fillId="5" borderId="0" xfId="0" applyNumberFormat="1" applyFill="1"/>
    <xf numFmtId="168" fontId="1" fillId="8" borderId="16" xfId="2" applyNumberFormat="1" applyFont="1" applyFill="1" applyBorder="1" applyAlignment="1">
      <alignment horizontal="center" vertical="center"/>
    </xf>
    <xf numFmtId="10" fontId="1" fillId="8" borderId="16" xfId="0" applyNumberFormat="1" applyFont="1" applyFill="1" applyBorder="1" applyAlignment="1">
      <alignment horizontal="center" vertical="center"/>
    </xf>
    <xf numFmtId="10" fontId="14" fillId="5" borderId="16" xfId="0" applyNumberFormat="1" applyFont="1" applyFill="1" applyBorder="1" applyAlignment="1">
      <alignment horizontal="center" vertical="center"/>
    </xf>
    <xf numFmtId="0" fontId="18" fillId="0" borderId="0" xfId="3" applyAlignment="1">
      <alignment horizontal="justify" vertical="center"/>
    </xf>
    <xf numFmtId="0" fontId="16" fillId="0" borderId="16" xfId="0" applyFont="1" applyBorder="1" applyAlignment="1">
      <alignment vertical="center"/>
    </xf>
    <xf numFmtId="0" fontId="16" fillId="0" borderId="16" xfId="0" applyFont="1" applyBorder="1" applyAlignment="1">
      <alignment horizontal="center" vertical="center"/>
    </xf>
    <xf numFmtId="0" fontId="16" fillId="0" borderId="16" xfId="0" applyFont="1" applyBorder="1" applyAlignment="1">
      <alignment horizontal="center" vertical="center" wrapText="1"/>
    </xf>
    <xf numFmtId="0" fontId="17" fillId="0" borderId="16" xfId="0" applyFont="1" applyBorder="1" applyAlignment="1">
      <alignment horizontal="left" vertical="center" indent="1"/>
    </xf>
    <xf numFmtId="9" fontId="17" fillId="0" borderId="16" xfId="0" applyNumberFormat="1" applyFont="1" applyBorder="1" applyAlignment="1">
      <alignment horizontal="center" vertical="center"/>
    </xf>
    <xf numFmtId="9" fontId="17" fillId="0" borderId="16" xfId="0" applyNumberFormat="1" applyFont="1" applyBorder="1" applyAlignment="1">
      <alignment horizontal="center" vertical="center" wrapText="1"/>
    </xf>
    <xf numFmtId="10" fontId="17" fillId="0" borderId="16" xfId="0" applyNumberFormat="1" applyFont="1" applyBorder="1" applyAlignment="1">
      <alignment horizontal="center" vertical="center"/>
    </xf>
    <xf numFmtId="10" fontId="17" fillId="0" borderId="16" xfId="0" applyNumberFormat="1" applyFont="1" applyBorder="1" applyAlignment="1">
      <alignment horizontal="center" vertical="center" wrapText="1"/>
    </xf>
    <xf numFmtId="0" fontId="17" fillId="0" borderId="16" xfId="0" applyFont="1" applyBorder="1" applyAlignment="1">
      <alignment horizontal="center" vertical="center"/>
    </xf>
    <xf numFmtId="9" fontId="0" fillId="0" borderId="16" xfId="0" applyNumberFormat="1" applyBorder="1" applyAlignment="1">
      <alignment horizontal="center"/>
    </xf>
    <xf numFmtId="0" fontId="0" fillId="0" borderId="16" xfId="0" applyBorder="1" applyAlignment="1">
      <alignment horizontal="center"/>
    </xf>
    <xf numFmtId="0" fontId="1" fillId="0" borderId="16" xfId="0" applyFont="1" applyBorder="1" applyAlignment="1">
      <alignment wrapText="1"/>
    </xf>
    <xf numFmtId="168" fontId="17" fillId="0" borderId="16" xfId="0" applyNumberFormat="1" applyFont="1" applyBorder="1" applyAlignment="1">
      <alignment horizontal="center" vertical="center"/>
    </xf>
    <xf numFmtId="0" fontId="0" fillId="0" borderId="16" xfId="0" applyBorder="1" applyAlignment="1">
      <alignment vertical="center"/>
    </xf>
    <xf numFmtId="10" fontId="0" fillId="0" borderId="16" xfId="2" applyNumberFormat="1" applyFont="1" applyFill="1" applyBorder="1" applyAlignment="1">
      <alignment horizontal="center" vertical="center"/>
    </xf>
    <xf numFmtId="1" fontId="0" fillId="0" borderId="16" xfId="2" applyNumberFormat="1" applyFont="1" applyFill="1" applyBorder="1" applyAlignment="1">
      <alignment horizontal="center" vertical="center"/>
    </xf>
    <xf numFmtId="0" fontId="15" fillId="2" borderId="0" xfId="0" applyFont="1" applyFill="1" applyAlignment="1">
      <alignment vertical="center" wrapText="1"/>
    </xf>
    <xf numFmtId="0" fontId="15" fillId="2" borderId="11" xfId="0" applyFont="1" applyFill="1" applyBorder="1" applyAlignment="1">
      <alignment vertical="center" wrapText="1"/>
    </xf>
    <xf numFmtId="0" fontId="17" fillId="0" borderId="16" xfId="0" applyFont="1" applyBorder="1" applyAlignment="1">
      <alignment horizontal="left" vertical="center"/>
    </xf>
    <xf numFmtId="0" fontId="19" fillId="0" borderId="16" xfId="0" applyFont="1" applyBorder="1" applyAlignment="1">
      <alignment horizontal="left"/>
    </xf>
    <xf numFmtId="9" fontId="0" fillId="9" borderId="16" xfId="0" applyNumberFormat="1" applyFill="1" applyBorder="1" applyAlignment="1">
      <alignment horizontal="center" vertical="center"/>
    </xf>
    <xf numFmtId="168" fontId="0" fillId="9" borderId="16" xfId="0" applyNumberFormat="1" applyFill="1" applyBorder="1" applyAlignment="1">
      <alignment horizontal="center" vertical="center"/>
    </xf>
    <xf numFmtId="0" fontId="15" fillId="0" borderId="0" xfId="0" applyFont="1" applyAlignment="1">
      <alignment vertical="center" wrapText="1"/>
    </xf>
    <xf numFmtId="0" fontId="15" fillId="0" borderId="11" xfId="0" applyFont="1" applyBorder="1" applyAlignment="1">
      <alignment vertical="center" wrapText="1"/>
    </xf>
    <xf numFmtId="1" fontId="0" fillId="0" borderId="16" xfId="2" applyNumberFormat="1" applyFont="1" applyFill="1" applyBorder="1" applyAlignment="1">
      <alignment horizontal="left" vertical="center"/>
    </xf>
    <xf numFmtId="1" fontId="0" fillId="0" borderId="16" xfId="2" applyNumberFormat="1" applyFont="1" applyFill="1" applyBorder="1" applyAlignment="1">
      <alignment horizontal="left" vertical="center" wrapText="1"/>
    </xf>
    <xf numFmtId="1" fontId="1" fillId="0" borderId="16" xfId="2" applyNumberFormat="1" applyFont="1" applyFill="1" applyBorder="1" applyAlignment="1">
      <alignment horizontal="left" vertical="center"/>
    </xf>
    <xf numFmtId="1" fontId="0" fillId="0" borderId="16" xfId="0" applyNumberFormat="1" applyBorder="1" applyAlignment="1">
      <alignment horizontal="left" vertical="center"/>
    </xf>
    <xf numFmtId="1" fontId="14" fillId="0" borderId="16" xfId="0" applyNumberFormat="1" applyFont="1" applyBorder="1" applyAlignment="1">
      <alignment horizontal="center" vertical="center"/>
    </xf>
    <xf numFmtId="1" fontId="0" fillId="0" borderId="0" xfId="0" applyNumberFormat="1"/>
    <xf numFmtId="0" fontId="15" fillId="2" borderId="0" xfId="0" applyFont="1" applyFill="1" applyAlignment="1">
      <alignment horizontal="center" vertical="center" wrapText="1"/>
    </xf>
    <xf numFmtId="0" fontId="15" fillId="2" borderId="11" xfId="0" applyFont="1" applyFill="1" applyBorder="1" applyAlignment="1">
      <alignment horizontal="center" vertical="center" wrapText="1"/>
    </xf>
    <xf numFmtId="10" fontId="0" fillId="5" borderId="16" xfId="0" applyNumberFormat="1" applyFill="1" applyBorder="1" applyAlignment="1">
      <alignment vertical="center"/>
    </xf>
    <xf numFmtId="170" fontId="0" fillId="5" borderId="16" xfId="2" applyNumberFormat="1" applyFont="1" applyFill="1" applyBorder="1" applyAlignment="1">
      <alignment horizontal="center" vertical="center"/>
    </xf>
    <xf numFmtId="9" fontId="0" fillId="5" borderId="16" xfId="0" applyNumberFormat="1" applyFill="1" applyBorder="1" applyAlignment="1">
      <alignment vertical="center"/>
    </xf>
    <xf numFmtId="9" fontId="0" fillId="5" borderId="16" xfId="0" applyNumberFormat="1" applyFill="1" applyBorder="1" applyAlignment="1">
      <alignment vertical="center" wrapText="1"/>
    </xf>
    <xf numFmtId="10" fontId="0" fillId="5" borderId="16" xfId="0" applyNumberFormat="1" applyFill="1" applyBorder="1" applyAlignment="1">
      <alignment vertical="center" wrapText="1"/>
    </xf>
    <xf numFmtId="168" fontId="0" fillId="5" borderId="16" xfId="0" applyNumberFormat="1" applyFill="1" applyBorder="1" applyAlignment="1">
      <alignment vertical="center" wrapText="1"/>
    </xf>
    <xf numFmtId="168" fontId="0" fillId="5" borderId="16" xfId="0" applyNumberFormat="1" applyFill="1" applyBorder="1" applyAlignment="1">
      <alignment horizontal="left" vertical="center" wrapText="1"/>
    </xf>
    <xf numFmtId="10" fontId="0" fillId="0" borderId="16" xfId="0" applyNumberFormat="1" applyBorder="1" applyAlignment="1">
      <alignment vertical="center" wrapText="1"/>
    </xf>
    <xf numFmtId="10" fontId="0" fillId="0" borderId="16" xfId="0" applyNumberFormat="1" applyBorder="1" applyAlignment="1">
      <alignment vertical="top" wrapText="1"/>
    </xf>
    <xf numFmtId="168" fontId="0" fillId="0" borderId="16" xfId="0" applyNumberFormat="1" applyBorder="1" applyAlignment="1">
      <alignment horizontal="center" vertical="center"/>
    </xf>
    <xf numFmtId="168" fontId="0" fillId="0" borderId="16" xfId="0" applyNumberFormat="1" applyBorder="1" applyAlignment="1">
      <alignment vertical="center" wrapText="1"/>
    </xf>
    <xf numFmtId="9" fontId="0" fillId="10" borderId="16" xfId="0" applyNumberFormat="1" applyFill="1" applyBorder="1" applyAlignment="1">
      <alignment horizontal="center" vertical="center"/>
    </xf>
    <xf numFmtId="168" fontId="0" fillId="6" borderId="16" xfId="0" applyNumberFormat="1" applyFill="1" applyBorder="1" applyAlignment="1">
      <alignment horizontal="center" vertical="center"/>
    </xf>
    <xf numFmtId="1" fontId="0" fillId="12" borderId="16" xfId="2" applyNumberFormat="1" applyFont="1" applyFill="1" applyBorder="1" applyAlignment="1">
      <alignment horizontal="center" vertical="center"/>
    </xf>
    <xf numFmtId="1" fontId="0" fillId="12" borderId="16" xfId="2" applyNumberFormat="1" applyFont="1" applyFill="1" applyBorder="1" applyAlignment="1">
      <alignment horizontal="left" vertical="center" wrapText="1"/>
    </xf>
    <xf numFmtId="9" fontId="0" fillId="12" borderId="16" xfId="0" applyNumberFormat="1" applyFill="1" applyBorder="1" applyAlignment="1">
      <alignment horizontal="center" vertical="center"/>
    </xf>
    <xf numFmtId="10" fontId="0" fillId="12" borderId="16" xfId="0" applyNumberFormat="1" applyFill="1" applyBorder="1" applyAlignment="1">
      <alignment vertical="center" wrapText="1"/>
    </xf>
    <xf numFmtId="169" fontId="0" fillId="9" borderId="16" xfId="2" applyNumberFormat="1" applyFont="1" applyFill="1" applyBorder="1" applyAlignment="1">
      <alignment horizontal="center" vertical="center"/>
    </xf>
    <xf numFmtId="0" fontId="0" fillId="0" borderId="16" xfId="0" applyBorder="1" applyAlignment="1">
      <alignment wrapText="1"/>
    </xf>
    <xf numFmtId="0" fontId="0" fillId="5" borderId="16" xfId="0" applyFill="1" applyBorder="1" applyAlignment="1">
      <alignment vertical="center" wrapText="1"/>
    </xf>
    <xf numFmtId="0" fontId="0" fillId="11" borderId="16" xfId="0" applyFill="1" applyBorder="1" applyAlignment="1">
      <alignment vertical="center" wrapText="1"/>
    </xf>
    <xf numFmtId="0" fontId="0" fillId="5" borderId="0" xfId="0" applyFill="1" applyAlignment="1">
      <alignment wrapText="1"/>
    </xf>
    <xf numFmtId="10" fontId="0" fillId="5" borderId="15" xfId="0" applyNumberFormat="1" applyFill="1" applyBorder="1" applyAlignment="1">
      <alignment horizontal="center" vertical="center"/>
    </xf>
    <xf numFmtId="10" fontId="0" fillId="5" borderId="36" xfId="0" applyNumberFormat="1" applyFill="1" applyBorder="1" applyAlignment="1">
      <alignment horizontal="center" vertical="center"/>
    </xf>
    <xf numFmtId="0" fontId="5" fillId="8" borderId="16"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6" fillId="0" borderId="16" xfId="0" applyFont="1" applyBorder="1" applyAlignment="1">
      <alignment horizontal="left" vertical="center" wrapText="1"/>
    </xf>
    <xf numFmtId="166" fontId="6" fillId="0" borderId="16" xfId="0" applyNumberFormat="1" applyFont="1" applyBorder="1" applyAlignment="1">
      <alignment horizontal="right" vertical="center" wrapText="1"/>
    </xf>
    <xf numFmtId="10" fontId="0" fillId="0" borderId="16" xfId="2" applyNumberFormat="1" applyFont="1" applyFill="1" applyBorder="1" applyAlignment="1">
      <alignment horizontal="center" vertical="center"/>
    </xf>
    <xf numFmtId="10" fontId="0" fillId="5" borderId="16" xfId="0" applyNumberFormat="1" applyFill="1" applyBorder="1" applyAlignment="1">
      <alignment horizontal="center" vertical="center"/>
    </xf>
    <xf numFmtId="0" fontId="6" fillId="0" borderId="16" xfId="0" applyFont="1" applyBorder="1" applyAlignment="1">
      <alignment horizontal="center" vertical="center" wrapText="1"/>
    </xf>
    <xf numFmtId="165" fontId="6" fillId="0" borderId="16" xfId="0" applyNumberFormat="1" applyFont="1" applyBorder="1" applyAlignment="1">
      <alignment horizontal="left" vertical="center" wrapText="1"/>
    </xf>
    <xf numFmtId="166" fontId="6" fillId="0" borderId="16" xfId="0" applyNumberFormat="1" applyFont="1" applyBorder="1" applyAlignment="1">
      <alignment vertical="center" wrapText="1"/>
    </xf>
    <xf numFmtId="170" fontId="0" fillId="5" borderId="16" xfId="2" applyNumberFormat="1" applyFont="1" applyFill="1" applyBorder="1" applyAlignment="1">
      <alignment horizontal="center" vertical="center"/>
    </xf>
    <xf numFmtId="168" fontId="0" fillId="5" borderId="15" xfId="0" applyNumberFormat="1" applyFill="1" applyBorder="1" applyAlignment="1">
      <alignment horizontal="center" vertical="center"/>
    </xf>
    <xf numFmtId="168" fontId="0" fillId="5" borderId="36" xfId="0" applyNumberFormat="1" applyFill="1" applyBorder="1" applyAlignment="1">
      <alignment horizontal="center" vertical="center"/>
    </xf>
    <xf numFmtId="10" fontId="0" fillId="5" borderId="23" xfId="0" applyNumberFormat="1" applyFill="1" applyBorder="1" applyAlignment="1">
      <alignment horizontal="center" vertical="center"/>
    </xf>
    <xf numFmtId="0" fontId="5" fillId="0" borderId="16" xfId="0" applyFont="1" applyBorder="1" applyAlignment="1">
      <alignment horizontal="center" vertical="center" wrapText="1"/>
    </xf>
    <xf numFmtId="10" fontId="0" fillId="5" borderId="16" xfId="2" applyNumberFormat="1" applyFont="1" applyFill="1" applyBorder="1" applyAlignment="1">
      <alignment horizontal="center" vertical="center"/>
    </xf>
    <xf numFmtId="9" fontId="0" fillId="5" borderId="15" xfId="0" applyNumberFormat="1" applyFill="1" applyBorder="1" applyAlignment="1">
      <alignment horizontal="center" vertical="center"/>
    </xf>
    <xf numFmtId="9" fontId="0" fillId="5" borderId="23" xfId="0" applyNumberFormat="1" applyFill="1" applyBorder="1" applyAlignment="1">
      <alignment horizontal="center" vertical="center"/>
    </xf>
    <xf numFmtId="9" fontId="0" fillId="5" borderId="36" xfId="0" applyNumberFormat="1" applyFill="1" applyBorder="1" applyAlignment="1">
      <alignment horizontal="center" vertical="center"/>
    </xf>
    <xf numFmtId="165" fontId="6" fillId="0" borderId="15" xfId="0" applyNumberFormat="1" applyFont="1" applyBorder="1" applyAlignment="1">
      <alignment horizontal="left" vertical="center" wrapText="1"/>
    </xf>
    <xf numFmtId="165" fontId="6" fillId="0" borderId="23" xfId="0" applyNumberFormat="1" applyFont="1" applyBorder="1" applyAlignment="1">
      <alignment horizontal="left" vertical="center" wrapText="1"/>
    </xf>
    <xf numFmtId="165" fontId="6" fillId="0" borderId="36" xfId="0" applyNumberFormat="1" applyFont="1" applyBorder="1" applyAlignment="1">
      <alignment horizontal="left" vertical="center" wrapText="1"/>
    </xf>
    <xf numFmtId="10" fontId="0" fillId="5" borderId="15" xfId="2" applyNumberFormat="1" applyFont="1" applyFill="1" applyBorder="1" applyAlignment="1">
      <alignment horizontal="center" vertical="center"/>
    </xf>
    <xf numFmtId="10" fontId="0" fillId="5" borderId="23" xfId="2" applyNumberFormat="1" applyFont="1" applyFill="1" applyBorder="1" applyAlignment="1">
      <alignment horizontal="center" vertical="center"/>
    </xf>
    <xf numFmtId="10" fontId="0" fillId="5" borderId="36" xfId="2" applyNumberFormat="1" applyFont="1" applyFill="1" applyBorder="1" applyAlignment="1">
      <alignment horizontal="center" vertical="center"/>
    </xf>
    <xf numFmtId="168" fontId="0" fillId="5" borderId="16" xfId="2"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11" xfId="0" applyFont="1" applyFill="1" applyBorder="1" applyAlignment="1">
      <alignment horizontal="center" vertical="center" wrapText="1"/>
    </xf>
    <xf numFmtId="9" fontId="6" fillId="0" borderId="16" xfId="2" applyFont="1" applyBorder="1" applyAlignment="1">
      <alignment horizontal="center" vertical="center" wrapText="1"/>
    </xf>
    <xf numFmtId="166" fontId="6" fillId="0" borderId="15" xfId="0" applyNumberFormat="1" applyFont="1" applyBorder="1" applyAlignment="1">
      <alignment horizontal="center" vertical="center" wrapText="1"/>
    </xf>
    <xf numFmtId="166" fontId="6" fillId="0" borderId="23" xfId="0" applyNumberFormat="1" applyFont="1" applyBorder="1" applyAlignment="1">
      <alignment horizontal="center" vertical="center" wrapText="1"/>
    </xf>
    <xf numFmtId="166" fontId="6" fillId="0" borderId="36" xfId="0" applyNumberFormat="1" applyFont="1" applyBorder="1" applyAlignment="1">
      <alignment horizontal="center" vertical="center" wrapText="1"/>
    </xf>
    <xf numFmtId="10" fontId="0" fillId="0" borderId="15" xfId="2" applyNumberFormat="1" applyFont="1" applyFill="1" applyBorder="1" applyAlignment="1">
      <alignment horizontal="center" vertical="center"/>
    </xf>
    <xf numFmtId="10" fontId="0" fillId="0" borderId="23" xfId="2" applyNumberFormat="1" applyFont="1" applyFill="1" applyBorder="1" applyAlignment="1">
      <alignment horizontal="center" vertical="center"/>
    </xf>
    <xf numFmtId="10" fontId="0" fillId="0" borderId="36" xfId="2" applyNumberFormat="1" applyFont="1" applyFill="1" applyBorder="1" applyAlignment="1">
      <alignment horizontal="center" vertical="center"/>
    </xf>
    <xf numFmtId="0" fontId="6" fillId="0" borderId="15"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36" xfId="0" applyFont="1" applyBorder="1" applyAlignment="1">
      <alignment horizontal="center" vertical="center" wrapText="1"/>
    </xf>
    <xf numFmtId="165" fontId="6" fillId="0" borderId="15" xfId="0" applyNumberFormat="1" applyFont="1" applyBorder="1" applyAlignment="1">
      <alignment horizontal="center" vertical="center" wrapText="1"/>
    </xf>
    <xf numFmtId="165" fontId="6" fillId="0" borderId="23" xfId="0" applyNumberFormat="1" applyFont="1" applyBorder="1" applyAlignment="1">
      <alignment horizontal="center" vertical="center" wrapText="1"/>
    </xf>
    <xf numFmtId="165" fontId="6" fillId="0" borderId="36" xfId="0" applyNumberFormat="1" applyFont="1" applyBorder="1" applyAlignment="1">
      <alignment horizontal="center" vertical="center" wrapText="1"/>
    </xf>
    <xf numFmtId="9" fontId="6" fillId="0" borderId="15" xfId="2" applyFont="1" applyBorder="1" applyAlignment="1">
      <alignment horizontal="center" vertical="center" wrapText="1"/>
    </xf>
    <xf numFmtId="9" fontId="6" fillId="0" borderId="23" xfId="2" applyFont="1" applyBorder="1" applyAlignment="1">
      <alignment horizontal="center" vertical="center" wrapText="1"/>
    </xf>
    <xf numFmtId="9" fontId="6" fillId="0" borderId="36" xfId="2" applyFont="1" applyBorder="1" applyAlignment="1">
      <alignment horizontal="center" vertical="center" wrapText="1"/>
    </xf>
    <xf numFmtId="9" fontId="0" fillId="5" borderId="15" xfId="2" applyFont="1" applyFill="1" applyBorder="1" applyAlignment="1">
      <alignment horizontal="center" vertical="center"/>
    </xf>
    <xf numFmtId="9" fontId="0" fillId="5" borderId="23" xfId="2" applyFont="1" applyFill="1" applyBorder="1" applyAlignment="1">
      <alignment horizontal="center" vertical="center"/>
    </xf>
    <xf numFmtId="0" fontId="6" fillId="0" borderId="15" xfId="0" applyFont="1" applyBorder="1" applyAlignment="1">
      <alignment horizontal="left" vertical="center" wrapText="1"/>
    </xf>
    <xf numFmtId="0" fontId="6" fillId="0" borderId="23" xfId="0" applyFont="1" applyBorder="1" applyAlignment="1">
      <alignment horizontal="left" vertical="center" wrapText="1"/>
    </xf>
    <xf numFmtId="0" fontId="4" fillId="2" borderId="16" xfId="0" applyFont="1" applyFill="1" applyBorder="1" applyAlignment="1">
      <alignment horizontal="center" vertical="center" wrapText="1"/>
    </xf>
    <xf numFmtId="166" fontId="6" fillId="0" borderId="16" xfId="0" applyNumberFormat="1" applyFont="1" applyBorder="1" applyAlignment="1">
      <alignment horizontal="center" vertical="center" wrapText="1"/>
    </xf>
    <xf numFmtId="0" fontId="5" fillId="3" borderId="16"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5" fillId="0" borderId="19" xfId="0" applyFont="1" applyBorder="1" applyAlignment="1">
      <alignment horizontal="center" vertical="center" wrapText="1"/>
    </xf>
    <xf numFmtId="0" fontId="5" fillId="0" borderId="7" xfId="0" applyFont="1" applyBorder="1" applyAlignment="1">
      <alignment horizontal="center" vertical="center" wrapText="1"/>
    </xf>
    <xf numFmtId="9" fontId="6" fillId="0" borderId="20" xfId="2" applyFont="1" applyBorder="1" applyAlignment="1">
      <alignment horizontal="center" vertical="center" wrapText="1"/>
    </xf>
    <xf numFmtId="0" fontId="5" fillId="3" borderId="8" xfId="0" applyFont="1" applyFill="1" applyBorder="1" applyAlignment="1">
      <alignment horizontal="center" vertical="center" wrapText="1"/>
    </xf>
    <xf numFmtId="0" fontId="6" fillId="0" borderId="18" xfId="0" applyFont="1" applyBorder="1" applyAlignment="1">
      <alignment horizontal="left" vertical="center" wrapText="1"/>
    </xf>
    <xf numFmtId="0" fontId="6" fillId="0" borderId="28" xfId="0" applyFont="1" applyBorder="1" applyAlignment="1">
      <alignment horizontal="left" vertical="center" wrapText="1"/>
    </xf>
    <xf numFmtId="0" fontId="7" fillId="4" borderId="13"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6" fillId="0" borderId="20" xfId="0" applyFont="1" applyBorder="1" applyAlignment="1">
      <alignment horizontal="center" vertical="center" wrapText="1"/>
    </xf>
  </cellXfs>
  <cellStyles count="4">
    <cellStyle name="Hipervínculo" xfId="3" builtinId="8"/>
    <cellStyle name="Millares" xfId="1" builtinId="3"/>
    <cellStyle name="Normal" xfId="0" builtinId="0"/>
    <cellStyle name="Porcentaje" xfId="2" builtinId="5"/>
  </cellStyles>
  <dxfs count="12">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s>
  <tableStyles count="0" defaultTableStyle="TableStyleMedium2" defaultPivotStyle="PivotStyleLight16"/>
  <colors>
    <mruColors>
      <color rgb="FFF59F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352426</xdr:colOff>
      <xdr:row>0</xdr:row>
      <xdr:rowOff>142875</xdr:rowOff>
    </xdr:from>
    <xdr:to>
      <xdr:col>3</xdr:col>
      <xdr:colOff>742950</xdr:colOff>
      <xdr:row>3</xdr:row>
      <xdr:rowOff>38100</xdr:rowOff>
    </xdr:to>
    <xdr:pic>
      <xdr:nvPicPr>
        <xdr:cNvPr id="3" name="Imagen 8" descr="image002">
          <a:extLst>
            <a:ext uri="{FF2B5EF4-FFF2-40B4-BE49-F238E27FC236}">
              <a16:creationId xmlns:a16="http://schemas.microsoft.com/office/drawing/2014/main" id="{D7FC4E47-C8E3-4584-9F7F-6EF04456E7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6" y="142875"/>
          <a:ext cx="2971799"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352426</xdr:colOff>
      <xdr:row>0</xdr:row>
      <xdr:rowOff>142875</xdr:rowOff>
    </xdr:from>
    <xdr:to>
      <xdr:col>3</xdr:col>
      <xdr:colOff>742950</xdr:colOff>
      <xdr:row>3</xdr:row>
      <xdr:rowOff>38100</xdr:rowOff>
    </xdr:to>
    <xdr:pic>
      <xdr:nvPicPr>
        <xdr:cNvPr id="3" name="Imagen 8" descr="image002">
          <a:extLst>
            <a:ext uri="{FF2B5EF4-FFF2-40B4-BE49-F238E27FC236}">
              <a16:creationId xmlns:a16="http://schemas.microsoft.com/office/drawing/2014/main" id="{43B4E8A1-6C36-4B86-BE30-FF598459C74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6" y="142875"/>
          <a:ext cx="2952749"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352426</xdr:colOff>
      <xdr:row>0</xdr:row>
      <xdr:rowOff>142875</xdr:rowOff>
    </xdr:from>
    <xdr:to>
      <xdr:col>2</xdr:col>
      <xdr:colOff>742950</xdr:colOff>
      <xdr:row>3</xdr:row>
      <xdr:rowOff>38100</xdr:rowOff>
    </xdr:to>
    <xdr:pic>
      <xdr:nvPicPr>
        <xdr:cNvPr id="6" name="Imagen 8" descr="image00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6" y="142875"/>
          <a:ext cx="2105024"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24B2A-F44E-4EDB-9F56-4CB6C669C180}">
  <sheetPr>
    <tabColor theme="1"/>
    <pageSetUpPr fitToPage="1"/>
  </sheetPr>
  <dimension ref="A1:V188"/>
  <sheetViews>
    <sheetView tabSelected="1" topLeftCell="A3" zoomScale="60" zoomScaleNormal="60" workbookViewId="0">
      <pane xSplit="6" ySplit="1" topLeftCell="I26" activePane="bottomRight" state="frozen"/>
      <selection activeCell="D3" sqref="D3"/>
      <selection pane="topRight" activeCell="G3" sqref="G3"/>
      <selection pane="bottomLeft" activeCell="D4" sqref="D4"/>
      <selection pane="bottomRight" activeCell="L29" sqref="L29"/>
    </sheetView>
  </sheetViews>
  <sheetFormatPr baseColWidth="10" defaultColWidth="11.42578125" defaultRowHeight="15"/>
  <cols>
    <col min="1" max="1" width="19.85546875" hidden="1" customWidth="1"/>
    <col min="2" max="2" width="12.85546875" hidden="1" customWidth="1"/>
    <col min="3" max="3" width="6" style="53" hidden="1" customWidth="1"/>
    <col min="4" max="4" width="24.5703125" style="1" customWidth="1"/>
    <col min="5" max="5" width="15.85546875" style="87" hidden="1" customWidth="1"/>
    <col min="6" max="6" width="40.28515625" style="2" customWidth="1"/>
    <col min="7" max="7" width="12.140625" style="2" bestFit="1" customWidth="1"/>
    <col min="8" max="8" width="0" style="2" hidden="1" customWidth="1"/>
    <col min="9" max="9" width="13.85546875" style="100" customWidth="1"/>
    <col min="10" max="11" width="14.28515625" style="100" customWidth="1"/>
    <col min="12" max="12" width="15.140625" style="2" customWidth="1"/>
    <col min="13" max="13" width="16" style="2" customWidth="1"/>
    <col min="14" max="14" width="12.28515625" style="2" customWidth="1"/>
    <col min="15" max="15" width="28.85546875" style="2" hidden="1" customWidth="1"/>
    <col min="16" max="16" width="53.7109375" style="148" hidden="1" customWidth="1"/>
    <col min="17" max="17" width="16.140625" style="2" hidden="1" customWidth="1"/>
    <col min="18" max="20" width="11.42578125" style="2"/>
  </cols>
  <sheetData>
    <row r="1" spans="1:22" s="2" customFormat="1" ht="21" customHeight="1">
      <c r="A1" s="135" t="s">
        <v>87</v>
      </c>
      <c r="B1" s="135"/>
      <c r="C1" s="135"/>
      <c r="D1" s="200" t="s">
        <v>116</v>
      </c>
      <c r="E1" s="200"/>
      <c r="F1" s="200"/>
      <c r="G1" s="200"/>
      <c r="H1" s="200"/>
      <c r="I1" s="200"/>
      <c r="J1" s="200"/>
      <c r="K1" s="200"/>
      <c r="L1" s="200"/>
      <c r="M1" s="200"/>
      <c r="N1" s="200"/>
      <c r="O1" s="149"/>
      <c r="P1" s="141"/>
      <c r="U1"/>
      <c r="V1"/>
    </row>
    <row r="2" spans="1:22" s="2" customFormat="1" ht="15.75" customHeight="1" thickBot="1">
      <c r="A2" s="136"/>
      <c r="B2" s="136"/>
      <c r="C2" s="136"/>
      <c r="D2" s="201"/>
      <c r="E2" s="201"/>
      <c r="F2" s="201"/>
      <c r="G2" s="201"/>
      <c r="H2" s="201"/>
      <c r="I2" s="201"/>
      <c r="J2" s="201"/>
      <c r="K2" s="201"/>
      <c r="L2" s="201"/>
      <c r="M2" s="201"/>
      <c r="N2" s="201"/>
      <c r="O2" s="150"/>
      <c r="P2" s="142"/>
      <c r="U2"/>
      <c r="V2"/>
    </row>
    <row r="3" spans="1:22" s="2" customFormat="1" ht="33" customHeight="1">
      <c r="A3" s="56" t="s">
        <v>0</v>
      </c>
      <c r="B3" s="56" t="s">
        <v>1</v>
      </c>
      <c r="C3" s="56" t="s">
        <v>37</v>
      </c>
      <c r="D3" s="56" t="s">
        <v>85</v>
      </c>
      <c r="E3" s="88" t="s">
        <v>45</v>
      </c>
      <c r="F3" s="88" t="s">
        <v>55</v>
      </c>
      <c r="G3" s="88" t="s">
        <v>62</v>
      </c>
      <c r="H3" s="88" t="s">
        <v>86</v>
      </c>
      <c r="I3" s="101" t="s">
        <v>60</v>
      </c>
      <c r="J3" s="109" t="s">
        <v>188</v>
      </c>
      <c r="K3" s="109" t="s">
        <v>189</v>
      </c>
      <c r="L3" s="88" t="s">
        <v>61</v>
      </c>
      <c r="M3" s="88" t="s">
        <v>90</v>
      </c>
      <c r="N3" s="88" t="s">
        <v>91</v>
      </c>
      <c r="O3" s="88" t="s">
        <v>141</v>
      </c>
      <c r="P3" s="88" t="s">
        <v>191</v>
      </c>
      <c r="Q3" s="88" t="s">
        <v>192</v>
      </c>
      <c r="U3"/>
      <c r="V3"/>
    </row>
    <row r="4" spans="1:22" s="2" customFormat="1" ht="180.75" customHeight="1">
      <c r="A4" s="188" t="s">
        <v>7</v>
      </c>
      <c r="B4" s="202" t="s">
        <v>8</v>
      </c>
      <c r="C4" s="181" t="s">
        <v>10</v>
      </c>
      <c r="D4" s="182" t="s">
        <v>14</v>
      </c>
      <c r="E4" s="178">
        <v>754825500</v>
      </c>
      <c r="F4" s="59" t="s">
        <v>120</v>
      </c>
      <c r="G4" s="189">
        <f>E4/$E$31</f>
        <v>6.6857203723172482E-3</v>
      </c>
      <c r="H4" s="106">
        <v>3.3999999999999998E-3</v>
      </c>
      <c r="I4" s="102">
        <v>559</v>
      </c>
      <c r="J4" s="107">
        <v>559</v>
      </c>
      <c r="K4" s="107">
        <v>559</v>
      </c>
      <c r="L4" s="61">
        <f t="shared" ref="L4:L10" si="0">J4/I4</f>
        <v>1</v>
      </c>
      <c r="M4" s="180">
        <f>L4*H4+L5*H5</f>
        <v>6.6999999999999994E-3</v>
      </c>
      <c r="N4" s="190">
        <f>M4/G4</f>
        <v>1.0021358398029743</v>
      </c>
      <c r="O4" s="159" t="s">
        <v>142</v>
      </c>
      <c r="P4" s="143" t="s">
        <v>81</v>
      </c>
    </row>
    <row r="5" spans="1:22" s="2" customFormat="1" ht="90">
      <c r="A5" s="188"/>
      <c r="B5" s="202"/>
      <c r="C5" s="181"/>
      <c r="D5" s="182"/>
      <c r="E5" s="178"/>
      <c r="F5" s="112" t="s">
        <v>121</v>
      </c>
      <c r="G5" s="189"/>
      <c r="H5" s="106">
        <v>3.3E-3</v>
      </c>
      <c r="I5" s="102">
        <v>559</v>
      </c>
      <c r="J5" s="107">
        <v>559</v>
      </c>
      <c r="K5" s="107">
        <v>559</v>
      </c>
      <c r="L5" s="61">
        <f>J5/I5</f>
        <v>1</v>
      </c>
      <c r="M5" s="180"/>
      <c r="N5" s="192"/>
      <c r="O5" s="159" t="s">
        <v>145</v>
      </c>
      <c r="P5" s="143" t="s">
        <v>82</v>
      </c>
      <c r="Q5" s="113"/>
    </row>
    <row r="6" spans="1:22" s="2" customFormat="1" ht="30">
      <c r="A6" s="188"/>
      <c r="B6" s="202"/>
      <c r="C6" s="181" t="s">
        <v>12</v>
      </c>
      <c r="D6" s="182" t="s">
        <v>38</v>
      </c>
      <c r="E6" s="178">
        <v>6174740000</v>
      </c>
      <c r="F6" s="58" t="s">
        <v>126</v>
      </c>
      <c r="G6" s="189">
        <f>E6/$E$31</f>
        <v>5.4691561177732079E-2</v>
      </c>
      <c r="H6" s="106">
        <v>4.4699999999999997E-2</v>
      </c>
      <c r="I6" s="102">
        <v>486</v>
      </c>
      <c r="J6" s="107">
        <v>486</v>
      </c>
      <c r="K6" s="107">
        <v>486</v>
      </c>
      <c r="L6" s="61">
        <f>J6/I6</f>
        <v>1</v>
      </c>
      <c r="M6" s="180">
        <f>L6*H6+L7*H7</f>
        <v>5.4699999999999999E-2</v>
      </c>
      <c r="N6" s="190">
        <f>M6/G6</f>
        <v>1.0001542984344605</v>
      </c>
      <c r="O6" s="159" t="s">
        <v>143</v>
      </c>
      <c r="P6" s="143"/>
    </row>
    <row r="7" spans="1:22" s="2" customFormat="1" ht="29.25" customHeight="1">
      <c r="A7" s="188"/>
      <c r="B7" s="202"/>
      <c r="C7" s="181"/>
      <c r="D7" s="182"/>
      <c r="E7" s="178"/>
      <c r="F7" s="112" t="s">
        <v>125</v>
      </c>
      <c r="G7" s="189"/>
      <c r="H7" s="106">
        <v>0.01</v>
      </c>
      <c r="I7" s="102">
        <v>486</v>
      </c>
      <c r="J7" s="107">
        <v>486</v>
      </c>
      <c r="K7" s="107">
        <v>486</v>
      </c>
      <c r="L7" s="61">
        <f>J7/I7</f>
        <v>1</v>
      </c>
      <c r="M7" s="180"/>
      <c r="N7" s="192"/>
      <c r="O7" s="153" t="s">
        <v>144</v>
      </c>
      <c r="P7" s="144" t="s">
        <v>88</v>
      </c>
    </row>
    <row r="8" spans="1:22" s="2" customFormat="1" ht="90">
      <c r="A8" s="188"/>
      <c r="B8" s="202"/>
      <c r="C8" s="181" t="s">
        <v>13</v>
      </c>
      <c r="D8" s="182" t="s">
        <v>11</v>
      </c>
      <c r="E8" s="178">
        <v>8783099485</v>
      </c>
      <c r="F8" s="59" t="s">
        <v>66</v>
      </c>
      <c r="G8" s="179">
        <f>E8/E31</f>
        <v>7.7794599094696229E-2</v>
      </c>
      <c r="H8" s="106">
        <v>1.78E-2</v>
      </c>
      <c r="I8" s="102">
        <v>478</v>
      </c>
      <c r="J8" s="107">
        <v>478</v>
      </c>
      <c r="K8" s="107">
        <v>478</v>
      </c>
      <c r="L8" s="61">
        <f t="shared" si="0"/>
        <v>1</v>
      </c>
      <c r="M8" s="180">
        <f>L8*H8+L9*H9+L10*H10</f>
        <v>7.1359322033898304E-2</v>
      </c>
      <c r="N8" s="173">
        <f>M8/G8</f>
        <v>0.91727861399523991</v>
      </c>
      <c r="O8" s="159" t="s">
        <v>175</v>
      </c>
      <c r="P8" s="143"/>
    </row>
    <row r="9" spans="1:22" s="2" customFormat="1" ht="75">
      <c r="A9" s="188"/>
      <c r="B9" s="202"/>
      <c r="C9" s="181"/>
      <c r="D9" s="182"/>
      <c r="E9" s="178"/>
      <c r="F9" s="58" t="s">
        <v>83</v>
      </c>
      <c r="G9" s="179"/>
      <c r="H9" s="106">
        <v>0.06</v>
      </c>
      <c r="I9" s="102">
        <f>(178-1)*9</f>
        <v>1593</v>
      </c>
      <c r="J9" s="107">
        <v>1422</v>
      </c>
      <c r="K9" s="107">
        <v>1509</v>
      </c>
      <c r="L9" s="61">
        <f t="shared" si="0"/>
        <v>0.89265536723163841</v>
      </c>
      <c r="M9" s="180"/>
      <c r="N9" s="187"/>
      <c r="O9" s="159" t="s">
        <v>156</v>
      </c>
      <c r="P9" s="144" t="s">
        <v>89</v>
      </c>
    </row>
    <row r="10" spans="1:22" s="2" customFormat="1" ht="75.75" customHeight="1">
      <c r="A10" s="188"/>
      <c r="B10" s="202"/>
      <c r="C10" s="181"/>
      <c r="D10" s="182"/>
      <c r="E10" s="178"/>
      <c r="F10" s="5" t="s">
        <v>84</v>
      </c>
      <c r="G10" s="179"/>
      <c r="H10" s="62">
        <v>0</v>
      </c>
      <c r="I10" s="102">
        <f>478*7</f>
        <v>3346</v>
      </c>
      <c r="J10" s="107">
        <v>147</v>
      </c>
      <c r="K10" s="107">
        <v>832</v>
      </c>
      <c r="L10" s="61">
        <f t="shared" si="0"/>
        <v>4.3933054393305436E-2</v>
      </c>
      <c r="M10" s="180"/>
      <c r="N10" s="174"/>
      <c r="O10" s="159" t="s">
        <v>156</v>
      </c>
      <c r="P10" s="143" t="s">
        <v>111</v>
      </c>
    </row>
    <row r="11" spans="1:22" s="2" customFormat="1">
      <c r="A11" s="188"/>
      <c r="B11" s="175" t="s">
        <v>16</v>
      </c>
      <c r="C11" s="175"/>
      <c r="D11" s="175"/>
      <c r="E11" s="74">
        <f>SUM(E4:E8)</f>
        <v>15712664985</v>
      </c>
      <c r="F11" s="69"/>
      <c r="G11" s="115">
        <f>SUM(G4:G10)</f>
        <v>0.13917188064474556</v>
      </c>
      <c r="H11" s="67"/>
      <c r="I11" s="103"/>
      <c r="J11" s="103"/>
      <c r="K11" s="103"/>
      <c r="L11" s="97"/>
      <c r="M11" s="116">
        <f>SUM(M4:M10)</f>
        <v>0.13275932203389829</v>
      </c>
      <c r="N11" s="70">
        <f>M11/G11</f>
        <v>0.95392346082312296</v>
      </c>
      <c r="O11" s="70">
        <f>N11</f>
        <v>0.95392346082312296</v>
      </c>
      <c r="P11" s="145"/>
    </row>
    <row r="12" spans="1:22" s="2" customFormat="1" ht="20.25" customHeight="1">
      <c r="A12" s="188" t="s">
        <v>17</v>
      </c>
      <c r="B12" s="177" t="s">
        <v>18</v>
      </c>
      <c r="C12" s="177" t="s">
        <v>19</v>
      </c>
      <c r="D12" s="182" t="s">
        <v>18</v>
      </c>
      <c r="E12" s="178">
        <v>88400000000</v>
      </c>
      <c r="F12" s="59" t="s">
        <v>127</v>
      </c>
      <c r="G12" s="199">
        <f>E12/E31</f>
        <v>0.78298584363252799</v>
      </c>
      <c r="H12" s="63">
        <f>G12*27%</f>
        <v>0.21140617778078258</v>
      </c>
      <c r="I12" s="102">
        <v>478</v>
      </c>
      <c r="J12" s="107">
        <v>478</v>
      </c>
      <c r="K12" s="107">
        <v>478</v>
      </c>
      <c r="L12" s="64">
        <f>J12/I12</f>
        <v>1</v>
      </c>
      <c r="M12" s="180">
        <f>L12*H12+L13*H13+L14*H14+L15*H15+L16*H16</f>
        <v>0.76146192316112338</v>
      </c>
      <c r="N12" s="190">
        <f>M12/G12</f>
        <v>0.97251046025104604</v>
      </c>
      <c r="O12" s="159" t="s">
        <v>146</v>
      </c>
      <c r="P12" s="143" t="s">
        <v>112</v>
      </c>
    </row>
    <row r="13" spans="1:22" s="2" customFormat="1" ht="20.25" customHeight="1">
      <c r="A13" s="188"/>
      <c r="B13" s="177"/>
      <c r="C13" s="177"/>
      <c r="D13" s="182"/>
      <c r="E13" s="178"/>
      <c r="F13" s="59" t="s">
        <v>128</v>
      </c>
      <c r="G13" s="199"/>
      <c r="H13" s="63">
        <f>G12*4%</f>
        <v>3.131943374530112E-2</v>
      </c>
      <c r="I13" s="102">
        <v>478</v>
      </c>
      <c r="J13" s="107">
        <v>460</v>
      </c>
      <c r="K13" s="107">
        <v>478</v>
      </c>
      <c r="L13" s="162">
        <f t="shared" ref="L13:L16" si="1">J13/I13</f>
        <v>0.96234309623430958</v>
      </c>
      <c r="M13" s="180"/>
      <c r="N13" s="191"/>
      <c r="O13" s="159" t="s">
        <v>169</v>
      </c>
      <c r="P13" s="143"/>
    </row>
    <row r="14" spans="1:22" s="2" customFormat="1" ht="20.25" customHeight="1">
      <c r="A14" s="188"/>
      <c r="B14" s="177"/>
      <c r="C14" s="177"/>
      <c r="D14" s="182"/>
      <c r="E14" s="178"/>
      <c r="F14" s="59" t="s">
        <v>170</v>
      </c>
      <c r="G14" s="199"/>
      <c r="H14" s="63">
        <f>G12*3%</f>
        <v>2.348957530897584E-2</v>
      </c>
      <c r="I14" s="134">
        <v>478</v>
      </c>
      <c r="J14" s="107">
        <v>460</v>
      </c>
      <c r="K14" s="107">
        <v>478</v>
      </c>
      <c r="L14" s="64">
        <f t="shared" si="1"/>
        <v>0.96234309623430958</v>
      </c>
      <c r="M14" s="180"/>
      <c r="N14" s="191"/>
      <c r="O14" s="159"/>
      <c r="P14" s="143"/>
    </row>
    <row r="15" spans="1:22" s="2" customFormat="1" ht="20.25" customHeight="1">
      <c r="A15" s="188"/>
      <c r="B15" s="177"/>
      <c r="C15" s="177"/>
      <c r="D15" s="182"/>
      <c r="E15" s="178"/>
      <c r="F15" s="59" t="s">
        <v>129</v>
      </c>
      <c r="G15" s="199"/>
      <c r="H15" s="63">
        <f>G12*66%</f>
        <v>0.51677065679746848</v>
      </c>
      <c r="I15" s="102">
        <v>478</v>
      </c>
      <c r="J15" s="107">
        <v>460</v>
      </c>
      <c r="K15" s="107">
        <v>478</v>
      </c>
      <c r="L15" s="64">
        <f t="shared" si="1"/>
        <v>0.96234309623430958</v>
      </c>
      <c r="M15" s="180"/>
      <c r="N15" s="191"/>
      <c r="O15" s="159" t="s">
        <v>147</v>
      </c>
      <c r="P15" s="143"/>
    </row>
    <row r="16" spans="1:22" s="2" customFormat="1" ht="26.25" customHeight="1">
      <c r="A16" s="188"/>
      <c r="B16" s="177"/>
      <c r="C16" s="177"/>
      <c r="D16" s="182"/>
      <c r="E16" s="178"/>
      <c r="F16" s="59" t="s">
        <v>70</v>
      </c>
      <c r="G16" s="199"/>
      <c r="H16" s="63">
        <v>0</v>
      </c>
      <c r="I16" s="102">
        <v>478</v>
      </c>
      <c r="J16" s="107">
        <v>470</v>
      </c>
      <c r="K16" s="107">
        <v>470</v>
      </c>
      <c r="L16" s="64">
        <f t="shared" si="1"/>
        <v>0.98326359832635979</v>
      </c>
      <c r="M16" s="180"/>
      <c r="N16" s="192"/>
      <c r="O16" s="159" t="s">
        <v>186</v>
      </c>
      <c r="P16" s="143" t="s">
        <v>174</v>
      </c>
    </row>
    <row r="17" spans="1:17" s="2" customFormat="1" ht="30">
      <c r="A17" s="188"/>
      <c r="B17" s="177" t="s">
        <v>36</v>
      </c>
      <c r="C17" s="181" t="s">
        <v>40</v>
      </c>
      <c r="D17" s="193" t="s">
        <v>36</v>
      </c>
      <c r="E17" s="178">
        <v>2500000000</v>
      </c>
      <c r="F17" s="58" t="s">
        <v>135</v>
      </c>
      <c r="G17" s="196">
        <f>E17/E31</f>
        <v>2.2143264808612218E-2</v>
      </c>
      <c r="H17" s="106">
        <v>5.0000000000000001E-3</v>
      </c>
      <c r="I17" s="134">
        <v>2</v>
      </c>
      <c r="J17" s="108">
        <v>2</v>
      </c>
      <c r="K17" s="108">
        <v>2</v>
      </c>
      <c r="L17" s="64">
        <f>J17/I17</f>
        <v>1</v>
      </c>
      <c r="M17" s="173">
        <f>L17*H17+L18*H18+L19*H19</f>
        <v>8.4200000000000004E-3</v>
      </c>
      <c r="N17" s="173">
        <f>M17/G17</f>
        <v>0.380251063823488</v>
      </c>
      <c r="O17" s="159" t="s">
        <v>149</v>
      </c>
      <c r="P17" s="144" t="s">
        <v>113</v>
      </c>
    </row>
    <row r="18" spans="1:17" s="2" customFormat="1" ht="57.75" customHeight="1">
      <c r="A18" s="188"/>
      <c r="B18" s="177"/>
      <c r="C18" s="181"/>
      <c r="D18" s="194"/>
      <c r="E18" s="178"/>
      <c r="F18" s="112" t="s">
        <v>117</v>
      </c>
      <c r="G18" s="197"/>
      <c r="H18" s="106">
        <f>1.71%/2</f>
        <v>8.5500000000000003E-3</v>
      </c>
      <c r="I18" s="102">
        <v>100</v>
      </c>
      <c r="J18" s="168">
        <v>20</v>
      </c>
      <c r="K18" s="168">
        <f>(I18*35%)+(I18*25%)</f>
        <v>60</v>
      </c>
      <c r="L18" s="64">
        <f>J18/I18</f>
        <v>0.2</v>
      </c>
      <c r="M18" s="187"/>
      <c r="N18" s="187"/>
      <c r="O18" s="159" t="s">
        <v>179</v>
      </c>
      <c r="P18" s="144" t="s">
        <v>163</v>
      </c>
    </row>
    <row r="19" spans="1:17" s="2" customFormat="1" ht="63" customHeight="1">
      <c r="A19" s="188"/>
      <c r="B19" s="75"/>
      <c r="C19" s="46"/>
      <c r="D19" s="195"/>
      <c r="E19" s="71"/>
      <c r="F19" s="58" t="s">
        <v>118</v>
      </c>
      <c r="G19" s="198"/>
      <c r="H19" s="106">
        <f>1.71%/2</f>
        <v>8.5500000000000003E-3</v>
      </c>
      <c r="I19" s="102">
        <v>100</v>
      </c>
      <c r="J19" s="168">
        <v>20</v>
      </c>
      <c r="K19" s="168">
        <f>(I19*35%)+(I19*25%)</f>
        <v>60</v>
      </c>
      <c r="L19" s="64">
        <f>J19/I19</f>
        <v>0.2</v>
      </c>
      <c r="M19" s="174"/>
      <c r="N19" s="174"/>
      <c r="O19" s="159" t="s">
        <v>178</v>
      </c>
      <c r="P19" s="144" t="s">
        <v>164</v>
      </c>
    </row>
    <row r="20" spans="1:17" s="2" customFormat="1">
      <c r="A20" s="188"/>
      <c r="B20" s="175" t="s">
        <v>16</v>
      </c>
      <c r="C20" s="175"/>
      <c r="D20" s="175"/>
      <c r="E20" s="74">
        <f>SUM(E12:E18)</f>
        <v>90900000000</v>
      </c>
      <c r="F20" s="69"/>
      <c r="G20" s="115">
        <f>SUM(G12:G18)</f>
        <v>0.80512910844114016</v>
      </c>
      <c r="H20" s="67"/>
      <c r="I20" s="103"/>
      <c r="J20" s="103"/>
      <c r="K20" s="103"/>
      <c r="L20" s="97"/>
      <c r="M20" s="116">
        <f>SUM(M12:M18)</f>
        <v>0.76988192316112336</v>
      </c>
      <c r="N20" s="70">
        <f>M20/G20</f>
        <v>0.95622169797306045</v>
      </c>
      <c r="O20" s="70">
        <f>N20</f>
        <v>0.95622169797306045</v>
      </c>
      <c r="P20" s="145"/>
    </row>
    <row r="21" spans="1:17" s="2" customFormat="1" ht="15" customHeight="1">
      <c r="A21" s="188" t="s">
        <v>21</v>
      </c>
      <c r="B21" s="177" t="s">
        <v>8</v>
      </c>
      <c r="C21" s="177" t="s">
        <v>23</v>
      </c>
      <c r="D21" s="182" t="s">
        <v>22</v>
      </c>
      <c r="E21" s="178">
        <v>4400000000</v>
      </c>
      <c r="F21" s="59" t="s">
        <v>48</v>
      </c>
      <c r="G21" s="189">
        <f>E21/E31</f>
        <v>3.8972146063157499E-2</v>
      </c>
      <c r="H21" s="106">
        <v>2E-3</v>
      </c>
      <c r="I21" s="102">
        <v>1</v>
      </c>
      <c r="J21" s="107">
        <v>1</v>
      </c>
      <c r="K21" s="107">
        <v>1</v>
      </c>
      <c r="L21" s="64">
        <f t="shared" ref="L21:L29" si="2">J21/I21</f>
        <v>1</v>
      </c>
      <c r="M21" s="180">
        <f>L21*H21+L22*H22+L23*H23</f>
        <v>3.9000000000000007E-2</v>
      </c>
      <c r="N21" s="190">
        <f>M21/G21</f>
        <v>1.0007147139600003</v>
      </c>
      <c r="O21" s="159" t="s">
        <v>151</v>
      </c>
      <c r="P21" s="143"/>
      <c r="Q21" s="113"/>
    </row>
    <row r="22" spans="1:17" s="2" customFormat="1" ht="15" customHeight="1">
      <c r="A22" s="188"/>
      <c r="B22" s="177"/>
      <c r="C22" s="177"/>
      <c r="D22" s="182"/>
      <c r="E22" s="178"/>
      <c r="F22" s="59" t="s">
        <v>49</v>
      </c>
      <c r="G22" s="189"/>
      <c r="H22" s="106">
        <v>2E-3</v>
      </c>
      <c r="I22" s="102">
        <v>1</v>
      </c>
      <c r="J22" s="107">
        <v>1</v>
      </c>
      <c r="K22" s="107">
        <v>1</v>
      </c>
      <c r="L22" s="64">
        <f t="shared" si="2"/>
        <v>1</v>
      </c>
      <c r="M22" s="180"/>
      <c r="N22" s="191"/>
      <c r="O22" s="159" t="s">
        <v>151</v>
      </c>
      <c r="P22" s="143"/>
    </row>
    <row r="23" spans="1:17" s="2" customFormat="1" ht="28.5" customHeight="1">
      <c r="A23" s="188"/>
      <c r="B23" s="177"/>
      <c r="C23" s="177"/>
      <c r="D23" s="182"/>
      <c r="E23" s="178"/>
      <c r="F23" s="59" t="s">
        <v>57</v>
      </c>
      <c r="G23" s="189"/>
      <c r="H23" s="106">
        <v>3.5000000000000003E-2</v>
      </c>
      <c r="I23" s="102">
        <v>12</v>
      </c>
      <c r="J23" s="107">
        <v>12</v>
      </c>
      <c r="K23" s="107">
        <v>12</v>
      </c>
      <c r="L23" s="64">
        <f t="shared" si="2"/>
        <v>1</v>
      </c>
      <c r="M23" s="180"/>
      <c r="N23" s="192"/>
      <c r="O23" s="159" t="s">
        <v>162</v>
      </c>
      <c r="P23" s="143"/>
    </row>
    <row r="24" spans="1:17" s="2" customFormat="1" ht="193.5" customHeight="1">
      <c r="A24" s="188"/>
      <c r="B24" s="177"/>
      <c r="C24" s="181" t="s">
        <v>41</v>
      </c>
      <c r="D24" s="182" t="s">
        <v>39</v>
      </c>
      <c r="E24" s="183">
        <v>300000000</v>
      </c>
      <c r="F24" s="112" t="s">
        <v>67</v>
      </c>
      <c r="G24" s="184">
        <f>E24/E31</f>
        <v>2.6571917770334659E-3</v>
      </c>
      <c r="H24" s="152">
        <f>G24/2</f>
        <v>1.328595888516733E-3</v>
      </c>
      <c r="I24" s="102">
        <v>7</v>
      </c>
      <c r="J24" s="107">
        <v>7</v>
      </c>
      <c r="K24" s="107">
        <v>7</v>
      </c>
      <c r="L24" s="64">
        <f>J24/I24</f>
        <v>1</v>
      </c>
      <c r="M24" s="180">
        <f>L24*H24+L25*H25</f>
        <v>1.328595888516733E-3</v>
      </c>
      <c r="N24" s="185">
        <f>M24/G24</f>
        <v>0.5</v>
      </c>
      <c r="O24" s="161" t="s">
        <v>176</v>
      </c>
      <c r="P24" s="144" t="s">
        <v>138</v>
      </c>
      <c r="Q24" s="114"/>
    </row>
    <row r="25" spans="1:17" s="2" customFormat="1" ht="58.5" customHeight="1">
      <c r="A25" s="188"/>
      <c r="B25" s="177"/>
      <c r="C25" s="181"/>
      <c r="D25" s="182"/>
      <c r="E25" s="183"/>
      <c r="F25" s="112" t="s">
        <v>119</v>
      </c>
      <c r="G25" s="184"/>
      <c r="H25" s="152">
        <f>G24/2</f>
        <v>1.328595888516733E-3</v>
      </c>
      <c r="I25" s="102">
        <v>7</v>
      </c>
      <c r="J25" s="107">
        <v>0</v>
      </c>
      <c r="K25" s="107">
        <f>(J25*35%)+(J25*25%)+(J25*40%)</f>
        <v>0</v>
      </c>
      <c r="L25" s="64">
        <f t="shared" si="2"/>
        <v>0</v>
      </c>
      <c r="M25" s="180"/>
      <c r="N25" s="186"/>
      <c r="O25" s="156" t="s">
        <v>152</v>
      </c>
      <c r="P25" s="144" t="s">
        <v>166</v>
      </c>
    </row>
    <row r="26" spans="1:17" s="2" customFormat="1" ht="30">
      <c r="A26" s="188"/>
      <c r="B26" s="177"/>
      <c r="C26" s="46" t="s">
        <v>42</v>
      </c>
      <c r="D26" s="75" t="s">
        <v>25</v>
      </c>
      <c r="E26" s="71">
        <v>483396329</v>
      </c>
      <c r="F26" s="58" t="s">
        <v>68</v>
      </c>
      <c r="G26" s="106">
        <f>E26/E31</f>
        <v>4.2815891682232137E-3</v>
      </c>
      <c r="H26" s="106">
        <v>4.3E-3</v>
      </c>
      <c r="I26" s="71">
        <v>483396329</v>
      </c>
      <c r="J26" s="110">
        <v>455673750</v>
      </c>
      <c r="K26" s="110">
        <v>455673750</v>
      </c>
      <c r="L26" s="64">
        <f t="shared" si="2"/>
        <v>0.94265041470763833</v>
      </c>
      <c r="M26" s="111">
        <f>L26*H26</f>
        <v>4.0533967832428446E-3</v>
      </c>
      <c r="N26" s="79">
        <f>M26/G26</f>
        <v>0.94670381112836544</v>
      </c>
      <c r="O26" s="157" t="s">
        <v>153</v>
      </c>
      <c r="P26" s="143" t="s">
        <v>167</v>
      </c>
    </row>
    <row r="27" spans="1:17" s="2" customFormat="1" ht="177.75" customHeight="1">
      <c r="A27" s="188"/>
      <c r="B27" s="177" t="s">
        <v>28</v>
      </c>
      <c r="C27" s="46" t="s">
        <v>43</v>
      </c>
      <c r="D27" s="75" t="s">
        <v>29</v>
      </c>
      <c r="E27" s="71">
        <v>745085902</v>
      </c>
      <c r="F27" s="112" t="s">
        <v>69</v>
      </c>
      <c r="G27" s="106">
        <f>E27/E31</f>
        <v>6.5994537732598762E-3</v>
      </c>
      <c r="H27" s="106">
        <v>6.6E-3</v>
      </c>
      <c r="I27" s="71">
        <v>745085902</v>
      </c>
      <c r="J27" s="110">
        <v>295933487</v>
      </c>
      <c r="K27" s="110">
        <v>295933487</v>
      </c>
      <c r="L27" s="163">
        <f>J27/I27</f>
        <v>0.39718036028549097</v>
      </c>
      <c r="M27" s="111">
        <f>L27*H27</f>
        <v>2.6213903778842403E-3</v>
      </c>
      <c r="N27" s="160">
        <f>M27/G27</f>
        <v>0.39721323429914329</v>
      </c>
      <c r="O27" s="161" t="s">
        <v>180</v>
      </c>
      <c r="P27" s="143" t="s">
        <v>167</v>
      </c>
      <c r="Q27" s="172" t="s">
        <v>190</v>
      </c>
    </row>
    <row r="28" spans="1:17" s="2" customFormat="1" ht="195">
      <c r="A28" s="188"/>
      <c r="B28" s="177"/>
      <c r="C28" s="177" t="s">
        <v>44</v>
      </c>
      <c r="D28" s="177" t="s">
        <v>31</v>
      </c>
      <c r="E28" s="178">
        <v>360000000</v>
      </c>
      <c r="F28" s="132" t="s">
        <v>58</v>
      </c>
      <c r="G28" s="179">
        <f>E28/E31</f>
        <v>3.1886301324401591E-3</v>
      </c>
      <c r="H28" s="133">
        <v>1E-3</v>
      </c>
      <c r="I28" s="134">
        <v>2</v>
      </c>
      <c r="J28" s="108">
        <v>2</v>
      </c>
      <c r="K28" s="108">
        <v>2</v>
      </c>
      <c r="L28" s="64">
        <f t="shared" si="2"/>
        <v>1</v>
      </c>
      <c r="M28" s="180">
        <f>(L28*H28)+(L29*H29)</f>
        <v>2.1000000000000003E-3</v>
      </c>
      <c r="N28" s="173">
        <f>M28/G28</f>
        <v>0.65859002542666678</v>
      </c>
      <c r="O28" s="159" t="s">
        <v>149</v>
      </c>
      <c r="P28" s="144" t="s">
        <v>110</v>
      </c>
    </row>
    <row r="29" spans="1:17" s="2" customFormat="1" ht="80.25" customHeight="1">
      <c r="A29" s="188"/>
      <c r="B29" s="177"/>
      <c r="C29" s="177"/>
      <c r="D29" s="177"/>
      <c r="E29" s="178"/>
      <c r="F29" s="112" t="s">
        <v>59</v>
      </c>
      <c r="G29" s="179"/>
      <c r="H29" s="133">
        <v>2.2000000000000001E-3</v>
      </c>
      <c r="I29" s="134">
        <v>2</v>
      </c>
      <c r="J29" s="164">
        <v>1</v>
      </c>
      <c r="K29" s="164">
        <v>1</v>
      </c>
      <c r="L29" s="166">
        <f t="shared" si="2"/>
        <v>0.5</v>
      </c>
      <c r="M29" s="180"/>
      <c r="N29" s="174"/>
      <c r="O29" s="155" t="s">
        <v>183</v>
      </c>
      <c r="P29" s="165" t="s">
        <v>184</v>
      </c>
    </row>
    <row r="30" spans="1:17" s="2" customFormat="1">
      <c r="A30" s="188"/>
      <c r="B30" s="175" t="s">
        <v>16</v>
      </c>
      <c r="C30" s="175"/>
      <c r="D30" s="175"/>
      <c r="E30" s="74">
        <f>SUM(E21:E28)</f>
        <v>6288482231</v>
      </c>
      <c r="F30" s="66"/>
      <c r="G30" s="82">
        <f>SUM(G21:G29)</f>
        <v>5.5699010914114222E-2</v>
      </c>
      <c r="H30" s="78"/>
      <c r="I30" s="104"/>
      <c r="J30" s="104"/>
      <c r="K30" s="104"/>
      <c r="L30" s="96"/>
      <c r="M30" s="116">
        <f>SUM(M21:M29)</f>
        <v>4.9103383049643824E-2</v>
      </c>
      <c r="N30" s="70">
        <f>M30/G30</f>
        <v>0.88158447059965561</v>
      </c>
      <c r="O30" s="70">
        <f>N30</f>
        <v>0.88158447059965561</v>
      </c>
      <c r="P30" s="146"/>
    </row>
    <row r="31" spans="1:17" s="2" customFormat="1" ht="21">
      <c r="A31" s="176" t="s">
        <v>32</v>
      </c>
      <c r="B31" s="176"/>
      <c r="C31" s="176"/>
      <c r="D31" s="176"/>
      <c r="E31" s="76">
        <f>E30+E20+E11</f>
        <v>112901147216</v>
      </c>
      <c r="F31" s="58"/>
      <c r="G31" s="98">
        <f>SUM(G11,G20,G30)</f>
        <v>1</v>
      </c>
      <c r="H31" s="98"/>
      <c r="I31" s="105"/>
      <c r="J31" s="105"/>
      <c r="K31" s="105"/>
      <c r="L31" s="99"/>
      <c r="M31" s="117">
        <f>SUM(M11,M20,M30)</f>
        <v>0.95174462824466544</v>
      </c>
      <c r="N31" s="98">
        <f>M31/G31</f>
        <v>0.95174462824466544</v>
      </c>
      <c r="O31" s="98"/>
      <c r="P31" s="147"/>
    </row>
    <row r="32" spans="1:17" s="2" customFormat="1">
      <c r="C32" s="52"/>
      <c r="D32" s="3"/>
      <c r="E32" s="85"/>
      <c r="I32" s="100"/>
      <c r="J32" s="100"/>
      <c r="K32" s="100"/>
      <c r="P32" s="148"/>
    </row>
    <row r="33" spans="3:16" s="2" customFormat="1">
      <c r="C33" s="52"/>
      <c r="D33" s="3"/>
      <c r="E33" s="86"/>
      <c r="I33" s="100"/>
      <c r="J33" s="100"/>
      <c r="K33" s="100"/>
      <c r="P33" s="148"/>
    </row>
    <row r="34" spans="3:16" s="2" customFormat="1">
      <c r="C34" s="52"/>
      <c r="D34" s="3"/>
      <c r="E34" s="86"/>
      <c r="I34" s="100"/>
      <c r="J34" s="100"/>
      <c r="K34" s="100"/>
      <c r="P34" s="148"/>
    </row>
    <row r="35" spans="3:16" s="2" customFormat="1">
      <c r="C35" s="52"/>
      <c r="D35" s="3"/>
      <c r="E35" s="86"/>
      <c r="I35" s="100"/>
      <c r="J35" s="100"/>
      <c r="K35" s="100"/>
      <c r="P35" s="148"/>
    </row>
    <row r="36" spans="3:16" s="2" customFormat="1">
      <c r="C36" s="52"/>
      <c r="D36" s="3"/>
      <c r="E36" s="86"/>
      <c r="I36" s="100"/>
      <c r="J36" s="100"/>
      <c r="K36" s="100"/>
      <c r="P36" s="148"/>
    </row>
    <row r="37" spans="3:16" s="2" customFormat="1">
      <c r="C37" s="52"/>
      <c r="D37" s="3"/>
      <c r="E37" s="86"/>
      <c r="I37" s="100"/>
      <c r="J37" s="100"/>
      <c r="K37" s="100"/>
      <c r="P37" s="148"/>
    </row>
    <row r="38" spans="3:16" s="2" customFormat="1">
      <c r="C38" s="52"/>
      <c r="D38" s="3"/>
      <c r="E38" s="86"/>
      <c r="I38" s="100"/>
      <c r="J38" s="100"/>
      <c r="K38" s="100"/>
      <c r="P38" s="148"/>
    </row>
    <row r="39" spans="3:16" s="2" customFormat="1">
      <c r="C39" s="52"/>
      <c r="D39" s="3"/>
      <c r="E39" s="86"/>
      <c r="I39" s="100"/>
      <c r="J39" s="100"/>
      <c r="K39" s="100"/>
      <c r="P39" s="148"/>
    </row>
    <row r="40" spans="3:16" s="2" customFormat="1">
      <c r="C40" s="52"/>
      <c r="D40" s="3"/>
      <c r="E40" s="84"/>
      <c r="I40" s="100"/>
      <c r="J40" s="100"/>
      <c r="K40" s="100"/>
      <c r="P40" s="148"/>
    </row>
    <row r="41" spans="3:16" s="2" customFormat="1">
      <c r="C41" s="52"/>
      <c r="D41" s="3"/>
      <c r="E41" s="84"/>
      <c r="I41" s="100"/>
      <c r="J41" s="100"/>
      <c r="K41" s="100"/>
      <c r="P41" s="148"/>
    </row>
    <row r="42" spans="3:16" s="2" customFormat="1">
      <c r="C42" s="52"/>
      <c r="D42" s="3"/>
      <c r="E42" s="84"/>
      <c r="I42" s="100"/>
      <c r="J42" s="100"/>
      <c r="K42" s="100"/>
      <c r="P42" s="148"/>
    </row>
    <row r="43" spans="3:16" s="2" customFormat="1">
      <c r="C43" s="52"/>
      <c r="D43" s="3"/>
      <c r="E43" s="84"/>
      <c r="I43" s="100"/>
      <c r="J43" s="100"/>
      <c r="K43" s="100"/>
      <c r="P43" s="148"/>
    </row>
    <row r="44" spans="3:16" s="2" customFormat="1">
      <c r="C44" s="52"/>
      <c r="D44" s="3"/>
      <c r="E44" s="84"/>
      <c r="I44" s="100"/>
      <c r="J44" s="100"/>
      <c r="K44" s="100"/>
      <c r="P44" s="148"/>
    </row>
    <row r="45" spans="3:16" s="2" customFormat="1">
      <c r="C45" s="52"/>
      <c r="D45" s="3"/>
      <c r="E45" s="84"/>
      <c r="I45" s="100"/>
      <c r="J45" s="100"/>
      <c r="K45" s="100"/>
      <c r="P45" s="148"/>
    </row>
    <row r="46" spans="3:16" s="2" customFormat="1">
      <c r="C46" s="52"/>
      <c r="D46" s="3"/>
      <c r="E46" s="84"/>
      <c r="I46" s="100"/>
      <c r="J46" s="100"/>
      <c r="K46" s="100"/>
      <c r="P46" s="148"/>
    </row>
    <row r="47" spans="3:16" s="2" customFormat="1">
      <c r="C47" s="52"/>
      <c r="D47" s="3"/>
      <c r="E47" s="84"/>
      <c r="I47" s="100"/>
      <c r="J47" s="100"/>
      <c r="K47" s="100"/>
      <c r="P47" s="148"/>
    </row>
    <row r="48" spans="3:16" s="2" customFormat="1">
      <c r="C48" s="52"/>
      <c r="D48" s="3"/>
      <c r="E48" s="84"/>
      <c r="I48" s="100"/>
      <c r="J48" s="100"/>
      <c r="K48" s="100"/>
      <c r="P48" s="148"/>
    </row>
    <row r="49" spans="3:16" s="2" customFormat="1">
      <c r="C49" s="52"/>
      <c r="D49" s="3"/>
      <c r="E49" s="84"/>
      <c r="I49" s="100"/>
      <c r="J49" s="100"/>
      <c r="K49" s="100"/>
      <c r="P49" s="148"/>
    </row>
    <row r="50" spans="3:16" s="2" customFormat="1">
      <c r="C50" s="52"/>
      <c r="D50" s="3"/>
      <c r="E50" s="84"/>
      <c r="I50" s="100"/>
      <c r="J50" s="100"/>
      <c r="K50" s="100"/>
      <c r="P50" s="148"/>
    </row>
    <row r="51" spans="3:16" s="2" customFormat="1">
      <c r="C51" s="52"/>
      <c r="D51" s="3"/>
      <c r="E51" s="84"/>
      <c r="I51" s="100"/>
      <c r="J51" s="100"/>
      <c r="K51" s="100"/>
      <c r="P51" s="148"/>
    </row>
    <row r="52" spans="3:16" s="2" customFormat="1">
      <c r="C52" s="52"/>
      <c r="D52" s="3"/>
      <c r="E52" s="84"/>
      <c r="I52" s="100"/>
      <c r="J52" s="100"/>
      <c r="K52" s="100"/>
      <c r="P52" s="148"/>
    </row>
    <row r="53" spans="3:16" s="2" customFormat="1">
      <c r="C53" s="52"/>
      <c r="D53" s="3"/>
      <c r="E53" s="84"/>
      <c r="I53" s="100"/>
      <c r="J53" s="100"/>
      <c r="K53" s="100"/>
      <c r="P53" s="148"/>
    </row>
    <row r="54" spans="3:16" s="2" customFormat="1">
      <c r="C54" s="52"/>
      <c r="D54" s="3"/>
      <c r="E54" s="84"/>
      <c r="I54" s="100"/>
      <c r="J54" s="100"/>
      <c r="K54" s="100"/>
      <c r="P54" s="148"/>
    </row>
    <row r="55" spans="3:16" s="2" customFormat="1">
      <c r="C55" s="52"/>
      <c r="D55" s="3"/>
      <c r="E55" s="84"/>
      <c r="I55" s="100"/>
      <c r="J55" s="100"/>
      <c r="K55" s="100"/>
      <c r="P55" s="148"/>
    </row>
    <row r="56" spans="3:16" s="2" customFormat="1">
      <c r="C56" s="52"/>
      <c r="D56" s="3"/>
      <c r="E56" s="84"/>
      <c r="I56" s="100"/>
      <c r="J56" s="100"/>
      <c r="K56" s="100"/>
      <c r="P56" s="148"/>
    </row>
    <row r="57" spans="3:16" s="2" customFormat="1">
      <c r="C57" s="52"/>
      <c r="D57" s="3"/>
      <c r="E57" s="84"/>
      <c r="I57" s="100"/>
      <c r="J57" s="100"/>
      <c r="K57" s="100"/>
      <c r="P57" s="148"/>
    </row>
    <row r="58" spans="3:16" s="2" customFormat="1">
      <c r="C58" s="52"/>
      <c r="D58" s="3"/>
      <c r="E58" s="84"/>
      <c r="I58" s="100"/>
      <c r="J58" s="100"/>
      <c r="K58" s="100"/>
      <c r="P58" s="148"/>
    </row>
    <row r="59" spans="3:16" s="2" customFormat="1">
      <c r="C59" s="52"/>
      <c r="D59" s="3"/>
      <c r="E59" s="84"/>
      <c r="I59" s="100"/>
      <c r="J59" s="100"/>
      <c r="K59" s="100"/>
      <c r="P59" s="148"/>
    </row>
    <row r="60" spans="3:16" s="2" customFormat="1">
      <c r="C60" s="52"/>
      <c r="D60" s="3"/>
      <c r="E60" s="84"/>
      <c r="I60" s="100"/>
      <c r="J60" s="100"/>
      <c r="K60" s="100"/>
      <c r="P60" s="148"/>
    </row>
    <row r="61" spans="3:16" s="2" customFormat="1">
      <c r="C61" s="52"/>
      <c r="D61" s="3"/>
      <c r="E61" s="84"/>
      <c r="I61" s="100"/>
      <c r="J61" s="100"/>
      <c r="K61" s="100"/>
      <c r="P61" s="148"/>
    </row>
    <row r="62" spans="3:16" s="2" customFormat="1">
      <c r="C62" s="52"/>
      <c r="D62" s="3"/>
      <c r="E62" s="84"/>
      <c r="I62" s="100"/>
      <c r="J62" s="100"/>
      <c r="K62" s="100"/>
      <c r="P62" s="148"/>
    </row>
    <row r="63" spans="3:16" s="2" customFormat="1">
      <c r="C63" s="52"/>
      <c r="D63" s="3"/>
      <c r="E63" s="84"/>
      <c r="I63" s="100"/>
      <c r="J63" s="100"/>
      <c r="K63" s="100"/>
      <c r="P63" s="148"/>
    </row>
    <row r="64" spans="3:16" s="2" customFormat="1">
      <c r="C64" s="52"/>
      <c r="D64" s="3"/>
      <c r="E64" s="84"/>
      <c r="I64" s="100"/>
      <c r="J64" s="100"/>
      <c r="K64" s="100"/>
      <c r="P64" s="148"/>
    </row>
    <row r="65" spans="3:16" s="2" customFormat="1">
      <c r="C65" s="52"/>
      <c r="D65" s="3"/>
      <c r="E65" s="84"/>
      <c r="I65" s="100"/>
      <c r="J65" s="100"/>
      <c r="K65" s="100"/>
      <c r="P65" s="148"/>
    </row>
    <row r="66" spans="3:16" s="2" customFormat="1">
      <c r="C66" s="52"/>
      <c r="D66" s="3"/>
      <c r="E66" s="84"/>
      <c r="I66" s="100"/>
      <c r="J66" s="100"/>
      <c r="K66" s="100"/>
      <c r="P66" s="148"/>
    </row>
    <row r="67" spans="3:16" s="2" customFormat="1">
      <c r="C67" s="52"/>
      <c r="D67" s="3"/>
      <c r="E67" s="84"/>
      <c r="I67" s="100"/>
      <c r="J67" s="100"/>
      <c r="K67" s="100"/>
      <c r="P67" s="148"/>
    </row>
    <row r="68" spans="3:16" s="2" customFormat="1">
      <c r="C68" s="52"/>
      <c r="D68" s="3"/>
      <c r="E68" s="84"/>
      <c r="I68" s="100"/>
      <c r="J68" s="100"/>
      <c r="K68" s="100"/>
      <c r="P68" s="148"/>
    </row>
    <row r="69" spans="3:16" s="2" customFormat="1">
      <c r="C69" s="52"/>
      <c r="D69" s="3"/>
      <c r="E69" s="84"/>
      <c r="I69" s="100"/>
      <c r="J69" s="100"/>
      <c r="K69" s="100"/>
      <c r="P69" s="148"/>
    </row>
    <row r="70" spans="3:16" s="2" customFormat="1">
      <c r="C70" s="52"/>
      <c r="D70" s="3"/>
      <c r="E70" s="84"/>
      <c r="I70" s="100"/>
      <c r="J70" s="100"/>
      <c r="K70" s="100"/>
      <c r="P70" s="148"/>
    </row>
    <row r="71" spans="3:16" s="2" customFormat="1">
      <c r="C71" s="52"/>
      <c r="D71" s="3"/>
      <c r="E71" s="84"/>
      <c r="I71" s="100"/>
      <c r="J71" s="100"/>
      <c r="K71" s="100"/>
      <c r="P71" s="148"/>
    </row>
    <row r="72" spans="3:16" s="2" customFormat="1">
      <c r="C72" s="52"/>
      <c r="D72" s="3"/>
      <c r="E72" s="84"/>
      <c r="I72" s="100"/>
      <c r="J72" s="100"/>
      <c r="K72" s="100"/>
      <c r="P72" s="148"/>
    </row>
    <row r="73" spans="3:16" s="2" customFormat="1">
      <c r="C73" s="52"/>
      <c r="D73" s="3"/>
      <c r="E73" s="84"/>
      <c r="I73" s="100"/>
      <c r="J73" s="100"/>
      <c r="K73" s="100"/>
      <c r="P73" s="148"/>
    </row>
    <row r="74" spans="3:16" s="2" customFormat="1">
      <c r="C74" s="52"/>
      <c r="D74" s="3"/>
      <c r="E74" s="84"/>
      <c r="I74" s="100"/>
      <c r="J74" s="100"/>
      <c r="K74" s="100"/>
      <c r="P74" s="148"/>
    </row>
    <row r="75" spans="3:16" s="2" customFormat="1">
      <c r="C75" s="52"/>
      <c r="D75" s="3"/>
      <c r="E75" s="84"/>
      <c r="I75" s="100"/>
      <c r="J75" s="100"/>
      <c r="K75" s="100"/>
      <c r="P75" s="148"/>
    </row>
    <row r="76" spans="3:16" s="2" customFormat="1">
      <c r="C76" s="52"/>
      <c r="D76" s="3"/>
      <c r="E76" s="84"/>
      <c r="I76" s="100"/>
      <c r="J76" s="100"/>
      <c r="K76" s="100"/>
      <c r="P76" s="148"/>
    </row>
    <row r="77" spans="3:16" s="2" customFormat="1">
      <c r="C77" s="52"/>
      <c r="D77" s="3"/>
      <c r="E77" s="84"/>
      <c r="I77" s="100"/>
      <c r="J77" s="100"/>
      <c r="K77" s="100"/>
      <c r="P77" s="148"/>
    </row>
    <row r="78" spans="3:16" s="2" customFormat="1">
      <c r="C78" s="52"/>
      <c r="D78" s="3"/>
      <c r="E78" s="84"/>
      <c r="I78" s="100"/>
      <c r="J78" s="100"/>
      <c r="K78" s="100"/>
      <c r="P78" s="148"/>
    </row>
    <row r="79" spans="3:16" s="2" customFormat="1">
      <c r="C79" s="52"/>
      <c r="D79" s="3"/>
      <c r="E79" s="84"/>
      <c r="I79" s="100"/>
      <c r="J79" s="100"/>
      <c r="K79" s="100"/>
      <c r="P79" s="148"/>
    </row>
    <row r="80" spans="3:16" s="2" customFormat="1">
      <c r="C80" s="52"/>
      <c r="D80" s="3"/>
      <c r="E80" s="84"/>
      <c r="I80" s="100"/>
      <c r="J80" s="100"/>
      <c r="K80" s="100"/>
      <c r="P80" s="148"/>
    </row>
    <row r="81" spans="3:16" s="2" customFormat="1">
      <c r="C81" s="52"/>
      <c r="D81" s="3"/>
      <c r="E81" s="84"/>
      <c r="I81" s="100"/>
      <c r="J81" s="100"/>
      <c r="K81" s="100"/>
      <c r="P81" s="148"/>
    </row>
    <row r="82" spans="3:16" s="2" customFormat="1">
      <c r="C82" s="52"/>
      <c r="D82" s="3"/>
      <c r="E82" s="86"/>
      <c r="I82" s="100"/>
      <c r="J82" s="100"/>
      <c r="K82" s="100"/>
      <c r="P82" s="148"/>
    </row>
    <row r="83" spans="3:16" s="2" customFormat="1">
      <c r="C83" s="52"/>
      <c r="D83" s="3"/>
      <c r="E83" s="84"/>
      <c r="I83" s="100"/>
      <c r="J83" s="100"/>
      <c r="K83" s="100"/>
      <c r="P83" s="148"/>
    </row>
    <row r="84" spans="3:16" s="2" customFormat="1">
      <c r="C84" s="52"/>
      <c r="D84" s="3"/>
      <c r="E84" s="84"/>
      <c r="I84" s="100"/>
      <c r="J84" s="100"/>
      <c r="K84" s="100"/>
      <c r="P84" s="148"/>
    </row>
    <row r="85" spans="3:16" s="2" customFormat="1">
      <c r="C85" s="52"/>
      <c r="D85" s="3"/>
      <c r="E85" s="84"/>
      <c r="I85" s="100"/>
      <c r="J85" s="100"/>
      <c r="K85" s="100"/>
      <c r="P85" s="148"/>
    </row>
    <row r="86" spans="3:16" s="2" customFormat="1">
      <c r="C86" s="52"/>
      <c r="D86" s="3"/>
      <c r="E86" s="84"/>
      <c r="I86" s="100"/>
      <c r="J86" s="100"/>
      <c r="K86" s="100"/>
      <c r="P86" s="148"/>
    </row>
    <row r="87" spans="3:16" s="2" customFormat="1">
      <c r="C87" s="52"/>
      <c r="D87" s="3"/>
      <c r="E87" s="84"/>
      <c r="I87" s="100"/>
      <c r="J87" s="100"/>
      <c r="K87" s="100"/>
      <c r="P87" s="148"/>
    </row>
    <row r="88" spans="3:16" s="2" customFormat="1">
      <c r="C88" s="52"/>
      <c r="D88" s="3"/>
      <c r="E88" s="84"/>
      <c r="I88" s="100"/>
      <c r="J88" s="100"/>
      <c r="K88" s="100"/>
      <c r="P88" s="148"/>
    </row>
    <row r="89" spans="3:16" s="2" customFormat="1">
      <c r="C89" s="52"/>
      <c r="D89" s="3"/>
      <c r="E89" s="84"/>
      <c r="I89" s="100"/>
      <c r="J89" s="100"/>
      <c r="K89" s="100"/>
      <c r="P89" s="148"/>
    </row>
    <row r="90" spans="3:16" s="2" customFormat="1">
      <c r="C90" s="52"/>
      <c r="D90" s="3"/>
      <c r="E90" s="84"/>
      <c r="I90" s="100"/>
      <c r="J90" s="100"/>
      <c r="K90" s="100"/>
      <c r="P90" s="148"/>
    </row>
    <row r="91" spans="3:16" s="2" customFormat="1">
      <c r="C91" s="52"/>
      <c r="D91" s="3"/>
      <c r="E91" s="84"/>
      <c r="I91" s="100"/>
      <c r="J91" s="100"/>
      <c r="K91" s="100"/>
      <c r="P91" s="148"/>
    </row>
    <row r="92" spans="3:16" s="2" customFormat="1">
      <c r="C92" s="52"/>
      <c r="D92" s="3"/>
      <c r="E92" s="84"/>
      <c r="I92" s="100"/>
      <c r="J92" s="100"/>
      <c r="K92" s="100"/>
      <c r="P92" s="148"/>
    </row>
    <row r="93" spans="3:16" s="2" customFormat="1">
      <c r="C93" s="52"/>
      <c r="D93" s="3"/>
      <c r="E93" s="84"/>
      <c r="I93" s="100"/>
      <c r="J93" s="100"/>
      <c r="K93" s="100"/>
      <c r="P93" s="148"/>
    </row>
    <row r="94" spans="3:16" s="2" customFormat="1">
      <c r="C94" s="52"/>
      <c r="D94" s="3"/>
      <c r="E94" s="84"/>
      <c r="I94" s="100"/>
      <c r="J94" s="100"/>
      <c r="K94" s="100"/>
      <c r="P94" s="148"/>
    </row>
    <row r="95" spans="3:16" s="2" customFormat="1">
      <c r="C95" s="52"/>
      <c r="D95" s="3"/>
      <c r="E95" s="84"/>
      <c r="I95" s="100"/>
      <c r="J95" s="100"/>
      <c r="K95" s="100"/>
      <c r="P95" s="148"/>
    </row>
    <row r="96" spans="3:16" s="2" customFormat="1">
      <c r="C96" s="52"/>
      <c r="D96" s="3"/>
      <c r="E96" s="84"/>
      <c r="I96" s="100"/>
      <c r="J96" s="100"/>
      <c r="K96" s="100"/>
      <c r="P96" s="148"/>
    </row>
    <row r="97" spans="3:16" s="2" customFormat="1">
      <c r="C97" s="52"/>
      <c r="D97" s="3"/>
      <c r="E97" s="84"/>
      <c r="I97" s="100"/>
      <c r="J97" s="100"/>
      <c r="K97" s="100"/>
      <c r="P97" s="148"/>
    </row>
    <row r="98" spans="3:16" s="2" customFormat="1">
      <c r="C98" s="52"/>
      <c r="D98" s="3"/>
      <c r="E98" s="84"/>
      <c r="I98" s="100"/>
      <c r="J98" s="100"/>
      <c r="K98" s="100"/>
      <c r="P98" s="148"/>
    </row>
    <row r="99" spans="3:16" s="2" customFormat="1">
      <c r="C99" s="52"/>
      <c r="D99" s="3"/>
      <c r="E99" s="84"/>
      <c r="I99" s="100"/>
      <c r="J99" s="100"/>
      <c r="K99" s="100"/>
      <c r="P99" s="148"/>
    </row>
    <row r="100" spans="3:16" s="2" customFormat="1">
      <c r="C100" s="52"/>
      <c r="D100" s="3"/>
      <c r="E100" s="84"/>
      <c r="I100" s="100"/>
      <c r="J100" s="100"/>
      <c r="K100" s="100"/>
      <c r="P100" s="148"/>
    </row>
    <row r="101" spans="3:16" s="2" customFormat="1">
      <c r="C101" s="52"/>
      <c r="D101" s="3"/>
      <c r="E101" s="84"/>
      <c r="I101" s="100"/>
      <c r="J101" s="100"/>
      <c r="K101" s="100"/>
      <c r="P101" s="148"/>
    </row>
    <row r="102" spans="3:16" s="2" customFormat="1">
      <c r="C102" s="52"/>
      <c r="D102" s="3"/>
      <c r="E102" s="84"/>
      <c r="I102" s="100"/>
      <c r="J102" s="100"/>
      <c r="K102" s="100"/>
      <c r="P102" s="148"/>
    </row>
    <row r="103" spans="3:16" s="2" customFormat="1">
      <c r="C103" s="52"/>
      <c r="D103" s="3"/>
      <c r="E103" s="84"/>
      <c r="I103" s="100"/>
      <c r="J103" s="100"/>
      <c r="K103" s="100"/>
      <c r="P103" s="148"/>
    </row>
    <row r="104" spans="3:16" s="2" customFormat="1">
      <c r="C104" s="52"/>
      <c r="D104" s="3"/>
      <c r="E104" s="84"/>
      <c r="I104" s="100"/>
      <c r="J104" s="100"/>
      <c r="K104" s="100"/>
      <c r="P104" s="148"/>
    </row>
    <row r="105" spans="3:16" s="2" customFormat="1">
      <c r="C105" s="52"/>
      <c r="D105" s="3"/>
      <c r="E105" s="84"/>
      <c r="I105" s="100"/>
      <c r="J105" s="100"/>
      <c r="K105" s="100"/>
      <c r="P105" s="148"/>
    </row>
    <row r="106" spans="3:16" s="2" customFormat="1">
      <c r="C106" s="52"/>
      <c r="D106" s="3"/>
      <c r="E106" s="84"/>
      <c r="I106" s="100"/>
      <c r="J106" s="100"/>
      <c r="K106" s="100"/>
      <c r="P106" s="148"/>
    </row>
    <row r="107" spans="3:16" s="2" customFormat="1">
      <c r="C107" s="52"/>
      <c r="D107" s="3"/>
      <c r="E107" s="84"/>
      <c r="I107" s="100"/>
      <c r="J107" s="100"/>
      <c r="K107" s="100"/>
      <c r="P107" s="148"/>
    </row>
    <row r="108" spans="3:16" s="2" customFormat="1">
      <c r="C108" s="52"/>
      <c r="D108" s="3"/>
      <c r="E108" s="84"/>
      <c r="I108" s="100"/>
      <c r="J108" s="100"/>
      <c r="K108" s="100"/>
      <c r="P108" s="148"/>
    </row>
    <row r="109" spans="3:16" s="2" customFormat="1">
      <c r="C109" s="52"/>
      <c r="D109" s="3"/>
      <c r="E109" s="84"/>
      <c r="I109" s="100"/>
      <c r="J109" s="100"/>
      <c r="K109" s="100"/>
      <c r="P109" s="148"/>
    </row>
    <row r="110" spans="3:16" s="2" customFormat="1">
      <c r="C110" s="52"/>
      <c r="D110" s="3"/>
      <c r="E110" s="84"/>
      <c r="I110" s="100"/>
      <c r="J110" s="100"/>
      <c r="K110" s="100"/>
      <c r="P110" s="148"/>
    </row>
    <row r="111" spans="3:16" s="2" customFormat="1">
      <c r="C111" s="52"/>
      <c r="D111" s="3"/>
      <c r="E111" s="84"/>
      <c r="I111" s="100"/>
      <c r="J111" s="100"/>
      <c r="K111" s="100"/>
      <c r="P111" s="148"/>
    </row>
    <row r="112" spans="3:16" s="2" customFormat="1">
      <c r="C112" s="52"/>
      <c r="D112" s="3"/>
      <c r="E112" s="84"/>
      <c r="I112" s="100"/>
      <c r="J112" s="100"/>
      <c r="K112" s="100"/>
      <c r="P112" s="148"/>
    </row>
    <row r="113" spans="3:16" s="2" customFormat="1">
      <c r="C113" s="52"/>
      <c r="D113" s="3"/>
      <c r="E113" s="84"/>
      <c r="I113" s="100"/>
      <c r="J113" s="100"/>
      <c r="K113" s="100"/>
      <c r="P113" s="148"/>
    </row>
    <row r="114" spans="3:16" s="2" customFormat="1">
      <c r="C114" s="52"/>
      <c r="D114" s="3"/>
      <c r="E114" s="84"/>
      <c r="I114" s="100"/>
      <c r="J114" s="100"/>
      <c r="K114" s="100"/>
      <c r="P114" s="148"/>
    </row>
    <row r="115" spans="3:16" s="2" customFormat="1">
      <c r="C115" s="52"/>
      <c r="D115" s="3"/>
      <c r="E115" s="84"/>
      <c r="I115" s="100"/>
      <c r="J115" s="100"/>
      <c r="K115" s="100"/>
      <c r="P115" s="148"/>
    </row>
    <row r="116" spans="3:16" s="2" customFormat="1">
      <c r="C116" s="52"/>
      <c r="D116" s="3"/>
      <c r="E116" s="84"/>
      <c r="I116" s="100"/>
      <c r="J116" s="100"/>
      <c r="K116" s="100"/>
      <c r="P116" s="148"/>
    </row>
    <row r="117" spans="3:16" s="2" customFormat="1">
      <c r="C117" s="52"/>
      <c r="D117" s="3"/>
      <c r="E117" s="84"/>
      <c r="I117" s="100"/>
      <c r="J117" s="100"/>
      <c r="K117" s="100"/>
      <c r="P117" s="148"/>
    </row>
    <row r="118" spans="3:16" s="2" customFormat="1">
      <c r="C118" s="52"/>
      <c r="D118" s="3"/>
      <c r="E118" s="84"/>
      <c r="I118" s="100"/>
      <c r="J118" s="100"/>
      <c r="K118" s="100"/>
      <c r="P118" s="148"/>
    </row>
    <row r="119" spans="3:16" s="2" customFormat="1">
      <c r="C119" s="52"/>
      <c r="D119" s="3"/>
      <c r="E119" s="84"/>
      <c r="I119" s="100"/>
      <c r="J119" s="100"/>
      <c r="K119" s="100"/>
      <c r="P119" s="148"/>
    </row>
    <row r="120" spans="3:16" s="2" customFormat="1">
      <c r="C120" s="52"/>
      <c r="D120" s="3"/>
      <c r="E120" s="84"/>
      <c r="I120" s="100"/>
      <c r="J120" s="100"/>
      <c r="K120" s="100"/>
      <c r="P120" s="148"/>
    </row>
    <row r="121" spans="3:16" s="2" customFormat="1">
      <c r="C121" s="52"/>
      <c r="D121" s="3"/>
      <c r="E121" s="84"/>
      <c r="I121" s="100"/>
      <c r="J121" s="100"/>
      <c r="K121" s="100"/>
      <c r="P121" s="148"/>
    </row>
    <row r="122" spans="3:16" s="2" customFormat="1">
      <c r="C122" s="52"/>
      <c r="D122" s="3"/>
      <c r="E122" s="84"/>
      <c r="I122" s="100"/>
      <c r="J122" s="100"/>
      <c r="K122" s="100"/>
      <c r="P122" s="148"/>
    </row>
    <row r="123" spans="3:16" s="2" customFormat="1">
      <c r="C123" s="52"/>
      <c r="D123" s="3"/>
      <c r="E123" s="84"/>
      <c r="I123" s="100"/>
      <c r="J123" s="100"/>
      <c r="K123" s="100"/>
      <c r="P123" s="148"/>
    </row>
    <row r="124" spans="3:16" s="2" customFormat="1">
      <c r="C124" s="52"/>
      <c r="D124" s="3"/>
      <c r="E124" s="84"/>
      <c r="I124" s="100"/>
      <c r="J124" s="100"/>
      <c r="K124" s="100"/>
      <c r="P124" s="148"/>
    </row>
    <row r="125" spans="3:16" s="2" customFormat="1">
      <c r="C125" s="52"/>
      <c r="D125" s="3"/>
      <c r="E125" s="84"/>
      <c r="I125" s="100"/>
      <c r="J125" s="100"/>
      <c r="K125" s="100"/>
      <c r="P125" s="148"/>
    </row>
    <row r="126" spans="3:16" s="2" customFormat="1">
      <c r="C126" s="52"/>
      <c r="D126" s="3"/>
      <c r="E126" s="84"/>
      <c r="I126" s="100"/>
      <c r="J126" s="100"/>
      <c r="K126" s="100"/>
      <c r="P126" s="148"/>
    </row>
    <row r="127" spans="3:16" s="2" customFormat="1">
      <c r="C127" s="52"/>
      <c r="D127" s="3"/>
      <c r="E127" s="84"/>
      <c r="I127" s="100"/>
      <c r="J127" s="100"/>
      <c r="K127" s="100"/>
      <c r="P127" s="148"/>
    </row>
    <row r="128" spans="3:16" s="2" customFormat="1">
      <c r="C128" s="52"/>
      <c r="D128" s="3"/>
      <c r="E128" s="84"/>
      <c r="I128" s="100"/>
      <c r="J128" s="100"/>
      <c r="K128" s="100"/>
      <c r="P128" s="148"/>
    </row>
    <row r="129" spans="3:16" s="2" customFormat="1">
      <c r="C129" s="52"/>
      <c r="D129" s="3"/>
      <c r="E129" s="84"/>
      <c r="I129" s="100"/>
      <c r="J129" s="100"/>
      <c r="K129" s="100"/>
      <c r="P129" s="148"/>
    </row>
    <row r="130" spans="3:16" s="2" customFormat="1">
      <c r="C130" s="52"/>
      <c r="D130" s="3"/>
      <c r="E130" s="84"/>
      <c r="I130" s="100"/>
      <c r="J130" s="100"/>
      <c r="K130" s="100"/>
      <c r="P130" s="148"/>
    </row>
    <row r="131" spans="3:16" s="2" customFormat="1">
      <c r="C131" s="52"/>
      <c r="D131" s="3"/>
      <c r="E131" s="84"/>
      <c r="I131" s="100"/>
      <c r="J131" s="100"/>
      <c r="K131" s="100"/>
      <c r="P131" s="148"/>
    </row>
    <row r="132" spans="3:16" s="2" customFormat="1">
      <c r="C132" s="52"/>
      <c r="D132" s="3"/>
      <c r="E132" s="84"/>
      <c r="I132" s="100"/>
      <c r="J132" s="100"/>
      <c r="K132" s="100"/>
      <c r="P132" s="148"/>
    </row>
    <row r="133" spans="3:16" s="2" customFormat="1">
      <c r="C133" s="52"/>
      <c r="D133" s="3"/>
      <c r="E133" s="84"/>
      <c r="I133" s="100"/>
      <c r="J133" s="100"/>
      <c r="K133" s="100"/>
      <c r="P133" s="148"/>
    </row>
    <row r="134" spans="3:16" s="2" customFormat="1">
      <c r="C134" s="52"/>
      <c r="D134" s="3"/>
      <c r="E134" s="84"/>
      <c r="I134" s="100"/>
      <c r="J134" s="100"/>
      <c r="K134" s="100"/>
      <c r="P134" s="148"/>
    </row>
    <row r="135" spans="3:16" s="2" customFormat="1">
      <c r="C135" s="52"/>
      <c r="D135" s="3"/>
      <c r="E135" s="84"/>
      <c r="I135" s="100"/>
      <c r="J135" s="100"/>
      <c r="K135" s="100"/>
      <c r="P135" s="148"/>
    </row>
    <row r="136" spans="3:16" s="2" customFormat="1">
      <c r="C136" s="52"/>
      <c r="D136" s="3"/>
      <c r="E136" s="84"/>
      <c r="I136" s="100"/>
      <c r="J136" s="100"/>
      <c r="K136" s="100"/>
      <c r="P136" s="148"/>
    </row>
    <row r="137" spans="3:16" s="2" customFormat="1">
      <c r="C137" s="52"/>
      <c r="D137" s="3"/>
      <c r="E137" s="84"/>
      <c r="I137" s="100"/>
      <c r="J137" s="100"/>
      <c r="K137" s="100"/>
      <c r="P137" s="148"/>
    </row>
    <row r="138" spans="3:16" s="2" customFormat="1">
      <c r="C138" s="52"/>
      <c r="D138" s="3"/>
      <c r="E138" s="84"/>
      <c r="I138" s="100"/>
      <c r="J138" s="100"/>
      <c r="K138" s="100"/>
      <c r="P138" s="148"/>
    </row>
    <row r="139" spans="3:16" s="2" customFormat="1">
      <c r="C139" s="52"/>
      <c r="D139" s="3"/>
      <c r="E139" s="84"/>
      <c r="I139" s="100"/>
      <c r="J139" s="100"/>
      <c r="K139" s="100"/>
      <c r="P139" s="148"/>
    </row>
    <row r="140" spans="3:16" s="2" customFormat="1">
      <c r="C140" s="52"/>
      <c r="D140" s="3"/>
      <c r="E140" s="84"/>
      <c r="I140" s="100"/>
      <c r="J140" s="100"/>
      <c r="K140" s="100"/>
      <c r="P140" s="148"/>
    </row>
    <row r="141" spans="3:16" s="2" customFormat="1">
      <c r="C141" s="52"/>
      <c r="D141" s="3"/>
      <c r="E141" s="84"/>
      <c r="I141" s="100"/>
      <c r="J141" s="100"/>
      <c r="K141" s="100"/>
      <c r="P141" s="148"/>
    </row>
    <row r="142" spans="3:16" s="2" customFormat="1">
      <c r="C142" s="52"/>
      <c r="D142" s="3"/>
      <c r="E142" s="84"/>
      <c r="I142" s="100"/>
      <c r="J142" s="100"/>
      <c r="K142" s="100"/>
      <c r="P142" s="148"/>
    </row>
    <row r="143" spans="3:16" s="2" customFormat="1">
      <c r="C143" s="52"/>
      <c r="D143" s="3"/>
      <c r="E143" s="84"/>
      <c r="I143" s="100"/>
      <c r="J143" s="100"/>
      <c r="K143" s="100"/>
      <c r="P143" s="148"/>
    </row>
    <row r="144" spans="3:16" s="2" customFormat="1">
      <c r="C144" s="52"/>
      <c r="D144" s="3"/>
      <c r="E144" s="84"/>
      <c r="I144" s="100"/>
      <c r="J144" s="100"/>
      <c r="K144" s="100"/>
      <c r="P144" s="148"/>
    </row>
    <row r="145" spans="3:16" s="2" customFormat="1">
      <c r="C145" s="52"/>
      <c r="D145" s="3"/>
      <c r="E145" s="84"/>
      <c r="I145" s="100"/>
      <c r="J145" s="100"/>
      <c r="K145" s="100"/>
      <c r="P145" s="148"/>
    </row>
    <row r="146" spans="3:16" s="2" customFormat="1">
      <c r="C146" s="52"/>
      <c r="D146" s="3"/>
      <c r="E146" s="84"/>
      <c r="I146" s="100"/>
      <c r="J146" s="100"/>
      <c r="K146" s="100"/>
      <c r="P146" s="148"/>
    </row>
    <row r="147" spans="3:16" s="2" customFormat="1">
      <c r="C147" s="52"/>
      <c r="D147" s="3"/>
      <c r="E147" s="84"/>
      <c r="I147" s="100"/>
      <c r="J147" s="100"/>
      <c r="K147" s="100"/>
      <c r="P147" s="148"/>
    </row>
    <row r="148" spans="3:16" s="2" customFormat="1">
      <c r="C148" s="52"/>
      <c r="D148" s="3"/>
      <c r="E148" s="84"/>
      <c r="I148" s="100"/>
      <c r="J148" s="100"/>
      <c r="K148" s="100"/>
      <c r="P148" s="148"/>
    </row>
    <row r="149" spans="3:16" s="2" customFormat="1">
      <c r="C149" s="52"/>
      <c r="D149" s="3"/>
      <c r="E149" s="84"/>
      <c r="I149" s="100"/>
      <c r="J149" s="100"/>
      <c r="K149" s="100"/>
      <c r="P149" s="148"/>
    </row>
    <row r="150" spans="3:16" s="2" customFormat="1">
      <c r="C150" s="52"/>
      <c r="D150" s="3"/>
      <c r="E150" s="84"/>
      <c r="I150" s="100"/>
      <c r="J150" s="100"/>
      <c r="K150" s="100"/>
      <c r="P150" s="148"/>
    </row>
    <row r="151" spans="3:16" s="2" customFormat="1">
      <c r="C151" s="52"/>
      <c r="D151" s="3"/>
      <c r="E151" s="84"/>
      <c r="I151" s="100"/>
      <c r="J151" s="100"/>
      <c r="K151" s="100"/>
      <c r="P151" s="148"/>
    </row>
    <row r="152" spans="3:16" s="2" customFormat="1">
      <c r="C152" s="52"/>
      <c r="D152" s="3"/>
      <c r="E152" s="84"/>
      <c r="I152" s="100"/>
      <c r="J152" s="100"/>
      <c r="K152" s="100"/>
      <c r="P152" s="148"/>
    </row>
    <row r="153" spans="3:16" s="2" customFormat="1">
      <c r="C153" s="52"/>
      <c r="D153" s="3"/>
      <c r="E153" s="84"/>
      <c r="I153" s="100"/>
      <c r="J153" s="100"/>
      <c r="K153" s="100"/>
      <c r="P153" s="148"/>
    </row>
    <row r="154" spans="3:16" s="2" customFormat="1">
      <c r="C154" s="52"/>
      <c r="D154" s="3"/>
      <c r="E154" s="84"/>
      <c r="I154" s="100"/>
      <c r="J154" s="100"/>
      <c r="K154" s="100"/>
      <c r="P154" s="148"/>
    </row>
    <row r="155" spans="3:16" s="2" customFormat="1">
      <c r="C155" s="52"/>
      <c r="D155" s="3"/>
      <c r="E155" s="84"/>
      <c r="I155" s="100"/>
      <c r="J155" s="100"/>
      <c r="K155" s="100"/>
      <c r="P155" s="148"/>
    </row>
    <row r="156" spans="3:16" s="2" customFormat="1">
      <c r="C156" s="52"/>
      <c r="D156" s="3"/>
      <c r="E156" s="84"/>
      <c r="I156" s="100"/>
      <c r="J156" s="100"/>
      <c r="K156" s="100"/>
      <c r="P156" s="148"/>
    </row>
    <row r="157" spans="3:16" s="2" customFormat="1">
      <c r="C157" s="52"/>
      <c r="D157" s="3"/>
      <c r="E157" s="84"/>
      <c r="I157" s="100"/>
      <c r="J157" s="100"/>
      <c r="K157" s="100"/>
      <c r="P157" s="148"/>
    </row>
    <row r="158" spans="3:16" s="2" customFormat="1">
      <c r="C158" s="52"/>
      <c r="D158" s="3"/>
      <c r="E158" s="84"/>
      <c r="I158" s="100"/>
      <c r="J158" s="100"/>
      <c r="K158" s="100"/>
      <c r="P158" s="148"/>
    </row>
    <row r="159" spans="3:16" s="2" customFormat="1">
      <c r="C159" s="52"/>
      <c r="D159" s="3"/>
      <c r="E159" s="84"/>
      <c r="I159" s="100"/>
      <c r="J159" s="100"/>
      <c r="K159" s="100"/>
      <c r="P159" s="148"/>
    </row>
    <row r="160" spans="3:16" s="2" customFormat="1">
      <c r="C160" s="52"/>
      <c r="D160" s="3"/>
      <c r="E160" s="84"/>
      <c r="I160" s="100"/>
      <c r="J160" s="100"/>
      <c r="K160" s="100"/>
      <c r="P160" s="148"/>
    </row>
    <row r="161" spans="3:16" s="2" customFormat="1">
      <c r="C161" s="52"/>
      <c r="D161" s="3"/>
      <c r="E161" s="84"/>
      <c r="I161" s="100"/>
      <c r="J161" s="100"/>
      <c r="K161" s="100"/>
      <c r="P161" s="148"/>
    </row>
    <row r="162" spans="3:16" s="2" customFormat="1">
      <c r="C162" s="52"/>
      <c r="D162" s="3"/>
      <c r="E162" s="84"/>
      <c r="I162" s="100"/>
      <c r="J162" s="100"/>
      <c r="K162" s="100"/>
      <c r="P162" s="148"/>
    </row>
    <row r="163" spans="3:16" s="2" customFormat="1">
      <c r="C163" s="52"/>
      <c r="D163" s="3"/>
      <c r="E163" s="84"/>
      <c r="I163" s="100"/>
      <c r="J163" s="100"/>
      <c r="K163" s="100"/>
      <c r="P163" s="148"/>
    </row>
    <row r="164" spans="3:16" s="2" customFormat="1">
      <c r="C164" s="52"/>
      <c r="D164" s="3"/>
      <c r="E164" s="84"/>
      <c r="I164" s="100"/>
      <c r="J164" s="100"/>
      <c r="K164" s="100"/>
      <c r="P164" s="148"/>
    </row>
    <row r="165" spans="3:16" s="2" customFormat="1">
      <c r="C165" s="52"/>
      <c r="D165" s="3"/>
      <c r="E165" s="84"/>
      <c r="I165" s="100"/>
      <c r="J165" s="100"/>
      <c r="K165" s="100"/>
      <c r="P165" s="148"/>
    </row>
    <row r="166" spans="3:16" s="2" customFormat="1">
      <c r="C166" s="52"/>
      <c r="D166" s="3"/>
      <c r="E166" s="84"/>
      <c r="I166" s="100"/>
      <c r="J166" s="100"/>
      <c r="K166" s="100"/>
      <c r="P166" s="148"/>
    </row>
    <row r="167" spans="3:16" s="2" customFormat="1">
      <c r="C167" s="52"/>
      <c r="D167" s="3"/>
      <c r="E167" s="84"/>
      <c r="I167" s="100"/>
      <c r="J167" s="100"/>
      <c r="K167" s="100"/>
      <c r="P167" s="148"/>
    </row>
    <row r="168" spans="3:16" s="2" customFormat="1">
      <c r="C168" s="52"/>
      <c r="D168" s="3"/>
      <c r="E168" s="84"/>
      <c r="I168" s="100"/>
      <c r="J168" s="100"/>
      <c r="K168" s="100"/>
      <c r="P168" s="148"/>
    </row>
    <row r="169" spans="3:16" s="2" customFormat="1">
      <c r="C169" s="52"/>
      <c r="D169" s="3"/>
      <c r="E169" s="84"/>
      <c r="I169" s="100"/>
      <c r="J169" s="100"/>
      <c r="K169" s="100"/>
      <c r="P169" s="148"/>
    </row>
    <row r="170" spans="3:16" s="2" customFormat="1">
      <c r="C170" s="52"/>
      <c r="D170" s="3"/>
      <c r="E170" s="84"/>
      <c r="I170" s="100"/>
      <c r="J170" s="100"/>
      <c r="K170" s="100"/>
      <c r="P170" s="148"/>
    </row>
    <row r="171" spans="3:16" s="2" customFormat="1">
      <c r="C171" s="52"/>
      <c r="D171" s="3"/>
      <c r="E171" s="84"/>
      <c r="I171" s="100"/>
      <c r="J171" s="100"/>
      <c r="K171" s="100"/>
      <c r="P171" s="148"/>
    </row>
    <row r="172" spans="3:16" s="2" customFormat="1">
      <c r="C172" s="52"/>
      <c r="D172" s="3"/>
      <c r="E172" s="84"/>
      <c r="I172" s="100"/>
      <c r="J172" s="100"/>
      <c r="K172" s="100"/>
      <c r="P172" s="148"/>
    </row>
    <row r="173" spans="3:16" s="2" customFormat="1">
      <c r="C173" s="52"/>
      <c r="D173" s="3"/>
      <c r="E173" s="84"/>
      <c r="I173" s="100"/>
      <c r="J173" s="100"/>
      <c r="K173" s="100"/>
      <c r="P173" s="148"/>
    </row>
    <row r="174" spans="3:16" s="2" customFormat="1">
      <c r="C174" s="52"/>
      <c r="D174" s="3"/>
      <c r="E174" s="84"/>
      <c r="I174" s="100"/>
      <c r="J174" s="100"/>
      <c r="K174" s="100"/>
      <c r="P174" s="148"/>
    </row>
    <row r="175" spans="3:16" s="2" customFormat="1">
      <c r="C175" s="52"/>
      <c r="D175" s="3"/>
      <c r="E175" s="84"/>
      <c r="I175" s="100"/>
      <c r="J175" s="100"/>
      <c r="K175" s="100"/>
      <c r="P175" s="148"/>
    </row>
    <row r="176" spans="3:16" s="2" customFormat="1">
      <c r="C176" s="52"/>
      <c r="D176" s="3"/>
      <c r="E176" s="84"/>
      <c r="I176" s="100"/>
      <c r="J176" s="100"/>
      <c r="K176" s="100"/>
      <c r="P176" s="148"/>
    </row>
    <row r="177" spans="3:16" s="2" customFormat="1">
      <c r="C177" s="52"/>
      <c r="D177" s="3"/>
      <c r="E177" s="84"/>
      <c r="I177" s="100"/>
      <c r="J177" s="100"/>
      <c r="K177" s="100"/>
      <c r="P177" s="148"/>
    </row>
    <row r="178" spans="3:16" s="2" customFormat="1">
      <c r="C178" s="52"/>
      <c r="D178" s="3"/>
      <c r="E178" s="84"/>
      <c r="I178" s="100"/>
      <c r="J178" s="100"/>
      <c r="K178" s="100"/>
      <c r="P178" s="148"/>
    </row>
    <row r="179" spans="3:16" s="2" customFormat="1">
      <c r="C179" s="52"/>
      <c r="D179" s="3"/>
      <c r="E179" s="84"/>
      <c r="I179" s="100"/>
      <c r="J179" s="100"/>
      <c r="K179" s="100"/>
      <c r="P179" s="148"/>
    </row>
    <row r="180" spans="3:16" s="2" customFormat="1">
      <c r="C180" s="52"/>
      <c r="D180" s="3"/>
      <c r="E180" s="84"/>
      <c r="I180" s="100"/>
      <c r="J180" s="100"/>
      <c r="K180" s="100"/>
      <c r="P180" s="148"/>
    </row>
    <row r="181" spans="3:16" s="2" customFormat="1">
      <c r="C181" s="52"/>
      <c r="D181" s="3"/>
      <c r="E181" s="84"/>
      <c r="I181" s="100"/>
      <c r="J181" s="100"/>
      <c r="K181" s="100"/>
      <c r="P181" s="148"/>
    </row>
    <row r="182" spans="3:16" s="2" customFormat="1">
      <c r="C182" s="52"/>
      <c r="D182" s="3"/>
      <c r="E182" s="84"/>
      <c r="I182" s="100"/>
      <c r="J182" s="100"/>
      <c r="K182" s="100"/>
      <c r="P182" s="148"/>
    </row>
    <row r="183" spans="3:16" s="2" customFormat="1">
      <c r="C183" s="52"/>
      <c r="D183" s="3"/>
      <c r="E183" s="84"/>
      <c r="I183" s="100"/>
      <c r="J183" s="100"/>
      <c r="K183" s="100"/>
      <c r="P183" s="148"/>
    </row>
    <row r="184" spans="3:16" s="2" customFormat="1">
      <c r="C184" s="52"/>
      <c r="D184" s="3"/>
      <c r="E184" s="84"/>
      <c r="I184" s="100"/>
      <c r="J184" s="100"/>
      <c r="K184" s="100"/>
      <c r="P184" s="148"/>
    </row>
    <row r="185" spans="3:16" s="2" customFormat="1">
      <c r="C185" s="52"/>
      <c r="D185" s="3"/>
      <c r="E185" s="84"/>
      <c r="I185" s="100"/>
      <c r="J185" s="100"/>
      <c r="K185" s="100"/>
      <c r="P185" s="148"/>
    </row>
    <row r="186" spans="3:16" s="2" customFormat="1">
      <c r="C186" s="52"/>
      <c r="D186" s="3"/>
      <c r="E186" s="84"/>
      <c r="I186" s="100"/>
      <c r="J186" s="100"/>
      <c r="K186" s="100"/>
      <c r="P186" s="148"/>
    </row>
    <row r="187" spans="3:16" s="2" customFormat="1">
      <c r="C187" s="52"/>
      <c r="D187" s="3"/>
      <c r="E187" s="84"/>
      <c r="I187" s="100"/>
      <c r="J187" s="100"/>
      <c r="K187" s="100"/>
      <c r="P187" s="148"/>
    </row>
    <row r="188" spans="3:16" s="2" customFormat="1">
      <c r="C188" s="52"/>
      <c r="D188" s="3"/>
      <c r="E188" s="84"/>
      <c r="I188" s="100"/>
      <c r="J188" s="100"/>
      <c r="K188" s="100"/>
      <c r="P188" s="148"/>
    </row>
  </sheetData>
  <sheetProtection algorithmName="SHA-512" hashValue="i5i6nM+c2GUZLiS2ir6Qny5w+22kAgr1SWSYtsQJeHM6gfG0u0jVjFUpPRZwLBOOgK1W6bkI0rSJmnRfPV3YOQ==" saltValue="w25VXAKeQUAq3SmGonZfcw==" spinCount="100000" sheet="1" formatCells="0" formatColumns="0" formatRows="0" insertColumns="0" insertRows="0" insertHyperlinks="0" deleteColumns="0" deleteRows="0" sort="0" autoFilter="0" pivotTables="0"/>
  <mergeCells count="61">
    <mergeCell ref="D1:N2"/>
    <mergeCell ref="A4:A11"/>
    <mergeCell ref="B4:B10"/>
    <mergeCell ref="C4:C5"/>
    <mergeCell ref="D4:D5"/>
    <mergeCell ref="E4:E5"/>
    <mergeCell ref="G4:G5"/>
    <mergeCell ref="M4:M5"/>
    <mergeCell ref="N4:N5"/>
    <mergeCell ref="C6:C7"/>
    <mergeCell ref="D6:D7"/>
    <mergeCell ref="E6:E7"/>
    <mergeCell ref="G6:G7"/>
    <mergeCell ref="M6:M7"/>
    <mergeCell ref="N6:N7"/>
    <mergeCell ref="M17:M19"/>
    <mergeCell ref="N8:N10"/>
    <mergeCell ref="B11:D11"/>
    <mergeCell ref="A12:A20"/>
    <mergeCell ref="B12:B16"/>
    <mergeCell ref="C12:C16"/>
    <mergeCell ref="D12:D16"/>
    <mergeCell ref="E12:E16"/>
    <mergeCell ref="G12:G16"/>
    <mergeCell ref="M12:M16"/>
    <mergeCell ref="N12:N16"/>
    <mergeCell ref="C8:C10"/>
    <mergeCell ref="D8:D10"/>
    <mergeCell ref="E8:E10"/>
    <mergeCell ref="G8:G10"/>
    <mergeCell ref="M8:M10"/>
    <mergeCell ref="N24:N25"/>
    <mergeCell ref="N17:N19"/>
    <mergeCell ref="B20:D20"/>
    <mergeCell ref="A21:A30"/>
    <mergeCell ref="B21:B26"/>
    <mergeCell ref="C21:C23"/>
    <mergeCell ref="D21:D23"/>
    <mergeCell ref="E21:E23"/>
    <mergeCell ref="G21:G23"/>
    <mergeCell ref="M21:M23"/>
    <mergeCell ref="N21:N23"/>
    <mergeCell ref="B17:B18"/>
    <mergeCell ref="C17:C18"/>
    <mergeCell ref="D17:D19"/>
    <mergeCell ref="E17:E18"/>
    <mergeCell ref="G17:G19"/>
    <mergeCell ref="C24:C25"/>
    <mergeCell ref="D24:D25"/>
    <mergeCell ref="E24:E25"/>
    <mergeCell ref="G24:G25"/>
    <mergeCell ref="M24:M25"/>
    <mergeCell ref="N28:N29"/>
    <mergeCell ref="B30:D30"/>
    <mergeCell ref="A31:D31"/>
    <mergeCell ref="B27:B29"/>
    <mergeCell ref="C28:C29"/>
    <mergeCell ref="D28:D29"/>
    <mergeCell ref="E28:E29"/>
    <mergeCell ref="G28:G29"/>
    <mergeCell ref="M28:M29"/>
  </mergeCells>
  <conditionalFormatting sqref="L1:L1048576">
    <cfRule type="cellIs" dxfId="11" priority="2" operator="equal">
      <formula>1</formula>
    </cfRule>
  </conditionalFormatting>
  <conditionalFormatting sqref="O1:O1048576">
    <cfRule type="cellIs" dxfId="10" priority="1" operator="equal">
      <formula>1</formula>
    </cfRule>
  </conditionalFormatting>
  <pageMargins left="0.70866141732283472" right="0.70866141732283472" top="0.74803149606299213" bottom="0.74803149606299213" header="0.31496062992125984" footer="0.31496062992125984"/>
  <pageSetup scale="19"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0EE62-CF90-4B16-8F89-EBBDEF232764}">
  <sheetPr>
    <tabColor theme="1"/>
    <pageSetUpPr fitToPage="1"/>
  </sheetPr>
  <dimension ref="A1:V188"/>
  <sheetViews>
    <sheetView topLeftCell="D21" zoomScale="60" zoomScaleNormal="60" workbookViewId="0">
      <selection activeCell="J26" sqref="J26"/>
    </sheetView>
  </sheetViews>
  <sheetFormatPr baseColWidth="10" defaultColWidth="11.42578125" defaultRowHeight="15"/>
  <cols>
    <col min="1" max="1" width="19.85546875" customWidth="1"/>
    <col min="2" max="2" width="12.85546875" hidden="1" customWidth="1"/>
    <col min="3" max="3" width="6" style="53" hidden="1" customWidth="1"/>
    <col min="4" max="4" width="24.5703125" style="1" customWidth="1"/>
    <col min="5" max="5" width="18.42578125" style="87" hidden="1" customWidth="1"/>
    <col min="6" max="6" width="40.28515625" style="2" customWidth="1"/>
    <col min="7" max="7" width="12.140625" style="2" bestFit="1" customWidth="1"/>
    <col min="8" max="8" width="11.42578125" style="2"/>
    <col min="9" max="9" width="13.85546875" style="100" customWidth="1"/>
    <col min="10" max="11" width="14.28515625" style="100" customWidth="1"/>
    <col min="12" max="12" width="15.140625" style="2" customWidth="1"/>
    <col min="13" max="14" width="16" style="2" customWidth="1"/>
    <col min="15" max="15" width="31.42578125" style="2" customWidth="1"/>
    <col min="16" max="16" width="53.7109375" style="148" customWidth="1"/>
    <col min="17" max="20" width="11.42578125" style="2"/>
  </cols>
  <sheetData>
    <row r="1" spans="1:22" s="2" customFormat="1" ht="21" customHeight="1">
      <c r="A1" s="135" t="s">
        <v>87</v>
      </c>
      <c r="B1" s="135"/>
      <c r="C1" s="135"/>
      <c r="D1" s="200" t="s">
        <v>185</v>
      </c>
      <c r="E1" s="200"/>
      <c r="F1" s="200"/>
      <c r="G1" s="200"/>
      <c r="H1" s="200"/>
      <c r="I1" s="200"/>
      <c r="J1" s="200"/>
      <c r="K1" s="200"/>
      <c r="L1" s="200"/>
      <c r="M1" s="200"/>
      <c r="N1" s="200"/>
      <c r="O1" s="149"/>
      <c r="P1" s="141"/>
      <c r="U1"/>
      <c r="V1"/>
    </row>
    <row r="2" spans="1:22" s="2" customFormat="1" ht="15.75" customHeight="1" thickBot="1">
      <c r="A2" s="136"/>
      <c r="B2" s="136"/>
      <c r="C2" s="136"/>
      <c r="D2" s="201"/>
      <c r="E2" s="201"/>
      <c r="F2" s="201"/>
      <c r="G2" s="201"/>
      <c r="H2" s="201"/>
      <c r="I2" s="201"/>
      <c r="J2" s="201"/>
      <c r="K2" s="201"/>
      <c r="L2" s="201"/>
      <c r="M2" s="201"/>
      <c r="N2" s="201"/>
      <c r="O2" s="150"/>
      <c r="P2" s="142"/>
      <c r="U2"/>
      <c r="V2"/>
    </row>
    <row r="3" spans="1:22" s="2" customFormat="1" ht="33" customHeight="1">
      <c r="A3" s="56" t="s">
        <v>0</v>
      </c>
      <c r="B3" s="56" t="s">
        <v>1</v>
      </c>
      <c r="C3" s="56" t="s">
        <v>37</v>
      </c>
      <c r="D3" s="56" t="s">
        <v>85</v>
      </c>
      <c r="E3" s="88" t="s">
        <v>115</v>
      </c>
      <c r="F3" s="88" t="s">
        <v>55</v>
      </c>
      <c r="G3" s="88" t="s">
        <v>62</v>
      </c>
      <c r="H3" s="88" t="s">
        <v>86</v>
      </c>
      <c r="I3" s="101" t="s">
        <v>60</v>
      </c>
      <c r="J3" s="109" t="s">
        <v>188</v>
      </c>
      <c r="K3" s="109" t="s">
        <v>189</v>
      </c>
      <c r="L3" s="88" t="s">
        <v>61</v>
      </c>
      <c r="M3" s="88" t="s">
        <v>90</v>
      </c>
      <c r="N3" s="88" t="s">
        <v>91</v>
      </c>
      <c r="O3" s="88" t="s">
        <v>141</v>
      </c>
      <c r="P3" s="88" t="s">
        <v>80</v>
      </c>
      <c r="U3"/>
      <c r="V3"/>
    </row>
    <row r="4" spans="1:22" s="2" customFormat="1" ht="147" customHeight="1">
      <c r="A4" s="188" t="s">
        <v>7</v>
      </c>
      <c r="B4" s="215" t="s">
        <v>8</v>
      </c>
      <c r="C4" s="181" t="s">
        <v>10</v>
      </c>
      <c r="D4" s="182" t="s">
        <v>14</v>
      </c>
      <c r="E4" s="178">
        <f>'2022'!E7</f>
        <v>596700000</v>
      </c>
      <c r="F4" s="59" t="s">
        <v>122</v>
      </c>
      <c r="G4" s="189">
        <f>E4/$E$31</f>
        <v>7.9559999999999995E-3</v>
      </c>
      <c r="H4" s="106">
        <f>G4*80%</f>
        <v>6.3648000000000003E-3</v>
      </c>
      <c r="I4" s="102">
        <v>443</v>
      </c>
      <c r="J4" s="107">
        <v>443</v>
      </c>
      <c r="K4" s="107">
        <v>443</v>
      </c>
      <c r="L4" s="61">
        <f t="shared" ref="L4:L11" si="0">J4/I4</f>
        <v>1</v>
      </c>
      <c r="M4" s="180">
        <f>L4*H4+L5*H5</f>
        <v>7.9560000000000013E-3</v>
      </c>
      <c r="N4" s="190">
        <f>M4/G4</f>
        <v>1.0000000000000002</v>
      </c>
      <c r="O4" s="154" t="s">
        <v>142</v>
      </c>
      <c r="P4" s="143"/>
    </row>
    <row r="5" spans="1:22" s="2" customFormat="1" ht="90">
      <c r="A5" s="188"/>
      <c r="B5" s="216"/>
      <c r="C5" s="181"/>
      <c r="D5" s="182"/>
      <c r="E5" s="178"/>
      <c r="F5" s="112" t="s">
        <v>139</v>
      </c>
      <c r="G5" s="189"/>
      <c r="H5" s="106">
        <f>G4*20%</f>
        <v>1.5912000000000001E-3</v>
      </c>
      <c r="I5" s="102">
        <v>443</v>
      </c>
      <c r="J5" s="107">
        <v>443</v>
      </c>
      <c r="K5" s="107">
        <v>443</v>
      </c>
      <c r="L5" s="61">
        <f>J5/I5</f>
        <v>1</v>
      </c>
      <c r="M5" s="180"/>
      <c r="N5" s="192"/>
      <c r="O5" s="158" t="s">
        <v>145</v>
      </c>
      <c r="P5" s="143"/>
      <c r="Q5" s="113"/>
    </row>
    <row r="6" spans="1:22" s="2" customFormat="1" ht="30">
      <c r="A6" s="188"/>
      <c r="B6" s="216"/>
      <c r="C6" s="181" t="s">
        <v>12</v>
      </c>
      <c r="D6" s="182" t="s">
        <v>38</v>
      </c>
      <c r="E6" s="178">
        <f>'2022'!E8</f>
        <v>4490720000</v>
      </c>
      <c r="F6" s="58" t="s">
        <v>123</v>
      </c>
      <c r="G6" s="189">
        <f>E6/$E$31</f>
        <v>5.9876266666666664E-2</v>
      </c>
      <c r="H6" s="106">
        <f>G6*80%</f>
        <v>4.7901013333333332E-2</v>
      </c>
      <c r="I6" s="102">
        <v>354</v>
      </c>
      <c r="J6" s="107">
        <v>0</v>
      </c>
      <c r="K6" s="107">
        <v>0</v>
      </c>
      <c r="L6" s="61">
        <f>J6/I6</f>
        <v>0</v>
      </c>
      <c r="M6" s="180">
        <f>L6*H6+L7*H7</f>
        <v>0</v>
      </c>
      <c r="N6" s="190">
        <f>M6/G6</f>
        <v>0</v>
      </c>
      <c r="O6" s="158" t="s">
        <v>143</v>
      </c>
      <c r="P6" s="143"/>
    </row>
    <row r="7" spans="1:22" s="2" customFormat="1" ht="29.25" customHeight="1">
      <c r="A7" s="188"/>
      <c r="B7" s="216"/>
      <c r="C7" s="181"/>
      <c r="D7" s="182"/>
      <c r="E7" s="178"/>
      <c r="F7" s="112" t="s">
        <v>140</v>
      </c>
      <c r="G7" s="189"/>
      <c r="H7" s="106">
        <f>G6*20%</f>
        <v>1.1975253333333333E-2</v>
      </c>
      <c r="I7" s="102">
        <v>354</v>
      </c>
      <c r="J7" s="107">
        <v>0</v>
      </c>
      <c r="K7" s="107">
        <v>0</v>
      </c>
      <c r="L7" s="61">
        <f>J7/I7</f>
        <v>0</v>
      </c>
      <c r="M7" s="180"/>
      <c r="N7" s="192"/>
      <c r="O7" s="158" t="s">
        <v>144</v>
      </c>
      <c r="P7" s="144"/>
    </row>
    <row r="8" spans="1:22" s="2" customFormat="1" ht="45">
      <c r="A8" s="188"/>
      <c r="B8" s="216"/>
      <c r="C8" s="209" t="s">
        <v>13</v>
      </c>
      <c r="D8" s="212" t="s">
        <v>11</v>
      </c>
      <c r="E8" s="203">
        <f>'2022'!E9</f>
        <v>7490625000</v>
      </c>
      <c r="F8" s="59" t="s">
        <v>124</v>
      </c>
      <c r="G8" s="196">
        <f>E8/E31</f>
        <v>9.9875000000000005E-2</v>
      </c>
      <c r="H8" s="63">
        <f>G8*10%</f>
        <v>9.9875000000000016E-3</v>
      </c>
      <c r="I8" s="102">
        <v>272</v>
      </c>
      <c r="J8" s="107">
        <v>0</v>
      </c>
      <c r="K8" s="107">
        <v>0</v>
      </c>
      <c r="L8" s="61">
        <f t="shared" si="0"/>
        <v>0</v>
      </c>
      <c r="M8" s="173">
        <f>L8*H8+L9*H9+L10*H10+L11*H11</f>
        <v>9.5588235294117652E-5</v>
      </c>
      <c r="N8" s="173">
        <f>M8/G8</f>
        <v>9.5707870131782379E-4</v>
      </c>
      <c r="O8" s="155" t="s">
        <v>165</v>
      </c>
      <c r="P8" s="143"/>
    </row>
    <row r="9" spans="1:22" s="2" customFormat="1" ht="75">
      <c r="A9" s="188"/>
      <c r="B9" s="216"/>
      <c r="C9" s="210"/>
      <c r="D9" s="213"/>
      <c r="E9" s="204"/>
      <c r="F9" s="132" t="s">
        <v>84</v>
      </c>
      <c r="G9" s="197"/>
      <c r="H9" s="106">
        <f>G8*80%</f>
        <v>7.9900000000000013E-2</v>
      </c>
      <c r="I9" s="102">
        <f>478*3</f>
        <v>1434</v>
      </c>
      <c r="J9" s="107">
        <v>0</v>
      </c>
      <c r="K9" s="107">
        <v>0</v>
      </c>
      <c r="L9" s="61">
        <f t="shared" si="0"/>
        <v>0</v>
      </c>
      <c r="M9" s="187"/>
      <c r="N9" s="187"/>
      <c r="O9" s="158" t="s">
        <v>156</v>
      </c>
      <c r="P9" s="144"/>
    </row>
    <row r="10" spans="1:22" s="2" customFormat="1" ht="44.25" customHeight="1">
      <c r="A10" s="188"/>
      <c r="B10" s="216"/>
      <c r="C10" s="210"/>
      <c r="D10" s="213"/>
      <c r="E10" s="204"/>
      <c r="F10" s="58" t="s">
        <v>130</v>
      </c>
      <c r="G10" s="197"/>
      <c r="H10" s="63">
        <f>G8*5%</f>
        <v>4.9937500000000008E-3</v>
      </c>
      <c r="I10" s="102">
        <f>I8*1</f>
        <v>272</v>
      </c>
      <c r="J10" s="107">
        <v>0</v>
      </c>
      <c r="K10" s="107">
        <v>0</v>
      </c>
      <c r="L10" s="61">
        <f t="shared" si="0"/>
        <v>0</v>
      </c>
      <c r="M10" s="187"/>
      <c r="N10" s="187"/>
      <c r="O10" s="158" t="s">
        <v>156</v>
      </c>
      <c r="P10" s="143"/>
    </row>
    <row r="11" spans="1:22" s="2" customFormat="1" ht="44.25" customHeight="1">
      <c r="A11" s="188"/>
      <c r="B11" s="217"/>
      <c r="C11" s="211"/>
      <c r="D11" s="214"/>
      <c r="E11" s="205"/>
      <c r="F11" s="58" t="s">
        <v>83</v>
      </c>
      <c r="G11" s="198"/>
      <c r="H11" s="63">
        <v>5.0000000000000001E-3</v>
      </c>
      <c r="I11" s="102">
        <f>170*4</f>
        <v>680</v>
      </c>
      <c r="J11" s="107">
        <v>13</v>
      </c>
      <c r="K11" s="107">
        <v>84</v>
      </c>
      <c r="L11" s="61">
        <f t="shared" si="0"/>
        <v>1.9117647058823531E-2</v>
      </c>
      <c r="M11" s="174"/>
      <c r="N11" s="174"/>
      <c r="O11" s="167"/>
      <c r="P11" s="143"/>
    </row>
    <row r="12" spans="1:22" s="2" customFormat="1">
      <c r="A12" s="188"/>
      <c r="B12" s="175" t="s">
        <v>16</v>
      </c>
      <c r="C12" s="175"/>
      <c r="D12" s="175"/>
      <c r="E12" s="74">
        <f>SUM(E4:E10)</f>
        <v>12578045000</v>
      </c>
      <c r="F12" s="69"/>
      <c r="G12" s="115">
        <f>SUM(G4:G10)</f>
        <v>0.16770726666666669</v>
      </c>
      <c r="H12" s="115">
        <f>SUM(H4:H10)</f>
        <v>0.16271351666666667</v>
      </c>
      <c r="I12" s="103"/>
      <c r="J12" s="103"/>
      <c r="K12" s="103"/>
      <c r="L12" s="97"/>
      <c r="M12" s="116">
        <f>SUM(M4:M10)</f>
        <v>8.0515882352941194E-3</v>
      </c>
      <c r="N12" s="116">
        <f>M12/G12</f>
        <v>4.8009775576972329E-2</v>
      </c>
      <c r="O12" s="70">
        <f>N12</f>
        <v>4.8009775576972329E-2</v>
      </c>
      <c r="P12" s="145"/>
    </row>
    <row r="13" spans="1:22" s="2" customFormat="1" ht="27" customHeight="1">
      <c r="A13" s="188" t="s">
        <v>17</v>
      </c>
      <c r="B13" s="177" t="s">
        <v>18</v>
      </c>
      <c r="C13" s="177" t="s">
        <v>19</v>
      </c>
      <c r="D13" s="182" t="s">
        <v>18</v>
      </c>
      <c r="E13" s="178">
        <f>'2022'!E11</f>
        <v>54400000000</v>
      </c>
      <c r="F13" s="59" t="s">
        <v>131</v>
      </c>
      <c r="G13" s="199">
        <f>E13/E31</f>
        <v>0.72533333333333339</v>
      </c>
      <c r="H13" s="63">
        <f>G13*30%</f>
        <v>0.21760000000000002</v>
      </c>
      <c r="I13" s="102">
        <v>272</v>
      </c>
      <c r="J13" s="107">
        <v>0</v>
      </c>
      <c r="K13" s="107">
        <v>0</v>
      </c>
      <c r="L13" s="64">
        <f>J13/I13</f>
        <v>0</v>
      </c>
      <c r="M13" s="180">
        <f>L13*H13+L14*H14+L15*H15+L16*H16</f>
        <v>0</v>
      </c>
      <c r="N13" s="190">
        <f>M13/G13</f>
        <v>0</v>
      </c>
      <c r="O13" s="158" t="s">
        <v>146</v>
      </c>
      <c r="P13" s="143"/>
    </row>
    <row r="14" spans="1:22" s="2" customFormat="1" ht="42.75" customHeight="1">
      <c r="A14" s="188"/>
      <c r="B14" s="177"/>
      <c r="C14" s="177"/>
      <c r="D14" s="182"/>
      <c r="E14" s="178"/>
      <c r="F14" s="59" t="s">
        <v>132</v>
      </c>
      <c r="G14" s="199"/>
      <c r="H14" s="63">
        <f>G13*20%</f>
        <v>0.14506666666666668</v>
      </c>
      <c r="I14" s="102">
        <v>272</v>
      </c>
      <c r="J14" s="107">
        <v>0</v>
      </c>
      <c r="K14" s="107">
        <v>0</v>
      </c>
      <c r="L14" s="64">
        <f t="shared" ref="L14:L16" si="1">J14/I14</f>
        <v>0</v>
      </c>
      <c r="M14" s="180"/>
      <c r="N14" s="191"/>
      <c r="O14" s="158" t="s">
        <v>168</v>
      </c>
      <c r="P14" s="143"/>
    </row>
    <row r="15" spans="1:22" s="2" customFormat="1" ht="42" customHeight="1">
      <c r="A15" s="188"/>
      <c r="B15" s="177"/>
      <c r="C15" s="177"/>
      <c r="D15" s="182"/>
      <c r="E15" s="178"/>
      <c r="F15" s="59" t="s">
        <v>133</v>
      </c>
      <c r="G15" s="199"/>
      <c r="H15" s="63">
        <f>G13*45%</f>
        <v>0.32640000000000002</v>
      </c>
      <c r="I15" s="102">
        <v>272</v>
      </c>
      <c r="J15" s="107">
        <v>0</v>
      </c>
      <c r="K15" s="107">
        <v>0</v>
      </c>
      <c r="L15" s="64">
        <f t="shared" si="1"/>
        <v>0</v>
      </c>
      <c r="M15" s="180"/>
      <c r="N15" s="191"/>
      <c r="O15" s="158" t="s">
        <v>147</v>
      </c>
      <c r="P15" s="143"/>
    </row>
    <row r="16" spans="1:22" s="2" customFormat="1" ht="26.25" customHeight="1">
      <c r="A16" s="188"/>
      <c r="B16" s="177"/>
      <c r="C16" s="177"/>
      <c r="D16" s="182"/>
      <c r="E16" s="178"/>
      <c r="F16" s="59" t="s">
        <v>134</v>
      </c>
      <c r="G16" s="199"/>
      <c r="H16" s="63">
        <f>G13*5%</f>
        <v>3.6266666666666669E-2</v>
      </c>
      <c r="I16" s="102">
        <v>272</v>
      </c>
      <c r="J16" s="107">
        <v>0</v>
      </c>
      <c r="K16" s="107">
        <v>0</v>
      </c>
      <c r="L16" s="64">
        <f t="shared" si="1"/>
        <v>0</v>
      </c>
      <c r="M16" s="180"/>
      <c r="N16" s="192"/>
      <c r="O16" s="158" t="s">
        <v>148</v>
      </c>
      <c r="P16" s="143"/>
    </row>
    <row r="17" spans="1:17" s="2" customFormat="1">
      <c r="A17" s="188"/>
      <c r="B17" s="177" t="s">
        <v>36</v>
      </c>
      <c r="C17" s="181" t="s">
        <v>40</v>
      </c>
      <c r="D17" s="193" t="s">
        <v>36</v>
      </c>
      <c r="E17" s="203">
        <f>'2022'!E12</f>
        <v>1200000000</v>
      </c>
      <c r="F17" s="5" t="s">
        <v>135</v>
      </c>
      <c r="G17" s="206">
        <f>E17/E31</f>
        <v>1.6E-2</v>
      </c>
      <c r="H17" s="133">
        <f>G17*20%</f>
        <v>3.2000000000000002E-3</v>
      </c>
      <c r="I17" s="134">
        <v>2</v>
      </c>
      <c r="J17" s="108">
        <v>0</v>
      </c>
      <c r="K17" s="108">
        <v>0</v>
      </c>
      <c r="L17" s="64">
        <f>J17/I17</f>
        <v>0</v>
      </c>
      <c r="M17" s="173">
        <f>L17*H17+L18*H18+L19*H19</f>
        <v>0</v>
      </c>
      <c r="N17" s="173">
        <f>M17/G17</f>
        <v>0</v>
      </c>
      <c r="O17" s="151" t="s">
        <v>149</v>
      </c>
      <c r="P17" s="144"/>
    </row>
    <row r="18" spans="1:17" s="2" customFormat="1" ht="30">
      <c r="A18" s="188"/>
      <c r="B18" s="177"/>
      <c r="C18" s="181"/>
      <c r="D18" s="194"/>
      <c r="E18" s="204"/>
      <c r="F18" s="169" t="s">
        <v>157</v>
      </c>
      <c r="G18" s="207"/>
      <c r="H18" s="133">
        <f>G17*40%</f>
        <v>6.4000000000000003E-3</v>
      </c>
      <c r="I18" s="134">
        <v>5</v>
      </c>
      <c r="J18" s="108">
        <v>0</v>
      </c>
      <c r="K18" s="108">
        <v>0</v>
      </c>
      <c r="L18" s="64">
        <f>J18/I18</f>
        <v>0</v>
      </c>
      <c r="M18" s="187"/>
      <c r="N18" s="187"/>
      <c r="O18" s="158" t="s">
        <v>150</v>
      </c>
      <c r="P18" s="144"/>
    </row>
    <row r="19" spans="1:17" s="2" customFormat="1" ht="30">
      <c r="A19" s="188"/>
      <c r="B19" s="75"/>
      <c r="C19" s="46"/>
      <c r="D19" s="195"/>
      <c r="E19" s="205"/>
      <c r="F19" s="5" t="s">
        <v>158</v>
      </c>
      <c r="G19" s="208"/>
      <c r="H19" s="133">
        <f>G17*40%</f>
        <v>6.4000000000000003E-3</v>
      </c>
      <c r="I19" s="134">
        <v>5</v>
      </c>
      <c r="J19" s="108">
        <v>0</v>
      </c>
      <c r="K19" s="108">
        <v>0</v>
      </c>
      <c r="L19" s="64">
        <f>J19/I19</f>
        <v>0</v>
      </c>
      <c r="M19" s="174"/>
      <c r="N19" s="174"/>
      <c r="O19" s="158" t="s">
        <v>150</v>
      </c>
      <c r="P19" s="144"/>
    </row>
    <row r="20" spans="1:17" s="2" customFormat="1">
      <c r="A20" s="188"/>
      <c r="B20" s="175" t="s">
        <v>16</v>
      </c>
      <c r="C20" s="175"/>
      <c r="D20" s="175"/>
      <c r="E20" s="74">
        <f>SUM(E13:E19)</f>
        <v>55600000000</v>
      </c>
      <c r="F20" s="69"/>
      <c r="G20" s="115">
        <f>SUM(G13:G18)</f>
        <v>0.7413333333333334</v>
      </c>
      <c r="H20" s="67"/>
      <c r="I20" s="103"/>
      <c r="J20" s="103"/>
      <c r="K20" s="103"/>
      <c r="L20" s="97"/>
      <c r="M20" s="116">
        <f>SUM(M13:M18)</f>
        <v>0</v>
      </c>
      <c r="N20" s="70">
        <f>M20/G20</f>
        <v>0</v>
      </c>
      <c r="O20" s="70">
        <f>N20</f>
        <v>0</v>
      </c>
      <c r="P20" s="145"/>
    </row>
    <row r="21" spans="1:17" s="2" customFormat="1" ht="30.75" customHeight="1">
      <c r="A21" s="188" t="s">
        <v>21</v>
      </c>
      <c r="B21" s="177" t="s">
        <v>8</v>
      </c>
      <c r="C21" s="177" t="s">
        <v>23</v>
      </c>
      <c r="D21" s="182" t="s">
        <v>22</v>
      </c>
      <c r="E21" s="178">
        <f>'2022'!E14</f>
        <v>5000000000</v>
      </c>
      <c r="F21" s="59" t="s">
        <v>136</v>
      </c>
      <c r="G21" s="189">
        <f>E21/E31</f>
        <v>6.6666666666666666E-2</v>
      </c>
      <c r="H21" s="106">
        <f>G21*10%</f>
        <v>6.6666666666666671E-3</v>
      </c>
      <c r="I21" s="102">
        <v>1</v>
      </c>
      <c r="J21" s="108">
        <v>1</v>
      </c>
      <c r="K21" s="108">
        <v>1</v>
      </c>
      <c r="L21" s="64">
        <f t="shared" ref="L21:L29" si="2">J21/I21</f>
        <v>1</v>
      </c>
      <c r="M21" s="180">
        <f>L21*H21+L22*H22+L23*H23</f>
        <v>4.4444444444444446E-2</v>
      </c>
      <c r="N21" s="190">
        <f>M21/G21</f>
        <v>0.66666666666666674</v>
      </c>
      <c r="O21" s="158" t="s">
        <v>151</v>
      </c>
      <c r="P21" s="143"/>
      <c r="Q21" s="113"/>
    </row>
    <row r="22" spans="1:17" s="2" customFormat="1" ht="54.75" customHeight="1">
      <c r="A22" s="188"/>
      <c r="B22" s="177"/>
      <c r="C22" s="177"/>
      <c r="D22" s="182"/>
      <c r="E22" s="178"/>
      <c r="F22" s="59" t="s">
        <v>137</v>
      </c>
      <c r="G22" s="189"/>
      <c r="H22" s="106">
        <f>G21*10%</f>
        <v>6.6666666666666671E-3</v>
      </c>
      <c r="I22" s="102">
        <v>1</v>
      </c>
      <c r="J22" s="108">
        <v>1</v>
      </c>
      <c r="K22" s="108">
        <v>1</v>
      </c>
      <c r="L22" s="64">
        <f t="shared" si="2"/>
        <v>1</v>
      </c>
      <c r="M22" s="180"/>
      <c r="N22" s="191"/>
      <c r="O22" s="158" t="s">
        <v>173</v>
      </c>
      <c r="P22" s="143" t="s">
        <v>172</v>
      </c>
    </row>
    <row r="23" spans="1:17" s="2" customFormat="1" ht="63" customHeight="1">
      <c r="A23" s="188"/>
      <c r="B23" s="177"/>
      <c r="C23" s="177"/>
      <c r="D23" s="182"/>
      <c r="E23" s="178"/>
      <c r="F23" s="59" t="s">
        <v>57</v>
      </c>
      <c r="G23" s="189"/>
      <c r="H23" s="106">
        <f>G21*80%</f>
        <v>5.3333333333333337E-2</v>
      </c>
      <c r="I23" s="102">
        <v>12</v>
      </c>
      <c r="J23" s="107">
        <v>7</v>
      </c>
      <c r="K23" s="107">
        <v>7</v>
      </c>
      <c r="L23" s="64">
        <f t="shared" si="2"/>
        <v>0.58333333333333337</v>
      </c>
      <c r="M23" s="180"/>
      <c r="N23" s="192"/>
      <c r="O23" s="158" t="s">
        <v>160</v>
      </c>
      <c r="P23" s="143"/>
    </row>
    <row r="24" spans="1:17" s="2" customFormat="1" ht="72" customHeight="1">
      <c r="A24" s="188"/>
      <c r="B24" s="177"/>
      <c r="C24" s="181" t="s">
        <v>41</v>
      </c>
      <c r="D24" s="182" t="s">
        <v>39</v>
      </c>
      <c r="E24" s="183">
        <f>'2022'!E15</f>
        <v>300000000</v>
      </c>
      <c r="F24" s="170" t="s">
        <v>67</v>
      </c>
      <c r="G24" s="189">
        <f>E24/E31</f>
        <v>4.0000000000000001E-3</v>
      </c>
      <c r="H24" s="106">
        <f>G24*50%</f>
        <v>2E-3</v>
      </c>
      <c r="I24" s="102">
        <v>2</v>
      </c>
      <c r="J24" s="107">
        <v>2</v>
      </c>
      <c r="K24" s="107">
        <v>2</v>
      </c>
      <c r="L24" s="64">
        <f>J24/I24</f>
        <v>1</v>
      </c>
      <c r="M24" s="180">
        <f>L24*H24+L25*H25</f>
        <v>2E-3</v>
      </c>
      <c r="N24" s="185">
        <f>M24/G24</f>
        <v>0.5</v>
      </c>
      <c r="O24" s="161" t="s">
        <v>182</v>
      </c>
      <c r="P24" s="144" t="s">
        <v>181</v>
      </c>
      <c r="Q24" s="114"/>
    </row>
    <row r="25" spans="1:17" s="2" customFormat="1" ht="71.25" customHeight="1">
      <c r="A25" s="188"/>
      <c r="B25" s="177"/>
      <c r="C25" s="181"/>
      <c r="D25" s="182"/>
      <c r="E25" s="183"/>
      <c r="F25" s="171" t="s">
        <v>161</v>
      </c>
      <c r="G25" s="189"/>
      <c r="H25" s="106">
        <f>G24*50%</f>
        <v>2E-3</v>
      </c>
      <c r="I25" s="102">
        <v>2</v>
      </c>
      <c r="J25" s="108">
        <v>0</v>
      </c>
      <c r="K25" s="108">
        <v>7.0000000000000007E-2</v>
      </c>
      <c r="L25" s="64">
        <f t="shared" si="2"/>
        <v>0</v>
      </c>
      <c r="M25" s="180"/>
      <c r="N25" s="186"/>
      <c r="O25" s="161" t="s">
        <v>187</v>
      </c>
      <c r="P25" s="144"/>
    </row>
    <row r="26" spans="1:17" s="2" customFormat="1" ht="30">
      <c r="A26" s="188"/>
      <c r="B26" s="177"/>
      <c r="C26" s="46" t="s">
        <v>42</v>
      </c>
      <c r="D26" s="75" t="s">
        <v>25</v>
      </c>
      <c r="E26" s="71">
        <f>'2022'!E16</f>
        <v>321119187</v>
      </c>
      <c r="F26" s="58" t="s">
        <v>68</v>
      </c>
      <c r="G26" s="106">
        <f>E26/E31</f>
        <v>4.2815891599999999E-3</v>
      </c>
      <c r="H26" s="106">
        <f>G26</f>
        <v>4.2815891599999999E-3</v>
      </c>
      <c r="I26" s="71">
        <f>E26</f>
        <v>321119187</v>
      </c>
      <c r="J26" s="110">
        <v>6339812</v>
      </c>
      <c r="K26" s="110">
        <v>6339812</v>
      </c>
      <c r="L26" s="64">
        <f t="shared" si="2"/>
        <v>1.9742862639970497E-2</v>
      </c>
      <c r="M26" s="111">
        <f>L26*H26</f>
        <v>8.4530826666666658E-5</v>
      </c>
      <c r="N26" s="79">
        <f>M26/G26</f>
        <v>1.9742862639970497E-2</v>
      </c>
      <c r="O26" s="157" t="s">
        <v>153</v>
      </c>
      <c r="P26" s="143"/>
    </row>
    <row r="27" spans="1:17" s="2" customFormat="1" ht="30.75" customHeight="1">
      <c r="A27" s="188"/>
      <c r="B27" s="177" t="s">
        <v>28</v>
      </c>
      <c r="C27" s="46" t="s">
        <v>43</v>
      </c>
      <c r="D27" s="75" t="s">
        <v>29</v>
      </c>
      <c r="E27" s="71">
        <f>'2022'!E17</f>
        <v>700835813</v>
      </c>
      <c r="F27" s="112" t="s">
        <v>69</v>
      </c>
      <c r="G27" s="106">
        <f>E27/E31</f>
        <v>9.3444775066666673E-3</v>
      </c>
      <c r="H27" s="106">
        <v>6.6E-3</v>
      </c>
      <c r="I27" s="71">
        <f>E27</f>
        <v>700835813</v>
      </c>
      <c r="J27" s="110">
        <v>203136139.90000001</v>
      </c>
      <c r="K27" s="110">
        <v>203136139.90000001</v>
      </c>
      <c r="L27" s="79">
        <f>J27/I27</f>
        <v>0.28984840119749988</v>
      </c>
      <c r="M27" s="111">
        <f>L27*H27</f>
        <v>1.9129994479034993E-3</v>
      </c>
      <c r="N27" s="79">
        <f>M27/G27</f>
        <v>0.20471978733307461</v>
      </c>
      <c r="O27" s="79" t="s">
        <v>154</v>
      </c>
      <c r="P27" s="143" t="s">
        <v>177</v>
      </c>
    </row>
    <row r="28" spans="1:17" s="2" customFormat="1" ht="60">
      <c r="A28" s="188"/>
      <c r="B28" s="177"/>
      <c r="C28" s="177" t="s">
        <v>44</v>
      </c>
      <c r="D28" s="177" t="s">
        <v>31</v>
      </c>
      <c r="E28" s="178">
        <f>'2022'!E18</f>
        <v>500000000</v>
      </c>
      <c r="F28" s="132" t="s">
        <v>58</v>
      </c>
      <c r="G28" s="179">
        <f>E28/E31</f>
        <v>6.6666666666666671E-3</v>
      </c>
      <c r="H28" s="133">
        <v>1E-3</v>
      </c>
      <c r="I28" s="134">
        <v>1</v>
      </c>
      <c r="J28" s="107">
        <v>0</v>
      </c>
      <c r="K28" s="107">
        <v>0</v>
      </c>
      <c r="L28" s="64">
        <f t="shared" si="2"/>
        <v>0</v>
      </c>
      <c r="M28" s="180">
        <f>(L28*H28)+(L29*H29)</f>
        <v>0</v>
      </c>
      <c r="N28" s="173">
        <f>M28/G28</f>
        <v>0</v>
      </c>
      <c r="O28" s="151" t="s">
        <v>149</v>
      </c>
      <c r="P28" s="144" t="s">
        <v>159</v>
      </c>
    </row>
    <row r="29" spans="1:17" s="2" customFormat="1" ht="30">
      <c r="A29" s="188"/>
      <c r="B29" s="177"/>
      <c r="C29" s="177"/>
      <c r="D29" s="177"/>
      <c r="E29" s="178"/>
      <c r="F29" s="112" t="s">
        <v>59</v>
      </c>
      <c r="G29" s="179"/>
      <c r="H29" s="133">
        <v>2.2000000000000001E-3</v>
      </c>
      <c r="I29" s="134">
        <v>1</v>
      </c>
      <c r="J29" s="107">
        <v>0</v>
      </c>
      <c r="K29" s="107">
        <v>0</v>
      </c>
      <c r="L29" s="64">
        <f t="shared" si="2"/>
        <v>0</v>
      </c>
      <c r="M29" s="180"/>
      <c r="N29" s="174"/>
      <c r="O29" s="155" t="s">
        <v>155</v>
      </c>
      <c r="P29" s="143"/>
    </row>
    <row r="30" spans="1:17" s="2" customFormat="1">
      <c r="A30" s="188"/>
      <c r="B30" s="175" t="s">
        <v>16</v>
      </c>
      <c r="C30" s="175"/>
      <c r="D30" s="175"/>
      <c r="E30" s="74">
        <f>SUM(E21:E29)</f>
        <v>6821955000</v>
      </c>
      <c r="F30" s="66"/>
      <c r="G30" s="82">
        <f>SUM(G21:G29)</f>
        <v>9.095940000000001E-2</v>
      </c>
      <c r="H30" s="78"/>
      <c r="I30" s="104"/>
      <c r="J30" s="104"/>
      <c r="K30" s="104"/>
      <c r="L30" s="96"/>
      <c r="M30" s="116">
        <f>SUM(M21:M29)</f>
        <v>4.844197471901461E-2</v>
      </c>
      <c r="N30" s="70">
        <f>M30/G30</f>
        <v>0.53256699933173046</v>
      </c>
      <c r="O30" s="70">
        <f>N30</f>
        <v>0.53256699933173046</v>
      </c>
      <c r="P30" s="146"/>
    </row>
    <row r="31" spans="1:17" s="2" customFormat="1" ht="21">
      <c r="A31" s="176" t="s">
        <v>32</v>
      </c>
      <c r="B31" s="176"/>
      <c r="C31" s="176"/>
      <c r="D31" s="176"/>
      <c r="E31" s="76">
        <f>E30+E20+E12</f>
        <v>75000000000</v>
      </c>
      <c r="F31" s="58"/>
      <c r="G31" s="98">
        <f>SUM(G12,G20,G30)</f>
        <v>1</v>
      </c>
      <c r="H31" s="98"/>
      <c r="I31" s="105"/>
      <c r="J31" s="105"/>
      <c r="K31" s="105"/>
      <c r="L31" s="99"/>
      <c r="M31" s="117">
        <f>SUM(M12,M20,M30)</f>
        <v>5.6493562954308726E-2</v>
      </c>
      <c r="N31" s="98">
        <f>M31/G31</f>
        <v>5.6493562954308726E-2</v>
      </c>
      <c r="O31" s="98"/>
      <c r="P31" s="147"/>
    </row>
    <row r="32" spans="1:17" s="2" customFormat="1">
      <c r="C32" s="52"/>
      <c r="D32" s="3"/>
      <c r="E32" s="85"/>
      <c r="I32" s="100"/>
      <c r="J32" s="100"/>
      <c r="K32" s="100"/>
      <c r="P32" s="148"/>
    </row>
    <row r="33" spans="3:16" s="2" customFormat="1">
      <c r="C33" s="52"/>
      <c r="D33" s="3"/>
      <c r="E33" s="86"/>
      <c r="I33" s="100"/>
      <c r="J33" s="100"/>
      <c r="K33" s="100"/>
      <c r="P33" s="148"/>
    </row>
    <row r="34" spans="3:16" s="2" customFormat="1">
      <c r="C34" s="52"/>
      <c r="D34" s="3"/>
      <c r="E34" s="86"/>
      <c r="I34" s="100"/>
      <c r="J34" s="100"/>
      <c r="K34" s="100"/>
      <c r="P34" s="148"/>
    </row>
    <row r="35" spans="3:16" s="2" customFormat="1">
      <c r="C35" s="52"/>
      <c r="D35" s="3"/>
      <c r="E35" s="86"/>
      <c r="I35" s="100"/>
      <c r="J35" s="100"/>
      <c r="K35" s="100"/>
      <c r="P35" s="148"/>
    </row>
    <row r="36" spans="3:16" s="2" customFormat="1">
      <c r="C36" s="52"/>
      <c r="D36" s="3"/>
      <c r="E36" s="86"/>
      <c r="I36" s="100"/>
      <c r="J36" s="100"/>
      <c r="K36" s="100"/>
      <c r="P36" s="148"/>
    </row>
    <row r="37" spans="3:16" s="2" customFormat="1">
      <c r="C37" s="52"/>
      <c r="D37" s="3"/>
      <c r="E37" s="86"/>
      <c r="I37" s="100"/>
      <c r="J37" s="100"/>
      <c r="K37" s="100"/>
      <c r="P37" s="148"/>
    </row>
    <row r="38" spans="3:16" s="2" customFormat="1">
      <c r="C38" s="52"/>
      <c r="D38" s="3"/>
      <c r="E38" s="86"/>
      <c r="I38" s="100"/>
      <c r="J38" s="100"/>
      <c r="K38" s="100"/>
      <c r="P38" s="148"/>
    </row>
    <row r="39" spans="3:16" s="2" customFormat="1">
      <c r="C39" s="52"/>
      <c r="D39" s="3"/>
      <c r="E39" s="86"/>
      <c r="I39" s="100"/>
      <c r="J39" s="100"/>
      <c r="K39" s="100"/>
      <c r="P39" s="148"/>
    </row>
    <row r="40" spans="3:16" s="2" customFormat="1">
      <c r="C40" s="52"/>
      <c r="D40" s="3"/>
      <c r="E40" s="84"/>
      <c r="I40" s="100"/>
      <c r="J40" s="100"/>
      <c r="K40" s="100"/>
      <c r="P40" s="148"/>
    </row>
    <row r="41" spans="3:16" s="2" customFormat="1">
      <c r="C41" s="52"/>
      <c r="D41" s="3"/>
      <c r="E41" s="84"/>
      <c r="I41" s="100"/>
      <c r="J41" s="100"/>
      <c r="K41" s="100"/>
      <c r="P41" s="148"/>
    </row>
    <row r="42" spans="3:16" s="2" customFormat="1">
      <c r="C42" s="52"/>
      <c r="D42" s="3"/>
      <c r="E42" s="84"/>
      <c r="I42" s="100"/>
      <c r="J42" s="100"/>
      <c r="K42" s="100"/>
      <c r="P42" s="148"/>
    </row>
    <row r="43" spans="3:16" s="2" customFormat="1">
      <c r="C43" s="52"/>
      <c r="D43" s="3"/>
      <c r="E43" s="84"/>
      <c r="I43" s="100"/>
      <c r="J43" s="100"/>
      <c r="K43" s="100"/>
      <c r="P43" s="148"/>
    </row>
    <row r="44" spans="3:16" s="2" customFormat="1">
      <c r="C44" s="52"/>
      <c r="D44" s="3"/>
      <c r="E44" s="84"/>
      <c r="I44" s="100"/>
      <c r="J44" s="100"/>
      <c r="K44" s="100"/>
      <c r="P44" s="148"/>
    </row>
    <row r="45" spans="3:16" s="2" customFormat="1">
      <c r="C45" s="52"/>
      <c r="D45" s="3"/>
      <c r="E45" s="84"/>
      <c r="I45" s="100"/>
      <c r="J45" s="100"/>
      <c r="K45" s="100"/>
      <c r="P45" s="148"/>
    </row>
    <row r="46" spans="3:16" s="2" customFormat="1">
      <c r="C46" s="52"/>
      <c r="D46" s="3"/>
      <c r="E46" s="84"/>
      <c r="I46" s="100"/>
      <c r="J46" s="100"/>
      <c r="K46" s="100"/>
      <c r="P46" s="148"/>
    </row>
    <row r="47" spans="3:16" s="2" customFormat="1">
      <c r="C47" s="52"/>
      <c r="D47" s="3"/>
      <c r="E47" s="84"/>
      <c r="I47" s="100"/>
      <c r="J47" s="100"/>
      <c r="K47" s="100"/>
      <c r="P47" s="148"/>
    </row>
    <row r="48" spans="3:16" s="2" customFormat="1">
      <c r="C48" s="52"/>
      <c r="D48" s="3"/>
      <c r="E48" s="84"/>
      <c r="I48" s="100"/>
      <c r="J48" s="100"/>
      <c r="K48" s="100"/>
      <c r="P48" s="148"/>
    </row>
    <row r="49" spans="3:16" s="2" customFormat="1">
      <c r="C49" s="52"/>
      <c r="D49" s="3"/>
      <c r="E49" s="84"/>
      <c r="I49" s="100"/>
      <c r="J49" s="100"/>
      <c r="K49" s="100"/>
      <c r="P49" s="148"/>
    </row>
    <row r="50" spans="3:16" s="2" customFormat="1">
      <c r="C50" s="52"/>
      <c r="D50" s="3"/>
      <c r="E50" s="84"/>
      <c r="I50" s="100"/>
      <c r="J50" s="100"/>
      <c r="K50" s="100"/>
      <c r="P50" s="148"/>
    </row>
    <row r="51" spans="3:16" s="2" customFormat="1">
      <c r="C51" s="52"/>
      <c r="D51" s="3"/>
      <c r="E51" s="84"/>
      <c r="I51" s="100"/>
      <c r="J51" s="100"/>
      <c r="K51" s="100"/>
      <c r="P51" s="148"/>
    </row>
    <row r="52" spans="3:16" s="2" customFormat="1">
      <c r="C52" s="52"/>
      <c r="D52" s="3"/>
      <c r="E52" s="84"/>
      <c r="I52" s="100"/>
      <c r="J52" s="100"/>
      <c r="K52" s="100"/>
      <c r="P52" s="148"/>
    </row>
    <row r="53" spans="3:16" s="2" customFormat="1">
      <c r="C53" s="52"/>
      <c r="D53" s="3"/>
      <c r="E53" s="84"/>
      <c r="I53" s="100"/>
      <c r="J53" s="100"/>
      <c r="K53" s="100"/>
      <c r="P53" s="148"/>
    </row>
    <row r="54" spans="3:16" s="2" customFormat="1">
      <c r="C54" s="52"/>
      <c r="D54" s="3"/>
      <c r="E54" s="84"/>
      <c r="I54" s="100"/>
      <c r="J54" s="100"/>
      <c r="K54" s="100"/>
      <c r="P54" s="148"/>
    </row>
    <row r="55" spans="3:16" s="2" customFormat="1">
      <c r="C55" s="52"/>
      <c r="D55" s="3"/>
      <c r="E55" s="84"/>
      <c r="I55" s="100"/>
      <c r="J55" s="100"/>
      <c r="K55" s="100"/>
      <c r="P55" s="148"/>
    </row>
    <row r="56" spans="3:16" s="2" customFormat="1">
      <c r="C56" s="52"/>
      <c r="D56" s="3"/>
      <c r="E56" s="84"/>
      <c r="I56" s="100"/>
      <c r="J56" s="100"/>
      <c r="K56" s="100"/>
      <c r="P56" s="148"/>
    </row>
    <row r="57" spans="3:16" s="2" customFormat="1">
      <c r="C57" s="52"/>
      <c r="D57" s="3"/>
      <c r="E57" s="84"/>
      <c r="I57" s="100"/>
      <c r="J57" s="100"/>
      <c r="K57" s="100"/>
      <c r="P57" s="148"/>
    </row>
    <row r="58" spans="3:16" s="2" customFormat="1">
      <c r="C58" s="52"/>
      <c r="D58" s="3"/>
      <c r="E58" s="84"/>
      <c r="I58" s="100"/>
      <c r="J58" s="100"/>
      <c r="K58" s="100"/>
      <c r="P58" s="148"/>
    </row>
    <row r="59" spans="3:16" s="2" customFormat="1">
      <c r="C59" s="52"/>
      <c r="D59" s="3"/>
      <c r="E59" s="84"/>
      <c r="I59" s="100"/>
      <c r="J59" s="100"/>
      <c r="K59" s="100"/>
      <c r="P59" s="148"/>
    </row>
    <row r="60" spans="3:16" s="2" customFormat="1">
      <c r="C60" s="52"/>
      <c r="D60" s="3"/>
      <c r="E60" s="84"/>
      <c r="I60" s="100"/>
      <c r="J60" s="100"/>
      <c r="K60" s="100"/>
      <c r="P60" s="148"/>
    </row>
    <row r="61" spans="3:16" s="2" customFormat="1">
      <c r="C61" s="52"/>
      <c r="D61" s="3"/>
      <c r="E61" s="84"/>
      <c r="I61" s="100"/>
      <c r="J61" s="100"/>
      <c r="K61" s="100"/>
      <c r="P61" s="148"/>
    </row>
    <row r="62" spans="3:16" s="2" customFormat="1">
      <c r="C62" s="52"/>
      <c r="D62" s="3"/>
      <c r="E62" s="84"/>
      <c r="I62" s="100"/>
      <c r="J62" s="100"/>
      <c r="K62" s="100"/>
      <c r="P62" s="148"/>
    </row>
    <row r="63" spans="3:16" s="2" customFormat="1">
      <c r="C63" s="52"/>
      <c r="D63" s="3"/>
      <c r="E63" s="84"/>
      <c r="I63" s="100"/>
      <c r="J63" s="100"/>
      <c r="K63" s="100"/>
      <c r="P63" s="148"/>
    </row>
    <row r="64" spans="3:16" s="2" customFormat="1">
      <c r="C64" s="52"/>
      <c r="D64" s="3"/>
      <c r="E64" s="84"/>
      <c r="I64" s="100"/>
      <c r="J64" s="100"/>
      <c r="K64" s="100"/>
      <c r="P64" s="148"/>
    </row>
    <row r="65" spans="3:16" s="2" customFormat="1">
      <c r="C65" s="52"/>
      <c r="D65" s="3"/>
      <c r="E65" s="84"/>
      <c r="I65" s="100"/>
      <c r="J65" s="100"/>
      <c r="K65" s="100"/>
      <c r="P65" s="148"/>
    </row>
    <row r="66" spans="3:16" s="2" customFormat="1">
      <c r="C66" s="52"/>
      <c r="D66" s="3"/>
      <c r="E66" s="84"/>
      <c r="I66" s="100"/>
      <c r="J66" s="100"/>
      <c r="K66" s="100"/>
      <c r="P66" s="148"/>
    </row>
    <row r="67" spans="3:16" s="2" customFormat="1">
      <c r="C67" s="52"/>
      <c r="D67" s="3"/>
      <c r="E67" s="84"/>
      <c r="I67" s="100"/>
      <c r="J67" s="100"/>
      <c r="K67" s="100"/>
      <c r="P67" s="148"/>
    </row>
    <row r="68" spans="3:16" s="2" customFormat="1">
      <c r="C68" s="52"/>
      <c r="D68" s="3"/>
      <c r="E68" s="84"/>
      <c r="I68" s="100"/>
      <c r="J68" s="100"/>
      <c r="K68" s="100"/>
      <c r="P68" s="148"/>
    </row>
    <row r="69" spans="3:16" s="2" customFormat="1">
      <c r="C69" s="52"/>
      <c r="D69" s="3"/>
      <c r="E69" s="84"/>
      <c r="I69" s="100"/>
      <c r="J69" s="100"/>
      <c r="K69" s="100"/>
      <c r="P69" s="148"/>
    </row>
    <row r="70" spans="3:16" s="2" customFormat="1">
      <c r="C70" s="52"/>
      <c r="D70" s="3"/>
      <c r="E70" s="84"/>
      <c r="I70" s="100"/>
      <c r="J70" s="100"/>
      <c r="K70" s="100"/>
      <c r="P70" s="148"/>
    </row>
    <row r="71" spans="3:16" s="2" customFormat="1">
      <c r="C71" s="52"/>
      <c r="D71" s="3"/>
      <c r="E71" s="84"/>
      <c r="I71" s="100"/>
      <c r="J71" s="100"/>
      <c r="K71" s="100"/>
      <c r="P71" s="148"/>
    </row>
    <row r="72" spans="3:16" s="2" customFormat="1">
      <c r="C72" s="52"/>
      <c r="D72" s="3"/>
      <c r="E72" s="84"/>
      <c r="I72" s="100"/>
      <c r="J72" s="100"/>
      <c r="K72" s="100"/>
      <c r="P72" s="148"/>
    </row>
    <row r="73" spans="3:16" s="2" customFormat="1">
      <c r="C73" s="52"/>
      <c r="D73" s="3"/>
      <c r="E73" s="84"/>
      <c r="I73" s="100"/>
      <c r="J73" s="100"/>
      <c r="K73" s="100"/>
      <c r="P73" s="148"/>
    </row>
    <row r="74" spans="3:16" s="2" customFormat="1">
      <c r="C74" s="52"/>
      <c r="D74" s="3"/>
      <c r="E74" s="84"/>
      <c r="I74" s="100"/>
      <c r="J74" s="100"/>
      <c r="K74" s="100"/>
      <c r="P74" s="148"/>
    </row>
    <row r="75" spans="3:16" s="2" customFormat="1">
      <c r="C75" s="52"/>
      <c r="D75" s="3"/>
      <c r="E75" s="84"/>
      <c r="I75" s="100"/>
      <c r="J75" s="100"/>
      <c r="K75" s="100"/>
      <c r="P75" s="148"/>
    </row>
    <row r="76" spans="3:16" s="2" customFormat="1">
      <c r="C76" s="52"/>
      <c r="D76" s="3"/>
      <c r="E76" s="84"/>
      <c r="I76" s="100"/>
      <c r="J76" s="100"/>
      <c r="K76" s="100"/>
      <c r="P76" s="148"/>
    </row>
    <row r="77" spans="3:16" s="2" customFormat="1">
      <c r="C77" s="52"/>
      <c r="D77" s="3"/>
      <c r="E77" s="84"/>
      <c r="I77" s="100"/>
      <c r="J77" s="100"/>
      <c r="K77" s="100"/>
      <c r="P77" s="148"/>
    </row>
    <row r="78" spans="3:16" s="2" customFormat="1">
      <c r="C78" s="52"/>
      <c r="D78" s="3"/>
      <c r="E78" s="84"/>
      <c r="I78" s="100"/>
      <c r="J78" s="100"/>
      <c r="K78" s="100"/>
      <c r="P78" s="148"/>
    </row>
    <row r="79" spans="3:16" s="2" customFormat="1">
      <c r="C79" s="52"/>
      <c r="D79" s="3"/>
      <c r="E79" s="84"/>
      <c r="I79" s="100"/>
      <c r="J79" s="100"/>
      <c r="K79" s="100"/>
      <c r="P79" s="148"/>
    </row>
    <row r="80" spans="3:16" s="2" customFormat="1">
      <c r="C80" s="52"/>
      <c r="D80" s="3"/>
      <c r="E80" s="84"/>
      <c r="I80" s="100"/>
      <c r="J80" s="100"/>
      <c r="K80" s="100"/>
      <c r="P80" s="148"/>
    </row>
    <row r="81" spans="3:16" s="2" customFormat="1">
      <c r="C81" s="52"/>
      <c r="D81" s="3"/>
      <c r="E81" s="84"/>
      <c r="I81" s="100"/>
      <c r="J81" s="100"/>
      <c r="K81" s="100"/>
      <c r="P81" s="148"/>
    </row>
    <row r="82" spans="3:16" s="2" customFormat="1">
      <c r="C82" s="52"/>
      <c r="D82" s="3"/>
      <c r="E82" s="86"/>
      <c r="I82" s="100"/>
      <c r="J82" s="100"/>
      <c r="K82" s="100"/>
      <c r="P82" s="148"/>
    </row>
    <row r="83" spans="3:16" s="2" customFormat="1">
      <c r="C83" s="52"/>
      <c r="D83" s="3"/>
      <c r="E83" s="84"/>
      <c r="I83" s="100"/>
      <c r="J83" s="100"/>
      <c r="K83" s="100"/>
      <c r="P83" s="148"/>
    </row>
    <row r="84" spans="3:16" s="2" customFormat="1">
      <c r="C84" s="52"/>
      <c r="D84" s="3"/>
      <c r="E84" s="84"/>
      <c r="I84" s="100"/>
      <c r="J84" s="100"/>
      <c r="K84" s="100"/>
      <c r="P84" s="148"/>
    </row>
    <row r="85" spans="3:16" s="2" customFormat="1">
      <c r="C85" s="52"/>
      <c r="D85" s="3"/>
      <c r="E85" s="84"/>
      <c r="I85" s="100"/>
      <c r="J85" s="100"/>
      <c r="K85" s="100"/>
      <c r="P85" s="148"/>
    </row>
    <row r="86" spans="3:16" s="2" customFormat="1">
      <c r="C86" s="52"/>
      <c r="D86" s="3"/>
      <c r="E86" s="84"/>
      <c r="I86" s="100"/>
      <c r="J86" s="100"/>
      <c r="K86" s="100"/>
      <c r="P86" s="148"/>
    </row>
    <row r="87" spans="3:16" s="2" customFormat="1">
      <c r="C87" s="52"/>
      <c r="D87" s="3"/>
      <c r="E87" s="84"/>
      <c r="I87" s="100"/>
      <c r="J87" s="100"/>
      <c r="K87" s="100"/>
      <c r="P87" s="148"/>
    </row>
    <row r="88" spans="3:16" s="2" customFormat="1">
      <c r="C88" s="52"/>
      <c r="D88" s="3"/>
      <c r="E88" s="84"/>
      <c r="I88" s="100"/>
      <c r="J88" s="100"/>
      <c r="K88" s="100"/>
      <c r="P88" s="148"/>
    </row>
    <row r="89" spans="3:16" s="2" customFormat="1">
      <c r="C89" s="52"/>
      <c r="D89" s="3"/>
      <c r="E89" s="84"/>
      <c r="I89" s="100"/>
      <c r="J89" s="100"/>
      <c r="K89" s="100"/>
      <c r="P89" s="148"/>
    </row>
    <row r="90" spans="3:16" s="2" customFormat="1">
      <c r="C90" s="52"/>
      <c r="D90" s="3"/>
      <c r="E90" s="84"/>
      <c r="I90" s="100"/>
      <c r="J90" s="100"/>
      <c r="K90" s="100"/>
      <c r="P90" s="148"/>
    </row>
    <row r="91" spans="3:16" s="2" customFormat="1">
      <c r="C91" s="52"/>
      <c r="D91" s="3"/>
      <c r="E91" s="84"/>
      <c r="I91" s="100"/>
      <c r="J91" s="100"/>
      <c r="K91" s="100"/>
      <c r="P91" s="148"/>
    </row>
    <row r="92" spans="3:16" s="2" customFormat="1">
      <c r="C92" s="52"/>
      <c r="D92" s="3"/>
      <c r="E92" s="84"/>
      <c r="I92" s="100"/>
      <c r="J92" s="100"/>
      <c r="K92" s="100"/>
      <c r="P92" s="148"/>
    </row>
    <row r="93" spans="3:16" s="2" customFormat="1">
      <c r="C93" s="52"/>
      <c r="D93" s="3"/>
      <c r="E93" s="84"/>
      <c r="I93" s="100"/>
      <c r="J93" s="100"/>
      <c r="K93" s="100"/>
      <c r="P93" s="148"/>
    </row>
    <row r="94" spans="3:16" s="2" customFormat="1">
      <c r="C94" s="52"/>
      <c r="D94" s="3"/>
      <c r="E94" s="84"/>
      <c r="I94" s="100"/>
      <c r="J94" s="100"/>
      <c r="K94" s="100"/>
      <c r="P94" s="148"/>
    </row>
    <row r="95" spans="3:16" s="2" customFormat="1">
      <c r="C95" s="52"/>
      <c r="D95" s="3"/>
      <c r="E95" s="84"/>
      <c r="I95" s="100"/>
      <c r="J95" s="100"/>
      <c r="K95" s="100"/>
      <c r="P95" s="148"/>
    </row>
    <row r="96" spans="3:16" s="2" customFormat="1">
      <c r="C96" s="52"/>
      <c r="D96" s="3"/>
      <c r="E96" s="84"/>
      <c r="I96" s="100"/>
      <c r="J96" s="100"/>
      <c r="K96" s="100"/>
      <c r="P96" s="148"/>
    </row>
    <row r="97" spans="3:16" s="2" customFormat="1">
      <c r="C97" s="52"/>
      <c r="D97" s="3"/>
      <c r="E97" s="84"/>
      <c r="I97" s="100"/>
      <c r="J97" s="100"/>
      <c r="K97" s="100"/>
      <c r="P97" s="148"/>
    </row>
    <row r="98" spans="3:16" s="2" customFormat="1">
      <c r="C98" s="52"/>
      <c r="D98" s="3"/>
      <c r="E98" s="84"/>
      <c r="I98" s="100"/>
      <c r="J98" s="100"/>
      <c r="K98" s="100"/>
      <c r="P98" s="148"/>
    </row>
    <row r="99" spans="3:16" s="2" customFormat="1">
      <c r="C99" s="52"/>
      <c r="D99" s="3"/>
      <c r="E99" s="84"/>
      <c r="I99" s="100"/>
      <c r="J99" s="100"/>
      <c r="K99" s="100"/>
      <c r="P99" s="148"/>
    </row>
    <row r="100" spans="3:16" s="2" customFormat="1">
      <c r="C100" s="52"/>
      <c r="D100" s="3"/>
      <c r="E100" s="84"/>
      <c r="I100" s="100"/>
      <c r="J100" s="100"/>
      <c r="K100" s="100"/>
      <c r="P100" s="148"/>
    </row>
    <row r="101" spans="3:16" s="2" customFormat="1">
      <c r="C101" s="52"/>
      <c r="D101" s="3"/>
      <c r="E101" s="84"/>
      <c r="I101" s="100"/>
      <c r="J101" s="100"/>
      <c r="K101" s="100"/>
      <c r="P101" s="148"/>
    </row>
    <row r="102" spans="3:16" s="2" customFormat="1">
      <c r="C102" s="52"/>
      <c r="D102" s="3"/>
      <c r="E102" s="84"/>
      <c r="I102" s="100"/>
      <c r="J102" s="100"/>
      <c r="K102" s="100"/>
      <c r="P102" s="148"/>
    </row>
    <row r="103" spans="3:16" s="2" customFormat="1">
      <c r="C103" s="52"/>
      <c r="D103" s="3"/>
      <c r="E103" s="84"/>
      <c r="I103" s="100"/>
      <c r="J103" s="100"/>
      <c r="K103" s="100"/>
      <c r="P103" s="148"/>
    </row>
    <row r="104" spans="3:16" s="2" customFormat="1">
      <c r="C104" s="52"/>
      <c r="D104" s="3"/>
      <c r="E104" s="84"/>
      <c r="I104" s="100"/>
      <c r="J104" s="100"/>
      <c r="K104" s="100"/>
      <c r="P104" s="148"/>
    </row>
    <row r="105" spans="3:16" s="2" customFormat="1">
      <c r="C105" s="52"/>
      <c r="D105" s="3"/>
      <c r="E105" s="84"/>
      <c r="I105" s="100"/>
      <c r="J105" s="100"/>
      <c r="K105" s="100"/>
      <c r="P105" s="148"/>
    </row>
    <row r="106" spans="3:16" s="2" customFormat="1">
      <c r="C106" s="52"/>
      <c r="D106" s="3"/>
      <c r="E106" s="84"/>
      <c r="I106" s="100"/>
      <c r="J106" s="100"/>
      <c r="K106" s="100"/>
      <c r="P106" s="148"/>
    </row>
    <row r="107" spans="3:16" s="2" customFormat="1">
      <c r="C107" s="52"/>
      <c r="D107" s="3"/>
      <c r="E107" s="84"/>
      <c r="I107" s="100"/>
      <c r="J107" s="100"/>
      <c r="K107" s="100"/>
      <c r="P107" s="148"/>
    </row>
    <row r="108" spans="3:16" s="2" customFormat="1">
      <c r="C108" s="52"/>
      <c r="D108" s="3"/>
      <c r="E108" s="84"/>
      <c r="I108" s="100"/>
      <c r="J108" s="100"/>
      <c r="K108" s="100"/>
      <c r="P108" s="148"/>
    </row>
    <row r="109" spans="3:16" s="2" customFormat="1">
      <c r="C109" s="52"/>
      <c r="D109" s="3"/>
      <c r="E109" s="84"/>
      <c r="I109" s="100"/>
      <c r="J109" s="100"/>
      <c r="K109" s="100"/>
      <c r="P109" s="148"/>
    </row>
    <row r="110" spans="3:16" s="2" customFormat="1">
      <c r="C110" s="52"/>
      <c r="D110" s="3"/>
      <c r="E110" s="84"/>
      <c r="I110" s="100"/>
      <c r="J110" s="100"/>
      <c r="K110" s="100"/>
      <c r="P110" s="148"/>
    </row>
    <row r="111" spans="3:16" s="2" customFormat="1">
      <c r="C111" s="52"/>
      <c r="D111" s="3"/>
      <c r="E111" s="84"/>
      <c r="I111" s="100"/>
      <c r="J111" s="100"/>
      <c r="K111" s="100"/>
      <c r="P111" s="148"/>
    </row>
    <row r="112" spans="3:16" s="2" customFormat="1">
      <c r="C112" s="52"/>
      <c r="D112" s="3"/>
      <c r="E112" s="84"/>
      <c r="I112" s="100"/>
      <c r="J112" s="100"/>
      <c r="K112" s="100"/>
      <c r="P112" s="148"/>
    </row>
    <row r="113" spans="3:16" s="2" customFormat="1">
      <c r="C113" s="52"/>
      <c r="D113" s="3"/>
      <c r="E113" s="84"/>
      <c r="I113" s="100"/>
      <c r="J113" s="100"/>
      <c r="K113" s="100"/>
      <c r="P113" s="148"/>
    </row>
    <row r="114" spans="3:16" s="2" customFormat="1">
      <c r="C114" s="52"/>
      <c r="D114" s="3"/>
      <c r="E114" s="84"/>
      <c r="I114" s="100"/>
      <c r="J114" s="100"/>
      <c r="K114" s="100"/>
      <c r="P114" s="148"/>
    </row>
    <row r="115" spans="3:16" s="2" customFormat="1">
      <c r="C115" s="52"/>
      <c r="D115" s="3"/>
      <c r="E115" s="84"/>
      <c r="I115" s="100"/>
      <c r="J115" s="100"/>
      <c r="K115" s="100"/>
      <c r="P115" s="148"/>
    </row>
    <row r="116" spans="3:16" s="2" customFormat="1">
      <c r="C116" s="52"/>
      <c r="D116" s="3"/>
      <c r="E116" s="84"/>
      <c r="I116" s="100"/>
      <c r="J116" s="100"/>
      <c r="K116" s="100"/>
      <c r="P116" s="148"/>
    </row>
    <row r="117" spans="3:16" s="2" customFormat="1">
      <c r="C117" s="52"/>
      <c r="D117" s="3"/>
      <c r="E117" s="84"/>
      <c r="I117" s="100"/>
      <c r="J117" s="100"/>
      <c r="K117" s="100"/>
      <c r="P117" s="148"/>
    </row>
    <row r="118" spans="3:16" s="2" customFormat="1">
      <c r="C118" s="52"/>
      <c r="D118" s="3"/>
      <c r="E118" s="84"/>
      <c r="I118" s="100"/>
      <c r="J118" s="100"/>
      <c r="K118" s="100"/>
      <c r="P118" s="148"/>
    </row>
    <row r="119" spans="3:16" s="2" customFormat="1">
      <c r="C119" s="52"/>
      <c r="D119" s="3"/>
      <c r="E119" s="84"/>
      <c r="I119" s="100"/>
      <c r="J119" s="100"/>
      <c r="K119" s="100"/>
      <c r="P119" s="148"/>
    </row>
    <row r="120" spans="3:16" s="2" customFormat="1">
      <c r="C120" s="52"/>
      <c r="D120" s="3"/>
      <c r="E120" s="84"/>
      <c r="I120" s="100"/>
      <c r="J120" s="100"/>
      <c r="K120" s="100"/>
      <c r="P120" s="148"/>
    </row>
    <row r="121" spans="3:16" s="2" customFormat="1">
      <c r="C121" s="52"/>
      <c r="D121" s="3"/>
      <c r="E121" s="84"/>
      <c r="I121" s="100"/>
      <c r="J121" s="100"/>
      <c r="K121" s="100"/>
      <c r="P121" s="148"/>
    </row>
    <row r="122" spans="3:16" s="2" customFormat="1">
      <c r="C122" s="52"/>
      <c r="D122" s="3"/>
      <c r="E122" s="84"/>
      <c r="I122" s="100"/>
      <c r="J122" s="100"/>
      <c r="K122" s="100"/>
      <c r="P122" s="148"/>
    </row>
    <row r="123" spans="3:16" s="2" customFormat="1">
      <c r="C123" s="52"/>
      <c r="D123" s="3"/>
      <c r="E123" s="84"/>
      <c r="I123" s="100"/>
      <c r="J123" s="100"/>
      <c r="K123" s="100"/>
      <c r="P123" s="148"/>
    </row>
    <row r="124" spans="3:16" s="2" customFormat="1">
      <c r="C124" s="52"/>
      <c r="D124" s="3"/>
      <c r="E124" s="84"/>
      <c r="I124" s="100"/>
      <c r="J124" s="100"/>
      <c r="K124" s="100"/>
      <c r="P124" s="148"/>
    </row>
    <row r="125" spans="3:16" s="2" customFormat="1">
      <c r="C125" s="52"/>
      <c r="D125" s="3"/>
      <c r="E125" s="84"/>
      <c r="I125" s="100"/>
      <c r="J125" s="100"/>
      <c r="K125" s="100"/>
      <c r="P125" s="148"/>
    </row>
    <row r="126" spans="3:16" s="2" customFormat="1">
      <c r="C126" s="52"/>
      <c r="D126" s="3"/>
      <c r="E126" s="84"/>
      <c r="I126" s="100"/>
      <c r="J126" s="100"/>
      <c r="K126" s="100"/>
      <c r="P126" s="148"/>
    </row>
    <row r="127" spans="3:16" s="2" customFormat="1">
      <c r="C127" s="52"/>
      <c r="D127" s="3"/>
      <c r="E127" s="84"/>
      <c r="I127" s="100"/>
      <c r="J127" s="100"/>
      <c r="K127" s="100"/>
      <c r="P127" s="148"/>
    </row>
    <row r="128" spans="3:16" s="2" customFormat="1">
      <c r="C128" s="52"/>
      <c r="D128" s="3"/>
      <c r="E128" s="84"/>
      <c r="I128" s="100"/>
      <c r="J128" s="100"/>
      <c r="K128" s="100"/>
      <c r="P128" s="148"/>
    </row>
    <row r="129" spans="3:16" s="2" customFormat="1">
      <c r="C129" s="52"/>
      <c r="D129" s="3"/>
      <c r="E129" s="84"/>
      <c r="I129" s="100"/>
      <c r="J129" s="100"/>
      <c r="K129" s="100"/>
      <c r="P129" s="148"/>
    </row>
    <row r="130" spans="3:16" s="2" customFormat="1">
      <c r="C130" s="52"/>
      <c r="D130" s="3"/>
      <c r="E130" s="84"/>
      <c r="I130" s="100"/>
      <c r="J130" s="100"/>
      <c r="K130" s="100"/>
      <c r="P130" s="148"/>
    </row>
    <row r="131" spans="3:16" s="2" customFormat="1">
      <c r="C131" s="52"/>
      <c r="D131" s="3"/>
      <c r="E131" s="84"/>
      <c r="I131" s="100"/>
      <c r="J131" s="100"/>
      <c r="K131" s="100"/>
      <c r="P131" s="148"/>
    </row>
    <row r="132" spans="3:16" s="2" customFormat="1">
      <c r="C132" s="52"/>
      <c r="D132" s="3"/>
      <c r="E132" s="84"/>
      <c r="I132" s="100"/>
      <c r="J132" s="100"/>
      <c r="K132" s="100"/>
      <c r="P132" s="148"/>
    </row>
    <row r="133" spans="3:16" s="2" customFormat="1">
      <c r="C133" s="52"/>
      <c r="D133" s="3"/>
      <c r="E133" s="84"/>
      <c r="I133" s="100"/>
      <c r="J133" s="100"/>
      <c r="K133" s="100"/>
      <c r="P133" s="148"/>
    </row>
    <row r="134" spans="3:16" s="2" customFormat="1">
      <c r="C134" s="52"/>
      <c r="D134" s="3"/>
      <c r="E134" s="84"/>
      <c r="I134" s="100"/>
      <c r="J134" s="100"/>
      <c r="K134" s="100"/>
      <c r="P134" s="148"/>
    </row>
    <row r="135" spans="3:16" s="2" customFormat="1">
      <c r="C135" s="52"/>
      <c r="D135" s="3"/>
      <c r="E135" s="84"/>
      <c r="I135" s="100"/>
      <c r="J135" s="100"/>
      <c r="K135" s="100"/>
      <c r="P135" s="148"/>
    </row>
    <row r="136" spans="3:16" s="2" customFormat="1">
      <c r="C136" s="52"/>
      <c r="D136" s="3"/>
      <c r="E136" s="84"/>
      <c r="I136" s="100"/>
      <c r="J136" s="100"/>
      <c r="K136" s="100"/>
      <c r="P136" s="148"/>
    </row>
    <row r="137" spans="3:16" s="2" customFormat="1">
      <c r="C137" s="52"/>
      <c r="D137" s="3"/>
      <c r="E137" s="84"/>
      <c r="I137" s="100"/>
      <c r="J137" s="100"/>
      <c r="K137" s="100"/>
      <c r="P137" s="148"/>
    </row>
    <row r="138" spans="3:16" s="2" customFormat="1">
      <c r="C138" s="52"/>
      <c r="D138" s="3"/>
      <c r="E138" s="84"/>
      <c r="I138" s="100"/>
      <c r="J138" s="100"/>
      <c r="K138" s="100"/>
      <c r="P138" s="148"/>
    </row>
    <row r="139" spans="3:16" s="2" customFormat="1">
      <c r="C139" s="52"/>
      <c r="D139" s="3"/>
      <c r="E139" s="84"/>
      <c r="I139" s="100"/>
      <c r="J139" s="100"/>
      <c r="K139" s="100"/>
      <c r="P139" s="148"/>
    </row>
    <row r="140" spans="3:16" s="2" customFormat="1">
      <c r="C140" s="52"/>
      <c r="D140" s="3"/>
      <c r="E140" s="84"/>
      <c r="I140" s="100"/>
      <c r="J140" s="100"/>
      <c r="K140" s="100"/>
      <c r="P140" s="148"/>
    </row>
    <row r="141" spans="3:16" s="2" customFormat="1">
      <c r="C141" s="52"/>
      <c r="D141" s="3"/>
      <c r="E141" s="84"/>
      <c r="I141" s="100"/>
      <c r="J141" s="100"/>
      <c r="K141" s="100"/>
      <c r="P141" s="148"/>
    </row>
    <row r="142" spans="3:16" s="2" customFormat="1">
      <c r="C142" s="52"/>
      <c r="D142" s="3"/>
      <c r="E142" s="84"/>
      <c r="I142" s="100"/>
      <c r="J142" s="100"/>
      <c r="K142" s="100"/>
      <c r="P142" s="148"/>
    </row>
    <row r="143" spans="3:16" s="2" customFormat="1">
      <c r="C143" s="52"/>
      <c r="D143" s="3"/>
      <c r="E143" s="84"/>
      <c r="I143" s="100"/>
      <c r="J143" s="100"/>
      <c r="K143" s="100"/>
      <c r="P143" s="148"/>
    </row>
    <row r="144" spans="3:16" s="2" customFormat="1">
      <c r="C144" s="52"/>
      <c r="D144" s="3"/>
      <c r="E144" s="84"/>
      <c r="I144" s="100"/>
      <c r="J144" s="100"/>
      <c r="K144" s="100"/>
      <c r="P144" s="148"/>
    </row>
    <row r="145" spans="3:16" s="2" customFormat="1">
      <c r="C145" s="52"/>
      <c r="D145" s="3"/>
      <c r="E145" s="84"/>
      <c r="I145" s="100"/>
      <c r="J145" s="100"/>
      <c r="K145" s="100"/>
      <c r="P145" s="148"/>
    </row>
    <row r="146" spans="3:16" s="2" customFormat="1">
      <c r="C146" s="52"/>
      <c r="D146" s="3"/>
      <c r="E146" s="84"/>
      <c r="I146" s="100"/>
      <c r="J146" s="100"/>
      <c r="K146" s="100"/>
      <c r="P146" s="148"/>
    </row>
    <row r="147" spans="3:16" s="2" customFormat="1">
      <c r="C147" s="52"/>
      <c r="D147" s="3"/>
      <c r="E147" s="84"/>
      <c r="I147" s="100"/>
      <c r="J147" s="100"/>
      <c r="K147" s="100"/>
      <c r="P147" s="148"/>
    </row>
    <row r="148" spans="3:16" s="2" customFormat="1">
      <c r="C148" s="52"/>
      <c r="D148" s="3"/>
      <c r="E148" s="84"/>
      <c r="I148" s="100"/>
      <c r="J148" s="100"/>
      <c r="K148" s="100"/>
      <c r="P148" s="148"/>
    </row>
    <row r="149" spans="3:16" s="2" customFormat="1">
      <c r="C149" s="52"/>
      <c r="D149" s="3"/>
      <c r="E149" s="84"/>
      <c r="I149" s="100"/>
      <c r="J149" s="100"/>
      <c r="K149" s="100"/>
      <c r="P149" s="148"/>
    </row>
    <row r="150" spans="3:16" s="2" customFormat="1">
      <c r="C150" s="52"/>
      <c r="D150" s="3"/>
      <c r="E150" s="84"/>
      <c r="I150" s="100"/>
      <c r="J150" s="100"/>
      <c r="K150" s="100"/>
      <c r="P150" s="148"/>
    </row>
    <row r="151" spans="3:16" s="2" customFormat="1">
      <c r="C151" s="52"/>
      <c r="D151" s="3"/>
      <c r="E151" s="84"/>
      <c r="I151" s="100"/>
      <c r="J151" s="100"/>
      <c r="K151" s="100"/>
      <c r="P151" s="148"/>
    </row>
    <row r="152" spans="3:16" s="2" customFormat="1">
      <c r="C152" s="52"/>
      <c r="D152" s="3"/>
      <c r="E152" s="84"/>
      <c r="I152" s="100"/>
      <c r="J152" s="100"/>
      <c r="K152" s="100"/>
      <c r="P152" s="148"/>
    </row>
    <row r="153" spans="3:16" s="2" customFormat="1">
      <c r="C153" s="52"/>
      <c r="D153" s="3"/>
      <c r="E153" s="84"/>
      <c r="I153" s="100"/>
      <c r="J153" s="100"/>
      <c r="K153" s="100"/>
      <c r="P153" s="148"/>
    </row>
    <row r="154" spans="3:16" s="2" customFormat="1">
      <c r="C154" s="52"/>
      <c r="D154" s="3"/>
      <c r="E154" s="84"/>
      <c r="I154" s="100"/>
      <c r="J154" s="100"/>
      <c r="K154" s="100"/>
      <c r="P154" s="148"/>
    </row>
    <row r="155" spans="3:16" s="2" customFormat="1">
      <c r="C155" s="52"/>
      <c r="D155" s="3"/>
      <c r="E155" s="84"/>
      <c r="I155" s="100"/>
      <c r="J155" s="100"/>
      <c r="K155" s="100"/>
      <c r="P155" s="148"/>
    </row>
    <row r="156" spans="3:16" s="2" customFormat="1">
      <c r="C156" s="52"/>
      <c r="D156" s="3"/>
      <c r="E156" s="84"/>
      <c r="I156" s="100"/>
      <c r="J156" s="100"/>
      <c r="K156" s="100"/>
      <c r="P156" s="148"/>
    </row>
    <row r="157" spans="3:16" s="2" customFormat="1">
      <c r="C157" s="52"/>
      <c r="D157" s="3"/>
      <c r="E157" s="84"/>
      <c r="I157" s="100"/>
      <c r="J157" s="100"/>
      <c r="K157" s="100"/>
      <c r="P157" s="148"/>
    </row>
    <row r="158" spans="3:16" s="2" customFormat="1">
      <c r="C158" s="52"/>
      <c r="D158" s="3"/>
      <c r="E158" s="84"/>
      <c r="I158" s="100"/>
      <c r="J158" s="100"/>
      <c r="K158" s="100"/>
      <c r="P158" s="148"/>
    </row>
    <row r="159" spans="3:16" s="2" customFormat="1">
      <c r="C159" s="52"/>
      <c r="D159" s="3"/>
      <c r="E159" s="84"/>
      <c r="I159" s="100"/>
      <c r="J159" s="100"/>
      <c r="K159" s="100"/>
      <c r="P159" s="148"/>
    </row>
    <row r="160" spans="3:16" s="2" customFormat="1">
      <c r="C160" s="52"/>
      <c r="D160" s="3"/>
      <c r="E160" s="84"/>
      <c r="I160" s="100"/>
      <c r="J160" s="100"/>
      <c r="K160" s="100"/>
      <c r="P160" s="148"/>
    </row>
    <row r="161" spans="3:16" s="2" customFormat="1">
      <c r="C161" s="52"/>
      <c r="D161" s="3"/>
      <c r="E161" s="84"/>
      <c r="I161" s="100"/>
      <c r="J161" s="100"/>
      <c r="K161" s="100"/>
      <c r="P161" s="148"/>
    </row>
    <row r="162" spans="3:16" s="2" customFormat="1">
      <c r="C162" s="52"/>
      <c r="D162" s="3"/>
      <c r="E162" s="84"/>
      <c r="I162" s="100"/>
      <c r="J162" s="100"/>
      <c r="K162" s="100"/>
      <c r="P162" s="148"/>
    </row>
    <row r="163" spans="3:16" s="2" customFormat="1">
      <c r="C163" s="52"/>
      <c r="D163" s="3"/>
      <c r="E163" s="84"/>
      <c r="I163" s="100"/>
      <c r="J163" s="100"/>
      <c r="K163" s="100"/>
      <c r="P163" s="148"/>
    </row>
    <row r="164" spans="3:16" s="2" customFormat="1">
      <c r="C164" s="52"/>
      <c r="D164" s="3"/>
      <c r="E164" s="84"/>
      <c r="I164" s="100"/>
      <c r="J164" s="100"/>
      <c r="K164" s="100"/>
      <c r="P164" s="148"/>
    </row>
    <row r="165" spans="3:16" s="2" customFormat="1">
      <c r="C165" s="52"/>
      <c r="D165" s="3"/>
      <c r="E165" s="84"/>
      <c r="I165" s="100"/>
      <c r="J165" s="100"/>
      <c r="K165" s="100"/>
      <c r="P165" s="148"/>
    </row>
    <row r="166" spans="3:16" s="2" customFormat="1">
      <c r="C166" s="52"/>
      <c r="D166" s="3"/>
      <c r="E166" s="84"/>
      <c r="I166" s="100"/>
      <c r="J166" s="100"/>
      <c r="K166" s="100"/>
      <c r="P166" s="148"/>
    </row>
    <row r="167" spans="3:16" s="2" customFormat="1">
      <c r="C167" s="52"/>
      <c r="D167" s="3"/>
      <c r="E167" s="84"/>
      <c r="I167" s="100"/>
      <c r="J167" s="100"/>
      <c r="K167" s="100"/>
      <c r="P167" s="148"/>
    </row>
    <row r="168" spans="3:16" s="2" customFormat="1">
      <c r="C168" s="52"/>
      <c r="D168" s="3"/>
      <c r="E168" s="84"/>
      <c r="I168" s="100"/>
      <c r="J168" s="100"/>
      <c r="K168" s="100"/>
      <c r="P168" s="148"/>
    </row>
    <row r="169" spans="3:16" s="2" customFormat="1">
      <c r="C169" s="52"/>
      <c r="D169" s="3"/>
      <c r="E169" s="84"/>
      <c r="I169" s="100"/>
      <c r="J169" s="100"/>
      <c r="K169" s="100"/>
      <c r="P169" s="148"/>
    </row>
    <row r="170" spans="3:16" s="2" customFormat="1">
      <c r="C170" s="52"/>
      <c r="D170" s="3"/>
      <c r="E170" s="84"/>
      <c r="I170" s="100"/>
      <c r="J170" s="100"/>
      <c r="K170" s="100"/>
      <c r="P170" s="148"/>
    </row>
    <row r="171" spans="3:16" s="2" customFormat="1">
      <c r="C171" s="52"/>
      <c r="D171" s="3"/>
      <c r="E171" s="84"/>
      <c r="I171" s="100"/>
      <c r="J171" s="100"/>
      <c r="K171" s="100"/>
      <c r="P171" s="148"/>
    </row>
    <row r="172" spans="3:16" s="2" customFormat="1">
      <c r="C172" s="52"/>
      <c r="D172" s="3"/>
      <c r="E172" s="84"/>
      <c r="I172" s="100"/>
      <c r="J172" s="100"/>
      <c r="K172" s="100"/>
      <c r="P172" s="148"/>
    </row>
    <row r="173" spans="3:16" s="2" customFormat="1">
      <c r="C173" s="52"/>
      <c r="D173" s="3"/>
      <c r="E173" s="84"/>
      <c r="I173" s="100"/>
      <c r="J173" s="100"/>
      <c r="K173" s="100"/>
      <c r="P173" s="148"/>
    </row>
    <row r="174" spans="3:16" s="2" customFormat="1">
      <c r="C174" s="52"/>
      <c r="D174" s="3"/>
      <c r="E174" s="84"/>
      <c r="I174" s="100"/>
      <c r="J174" s="100"/>
      <c r="K174" s="100"/>
      <c r="P174" s="148"/>
    </row>
    <row r="175" spans="3:16" s="2" customFormat="1">
      <c r="C175" s="52"/>
      <c r="D175" s="3"/>
      <c r="E175" s="84"/>
      <c r="I175" s="100"/>
      <c r="J175" s="100"/>
      <c r="K175" s="100"/>
      <c r="P175" s="148"/>
    </row>
    <row r="176" spans="3:16" s="2" customFormat="1">
      <c r="C176" s="52"/>
      <c r="D176" s="3"/>
      <c r="E176" s="84"/>
      <c r="I176" s="100"/>
      <c r="J176" s="100"/>
      <c r="K176" s="100"/>
      <c r="P176" s="148"/>
    </row>
    <row r="177" spans="3:16" s="2" customFormat="1">
      <c r="C177" s="52"/>
      <c r="D177" s="3"/>
      <c r="E177" s="84"/>
      <c r="I177" s="100"/>
      <c r="J177" s="100"/>
      <c r="K177" s="100"/>
      <c r="P177" s="148"/>
    </row>
    <row r="178" spans="3:16" s="2" customFormat="1">
      <c r="C178" s="52"/>
      <c r="D178" s="3"/>
      <c r="E178" s="84"/>
      <c r="I178" s="100"/>
      <c r="J178" s="100"/>
      <c r="K178" s="100"/>
      <c r="P178" s="148"/>
    </row>
    <row r="179" spans="3:16" s="2" customFormat="1">
      <c r="C179" s="52"/>
      <c r="D179" s="3"/>
      <c r="E179" s="84"/>
      <c r="I179" s="100"/>
      <c r="J179" s="100"/>
      <c r="K179" s="100"/>
      <c r="P179" s="148"/>
    </row>
    <row r="180" spans="3:16" s="2" customFormat="1">
      <c r="C180" s="52"/>
      <c r="D180" s="3"/>
      <c r="E180" s="84"/>
      <c r="I180" s="100"/>
      <c r="J180" s="100"/>
      <c r="K180" s="100"/>
      <c r="P180" s="148"/>
    </row>
    <row r="181" spans="3:16" s="2" customFormat="1">
      <c r="C181" s="52"/>
      <c r="D181" s="3"/>
      <c r="E181" s="84"/>
      <c r="I181" s="100"/>
      <c r="J181" s="100"/>
      <c r="K181" s="100"/>
      <c r="P181" s="148"/>
    </row>
    <row r="182" spans="3:16" s="2" customFormat="1">
      <c r="C182" s="52"/>
      <c r="D182" s="3"/>
      <c r="E182" s="84"/>
      <c r="I182" s="100"/>
      <c r="J182" s="100"/>
      <c r="K182" s="100"/>
      <c r="P182" s="148"/>
    </row>
    <row r="183" spans="3:16" s="2" customFormat="1">
      <c r="C183" s="52"/>
      <c r="D183" s="3"/>
      <c r="E183" s="84"/>
      <c r="I183" s="100"/>
      <c r="J183" s="100"/>
      <c r="K183" s="100"/>
      <c r="P183" s="148"/>
    </row>
    <row r="184" spans="3:16" s="2" customFormat="1">
      <c r="C184" s="52"/>
      <c r="D184" s="3"/>
      <c r="E184" s="84"/>
      <c r="I184" s="100"/>
      <c r="J184" s="100"/>
      <c r="K184" s="100"/>
      <c r="P184" s="148"/>
    </row>
    <row r="185" spans="3:16" s="2" customFormat="1">
      <c r="C185" s="52"/>
      <c r="D185" s="3"/>
      <c r="E185" s="84"/>
      <c r="I185" s="100"/>
      <c r="J185" s="100"/>
      <c r="K185" s="100"/>
      <c r="P185" s="148"/>
    </row>
    <row r="186" spans="3:16" s="2" customFormat="1">
      <c r="C186" s="52"/>
      <c r="D186" s="3"/>
      <c r="E186" s="84"/>
      <c r="I186" s="100"/>
      <c r="J186" s="100"/>
      <c r="K186" s="100"/>
      <c r="P186" s="148"/>
    </row>
    <row r="187" spans="3:16" s="2" customFormat="1">
      <c r="C187" s="52"/>
      <c r="D187" s="3"/>
      <c r="E187" s="84"/>
      <c r="I187" s="100"/>
      <c r="J187" s="100"/>
      <c r="K187" s="100"/>
      <c r="P187" s="148"/>
    </row>
    <row r="188" spans="3:16" s="2" customFormat="1">
      <c r="C188" s="52"/>
      <c r="D188" s="3"/>
      <c r="E188" s="84"/>
      <c r="I188" s="100"/>
      <c r="J188" s="100"/>
      <c r="K188" s="100"/>
      <c r="P188" s="148"/>
    </row>
  </sheetData>
  <sheetProtection algorithmName="SHA-512" hashValue="6sAXZc9sBfrv3obsH1GYgdp37W5RyzAQ3LEWdSCI49QxpMcaoOWuhVyEybzKoDxB/XL4TGcngm+4z1Y2IFMBDQ==" saltValue="Bb40+MfKHe8uiwM/0+ywTQ==" spinCount="100000" sheet="1" formatCells="0" formatColumns="0" formatRows="0" insertColumns="0" insertRows="0" insertHyperlinks="0" deleteColumns="0" deleteRows="0" sort="0" autoFilter="0" pivotTables="0"/>
  <mergeCells count="61">
    <mergeCell ref="D1:N2"/>
    <mergeCell ref="A4:A12"/>
    <mergeCell ref="B4:B11"/>
    <mergeCell ref="C4:C5"/>
    <mergeCell ref="D4:D5"/>
    <mergeCell ref="E4:E5"/>
    <mergeCell ref="G4:G5"/>
    <mergeCell ref="M4:M5"/>
    <mergeCell ref="N4:N5"/>
    <mergeCell ref="C6:C7"/>
    <mergeCell ref="D6:D7"/>
    <mergeCell ref="E6:E7"/>
    <mergeCell ref="G6:G7"/>
    <mergeCell ref="M6:M7"/>
    <mergeCell ref="N6:N7"/>
    <mergeCell ref="M17:M19"/>
    <mergeCell ref="N8:N11"/>
    <mergeCell ref="B12:D12"/>
    <mergeCell ref="A13:A20"/>
    <mergeCell ref="B13:B16"/>
    <mergeCell ref="C13:C16"/>
    <mergeCell ref="D13:D16"/>
    <mergeCell ref="E13:E16"/>
    <mergeCell ref="G13:G16"/>
    <mergeCell ref="M13:M16"/>
    <mergeCell ref="N13:N16"/>
    <mergeCell ref="C8:C11"/>
    <mergeCell ref="D8:D11"/>
    <mergeCell ref="E8:E11"/>
    <mergeCell ref="G8:G11"/>
    <mergeCell ref="M8:M11"/>
    <mergeCell ref="N24:N25"/>
    <mergeCell ref="N17:N19"/>
    <mergeCell ref="B20:D20"/>
    <mergeCell ref="A21:A30"/>
    <mergeCell ref="B21:B26"/>
    <mergeCell ref="C21:C23"/>
    <mergeCell ref="D21:D23"/>
    <mergeCell ref="E21:E23"/>
    <mergeCell ref="G21:G23"/>
    <mergeCell ref="M21:M23"/>
    <mergeCell ref="N21:N23"/>
    <mergeCell ref="B17:B18"/>
    <mergeCell ref="C17:C18"/>
    <mergeCell ref="D17:D19"/>
    <mergeCell ref="E17:E19"/>
    <mergeCell ref="G17:G19"/>
    <mergeCell ref="C24:C25"/>
    <mergeCell ref="D24:D25"/>
    <mergeCell ref="E24:E25"/>
    <mergeCell ref="G24:G25"/>
    <mergeCell ref="M24:M25"/>
    <mergeCell ref="N28:N29"/>
    <mergeCell ref="B30:D30"/>
    <mergeCell ref="A31:D31"/>
    <mergeCell ref="B27:B29"/>
    <mergeCell ref="C28:C29"/>
    <mergeCell ref="D28:D29"/>
    <mergeCell ref="E28:E29"/>
    <mergeCell ref="G28:G29"/>
    <mergeCell ref="M28:M29"/>
  </mergeCells>
  <conditionalFormatting sqref="L1:L1048576">
    <cfRule type="cellIs" dxfId="9" priority="2" operator="equal">
      <formula>1</formula>
    </cfRule>
  </conditionalFormatting>
  <conditionalFormatting sqref="O1:O1048576">
    <cfRule type="cellIs" dxfId="8" priority="1" operator="equal">
      <formula>1</formula>
    </cfRule>
  </conditionalFormatting>
  <pageMargins left="0.70866141732283472" right="0.70866141732283472" top="0.74803149606299213" bottom="0.74803149606299213" header="0.31496062992125984" footer="0.31496062992125984"/>
  <pageSetup scale="19"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pageSetUpPr fitToPage="1"/>
  </sheetPr>
  <dimension ref="A1:U188"/>
  <sheetViews>
    <sheetView topLeftCell="B1" zoomScale="80" zoomScaleNormal="80" workbookViewId="0">
      <selection activeCell="J24" sqref="J24"/>
    </sheetView>
  </sheetViews>
  <sheetFormatPr baseColWidth="10" defaultColWidth="11.42578125" defaultRowHeight="15"/>
  <cols>
    <col min="1" max="1" width="19.85546875" customWidth="1"/>
    <col min="2" max="2" width="12.85546875" customWidth="1"/>
    <col min="3" max="3" width="6" style="53" customWidth="1"/>
    <col min="4" max="4" width="24.5703125" style="1" customWidth="1"/>
    <col min="5" max="5" width="18.42578125" style="87" customWidth="1"/>
    <col min="6" max="6" width="40.28515625" style="2" customWidth="1"/>
    <col min="7" max="7" width="12.140625" style="2" bestFit="1" customWidth="1"/>
    <col min="8" max="8" width="11.42578125" style="2"/>
    <col min="9" max="9" width="13.85546875" style="100" customWidth="1"/>
    <col min="10" max="10" width="14.28515625" style="100" customWidth="1"/>
    <col min="11" max="11" width="15.140625" style="2" customWidth="1"/>
    <col min="12" max="13" width="16" style="2" customWidth="1"/>
    <col min="14" max="14" width="31.42578125" style="2" customWidth="1"/>
    <col min="15" max="15" width="53.7109375" style="148" customWidth="1"/>
    <col min="16" max="19" width="11.42578125" style="2"/>
  </cols>
  <sheetData>
    <row r="1" spans="1:21" s="2" customFormat="1" ht="21" customHeight="1">
      <c r="A1" s="135" t="s">
        <v>87</v>
      </c>
      <c r="B1" s="135"/>
      <c r="C1" s="135"/>
      <c r="D1" s="200" t="s">
        <v>185</v>
      </c>
      <c r="E1" s="200"/>
      <c r="F1" s="200"/>
      <c r="G1" s="200"/>
      <c r="H1" s="200"/>
      <c r="I1" s="200"/>
      <c r="J1" s="200"/>
      <c r="K1" s="200"/>
      <c r="L1" s="200"/>
      <c r="M1" s="200"/>
      <c r="N1" s="149"/>
      <c r="O1" s="141"/>
      <c r="T1"/>
      <c r="U1"/>
    </row>
    <row r="2" spans="1:21" s="2" customFormat="1" ht="15.75" customHeight="1" thickBot="1">
      <c r="A2" s="136"/>
      <c r="B2" s="136"/>
      <c r="C2" s="136"/>
      <c r="D2" s="201"/>
      <c r="E2" s="201"/>
      <c r="F2" s="201"/>
      <c r="G2" s="201"/>
      <c r="H2" s="201"/>
      <c r="I2" s="201"/>
      <c r="J2" s="201"/>
      <c r="K2" s="201"/>
      <c r="L2" s="201"/>
      <c r="M2" s="201"/>
      <c r="N2" s="150"/>
      <c r="O2" s="142"/>
      <c r="T2"/>
      <c r="U2"/>
    </row>
    <row r="3" spans="1:21" s="2" customFormat="1" ht="33" customHeight="1">
      <c r="A3" s="56" t="s">
        <v>0</v>
      </c>
      <c r="B3" s="56" t="s">
        <v>1</v>
      </c>
      <c r="C3" s="56" t="s">
        <v>37</v>
      </c>
      <c r="D3" s="56" t="s">
        <v>85</v>
      </c>
      <c r="E3" s="88" t="s">
        <v>115</v>
      </c>
      <c r="F3" s="88" t="s">
        <v>55</v>
      </c>
      <c r="G3" s="88" t="s">
        <v>62</v>
      </c>
      <c r="H3" s="88" t="s">
        <v>86</v>
      </c>
      <c r="I3" s="101" t="s">
        <v>60</v>
      </c>
      <c r="J3" s="109" t="s">
        <v>61</v>
      </c>
      <c r="K3" s="88" t="s">
        <v>61</v>
      </c>
      <c r="L3" s="88" t="s">
        <v>90</v>
      </c>
      <c r="M3" s="88" t="s">
        <v>91</v>
      </c>
      <c r="N3" s="88" t="s">
        <v>141</v>
      </c>
      <c r="O3" s="88" t="s">
        <v>80</v>
      </c>
      <c r="T3"/>
      <c r="U3"/>
    </row>
    <row r="4" spans="1:21" s="2" customFormat="1" ht="147" customHeight="1">
      <c r="A4" s="188" t="s">
        <v>7</v>
      </c>
      <c r="B4" s="215" t="s">
        <v>8</v>
      </c>
      <c r="C4" s="181" t="s">
        <v>10</v>
      </c>
      <c r="D4" s="182" t="s">
        <v>14</v>
      </c>
      <c r="E4" s="178">
        <f>'2022'!E7</f>
        <v>596700000</v>
      </c>
      <c r="F4" s="59" t="s">
        <v>122</v>
      </c>
      <c r="G4" s="189">
        <f>E4/$E$31</f>
        <v>7.9559999999999995E-3</v>
      </c>
      <c r="H4" s="106">
        <f>G4*80%</f>
        <v>6.3648000000000003E-3</v>
      </c>
      <c r="I4" s="102">
        <v>443</v>
      </c>
      <c r="J4" s="107">
        <v>443</v>
      </c>
      <c r="K4" s="61">
        <f t="shared" ref="K4:K11" si="0">J4/I4</f>
        <v>1</v>
      </c>
      <c r="L4" s="180">
        <f>K4*H4+K5*H5</f>
        <v>7.9560000000000013E-3</v>
      </c>
      <c r="M4" s="190">
        <f>L4/G4</f>
        <v>1.0000000000000002</v>
      </c>
      <c r="N4" s="154" t="s">
        <v>142</v>
      </c>
      <c r="O4" s="143"/>
    </row>
    <row r="5" spans="1:21" s="2" customFormat="1" ht="90">
      <c r="A5" s="188"/>
      <c r="B5" s="216"/>
      <c r="C5" s="181"/>
      <c r="D5" s="182"/>
      <c r="E5" s="178"/>
      <c r="F5" s="112" t="s">
        <v>139</v>
      </c>
      <c r="G5" s="189"/>
      <c r="H5" s="106">
        <f>G4*20%</f>
        <v>1.5912000000000001E-3</v>
      </c>
      <c r="I5" s="102">
        <v>443</v>
      </c>
      <c r="J5" s="107">
        <v>443</v>
      </c>
      <c r="K5" s="61">
        <f>J5/I5</f>
        <v>1</v>
      </c>
      <c r="L5" s="180"/>
      <c r="M5" s="192"/>
      <c r="N5" s="158" t="s">
        <v>145</v>
      </c>
      <c r="O5" s="143"/>
      <c r="P5" s="113"/>
    </row>
    <row r="6" spans="1:21" s="2" customFormat="1" ht="30">
      <c r="A6" s="188"/>
      <c r="B6" s="216"/>
      <c r="C6" s="181" t="s">
        <v>12</v>
      </c>
      <c r="D6" s="182" t="s">
        <v>38</v>
      </c>
      <c r="E6" s="178">
        <f>'2022'!E8</f>
        <v>4490720000</v>
      </c>
      <c r="F6" s="58" t="s">
        <v>123</v>
      </c>
      <c r="G6" s="189">
        <f>E6/$E$31</f>
        <v>5.9876266666666664E-2</v>
      </c>
      <c r="H6" s="106">
        <f>G6*80%</f>
        <v>4.7901013333333332E-2</v>
      </c>
      <c r="I6" s="102">
        <v>354</v>
      </c>
      <c r="J6" s="107">
        <v>0</v>
      </c>
      <c r="K6" s="61">
        <f>J6/I6</f>
        <v>0</v>
      </c>
      <c r="L6" s="180">
        <f>K6*H6+K7*H7</f>
        <v>0</v>
      </c>
      <c r="M6" s="190">
        <f>L6/G6</f>
        <v>0</v>
      </c>
      <c r="N6" s="158" t="s">
        <v>143</v>
      </c>
      <c r="O6" s="143"/>
    </row>
    <row r="7" spans="1:21" s="2" customFormat="1" ht="29.25" customHeight="1">
      <c r="A7" s="188"/>
      <c r="B7" s="216"/>
      <c r="C7" s="181"/>
      <c r="D7" s="182"/>
      <c r="E7" s="178"/>
      <c r="F7" s="112" t="s">
        <v>140</v>
      </c>
      <c r="G7" s="189"/>
      <c r="H7" s="106">
        <f>G6*20%</f>
        <v>1.1975253333333333E-2</v>
      </c>
      <c r="I7" s="102">
        <v>354</v>
      </c>
      <c r="J7" s="107">
        <v>0</v>
      </c>
      <c r="K7" s="61">
        <f>J7/I7</f>
        <v>0</v>
      </c>
      <c r="L7" s="180"/>
      <c r="M7" s="192"/>
      <c r="N7" s="158" t="s">
        <v>144</v>
      </c>
      <c r="O7" s="144"/>
    </row>
    <row r="8" spans="1:21" s="2" customFormat="1" ht="45">
      <c r="A8" s="188"/>
      <c r="B8" s="216"/>
      <c r="C8" s="209" t="s">
        <v>13</v>
      </c>
      <c r="D8" s="212" t="s">
        <v>11</v>
      </c>
      <c r="E8" s="203">
        <f>'2022'!E9</f>
        <v>7490625000</v>
      </c>
      <c r="F8" s="59" t="s">
        <v>124</v>
      </c>
      <c r="G8" s="196">
        <f>E8/E31</f>
        <v>9.9875000000000005E-2</v>
      </c>
      <c r="H8" s="63">
        <f>G8*10%</f>
        <v>9.9875000000000016E-3</v>
      </c>
      <c r="I8" s="102">
        <v>272</v>
      </c>
      <c r="J8" s="107">
        <v>0</v>
      </c>
      <c r="K8" s="61">
        <f t="shared" si="0"/>
        <v>0</v>
      </c>
      <c r="L8" s="173">
        <f>K8*H8+K9*H9+K10*H10+K11*H11</f>
        <v>6.1764705882352941E-4</v>
      </c>
      <c r="M8" s="173">
        <f>L8/G8</f>
        <v>6.1842008392843989E-3</v>
      </c>
      <c r="N8" s="155" t="s">
        <v>165</v>
      </c>
      <c r="O8" s="143"/>
    </row>
    <row r="9" spans="1:21" s="2" customFormat="1" ht="75">
      <c r="A9" s="188"/>
      <c r="B9" s="216"/>
      <c r="C9" s="210"/>
      <c r="D9" s="213"/>
      <c r="E9" s="204"/>
      <c r="F9" s="132" t="s">
        <v>84</v>
      </c>
      <c r="G9" s="197"/>
      <c r="H9" s="106">
        <f>G8*80%</f>
        <v>7.9900000000000013E-2</v>
      </c>
      <c r="I9" s="102">
        <f>478*3</f>
        <v>1434</v>
      </c>
      <c r="J9" s="107">
        <v>0</v>
      </c>
      <c r="K9" s="61">
        <f t="shared" si="0"/>
        <v>0</v>
      </c>
      <c r="L9" s="187"/>
      <c r="M9" s="187"/>
      <c r="N9" s="158" t="s">
        <v>156</v>
      </c>
      <c r="O9" s="144"/>
    </row>
    <row r="10" spans="1:21" s="2" customFormat="1" ht="44.25" customHeight="1">
      <c r="A10" s="188"/>
      <c r="B10" s="216"/>
      <c r="C10" s="210"/>
      <c r="D10" s="213"/>
      <c r="E10" s="204"/>
      <c r="F10" s="58" t="s">
        <v>130</v>
      </c>
      <c r="G10" s="197"/>
      <c r="H10" s="63">
        <f>G8*5%</f>
        <v>4.9937500000000008E-3</v>
      </c>
      <c r="I10" s="102">
        <f>I8*1</f>
        <v>272</v>
      </c>
      <c r="J10" s="107">
        <v>0</v>
      </c>
      <c r="K10" s="61">
        <f t="shared" si="0"/>
        <v>0</v>
      </c>
      <c r="L10" s="187"/>
      <c r="M10" s="187"/>
      <c r="N10" s="158" t="s">
        <v>156</v>
      </c>
      <c r="O10" s="143"/>
    </row>
    <row r="11" spans="1:21" s="2" customFormat="1" ht="44.25" customHeight="1">
      <c r="A11" s="188"/>
      <c r="B11" s="217"/>
      <c r="C11" s="211"/>
      <c r="D11" s="214"/>
      <c r="E11" s="205"/>
      <c r="F11" s="58" t="s">
        <v>83</v>
      </c>
      <c r="G11" s="198"/>
      <c r="H11" s="63">
        <v>5.0000000000000001E-3</v>
      </c>
      <c r="I11" s="102">
        <f>170*4</f>
        <v>680</v>
      </c>
      <c r="J11" s="107">
        <v>84</v>
      </c>
      <c r="K11" s="61">
        <f t="shared" si="0"/>
        <v>0.12352941176470589</v>
      </c>
      <c r="L11" s="174"/>
      <c r="M11" s="174"/>
      <c r="N11" s="167"/>
      <c r="O11" s="143"/>
    </row>
    <row r="12" spans="1:21" s="2" customFormat="1">
      <c r="A12" s="188"/>
      <c r="B12" s="175" t="s">
        <v>16</v>
      </c>
      <c r="C12" s="175"/>
      <c r="D12" s="175"/>
      <c r="E12" s="74">
        <f>SUM(E4:E10)</f>
        <v>12578045000</v>
      </c>
      <c r="F12" s="69"/>
      <c r="G12" s="115">
        <f>SUM(G4:G10)</f>
        <v>0.16770726666666669</v>
      </c>
      <c r="H12" s="115">
        <f>SUM(H4:H10)</f>
        <v>0.16271351666666667</v>
      </c>
      <c r="I12" s="103"/>
      <c r="J12" s="103"/>
      <c r="K12" s="97"/>
      <c r="L12" s="116">
        <f>SUM(L4:L10)</f>
        <v>8.5736470588235313E-3</v>
      </c>
      <c r="M12" s="116">
        <f>L12/G12</f>
        <v>5.1122692708744859E-2</v>
      </c>
      <c r="N12" s="70">
        <f>M12</f>
        <v>5.1122692708744859E-2</v>
      </c>
      <c r="O12" s="145"/>
    </row>
    <row r="13" spans="1:21" s="2" customFormat="1" ht="27" customHeight="1">
      <c r="A13" s="188" t="s">
        <v>17</v>
      </c>
      <c r="B13" s="177" t="s">
        <v>18</v>
      </c>
      <c r="C13" s="177" t="s">
        <v>19</v>
      </c>
      <c r="D13" s="182" t="s">
        <v>18</v>
      </c>
      <c r="E13" s="178">
        <f>'2022'!E11</f>
        <v>54400000000</v>
      </c>
      <c r="F13" s="59" t="s">
        <v>131</v>
      </c>
      <c r="G13" s="199">
        <f>E13/E31</f>
        <v>0.72533333333333339</v>
      </c>
      <c r="H13" s="63">
        <f>G13*30%</f>
        <v>0.21760000000000002</v>
      </c>
      <c r="I13" s="102">
        <v>272</v>
      </c>
      <c r="J13" s="107">
        <v>0</v>
      </c>
      <c r="K13" s="64">
        <f>J13/I13</f>
        <v>0</v>
      </c>
      <c r="L13" s="180">
        <f>K13*H13+K14*H14+K15*H15+K16*H16</f>
        <v>0</v>
      </c>
      <c r="M13" s="190">
        <f>L13/G13</f>
        <v>0</v>
      </c>
      <c r="N13" s="158" t="s">
        <v>146</v>
      </c>
      <c r="O13" s="143"/>
    </row>
    <row r="14" spans="1:21" s="2" customFormat="1" ht="42.75" customHeight="1">
      <c r="A14" s="188"/>
      <c r="B14" s="177"/>
      <c r="C14" s="177"/>
      <c r="D14" s="182"/>
      <c r="E14" s="178"/>
      <c r="F14" s="59" t="s">
        <v>132</v>
      </c>
      <c r="G14" s="199"/>
      <c r="H14" s="63">
        <f>G13*20%</f>
        <v>0.14506666666666668</v>
      </c>
      <c r="I14" s="102">
        <v>272</v>
      </c>
      <c r="J14" s="107">
        <v>0</v>
      </c>
      <c r="K14" s="64">
        <f t="shared" ref="K14:K16" si="1">J14/I14</f>
        <v>0</v>
      </c>
      <c r="L14" s="180"/>
      <c r="M14" s="191"/>
      <c r="N14" s="158" t="s">
        <v>168</v>
      </c>
      <c r="O14" s="143"/>
    </row>
    <row r="15" spans="1:21" s="2" customFormat="1" ht="42" customHeight="1">
      <c r="A15" s="188"/>
      <c r="B15" s="177"/>
      <c r="C15" s="177"/>
      <c r="D15" s="182"/>
      <c r="E15" s="178"/>
      <c r="F15" s="59" t="s">
        <v>133</v>
      </c>
      <c r="G15" s="199"/>
      <c r="H15" s="63">
        <f>G13*45%</f>
        <v>0.32640000000000002</v>
      </c>
      <c r="I15" s="102">
        <v>272</v>
      </c>
      <c r="J15" s="107">
        <v>0</v>
      </c>
      <c r="K15" s="64">
        <f t="shared" si="1"/>
        <v>0</v>
      </c>
      <c r="L15" s="180"/>
      <c r="M15" s="191"/>
      <c r="N15" s="158" t="s">
        <v>147</v>
      </c>
      <c r="O15" s="143"/>
    </row>
    <row r="16" spans="1:21" s="2" customFormat="1" ht="26.25" customHeight="1">
      <c r="A16" s="188"/>
      <c r="B16" s="177"/>
      <c r="C16" s="177"/>
      <c r="D16" s="182"/>
      <c r="E16" s="178"/>
      <c r="F16" s="59" t="s">
        <v>134</v>
      </c>
      <c r="G16" s="199"/>
      <c r="H16" s="63">
        <f>G13*5%</f>
        <v>3.6266666666666669E-2</v>
      </c>
      <c r="I16" s="102">
        <v>272</v>
      </c>
      <c r="J16" s="107">
        <v>0</v>
      </c>
      <c r="K16" s="64">
        <f t="shared" si="1"/>
        <v>0</v>
      </c>
      <c r="L16" s="180"/>
      <c r="M16" s="192"/>
      <c r="N16" s="158" t="s">
        <v>148</v>
      </c>
      <c r="O16" s="143"/>
    </row>
    <row r="17" spans="1:16" s="2" customFormat="1">
      <c r="A17" s="188"/>
      <c r="B17" s="177" t="s">
        <v>36</v>
      </c>
      <c r="C17" s="181" t="s">
        <v>40</v>
      </c>
      <c r="D17" s="193" t="s">
        <v>36</v>
      </c>
      <c r="E17" s="203">
        <f>'2022'!E12</f>
        <v>1200000000</v>
      </c>
      <c r="F17" s="5" t="s">
        <v>135</v>
      </c>
      <c r="G17" s="206">
        <f>E17/E31</f>
        <v>1.6E-2</v>
      </c>
      <c r="H17" s="133">
        <f>G17*20%</f>
        <v>3.2000000000000002E-3</v>
      </c>
      <c r="I17" s="134">
        <v>2</v>
      </c>
      <c r="J17" s="108">
        <v>0</v>
      </c>
      <c r="K17" s="64">
        <f>J17/I17</f>
        <v>0</v>
      </c>
      <c r="L17" s="173">
        <f>K17*H17+K18*H18+K19*H19</f>
        <v>0</v>
      </c>
      <c r="M17" s="173">
        <f>L17/G17</f>
        <v>0</v>
      </c>
      <c r="N17" s="151" t="s">
        <v>149</v>
      </c>
      <c r="O17" s="144"/>
    </row>
    <row r="18" spans="1:16" s="2" customFormat="1" ht="30">
      <c r="A18" s="188"/>
      <c r="B18" s="177"/>
      <c r="C18" s="181"/>
      <c r="D18" s="194"/>
      <c r="E18" s="204"/>
      <c r="F18" s="169" t="s">
        <v>157</v>
      </c>
      <c r="G18" s="207"/>
      <c r="H18" s="133">
        <f>G17*40%</f>
        <v>6.4000000000000003E-3</v>
      </c>
      <c r="I18" s="134">
        <v>5</v>
      </c>
      <c r="J18" s="108">
        <v>0</v>
      </c>
      <c r="K18" s="64">
        <f>J18/I18</f>
        <v>0</v>
      </c>
      <c r="L18" s="187"/>
      <c r="M18" s="187"/>
      <c r="N18" s="158" t="s">
        <v>150</v>
      </c>
      <c r="O18" s="144"/>
    </row>
    <row r="19" spans="1:16" s="2" customFormat="1" ht="30">
      <c r="A19" s="188"/>
      <c r="B19" s="75"/>
      <c r="C19" s="46"/>
      <c r="D19" s="195"/>
      <c r="E19" s="205"/>
      <c r="F19" s="5" t="s">
        <v>158</v>
      </c>
      <c r="G19" s="208"/>
      <c r="H19" s="133">
        <f>G17*40%</f>
        <v>6.4000000000000003E-3</v>
      </c>
      <c r="I19" s="134">
        <v>5</v>
      </c>
      <c r="J19" s="108">
        <v>0</v>
      </c>
      <c r="K19" s="64">
        <f>J19/I19</f>
        <v>0</v>
      </c>
      <c r="L19" s="174"/>
      <c r="M19" s="174"/>
      <c r="N19" s="158" t="s">
        <v>150</v>
      </c>
      <c r="O19" s="144"/>
    </row>
    <row r="20" spans="1:16" s="2" customFormat="1">
      <c r="A20" s="188"/>
      <c r="B20" s="175" t="s">
        <v>16</v>
      </c>
      <c r="C20" s="175"/>
      <c r="D20" s="175"/>
      <c r="E20" s="74">
        <f>SUM(E13:E19)</f>
        <v>55600000000</v>
      </c>
      <c r="F20" s="69"/>
      <c r="G20" s="115">
        <f>SUM(G13:G18)</f>
        <v>0.7413333333333334</v>
      </c>
      <c r="H20" s="67"/>
      <c r="I20" s="103"/>
      <c r="J20" s="103"/>
      <c r="K20" s="97"/>
      <c r="L20" s="116">
        <f>SUM(L13:L18)</f>
        <v>0</v>
      </c>
      <c r="M20" s="70">
        <f>L20/G20</f>
        <v>0</v>
      </c>
      <c r="N20" s="70">
        <f>M20</f>
        <v>0</v>
      </c>
      <c r="O20" s="145"/>
    </row>
    <row r="21" spans="1:16" s="2" customFormat="1" ht="30.75" customHeight="1">
      <c r="A21" s="188" t="s">
        <v>21</v>
      </c>
      <c r="B21" s="177" t="s">
        <v>8</v>
      </c>
      <c r="C21" s="177" t="s">
        <v>23</v>
      </c>
      <c r="D21" s="182" t="s">
        <v>22</v>
      </c>
      <c r="E21" s="178">
        <f>'2022'!E14</f>
        <v>5000000000</v>
      </c>
      <c r="F21" s="59" t="s">
        <v>136</v>
      </c>
      <c r="G21" s="189">
        <f>E21/E31</f>
        <v>6.6666666666666666E-2</v>
      </c>
      <c r="H21" s="106">
        <f>G21*10%</f>
        <v>6.6666666666666671E-3</v>
      </c>
      <c r="I21" s="102">
        <v>1</v>
      </c>
      <c r="J21" s="108">
        <v>1</v>
      </c>
      <c r="K21" s="64">
        <f t="shared" ref="K21:K29" si="2">J21/I21</f>
        <v>1</v>
      </c>
      <c r="L21" s="180">
        <f>K21*H21+K22*H22+K23*H23</f>
        <v>4.4444444444444446E-2</v>
      </c>
      <c r="M21" s="190">
        <f>L21/G21</f>
        <v>0.66666666666666674</v>
      </c>
      <c r="N21" s="158" t="s">
        <v>151</v>
      </c>
      <c r="O21" s="143"/>
      <c r="P21" s="113"/>
    </row>
    <row r="22" spans="1:16" s="2" customFormat="1" ht="54.75" customHeight="1">
      <c r="A22" s="188"/>
      <c r="B22" s="177"/>
      <c r="C22" s="177"/>
      <c r="D22" s="182"/>
      <c r="E22" s="178"/>
      <c r="F22" s="59" t="s">
        <v>137</v>
      </c>
      <c r="G22" s="189"/>
      <c r="H22" s="106">
        <f>G21*10%</f>
        <v>6.6666666666666671E-3</v>
      </c>
      <c r="I22" s="102">
        <v>1</v>
      </c>
      <c r="J22" s="108">
        <v>1</v>
      </c>
      <c r="K22" s="64">
        <f t="shared" si="2"/>
        <v>1</v>
      </c>
      <c r="L22" s="180"/>
      <c r="M22" s="191"/>
      <c r="N22" s="158" t="s">
        <v>173</v>
      </c>
      <c r="O22" s="143" t="s">
        <v>172</v>
      </c>
    </row>
    <row r="23" spans="1:16" s="2" customFormat="1" ht="63" customHeight="1">
      <c r="A23" s="188"/>
      <c r="B23" s="177"/>
      <c r="C23" s="177"/>
      <c r="D23" s="182"/>
      <c r="E23" s="178"/>
      <c r="F23" s="59" t="s">
        <v>57</v>
      </c>
      <c r="G23" s="189"/>
      <c r="H23" s="106">
        <f>G21*80%</f>
        <v>5.3333333333333337E-2</v>
      </c>
      <c r="I23" s="102">
        <v>12</v>
      </c>
      <c r="J23" s="107">
        <v>7</v>
      </c>
      <c r="K23" s="64">
        <f t="shared" si="2"/>
        <v>0.58333333333333337</v>
      </c>
      <c r="L23" s="180"/>
      <c r="M23" s="192"/>
      <c r="N23" s="158" t="s">
        <v>160</v>
      </c>
      <c r="O23" s="143"/>
    </row>
    <row r="24" spans="1:16" s="2" customFormat="1" ht="72" customHeight="1">
      <c r="A24" s="188"/>
      <c r="B24" s="177"/>
      <c r="C24" s="181" t="s">
        <v>41</v>
      </c>
      <c r="D24" s="182" t="s">
        <v>39</v>
      </c>
      <c r="E24" s="183">
        <f>'2022'!E15</f>
        <v>300000000</v>
      </c>
      <c r="F24" s="170" t="s">
        <v>67</v>
      </c>
      <c r="G24" s="189">
        <f>E24/E31</f>
        <v>4.0000000000000001E-3</v>
      </c>
      <c r="H24" s="106">
        <f>G24*50%</f>
        <v>2E-3</v>
      </c>
      <c r="I24" s="102">
        <v>2</v>
      </c>
      <c r="J24" s="107">
        <v>2</v>
      </c>
      <c r="K24" s="64">
        <f>J24/I24</f>
        <v>1</v>
      </c>
      <c r="L24" s="180">
        <f>K24*H24+K25*H25</f>
        <v>2.0700000000000002E-3</v>
      </c>
      <c r="M24" s="185">
        <f>L24/G24</f>
        <v>0.51750000000000007</v>
      </c>
      <c r="N24" s="161" t="s">
        <v>182</v>
      </c>
      <c r="O24" s="144" t="s">
        <v>181</v>
      </c>
      <c r="P24" s="114"/>
    </row>
    <row r="25" spans="1:16" s="2" customFormat="1" ht="71.25" customHeight="1">
      <c r="A25" s="188"/>
      <c r="B25" s="177"/>
      <c r="C25" s="181"/>
      <c r="D25" s="182"/>
      <c r="E25" s="183"/>
      <c r="F25" s="171" t="s">
        <v>161</v>
      </c>
      <c r="G25" s="189"/>
      <c r="H25" s="106">
        <f>G24*50%</f>
        <v>2E-3</v>
      </c>
      <c r="I25" s="102">
        <v>2</v>
      </c>
      <c r="J25" s="108">
        <v>7.0000000000000007E-2</v>
      </c>
      <c r="K25" s="64">
        <f t="shared" si="2"/>
        <v>3.5000000000000003E-2</v>
      </c>
      <c r="L25" s="180"/>
      <c r="M25" s="186"/>
      <c r="N25" s="161" t="s">
        <v>187</v>
      </c>
      <c r="O25" s="144"/>
    </row>
    <row r="26" spans="1:16" s="2" customFormat="1" ht="30">
      <c r="A26" s="188"/>
      <c r="B26" s="177"/>
      <c r="C26" s="46" t="s">
        <v>42</v>
      </c>
      <c r="D26" s="75" t="s">
        <v>25</v>
      </c>
      <c r="E26" s="71">
        <f>'2022'!E16</f>
        <v>321119187</v>
      </c>
      <c r="F26" s="58" t="s">
        <v>68</v>
      </c>
      <c r="G26" s="106">
        <f>E26/E31</f>
        <v>4.2815891599999999E-3</v>
      </c>
      <c r="H26" s="106">
        <f>G26</f>
        <v>4.2815891599999999E-3</v>
      </c>
      <c r="I26" s="71">
        <f>E26</f>
        <v>321119187</v>
      </c>
      <c r="J26" s="110">
        <v>6339812</v>
      </c>
      <c r="K26" s="64">
        <f t="shared" si="2"/>
        <v>1.9742862639970497E-2</v>
      </c>
      <c r="L26" s="111">
        <f>K26*H26</f>
        <v>8.4530826666666658E-5</v>
      </c>
      <c r="M26" s="79">
        <f>L26/G26</f>
        <v>1.9742862639970497E-2</v>
      </c>
      <c r="N26" s="157" t="s">
        <v>153</v>
      </c>
      <c r="O26" s="143"/>
    </row>
    <row r="27" spans="1:16" s="2" customFormat="1" ht="30.75" customHeight="1">
      <c r="A27" s="188"/>
      <c r="B27" s="177" t="s">
        <v>28</v>
      </c>
      <c r="C27" s="46" t="s">
        <v>43</v>
      </c>
      <c r="D27" s="75" t="s">
        <v>29</v>
      </c>
      <c r="E27" s="71">
        <f>'2022'!E17</f>
        <v>700835813</v>
      </c>
      <c r="F27" s="112" t="s">
        <v>69</v>
      </c>
      <c r="G27" s="106">
        <f>E27/E31</f>
        <v>9.3444775066666673E-3</v>
      </c>
      <c r="H27" s="106">
        <v>6.6E-3</v>
      </c>
      <c r="I27" s="71">
        <f>E27</f>
        <v>700835813</v>
      </c>
      <c r="J27" s="110">
        <v>203136139.90000001</v>
      </c>
      <c r="K27" s="79">
        <f>J27/I27</f>
        <v>0.28984840119749988</v>
      </c>
      <c r="L27" s="111">
        <f>K27*H27</f>
        <v>1.9129994479034993E-3</v>
      </c>
      <c r="M27" s="79">
        <f>L27/G27</f>
        <v>0.20471978733307461</v>
      </c>
      <c r="N27" s="79" t="s">
        <v>154</v>
      </c>
      <c r="O27" s="143" t="s">
        <v>177</v>
      </c>
    </row>
    <row r="28" spans="1:16" s="2" customFormat="1" ht="60">
      <c r="A28" s="188"/>
      <c r="B28" s="177"/>
      <c r="C28" s="177" t="s">
        <v>44</v>
      </c>
      <c r="D28" s="177" t="s">
        <v>31</v>
      </c>
      <c r="E28" s="178">
        <f>'2022'!E18</f>
        <v>500000000</v>
      </c>
      <c r="F28" s="132" t="s">
        <v>58</v>
      </c>
      <c r="G28" s="179">
        <f>E28/E31</f>
        <v>6.6666666666666671E-3</v>
      </c>
      <c r="H28" s="133">
        <v>1E-3</v>
      </c>
      <c r="I28" s="134">
        <v>1</v>
      </c>
      <c r="J28" s="107">
        <v>0</v>
      </c>
      <c r="K28" s="64">
        <f t="shared" si="2"/>
        <v>0</v>
      </c>
      <c r="L28" s="180">
        <f>(K28*H28)+(K29*H29)</f>
        <v>0</v>
      </c>
      <c r="M28" s="173">
        <f>L28/G28</f>
        <v>0</v>
      </c>
      <c r="N28" s="151" t="s">
        <v>149</v>
      </c>
      <c r="O28" s="144" t="s">
        <v>159</v>
      </c>
    </row>
    <row r="29" spans="1:16" s="2" customFormat="1" ht="30">
      <c r="A29" s="188"/>
      <c r="B29" s="177"/>
      <c r="C29" s="177"/>
      <c r="D29" s="177"/>
      <c r="E29" s="178"/>
      <c r="F29" s="112" t="s">
        <v>59</v>
      </c>
      <c r="G29" s="179"/>
      <c r="H29" s="133">
        <v>2.2000000000000001E-3</v>
      </c>
      <c r="I29" s="134">
        <v>1</v>
      </c>
      <c r="J29" s="107">
        <v>0</v>
      </c>
      <c r="K29" s="64">
        <f t="shared" si="2"/>
        <v>0</v>
      </c>
      <c r="L29" s="180"/>
      <c r="M29" s="174"/>
      <c r="N29" s="155" t="s">
        <v>155</v>
      </c>
      <c r="O29" s="143"/>
    </row>
    <row r="30" spans="1:16" s="2" customFormat="1">
      <c r="A30" s="188"/>
      <c r="B30" s="175" t="s">
        <v>16</v>
      </c>
      <c r="C30" s="175"/>
      <c r="D30" s="175"/>
      <c r="E30" s="74">
        <f>SUM(E21:E29)</f>
        <v>6821955000</v>
      </c>
      <c r="F30" s="66"/>
      <c r="G30" s="82">
        <f>SUM(G21:G29)</f>
        <v>9.095940000000001E-2</v>
      </c>
      <c r="H30" s="78"/>
      <c r="I30" s="104"/>
      <c r="J30" s="104"/>
      <c r="K30" s="96"/>
      <c r="L30" s="116">
        <f>SUM(L21:L29)</f>
        <v>4.8511974719014611E-2</v>
      </c>
      <c r="M30" s="70">
        <f>L30/G30</f>
        <v>0.53333657344941376</v>
      </c>
      <c r="N30" s="70">
        <f>M30</f>
        <v>0.53333657344941376</v>
      </c>
      <c r="O30" s="146"/>
    </row>
    <row r="31" spans="1:16" s="2" customFormat="1" ht="21">
      <c r="A31" s="176" t="s">
        <v>32</v>
      </c>
      <c r="B31" s="176"/>
      <c r="C31" s="176"/>
      <c r="D31" s="176"/>
      <c r="E31" s="76">
        <f>E30+E20+E12</f>
        <v>75000000000</v>
      </c>
      <c r="F31" s="58"/>
      <c r="G31" s="98">
        <f>SUM(G12,G20,G30)</f>
        <v>1</v>
      </c>
      <c r="H31" s="98"/>
      <c r="I31" s="105"/>
      <c r="J31" s="105"/>
      <c r="K31" s="99"/>
      <c r="L31" s="117">
        <f>SUM(L12,L20,L30)</f>
        <v>5.7085621777838144E-2</v>
      </c>
      <c r="M31" s="98">
        <f>L31/G31</f>
        <v>5.7085621777838144E-2</v>
      </c>
      <c r="N31" s="98"/>
      <c r="O31" s="147"/>
    </row>
    <row r="32" spans="1:16" s="2" customFormat="1">
      <c r="C32" s="52"/>
      <c r="D32" s="3"/>
      <c r="E32" s="85"/>
      <c r="I32" s="100"/>
      <c r="J32" s="100"/>
      <c r="O32" s="148"/>
    </row>
    <row r="33" spans="3:15" s="2" customFormat="1">
      <c r="C33" s="52"/>
      <c r="D33" s="3"/>
      <c r="E33" s="86"/>
      <c r="I33" s="100"/>
      <c r="J33" s="100"/>
      <c r="O33" s="148"/>
    </row>
    <row r="34" spans="3:15" s="2" customFormat="1">
      <c r="C34" s="52"/>
      <c r="D34" s="3"/>
      <c r="E34" s="86"/>
      <c r="I34" s="100"/>
      <c r="J34" s="100"/>
      <c r="O34" s="148"/>
    </row>
    <row r="35" spans="3:15" s="2" customFormat="1">
      <c r="C35" s="52"/>
      <c r="D35" s="3"/>
      <c r="E35" s="86"/>
      <c r="I35" s="100"/>
      <c r="J35" s="100"/>
      <c r="O35" s="148"/>
    </row>
    <row r="36" spans="3:15" s="2" customFormat="1">
      <c r="C36" s="52"/>
      <c r="D36" s="3"/>
      <c r="E36" s="86"/>
      <c r="I36" s="100"/>
      <c r="J36" s="100"/>
      <c r="O36" s="148"/>
    </row>
    <row r="37" spans="3:15" s="2" customFormat="1">
      <c r="C37" s="52"/>
      <c r="D37" s="3"/>
      <c r="E37" s="86"/>
      <c r="I37" s="100"/>
      <c r="J37" s="100"/>
      <c r="O37" s="148"/>
    </row>
    <row r="38" spans="3:15" s="2" customFormat="1">
      <c r="C38" s="52"/>
      <c r="D38" s="3"/>
      <c r="E38" s="86"/>
      <c r="I38" s="100"/>
      <c r="J38" s="100"/>
      <c r="O38" s="148"/>
    </row>
    <row r="39" spans="3:15" s="2" customFormat="1">
      <c r="C39" s="52"/>
      <c r="D39" s="3"/>
      <c r="E39" s="86"/>
      <c r="I39" s="100"/>
      <c r="J39" s="100"/>
      <c r="O39" s="148"/>
    </row>
    <row r="40" spans="3:15" s="2" customFormat="1">
      <c r="C40" s="52"/>
      <c r="D40" s="3"/>
      <c r="E40" s="84"/>
      <c r="I40" s="100"/>
      <c r="J40" s="100"/>
      <c r="O40" s="148"/>
    </row>
    <row r="41" spans="3:15" s="2" customFormat="1">
      <c r="C41" s="52"/>
      <c r="D41" s="3"/>
      <c r="E41" s="84"/>
      <c r="I41" s="100"/>
      <c r="J41" s="100"/>
      <c r="O41" s="148"/>
    </row>
    <row r="42" spans="3:15" s="2" customFormat="1">
      <c r="C42" s="52"/>
      <c r="D42" s="3"/>
      <c r="E42" s="84"/>
      <c r="I42" s="100"/>
      <c r="J42" s="100"/>
      <c r="O42" s="148"/>
    </row>
    <row r="43" spans="3:15" s="2" customFormat="1">
      <c r="C43" s="52"/>
      <c r="D43" s="3"/>
      <c r="E43" s="84"/>
      <c r="I43" s="100"/>
      <c r="J43" s="100"/>
      <c r="O43" s="148"/>
    </row>
    <row r="44" spans="3:15" s="2" customFormat="1">
      <c r="C44" s="52"/>
      <c r="D44" s="3"/>
      <c r="E44" s="84"/>
      <c r="I44" s="100"/>
      <c r="J44" s="100"/>
      <c r="O44" s="148"/>
    </row>
    <row r="45" spans="3:15" s="2" customFormat="1">
      <c r="C45" s="52"/>
      <c r="D45" s="3"/>
      <c r="E45" s="84"/>
      <c r="I45" s="100"/>
      <c r="J45" s="100"/>
      <c r="O45" s="148"/>
    </row>
    <row r="46" spans="3:15" s="2" customFormat="1">
      <c r="C46" s="52"/>
      <c r="D46" s="3"/>
      <c r="E46" s="84"/>
      <c r="I46" s="100"/>
      <c r="J46" s="100"/>
      <c r="O46" s="148"/>
    </row>
    <row r="47" spans="3:15" s="2" customFormat="1">
      <c r="C47" s="52"/>
      <c r="D47" s="3"/>
      <c r="E47" s="84"/>
      <c r="I47" s="100"/>
      <c r="J47" s="100"/>
      <c r="O47" s="148"/>
    </row>
    <row r="48" spans="3:15" s="2" customFormat="1">
      <c r="C48" s="52"/>
      <c r="D48" s="3"/>
      <c r="E48" s="84"/>
      <c r="I48" s="100"/>
      <c r="J48" s="100"/>
      <c r="O48" s="148"/>
    </row>
    <row r="49" spans="3:15" s="2" customFormat="1">
      <c r="C49" s="52"/>
      <c r="D49" s="3"/>
      <c r="E49" s="84"/>
      <c r="I49" s="100"/>
      <c r="J49" s="100"/>
      <c r="O49" s="148"/>
    </row>
    <row r="50" spans="3:15" s="2" customFormat="1">
      <c r="C50" s="52"/>
      <c r="D50" s="3"/>
      <c r="E50" s="84"/>
      <c r="I50" s="100"/>
      <c r="J50" s="100"/>
      <c r="O50" s="148"/>
    </row>
    <row r="51" spans="3:15" s="2" customFormat="1">
      <c r="C51" s="52"/>
      <c r="D51" s="3"/>
      <c r="E51" s="84"/>
      <c r="I51" s="100"/>
      <c r="J51" s="100"/>
      <c r="O51" s="148"/>
    </row>
    <row r="52" spans="3:15" s="2" customFormat="1">
      <c r="C52" s="52"/>
      <c r="D52" s="3"/>
      <c r="E52" s="84"/>
      <c r="I52" s="100"/>
      <c r="J52" s="100"/>
      <c r="O52" s="148"/>
    </row>
    <row r="53" spans="3:15" s="2" customFormat="1">
      <c r="C53" s="52"/>
      <c r="D53" s="3"/>
      <c r="E53" s="84"/>
      <c r="I53" s="100"/>
      <c r="J53" s="100"/>
      <c r="O53" s="148"/>
    </row>
    <row r="54" spans="3:15" s="2" customFormat="1">
      <c r="C54" s="52"/>
      <c r="D54" s="3"/>
      <c r="E54" s="84"/>
      <c r="I54" s="100"/>
      <c r="J54" s="100"/>
      <c r="O54" s="148"/>
    </row>
    <row r="55" spans="3:15" s="2" customFormat="1">
      <c r="C55" s="52"/>
      <c r="D55" s="3"/>
      <c r="E55" s="84"/>
      <c r="I55" s="100"/>
      <c r="J55" s="100"/>
      <c r="O55" s="148"/>
    </row>
    <row r="56" spans="3:15" s="2" customFormat="1">
      <c r="C56" s="52"/>
      <c r="D56" s="3"/>
      <c r="E56" s="84"/>
      <c r="I56" s="100"/>
      <c r="J56" s="100"/>
      <c r="O56" s="148"/>
    </row>
    <row r="57" spans="3:15" s="2" customFormat="1">
      <c r="C57" s="52"/>
      <c r="D57" s="3"/>
      <c r="E57" s="84"/>
      <c r="I57" s="100"/>
      <c r="J57" s="100"/>
      <c r="O57" s="148"/>
    </row>
    <row r="58" spans="3:15" s="2" customFormat="1">
      <c r="C58" s="52"/>
      <c r="D58" s="3"/>
      <c r="E58" s="84"/>
      <c r="I58" s="100"/>
      <c r="J58" s="100"/>
      <c r="O58" s="148"/>
    </row>
    <row r="59" spans="3:15" s="2" customFormat="1">
      <c r="C59" s="52"/>
      <c r="D59" s="3"/>
      <c r="E59" s="84"/>
      <c r="I59" s="100"/>
      <c r="J59" s="100"/>
      <c r="O59" s="148"/>
    </row>
    <row r="60" spans="3:15" s="2" customFormat="1">
      <c r="C60" s="52"/>
      <c r="D60" s="3"/>
      <c r="E60" s="84"/>
      <c r="I60" s="100"/>
      <c r="J60" s="100"/>
      <c r="O60" s="148"/>
    </row>
    <row r="61" spans="3:15" s="2" customFormat="1">
      <c r="C61" s="52"/>
      <c r="D61" s="3"/>
      <c r="E61" s="84"/>
      <c r="I61" s="100"/>
      <c r="J61" s="100"/>
      <c r="O61" s="148"/>
    </row>
    <row r="62" spans="3:15" s="2" customFormat="1">
      <c r="C62" s="52"/>
      <c r="D62" s="3"/>
      <c r="E62" s="84"/>
      <c r="I62" s="100"/>
      <c r="J62" s="100"/>
      <c r="O62" s="148"/>
    </row>
    <row r="63" spans="3:15" s="2" customFormat="1">
      <c r="C63" s="52"/>
      <c r="D63" s="3"/>
      <c r="E63" s="84"/>
      <c r="I63" s="100"/>
      <c r="J63" s="100"/>
      <c r="O63" s="148"/>
    </row>
    <row r="64" spans="3:15" s="2" customFormat="1">
      <c r="C64" s="52"/>
      <c r="D64" s="3"/>
      <c r="E64" s="84"/>
      <c r="I64" s="100"/>
      <c r="J64" s="100"/>
      <c r="O64" s="148"/>
    </row>
    <row r="65" spans="3:15" s="2" customFormat="1">
      <c r="C65" s="52"/>
      <c r="D65" s="3"/>
      <c r="E65" s="84"/>
      <c r="I65" s="100"/>
      <c r="J65" s="100"/>
      <c r="O65" s="148"/>
    </row>
    <row r="66" spans="3:15" s="2" customFormat="1">
      <c r="C66" s="52"/>
      <c r="D66" s="3"/>
      <c r="E66" s="84"/>
      <c r="I66" s="100"/>
      <c r="J66" s="100"/>
      <c r="O66" s="148"/>
    </row>
    <row r="67" spans="3:15" s="2" customFormat="1">
      <c r="C67" s="52"/>
      <c r="D67" s="3"/>
      <c r="E67" s="84"/>
      <c r="I67" s="100"/>
      <c r="J67" s="100"/>
      <c r="O67" s="148"/>
    </row>
    <row r="68" spans="3:15" s="2" customFormat="1">
      <c r="C68" s="52"/>
      <c r="D68" s="3"/>
      <c r="E68" s="84"/>
      <c r="I68" s="100"/>
      <c r="J68" s="100"/>
      <c r="O68" s="148"/>
    </row>
    <row r="69" spans="3:15" s="2" customFormat="1">
      <c r="C69" s="52"/>
      <c r="D69" s="3"/>
      <c r="E69" s="84"/>
      <c r="I69" s="100"/>
      <c r="J69" s="100"/>
      <c r="O69" s="148"/>
    </row>
    <row r="70" spans="3:15" s="2" customFormat="1">
      <c r="C70" s="52"/>
      <c r="D70" s="3"/>
      <c r="E70" s="84"/>
      <c r="I70" s="100"/>
      <c r="J70" s="100"/>
      <c r="O70" s="148"/>
    </row>
    <row r="71" spans="3:15" s="2" customFormat="1">
      <c r="C71" s="52"/>
      <c r="D71" s="3"/>
      <c r="E71" s="84"/>
      <c r="I71" s="100"/>
      <c r="J71" s="100"/>
      <c r="O71" s="148"/>
    </row>
    <row r="72" spans="3:15" s="2" customFormat="1">
      <c r="C72" s="52"/>
      <c r="D72" s="3"/>
      <c r="E72" s="84"/>
      <c r="I72" s="100"/>
      <c r="J72" s="100"/>
      <c r="O72" s="148"/>
    </row>
    <row r="73" spans="3:15" s="2" customFormat="1">
      <c r="C73" s="52"/>
      <c r="D73" s="3"/>
      <c r="E73" s="84"/>
      <c r="I73" s="100"/>
      <c r="J73" s="100"/>
      <c r="O73" s="148"/>
    </row>
    <row r="74" spans="3:15" s="2" customFormat="1">
      <c r="C74" s="52"/>
      <c r="D74" s="3"/>
      <c r="E74" s="84"/>
      <c r="I74" s="100"/>
      <c r="J74" s="100"/>
      <c r="O74" s="148"/>
    </row>
    <row r="75" spans="3:15" s="2" customFormat="1">
      <c r="C75" s="52"/>
      <c r="D75" s="3"/>
      <c r="E75" s="84"/>
      <c r="I75" s="100"/>
      <c r="J75" s="100"/>
      <c r="O75" s="148"/>
    </row>
    <row r="76" spans="3:15" s="2" customFormat="1">
      <c r="C76" s="52"/>
      <c r="D76" s="3"/>
      <c r="E76" s="84"/>
      <c r="I76" s="100"/>
      <c r="J76" s="100"/>
      <c r="O76" s="148"/>
    </row>
    <row r="77" spans="3:15" s="2" customFormat="1">
      <c r="C77" s="52"/>
      <c r="D77" s="3"/>
      <c r="E77" s="84"/>
      <c r="I77" s="100"/>
      <c r="J77" s="100"/>
      <c r="O77" s="148"/>
    </row>
    <row r="78" spans="3:15" s="2" customFormat="1">
      <c r="C78" s="52"/>
      <c r="D78" s="3"/>
      <c r="E78" s="84"/>
      <c r="I78" s="100"/>
      <c r="J78" s="100"/>
      <c r="O78" s="148"/>
    </row>
    <row r="79" spans="3:15" s="2" customFormat="1">
      <c r="C79" s="52"/>
      <c r="D79" s="3"/>
      <c r="E79" s="84"/>
      <c r="I79" s="100"/>
      <c r="J79" s="100"/>
      <c r="O79" s="148"/>
    </row>
    <row r="80" spans="3:15" s="2" customFormat="1">
      <c r="C80" s="52"/>
      <c r="D80" s="3"/>
      <c r="E80" s="84"/>
      <c r="I80" s="100"/>
      <c r="J80" s="100"/>
      <c r="O80" s="148"/>
    </row>
    <row r="81" spans="3:15" s="2" customFormat="1">
      <c r="C81" s="52"/>
      <c r="D81" s="3"/>
      <c r="E81" s="84"/>
      <c r="I81" s="100"/>
      <c r="J81" s="100"/>
      <c r="O81" s="148"/>
    </row>
    <row r="82" spans="3:15" s="2" customFormat="1">
      <c r="C82" s="52"/>
      <c r="D82" s="3"/>
      <c r="E82" s="86"/>
      <c r="I82" s="100"/>
      <c r="J82" s="100"/>
      <c r="O82" s="148"/>
    </row>
    <row r="83" spans="3:15" s="2" customFormat="1">
      <c r="C83" s="52"/>
      <c r="D83" s="3"/>
      <c r="E83" s="84"/>
      <c r="I83" s="100"/>
      <c r="J83" s="100"/>
      <c r="O83" s="148"/>
    </row>
    <row r="84" spans="3:15" s="2" customFormat="1">
      <c r="C84" s="52"/>
      <c r="D84" s="3"/>
      <c r="E84" s="84"/>
      <c r="I84" s="100"/>
      <c r="J84" s="100"/>
      <c r="O84" s="148"/>
    </row>
    <row r="85" spans="3:15" s="2" customFormat="1">
      <c r="C85" s="52"/>
      <c r="D85" s="3"/>
      <c r="E85" s="84"/>
      <c r="I85" s="100"/>
      <c r="J85" s="100"/>
      <c r="O85" s="148"/>
    </row>
    <row r="86" spans="3:15" s="2" customFormat="1">
      <c r="C86" s="52"/>
      <c r="D86" s="3"/>
      <c r="E86" s="84"/>
      <c r="I86" s="100"/>
      <c r="J86" s="100"/>
      <c r="O86" s="148"/>
    </row>
    <row r="87" spans="3:15" s="2" customFormat="1">
      <c r="C87" s="52"/>
      <c r="D87" s="3"/>
      <c r="E87" s="84"/>
      <c r="I87" s="100"/>
      <c r="J87" s="100"/>
      <c r="O87" s="148"/>
    </row>
    <row r="88" spans="3:15" s="2" customFormat="1">
      <c r="C88" s="52"/>
      <c r="D88" s="3"/>
      <c r="E88" s="84"/>
      <c r="I88" s="100"/>
      <c r="J88" s="100"/>
      <c r="O88" s="148"/>
    </row>
    <row r="89" spans="3:15" s="2" customFormat="1">
      <c r="C89" s="52"/>
      <c r="D89" s="3"/>
      <c r="E89" s="84"/>
      <c r="I89" s="100"/>
      <c r="J89" s="100"/>
      <c r="O89" s="148"/>
    </row>
    <row r="90" spans="3:15" s="2" customFormat="1">
      <c r="C90" s="52"/>
      <c r="D90" s="3"/>
      <c r="E90" s="84"/>
      <c r="I90" s="100"/>
      <c r="J90" s="100"/>
      <c r="O90" s="148"/>
    </row>
    <row r="91" spans="3:15" s="2" customFormat="1">
      <c r="C91" s="52"/>
      <c r="D91" s="3"/>
      <c r="E91" s="84"/>
      <c r="I91" s="100"/>
      <c r="J91" s="100"/>
      <c r="O91" s="148"/>
    </row>
    <row r="92" spans="3:15" s="2" customFormat="1">
      <c r="C92" s="52"/>
      <c r="D92" s="3"/>
      <c r="E92" s="84"/>
      <c r="I92" s="100"/>
      <c r="J92" s="100"/>
      <c r="O92" s="148"/>
    </row>
    <row r="93" spans="3:15" s="2" customFormat="1">
      <c r="C93" s="52"/>
      <c r="D93" s="3"/>
      <c r="E93" s="84"/>
      <c r="I93" s="100"/>
      <c r="J93" s="100"/>
      <c r="O93" s="148"/>
    </row>
    <row r="94" spans="3:15" s="2" customFormat="1">
      <c r="C94" s="52"/>
      <c r="D94" s="3"/>
      <c r="E94" s="84"/>
      <c r="I94" s="100"/>
      <c r="J94" s="100"/>
      <c r="O94" s="148"/>
    </row>
    <row r="95" spans="3:15" s="2" customFormat="1">
      <c r="C95" s="52"/>
      <c r="D95" s="3"/>
      <c r="E95" s="84"/>
      <c r="I95" s="100"/>
      <c r="J95" s="100"/>
      <c r="O95" s="148"/>
    </row>
    <row r="96" spans="3:15" s="2" customFormat="1">
      <c r="C96" s="52"/>
      <c r="D96" s="3"/>
      <c r="E96" s="84"/>
      <c r="I96" s="100"/>
      <c r="J96" s="100"/>
      <c r="O96" s="148"/>
    </row>
    <row r="97" spans="3:15" s="2" customFormat="1">
      <c r="C97" s="52"/>
      <c r="D97" s="3"/>
      <c r="E97" s="84"/>
      <c r="I97" s="100"/>
      <c r="J97" s="100"/>
      <c r="O97" s="148"/>
    </row>
    <row r="98" spans="3:15" s="2" customFormat="1">
      <c r="C98" s="52"/>
      <c r="D98" s="3"/>
      <c r="E98" s="84"/>
      <c r="I98" s="100"/>
      <c r="J98" s="100"/>
      <c r="O98" s="148"/>
    </row>
    <row r="99" spans="3:15" s="2" customFormat="1">
      <c r="C99" s="52"/>
      <c r="D99" s="3"/>
      <c r="E99" s="84"/>
      <c r="I99" s="100"/>
      <c r="J99" s="100"/>
      <c r="O99" s="148"/>
    </row>
    <row r="100" spans="3:15" s="2" customFormat="1">
      <c r="C100" s="52"/>
      <c r="D100" s="3"/>
      <c r="E100" s="84"/>
      <c r="I100" s="100"/>
      <c r="J100" s="100"/>
      <c r="O100" s="148"/>
    </row>
    <row r="101" spans="3:15" s="2" customFormat="1">
      <c r="C101" s="52"/>
      <c r="D101" s="3"/>
      <c r="E101" s="84"/>
      <c r="I101" s="100"/>
      <c r="J101" s="100"/>
      <c r="O101" s="148"/>
    </row>
    <row r="102" spans="3:15" s="2" customFormat="1">
      <c r="C102" s="52"/>
      <c r="D102" s="3"/>
      <c r="E102" s="84"/>
      <c r="I102" s="100"/>
      <c r="J102" s="100"/>
      <c r="O102" s="148"/>
    </row>
    <row r="103" spans="3:15" s="2" customFormat="1">
      <c r="C103" s="52"/>
      <c r="D103" s="3"/>
      <c r="E103" s="84"/>
      <c r="I103" s="100"/>
      <c r="J103" s="100"/>
      <c r="O103" s="148"/>
    </row>
    <row r="104" spans="3:15" s="2" customFormat="1">
      <c r="C104" s="52"/>
      <c r="D104" s="3"/>
      <c r="E104" s="84"/>
      <c r="I104" s="100"/>
      <c r="J104" s="100"/>
      <c r="O104" s="148"/>
    </row>
    <row r="105" spans="3:15" s="2" customFormat="1">
      <c r="C105" s="52"/>
      <c r="D105" s="3"/>
      <c r="E105" s="84"/>
      <c r="I105" s="100"/>
      <c r="J105" s="100"/>
      <c r="O105" s="148"/>
    </row>
    <row r="106" spans="3:15" s="2" customFormat="1">
      <c r="C106" s="52"/>
      <c r="D106" s="3"/>
      <c r="E106" s="84"/>
      <c r="I106" s="100"/>
      <c r="J106" s="100"/>
      <c r="O106" s="148"/>
    </row>
    <row r="107" spans="3:15" s="2" customFormat="1">
      <c r="C107" s="52"/>
      <c r="D107" s="3"/>
      <c r="E107" s="84"/>
      <c r="I107" s="100"/>
      <c r="J107" s="100"/>
      <c r="O107" s="148"/>
    </row>
    <row r="108" spans="3:15" s="2" customFormat="1">
      <c r="C108" s="52"/>
      <c r="D108" s="3"/>
      <c r="E108" s="84"/>
      <c r="I108" s="100"/>
      <c r="J108" s="100"/>
      <c r="O108" s="148"/>
    </row>
    <row r="109" spans="3:15" s="2" customFormat="1">
      <c r="C109" s="52"/>
      <c r="D109" s="3"/>
      <c r="E109" s="84"/>
      <c r="I109" s="100"/>
      <c r="J109" s="100"/>
      <c r="O109" s="148"/>
    </row>
    <row r="110" spans="3:15" s="2" customFormat="1">
      <c r="C110" s="52"/>
      <c r="D110" s="3"/>
      <c r="E110" s="84"/>
      <c r="I110" s="100"/>
      <c r="J110" s="100"/>
      <c r="O110" s="148"/>
    </row>
    <row r="111" spans="3:15" s="2" customFormat="1">
      <c r="C111" s="52"/>
      <c r="D111" s="3"/>
      <c r="E111" s="84"/>
      <c r="I111" s="100"/>
      <c r="J111" s="100"/>
      <c r="O111" s="148"/>
    </row>
    <row r="112" spans="3:15" s="2" customFormat="1">
      <c r="C112" s="52"/>
      <c r="D112" s="3"/>
      <c r="E112" s="84"/>
      <c r="I112" s="100"/>
      <c r="J112" s="100"/>
      <c r="O112" s="148"/>
    </row>
    <row r="113" spans="3:15" s="2" customFormat="1">
      <c r="C113" s="52"/>
      <c r="D113" s="3"/>
      <c r="E113" s="84"/>
      <c r="I113" s="100"/>
      <c r="J113" s="100"/>
      <c r="O113" s="148"/>
    </row>
    <row r="114" spans="3:15" s="2" customFormat="1">
      <c r="C114" s="52"/>
      <c r="D114" s="3"/>
      <c r="E114" s="84"/>
      <c r="I114" s="100"/>
      <c r="J114" s="100"/>
      <c r="O114" s="148"/>
    </row>
    <row r="115" spans="3:15" s="2" customFormat="1">
      <c r="C115" s="52"/>
      <c r="D115" s="3"/>
      <c r="E115" s="84"/>
      <c r="I115" s="100"/>
      <c r="J115" s="100"/>
      <c r="O115" s="148"/>
    </row>
    <row r="116" spans="3:15" s="2" customFormat="1">
      <c r="C116" s="52"/>
      <c r="D116" s="3"/>
      <c r="E116" s="84"/>
      <c r="I116" s="100"/>
      <c r="J116" s="100"/>
      <c r="O116" s="148"/>
    </row>
    <row r="117" spans="3:15" s="2" customFormat="1">
      <c r="C117" s="52"/>
      <c r="D117" s="3"/>
      <c r="E117" s="84"/>
      <c r="I117" s="100"/>
      <c r="J117" s="100"/>
      <c r="O117" s="148"/>
    </row>
    <row r="118" spans="3:15" s="2" customFormat="1">
      <c r="C118" s="52"/>
      <c r="D118" s="3"/>
      <c r="E118" s="84"/>
      <c r="I118" s="100"/>
      <c r="J118" s="100"/>
      <c r="O118" s="148"/>
    </row>
    <row r="119" spans="3:15" s="2" customFormat="1">
      <c r="C119" s="52"/>
      <c r="D119" s="3"/>
      <c r="E119" s="84"/>
      <c r="I119" s="100"/>
      <c r="J119" s="100"/>
      <c r="O119" s="148"/>
    </row>
    <row r="120" spans="3:15" s="2" customFormat="1">
      <c r="C120" s="52"/>
      <c r="D120" s="3"/>
      <c r="E120" s="84"/>
      <c r="I120" s="100"/>
      <c r="J120" s="100"/>
      <c r="O120" s="148"/>
    </row>
    <row r="121" spans="3:15" s="2" customFormat="1">
      <c r="C121" s="52"/>
      <c r="D121" s="3"/>
      <c r="E121" s="84"/>
      <c r="I121" s="100"/>
      <c r="J121" s="100"/>
      <c r="O121" s="148"/>
    </row>
    <row r="122" spans="3:15" s="2" customFormat="1">
      <c r="C122" s="52"/>
      <c r="D122" s="3"/>
      <c r="E122" s="84"/>
      <c r="I122" s="100"/>
      <c r="J122" s="100"/>
      <c r="O122" s="148"/>
    </row>
    <row r="123" spans="3:15" s="2" customFormat="1">
      <c r="C123" s="52"/>
      <c r="D123" s="3"/>
      <c r="E123" s="84"/>
      <c r="I123" s="100"/>
      <c r="J123" s="100"/>
      <c r="O123" s="148"/>
    </row>
    <row r="124" spans="3:15" s="2" customFormat="1">
      <c r="C124" s="52"/>
      <c r="D124" s="3"/>
      <c r="E124" s="84"/>
      <c r="I124" s="100"/>
      <c r="J124" s="100"/>
      <c r="O124" s="148"/>
    </row>
    <row r="125" spans="3:15" s="2" customFormat="1">
      <c r="C125" s="52"/>
      <c r="D125" s="3"/>
      <c r="E125" s="84"/>
      <c r="I125" s="100"/>
      <c r="J125" s="100"/>
      <c r="O125" s="148"/>
    </row>
    <row r="126" spans="3:15" s="2" customFormat="1">
      <c r="C126" s="52"/>
      <c r="D126" s="3"/>
      <c r="E126" s="84"/>
      <c r="I126" s="100"/>
      <c r="J126" s="100"/>
      <c r="O126" s="148"/>
    </row>
    <row r="127" spans="3:15" s="2" customFormat="1">
      <c r="C127" s="52"/>
      <c r="D127" s="3"/>
      <c r="E127" s="84"/>
      <c r="I127" s="100"/>
      <c r="J127" s="100"/>
      <c r="O127" s="148"/>
    </row>
    <row r="128" spans="3:15" s="2" customFormat="1">
      <c r="C128" s="52"/>
      <c r="D128" s="3"/>
      <c r="E128" s="84"/>
      <c r="I128" s="100"/>
      <c r="J128" s="100"/>
      <c r="O128" s="148"/>
    </row>
    <row r="129" spans="3:15" s="2" customFormat="1">
      <c r="C129" s="52"/>
      <c r="D129" s="3"/>
      <c r="E129" s="84"/>
      <c r="I129" s="100"/>
      <c r="J129" s="100"/>
      <c r="O129" s="148"/>
    </row>
    <row r="130" spans="3:15" s="2" customFormat="1">
      <c r="C130" s="52"/>
      <c r="D130" s="3"/>
      <c r="E130" s="84"/>
      <c r="I130" s="100"/>
      <c r="J130" s="100"/>
      <c r="O130" s="148"/>
    </row>
    <row r="131" spans="3:15" s="2" customFormat="1">
      <c r="C131" s="52"/>
      <c r="D131" s="3"/>
      <c r="E131" s="84"/>
      <c r="I131" s="100"/>
      <c r="J131" s="100"/>
      <c r="O131" s="148"/>
    </row>
    <row r="132" spans="3:15" s="2" customFormat="1">
      <c r="C132" s="52"/>
      <c r="D132" s="3"/>
      <c r="E132" s="84"/>
      <c r="I132" s="100"/>
      <c r="J132" s="100"/>
      <c r="O132" s="148"/>
    </row>
    <row r="133" spans="3:15" s="2" customFormat="1">
      <c r="C133" s="52"/>
      <c r="D133" s="3"/>
      <c r="E133" s="84"/>
      <c r="I133" s="100"/>
      <c r="J133" s="100"/>
      <c r="O133" s="148"/>
    </row>
    <row r="134" spans="3:15" s="2" customFormat="1">
      <c r="C134" s="52"/>
      <c r="D134" s="3"/>
      <c r="E134" s="84"/>
      <c r="I134" s="100"/>
      <c r="J134" s="100"/>
      <c r="O134" s="148"/>
    </row>
    <row r="135" spans="3:15" s="2" customFormat="1">
      <c r="C135" s="52"/>
      <c r="D135" s="3"/>
      <c r="E135" s="84"/>
      <c r="I135" s="100"/>
      <c r="J135" s="100"/>
      <c r="O135" s="148"/>
    </row>
    <row r="136" spans="3:15" s="2" customFormat="1">
      <c r="C136" s="52"/>
      <c r="D136" s="3"/>
      <c r="E136" s="84"/>
      <c r="I136" s="100"/>
      <c r="J136" s="100"/>
      <c r="O136" s="148"/>
    </row>
    <row r="137" spans="3:15" s="2" customFormat="1">
      <c r="C137" s="52"/>
      <c r="D137" s="3"/>
      <c r="E137" s="84"/>
      <c r="I137" s="100"/>
      <c r="J137" s="100"/>
      <c r="O137" s="148"/>
    </row>
    <row r="138" spans="3:15" s="2" customFormat="1">
      <c r="C138" s="52"/>
      <c r="D138" s="3"/>
      <c r="E138" s="84"/>
      <c r="I138" s="100"/>
      <c r="J138" s="100"/>
      <c r="O138" s="148"/>
    </row>
    <row r="139" spans="3:15" s="2" customFormat="1">
      <c r="C139" s="52"/>
      <c r="D139" s="3"/>
      <c r="E139" s="84"/>
      <c r="I139" s="100"/>
      <c r="J139" s="100"/>
      <c r="O139" s="148"/>
    </row>
    <row r="140" spans="3:15" s="2" customFormat="1">
      <c r="C140" s="52"/>
      <c r="D140" s="3"/>
      <c r="E140" s="84"/>
      <c r="I140" s="100"/>
      <c r="J140" s="100"/>
      <c r="O140" s="148"/>
    </row>
    <row r="141" spans="3:15" s="2" customFormat="1">
      <c r="C141" s="52"/>
      <c r="D141" s="3"/>
      <c r="E141" s="84"/>
      <c r="I141" s="100"/>
      <c r="J141" s="100"/>
      <c r="O141" s="148"/>
    </row>
    <row r="142" spans="3:15" s="2" customFormat="1">
      <c r="C142" s="52"/>
      <c r="D142" s="3"/>
      <c r="E142" s="84"/>
      <c r="I142" s="100"/>
      <c r="J142" s="100"/>
      <c r="O142" s="148"/>
    </row>
    <row r="143" spans="3:15" s="2" customFormat="1">
      <c r="C143" s="52"/>
      <c r="D143" s="3"/>
      <c r="E143" s="84"/>
      <c r="I143" s="100"/>
      <c r="J143" s="100"/>
      <c r="O143" s="148"/>
    </row>
    <row r="144" spans="3:15" s="2" customFormat="1">
      <c r="C144" s="52"/>
      <c r="D144" s="3"/>
      <c r="E144" s="84"/>
      <c r="I144" s="100"/>
      <c r="J144" s="100"/>
      <c r="O144" s="148"/>
    </row>
    <row r="145" spans="3:15" s="2" customFormat="1">
      <c r="C145" s="52"/>
      <c r="D145" s="3"/>
      <c r="E145" s="84"/>
      <c r="I145" s="100"/>
      <c r="J145" s="100"/>
      <c r="O145" s="148"/>
    </row>
    <row r="146" spans="3:15" s="2" customFormat="1">
      <c r="C146" s="52"/>
      <c r="D146" s="3"/>
      <c r="E146" s="84"/>
      <c r="I146" s="100"/>
      <c r="J146" s="100"/>
      <c r="O146" s="148"/>
    </row>
    <row r="147" spans="3:15" s="2" customFormat="1">
      <c r="C147" s="52"/>
      <c r="D147" s="3"/>
      <c r="E147" s="84"/>
      <c r="I147" s="100"/>
      <c r="J147" s="100"/>
      <c r="O147" s="148"/>
    </row>
    <row r="148" spans="3:15" s="2" customFormat="1">
      <c r="C148" s="52"/>
      <c r="D148" s="3"/>
      <c r="E148" s="84"/>
      <c r="I148" s="100"/>
      <c r="J148" s="100"/>
      <c r="O148" s="148"/>
    </row>
    <row r="149" spans="3:15" s="2" customFormat="1">
      <c r="C149" s="52"/>
      <c r="D149" s="3"/>
      <c r="E149" s="84"/>
      <c r="I149" s="100"/>
      <c r="J149" s="100"/>
      <c r="O149" s="148"/>
    </row>
    <row r="150" spans="3:15" s="2" customFormat="1">
      <c r="C150" s="52"/>
      <c r="D150" s="3"/>
      <c r="E150" s="84"/>
      <c r="I150" s="100"/>
      <c r="J150" s="100"/>
      <c r="O150" s="148"/>
    </row>
    <row r="151" spans="3:15" s="2" customFormat="1">
      <c r="C151" s="52"/>
      <c r="D151" s="3"/>
      <c r="E151" s="84"/>
      <c r="I151" s="100"/>
      <c r="J151" s="100"/>
      <c r="O151" s="148"/>
    </row>
    <row r="152" spans="3:15" s="2" customFormat="1">
      <c r="C152" s="52"/>
      <c r="D152" s="3"/>
      <c r="E152" s="84"/>
      <c r="I152" s="100"/>
      <c r="J152" s="100"/>
      <c r="O152" s="148"/>
    </row>
    <row r="153" spans="3:15" s="2" customFormat="1">
      <c r="C153" s="52"/>
      <c r="D153" s="3"/>
      <c r="E153" s="84"/>
      <c r="I153" s="100"/>
      <c r="J153" s="100"/>
      <c r="O153" s="148"/>
    </row>
    <row r="154" spans="3:15" s="2" customFormat="1">
      <c r="C154" s="52"/>
      <c r="D154" s="3"/>
      <c r="E154" s="84"/>
      <c r="I154" s="100"/>
      <c r="J154" s="100"/>
      <c r="O154" s="148"/>
    </row>
    <row r="155" spans="3:15" s="2" customFormat="1">
      <c r="C155" s="52"/>
      <c r="D155" s="3"/>
      <c r="E155" s="84"/>
      <c r="I155" s="100"/>
      <c r="J155" s="100"/>
      <c r="O155" s="148"/>
    </row>
    <row r="156" spans="3:15" s="2" customFormat="1">
      <c r="C156" s="52"/>
      <c r="D156" s="3"/>
      <c r="E156" s="84"/>
      <c r="I156" s="100"/>
      <c r="J156" s="100"/>
      <c r="O156" s="148"/>
    </row>
    <row r="157" spans="3:15" s="2" customFormat="1">
      <c r="C157" s="52"/>
      <c r="D157" s="3"/>
      <c r="E157" s="84"/>
      <c r="I157" s="100"/>
      <c r="J157" s="100"/>
      <c r="O157" s="148"/>
    </row>
    <row r="158" spans="3:15" s="2" customFormat="1">
      <c r="C158" s="52"/>
      <c r="D158" s="3"/>
      <c r="E158" s="84"/>
      <c r="I158" s="100"/>
      <c r="J158" s="100"/>
      <c r="O158" s="148"/>
    </row>
    <row r="159" spans="3:15" s="2" customFormat="1">
      <c r="C159" s="52"/>
      <c r="D159" s="3"/>
      <c r="E159" s="84"/>
      <c r="I159" s="100"/>
      <c r="J159" s="100"/>
      <c r="O159" s="148"/>
    </row>
    <row r="160" spans="3:15" s="2" customFormat="1">
      <c r="C160" s="52"/>
      <c r="D160" s="3"/>
      <c r="E160" s="84"/>
      <c r="I160" s="100"/>
      <c r="J160" s="100"/>
      <c r="O160" s="148"/>
    </row>
    <row r="161" spans="3:15" s="2" customFormat="1">
      <c r="C161" s="52"/>
      <c r="D161" s="3"/>
      <c r="E161" s="84"/>
      <c r="I161" s="100"/>
      <c r="J161" s="100"/>
      <c r="O161" s="148"/>
    </row>
    <row r="162" spans="3:15" s="2" customFormat="1">
      <c r="C162" s="52"/>
      <c r="D162" s="3"/>
      <c r="E162" s="84"/>
      <c r="I162" s="100"/>
      <c r="J162" s="100"/>
      <c r="O162" s="148"/>
    </row>
    <row r="163" spans="3:15" s="2" customFormat="1">
      <c r="C163" s="52"/>
      <c r="D163" s="3"/>
      <c r="E163" s="84"/>
      <c r="I163" s="100"/>
      <c r="J163" s="100"/>
      <c r="O163" s="148"/>
    </row>
    <row r="164" spans="3:15" s="2" customFormat="1">
      <c r="C164" s="52"/>
      <c r="D164" s="3"/>
      <c r="E164" s="84"/>
      <c r="I164" s="100"/>
      <c r="J164" s="100"/>
      <c r="O164" s="148"/>
    </row>
    <row r="165" spans="3:15" s="2" customFormat="1">
      <c r="C165" s="52"/>
      <c r="D165" s="3"/>
      <c r="E165" s="84"/>
      <c r="I165" s="100"/>
      <c r="J165" s="100"/>
      <c r="O165" s="148"/>
    </row>
    <row r="166" spans="3:15" s="2" customFormat="1">
      <c r="C166" s="52"/>
      <c r="D166" s="3"/>
      <c r="E166" s="84"/>
      <c r="I166" s="100"/>
      <c r="J166" s="100"/>
      <c r="O166" s="148"/>
    </row>
    <row r="167" spans="3:15" s="2" customFormat="1">
      <c r="C167" s="52"/>
      <c r="D167" s="3"/>
      <c r="E167" s="84"/>
      <c r="I167" s="100"/>
      <c r="J167" s="100"/>
      <c r="O167" s="148"/>
    </row>
    <row r="168" spans="3:15" s="2" customFormat="1">
      <c r="C168" s="52"/>
      <c r="D168" s="3"/>
      <c r="E168" s="84"/>
      <c r="I168" s="100"/>
      <c r="J168" s="100"/>
      <c r="O168" s="148"/>
    </row>
    <row r="169" spans="3:15" s="2" customFormat="1">
      <c r="C169" s="52"/>
      <c r="D169" s="3"/>
      <c r="E169" s="84"/>
      <c r="I169" s="100"/>
      <c r="J169" s="100"/>
      <c r="O169" s="148"/>
    </row>
    <row r="170" spans="3:15" s="2" customFormat="1">
      <c r="C170" s="52"/>
      <c r="D170" s="3"/>
      <c r="E170" s="84"/>
      <c r="I170" s="100"/>
      <c r="J170" s="100"/>
      <c r="O170" s="148"/>
    </row>
    <row r="171" spans="3:15" s="2" customFormat="1">
      <c r="C171" s="52"/>
      <c r="D171" s="3"/>
      <c r="E171" s="84"/>
      <c r="I171" s="100"/>
      <c r="J171" s="100"/>
      <c r="O171" s="148"/>
    </row>
    <row r="172" spans="3:15" s="2" customFormat="1">
      <c r="C172" s="52"/>
      <c r="D172" s="3"/>
      <c r="E172" s="84"/>
      <c r="I172" s="100"/>
      <c r="J172" s="100"/>
      <c r="O172" s="148"/>
    </row>
    <row r="173" spans="3:15" s="2" customFormat="1">
      <c r="C173" s="52"/>
      <c r="D173" s="3"/>
      <c r="E173" s="84"/>
      <c r="I173" s="100"/>
      <c r="J173" s="100"/>
      <c r="O173" s="148"/>
    </row>
    <row r="174" spans="3:15" s="2" customFormat="1">
      <c r="C174" s="52"/>
      <c r="D174" s="3"/>
      <c r="E174" s="84"/>
      <c r="I174" s="100"/>
      <c r="J174" s="100"/>
      <c r="O174" s="148"/>
    </row>
    <row r="175" spans="3:15" s="2" customFormat="1">
      <c r="C175" s="52"/>
      <c r="D175" s="3"/>
      <c r="E175" s="84"/>
      <c r="I175" s="100"/>
      <c r="J175" s="100"/>
      <c r="O175" s="148"/>
    </row>
    <row r="176" spans="3:15" s="2" customFormat="1">
      <c r="C176" s="52"/>
      <c r="D176" s="3"/>
      <c r="E176" s="84"/>
      <c r="I176" s="100"/>
      <c r="J176" s="100"/>
      <c r="O176" s="148"/>
    </row>
    <row r="177" spans="3:15" s="2" customFormat="1">
      <c r="C177" s="52"/>
      <c r="D177" s="3"/>
      <c r="E177" s="84"/>
      <c r="I177" s="100"/>
      <c r="J177" s="100"/>
      <c r="O177" s="148"/>
    </row>
    <row r="178" spans="3:15" s="2" customFormat="1">
      <c r="C178" s="52"/>
      <c r="D178" s="3"/>
      <c r="E178" s="84"/>
      <c r="I178" s="100"/>
      <c r="J178" s="100"/>
      <c r="O178" s="148"/>
    </row>
    <row r="179" spans="3:15" s="2" customFormat="1">
      <c r="C179" s="52"/>
      <c r="D179" s="3"/>
      <c r="E179" s="84"/>
      <c r="I179" s="100"/>
      <c r="J179" s="100"/>
      <c r="O179" s="148"/>
    </row>
    <row r="180" spans="3:15" s="2" customFormat="1">
      <c r="C180" s="52"/>
      <c r="D180" s="3"/>
      <c r="E180" s="84"/>
      <c r="I180" s="100"/>
      <c r="J180" s="100"/>
      <c r="O180" s="148"/>
    </row>
    <row r="181" spans="3:15" s="2" customFormat="1">
      <c r="C181" s="52"/>
      <c r="D181" s="3"/>
      <c r="E181" s="84"/>
      <c r="I181" s="100"/>
      <c r="J181" s="100"/>
      <c r="O181" s="148"/>
    </row>
    <row r="182" spans="3:15" s="2" customFormat="1">
      <c r="C182" s="52"/>
      <c r="D182" s="3"/>
      <c r="E182" s="84"/>
      <c r="I182" s="100"/>
      <c r="J182" s="100"/>
      <c r="O182" s="148"/>
    </row>
    <row r="183" spans="3:15" s="2" customFormat="1">
      <c r="C183" s="52"/>
      <c r="D183" s="3"/>
      <c r="E183" s="84"/>
      <c r="I183" s="100"/>
      <c r="J183" s="100"/>
      <c r="O183" s="148"/>
    </row>
    <row r="184" spans="3:15" s="2" customFormat="1">
      <c r="C184" s="52"/>
      <c r="D184" s="3"/>
      <c r="E184" s="84"/>
      <c r="I184" s="100"/>
      <c r="J184" s="100"/>
      <c r="O184" s="148"/>
    </row>
    <row r="185" spans="3:15" s="2" customFormat="1">
      <c r="C185" s="52"/>
      <c r="D185" s="3"/>
      <c r="E185" s="84"/>
      <c r="I185" s="100"/>
      <c r="J185" s="100"/>
      <c r="O185" s="148"/>
    </row>
    <row r="186" spans="3:15" s="2" customFormat="1">
      <c r="C186" s="52"/>
      <c r="D186" s="3"/>
      <c r="E186" s="84"/>
      <c r="I186" s="100"/>
      <c r="J186" s="100"/>
      <c r="O186" s="148"/>
    </row>
    <row r="187" spans="3:15" s="2" customFormat="1">
      <c r="C187" s="52"/>
      <c r="D187" s="3"/>
      <c r="E187" s="84"/>
      <c r="I187" s="100"/>
      <c r="J187" s="100"/>
      <c r="O187" s="148"/>
    </row>
    <row r="188" spans="3:15" s="2" customFormat="1">
      <c r="C188" s="52"/>
      <c r="D188" s="3"/>
      <c r="E188" s="84"/>
      <c r="I188" s="100"/>
      <c r="J188" s="100"/>
      <c r="O188" s="148"/>
    </row>
  </sheetData>
  <sheetProtection algorithmName="SHA-512" hashValue="q8WrXy9vzpWi+4OuyHJ44nqCR1eF5hRJnSbvG/qbHsCbKQMwL8XZP+8y0eIYOvXt1a1RXVSJRPmRjt9qfpkaEw==" saltValue="EbE7FT75RdDxuoIl6/kYOw==" spinCount="100000" sheet="1" formatCells="0" formatColumns="0" formatRows="0" insertColumns="0" insertRows="0" insertHyperlinks="0" deleteColumns="0" deleteRows="0" sort="0" autoFilter="0" pivotTables="0"/>
  <mergeCells count="61">
    <mergeCell ref="L24:L25"/>
    <mergeCell ref="A31:D31"/>
    <mergeCell ref="E17:E19"/>
    <mergeCell ref="B27:B29"/>
    <mergeCell ref="C28:C29"/>
    <mergeCell ref="D28:D29"/>
    <mergeCell ref="E28:E29"/>
    <mergeCell ref="C24:C25"/>
    <mergeCell ref="D24:D25"/>
    <mergeCell ref="E24:E25"/>
    <mergeCell ref="M24:M25"/>
    <mergeCell ref="M17:M19"/>
    <mergeCell ref="B20:D20"/>
    <mergeCell ref="A21:A30"/>
    <mergeCell ref="B21:B26"/>
    <mergeCell ref="C21:C23"/>
    <mergeCell ref="D21:D23"/>
    <mergeCell ref="E21:E23"/>
    <mergeCell ref="G21:G23"/>
    <mergeCell ref="L21:L23"/>
    <mergeCell ref="M28:M29"/>
    <mergeCell ref="B30:D30"/>
    <mergeCell ref="G28:G29"/>
    <mergeCell ref="L28:L29"/>
    <mergeCell ref="M21:M23"/>
    <mergeCell ref="G24:G25"/>
    <mergeCell ref="G13:G16"/>
    <mergeCell ref="L13:L16"/>
    <mergeCell ref="M13:M16"/>
    <mergeCell ref="B17:B18"/>
    <mergeCell ref="C17:C18"/>
    <mergeCell ref="D17:D19"/>
    <mergeCell ref="G17:G19"/>
    <mergeCell ref="L17:L19"/>
    <mergeCell ref="E13:E16"/>
    <mergeCell ref="B12:D12"/>
    <mergeCell ref="A13:A20"/>
    <mergeCell ref="B13:B16"/>
    <mergeCell ref="C13:C16"/>
    <mergeCell ref="D13:D16"/>
    <mergeCell ref="D1:M2"/>
    <mergeCell ref="A4:A12"/>
    <mergeCell ref="C4:C5"/>
    <mergeCell ref="D4:D5"/>
    <mergeCell ref="E4:E5"/>
    <mergeCell ref="G4:G5"/>
    <mergeCell ref="L4:L5"/>
    <mergeCell ref="M4:M5"/>
    <mergeCell ref="C6:C7"/>
    <mergeCell ref="D6:D7"/>
    <mergeCell ref="E6:E7"/>
    <mergeCell ref="G6:G7"/>
    <mergeCell ref="L6:L7"/>
    <mergeCell ref="G8:G11"/>
    <mergeCell ref="L8:L11"/>
    <mergeCell ref="M8:M11"/>
    <mergeCell ref="C8:C11"/>
    <mergeCell ref="D8:D11"/>
    <mergeCell ref="E8:E11"/>
    <mergeCell ref="B4:B11"/>
    <mergeCell ref="M6:M7"/>
  </mergeCells>
  <conditionalFormatting sqref="K1:K1048576">
    <cfRule type="cellIs" dxfId="7" priority="2" operator="equal">
      <formula>1</formula>
    </cfRule>
  </conditionalFormatting>
  <conditionalFormatting sqref="N1:N1048576">
    <cfRule type="cellIs" dxfId="6" priority="1" operator="equal">
      <formula>1</formula>
    </cfRule>
  </conditionalFormatting>
  <pageMargins left="0.70866141732283472" right="0.70866141732283472" top="0.74803149606299213" bottom="0.74803149606299213" header="0.31496062992125984" footer="0.31496062992125984"/>
  <pageSetup scale="19"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pageSetUpPr fitToPage="1"/>
  </sheetPr>
  <dimension ref="A1:U188"/>
  <sheetViews>
    <sheetView topLeftCell="A3" zoomScale="80" zoomScaleNormal="80" workbookViewId="0">
      <pane xSplit="6" ySplit="1" topLeftCell="G4" activePane="bottomRight" state="frozen"/>
      <selection activeCell="D3" sqref="D3"/>
      <selection pane="topRight" activeCell="G3" sqref="G3"/>
      <selection pane="bottomLeft" activeCell="D4" sqref="D4"/>
      <selection pane="bottomRight" activeCell="A4" sqref="A4:A11"/>
    </sheetView>
  </sheetViews>
  <sheetFormatPr baseColWidth="10" defaultColWidth="11.42578125" defaultRowHeight="15"/>
  <cols>
    <col min="1" max="1" width="19.85546875" customWidth="1"/>
    <col min="2" max="2" width="12.85546875" customWidth="1"/>
    <col min="3" max="3" width="6" style="53" customWidth="1"/>
    <col min="4" max="4" width="24.5703125" style="1" customWidth="1"/>
    <col min="5" max="5" width="15.85546875" style="87" customWidth="1"/>
    <col min="6" max="6" width="40.28515625" style="2" customWidth="1"/>
    <col min="7" max="7" width="12.140625" style="2" bestFit="1" customWidth="1"/>
    <col min="8" max="8" width="11.42578125" style="2"/>
    <col min="9" max="9" width="13.85546875" style="100" customWidth="1"/>
    <col min="10" max="10" width="14.28515625" style="100" customWidth="1"/>
    <col min="11" max="11" width="15.140625" style="2" customWidth="1"/>
    <col min="12" max="12" width="16" style="2" customWidth="1"/>
    <col min="13" max="13" width="12.28515625" style="2" customWidth="1"/>
    <col min="14" max="14" width="28.85546875" style="2" customWidth="1"/>
    <col min="15" max="15" width="53.7109375" style="148" customWidth="1"/>
    <col min="16" max="19" width="11.42578125" style="2"/>
  </cols>
  <sheetData>
    <row r="1" spans="1:21" s="2" customFormat="1" ht="21" customHeight="1">
      <c r="A1" s="135" t="s">
        <v>87</v>
      </c>
      <c r="B1" s="135"/>
      <c r="C1" s="135"/>
      <c r="D1" s="200" t="s">
        <v>116</v>
      </c>
      <c r="E1" s="200"/>
      <c r="F1" s="200"/>
      <c r="G1" s="200"/>
      <c r="H1" s="200"/>
      <c r="I1" s="200"/>
      <c r="J1" s="200"/>
      <c r="K1" s="200"/>
      <c r="L1" s="200"/>
      <c r="M1" s="200"/>
      <c r="N1" s="149"/>
      <c r="O1" s="141"/>
      <c r="T1"/>
      <c r="U1"/>
    </row>
    <row r="2" spans="1:21" s="2" customFormat="1" ht="15.75" customHeight="1" thickBot="1">
      <c r="A2" s="136"/>
      <c r="B2" s="136"/>
      <c r="C2" s="136"/>
      <c r="D2" s="201"/>
      <c r="E2" s="201"/>
      <c r="F2" s="201"/>
      <c r="G2" s="201"/>
      <c r="H2" s="201"/>
      <c r="I2" s="201"/>
      <c r="J2" s="201"/>
      <c r="K2" s="201"/>
      <c r="L2" s="201"/>
      <c r="M2" s="201"/>
      <c r="N2" s="150"/>
      <c r="O2" s="142"/>
      <c r="T2"/>
      <c r="U2"/>
    </row>
    <row r="3" spans="1:21" s="2" customFormat="1" ht="33" customHeight="1">
      <c r="A3" s="56" t="s">
        <v>0</v>
      </c>
      <c r="B3" s="56" t="s">
        <v>1</v>
      </c>
      <c r="C3" s="56" t="s">
        <v>37</v>
      </c>
      <c r="D3" s="56" t="s">
        <v>85</v>
      </c>
      <c r="E3" s="88" t="s">
        <v>45</v>
      </c>
      <c r="F3" s="88" t="s">
        <v>55</v>
      </c>
      <c r="G3" s="88" t="s">
        <v>62</v>
      </c>
      <c r="H3" s="88" t="s">
        <v>86</v>
      </c>
      <c r="I3" s="101" t="s">
        <v>60</v>
      </c>
      <c r="J3" s="109" t="s">
        <v>61</v>
      </c>
      <c r="K3" s="88" t="s">
        <v>61</v>
      </c>
      <c r="L3" s="88" t="s">
        <v>90</v>
      </c>
      <c r="M3" s="88" t="s">
        <v>91</v>
      </c>
      <c r="N3" s="88" t="s">
        <v>141</v>
      </c>
      <c r="O3" s="88" t="s">
        <v>80</v>
      </c>
      <c r="T3"/>
      <c r="U3"/>
    </row>
    <row r="4" spans="1:21" s="2" customFormat="1" ht="180.75" customHeight="1">
      <c r="A4" s="188" t="s">
        <v>7</v>
      </c>
      <c r="B4" s="202" t="s">
        <v>8</v>
      </c>
      <c r="C4" s="181" t="s">
        <v>10</v>
      </c>
      <c r="D4" s="182" t="s">
        <v>14</v>
      </c>
      <c r="E4" s="178">
        <v>754825500</v>
      </c>
      <c r="F4" s="59" t="s">
        <v>120</v>
      </c>
      <c r="G4" s="189">
        <f>E4/$E$31</f>
        <v>6.6857203723172482E-3</v>
      </c>
      <c r="H4" s="106">
        <v>3.3999999999999998E-3</v>
      </c>
      <c r="I4" s="102">
        <v>559</v>
      </c>
      <c r="J4" s="107">
        <v>559</v>
      </c>
      <c r="K4" s="61">
        <f t="shared" ref="K4:K10" si="0">J4/I4</f>
        <v>1</v>
      </c>
      <c r="L4" s="180">
        <f>K4*H4+K5*H5</f>
        <v>6.6999999999999994E-3</v>
      </c>
      <c r="M4" s="190">
        <f>L4/G4</f>
        <v>1.0021358398029743</v>
      </c>
      <c r="N4" s="159" t="s">
        <v>142</v>
      </c>
      <c r="O4" s="143" t="s">
        <v>81</v>
      </c>
    </row>
    <row r="5" spans="1:21" s="2" customFormat="1" ht="90">
      <c r="A5" s="188"/>
      <c r="B5" s="202"/>
      <c r="C5" s="181"/>
      <c r="D5" s="182"/>
      <c r="E5" s="178"/>
      <c r="F5" s="112" t="s">
        <v>121</v>
      </c>
      <c r="G5" s="189"/>
      <c r="H5" s="106">
        <v>3.3E-3</v>
      </c>
      <c r="I5" s="102">
        <v>559</v>
      </c>
      <c r="J5" s="107">
        <v>559</v>
      </c>
      <c r="K5" s="61">
        <f>J5/I5</f>
        <v>1</v>
      </c>
      <c r="L5" s="180"/>
      <c r="M5" s="192"/>
      <c r="N5" s="159" t="s">
        <v>145</v>
      </c>
      <c r="O5" s="143" t="s">
        <v>82</v>
      </c>
      <c r="P5" s="113"/>
    </row>
    <row r="6" spans="1:21" s="2" customFormat="1" ht="30">
      <c r="A6" s="188"/>
      <c r="B6" s="202"/>
      <c r="C6" s="181" t="s">
        <v>12</v>
      </c>
      <c r="D6" s="182" t="s">
        <v>38</v>
      </c>
      <c r="E6" s="178">
        <v>6174740000</v>
      </c>
      <c r="F6" s="58" t="s">
        <v>126</v>
      </c>
      <c r="G6" s="189">
        <f>E6/$E$31</f>
        <v>5.4691561177732079E-2</v>
      </c>
      <c r="H6" s="106">
        <v>4.4699999999999997E-2</v>
      </c>
      <c r="I6" s="102">
        <v>486</v>
      </c>
      <c r="J6" s="107">
        <v>486</v>
      </c>
      <c r="K6" s="61">
        <f>J6/I6</f>
        <v>1</v>
      </c>
      <c r="L6" s="180">
        <f>K6*H6+K7*H7</f>
        <v>5.4699999999999999E-2</v>
      </c>
      <c r="M6" s="190">
        <f>L6/G6</f>
        <v>1.0001542984344605</v>
      </c>
      <c r="N6" s="159" t="s">
        <v>143</v>
      </c>
      <c r="O6" s="143"/>
    </row>
    <row r="7" spans="1:21" s="2" customFormat="1" ht="29.25" customHeight="1">
      <c r="A7" s="188"/>
      <c r="B7" s="202"/>
      <c r="C7" s="181"/>
      <c r="D7" s="182"/>
      <c r="E7" s="178"/>
      <c r="F7" s="112" t="s">
        <v>125</v>
      </c>
      <c r="G7" s="189"/>
      <c r="H7" s="106">
        <v>0.01</v>
      </c>
      <c r="I7" s="102">
        <v>486</v>
      </c>
      <c r="J7" s="107">
        <v>486</v>
      </c>
      <c r="K7" s="61">
        <f>J7/I7</f>
        <v>1</v>
      </c>
      <c r="L7" s="180"/>
      <c r="M7" s="192"/>
      <c r="N7" s="153" t="s">
        <v>144</v>
      </c>
      <c r="O7" s="144" t="s">
        <v>88</v>
      </c>
    </row>
    <row r="8" spans="1:21" s="2" customFormat="1" ht="90">
      <c r="A8" s="188"/>
      <c r="B8" s="202"/>
      <c r="C8" s="181" t="s">
        <v>13</v>
      </c>
      <c r="D8" s="182" t="s">
        <v>11</v>
      </c>
      <c r="E8" s="178">
        <v>8783099485</v>
      </c>
      <c r="F8" s="59" t="s">
        <v>66</v>
      </c>
      <c r="G8" s="179">
        <f>E8/E31</f>
        <v>7.7794599094696229E-2</v>
      </c>
      <c r="H8" s="106">
        <v>1.78E-2</v>
      </c>
      <c r="I8" s="102">
        <v>478</v>
      </c>
      <c r="J8" s="107">
        <v>478</v>
      </c>
      <c r="K8" s="61">
        <f t="shared" si="0"/>
        <v>1</v>
      </c>
      <c r="L8" s="180">
        <f>K8*H8+K9*H9+K10*H10</f>
        <v>7.4636158192090393E-2</v>
      </c>
      <c r="M8" s="173">
        <f>L8/G8</f>
        <v>0.95940025478168234</v>
      </c>
      <c r="N8" s="159" t="s">
        <v>175</v>
      </c>
      <c r="O8" s="143"/>
    </row>
    <row r="9" spans="1:21" s="2" customFormat="1" ht="75">
      <c r="A9" s="188"/>
      <c r="B9" s="202"/>
      <c r="C9" s="181"/>
      <c r="D9" s="182"/>
      <c r="E9" s="178"/>
      <c r="F9" s="58" t="s">
        <v>83</v>
      </c>
      <c r="G9" s="179"/>
      <c r="H9" s="106">
        <v>0.06</v>
      </c>
      <c r="I9" s="102">
        <f>(178-1)*9</f>
        <v>1593</v>
      </c>
      <c r="J9" s="107">
        <v>1509</v>
      </c>
      <c r="K9" s="61">
        <f t="shared" si="0"/>
        <v>0.9472693032015066</v>
      </c>
      <c r="L9" s="180"/>
      <c r="M9" s="187"/>
      <c r="N9" s="159" t="s">
        <v>156</v>
      </c>
      <c r="O9" s="144" t="s">
        <v>89</v>
      </c>
    </row>
    <row r="10" spans="1:21" s="2" customFormat="1" ht="75.75" customHeight="1">
      <c r="A10" s="188"/>
      <c r="B10" s="202"/>
      <c r="C10" s="181"/>
      <c r="D10" s="182"/>
      <c r="E10" s="178"/>
      <c r="F10" s="5" t="s">
        <v>84</v>
      </c>
      <c r="G10" s="179"/>
      <c r="H10" s="62">
        <v>0</v>
      </c>
      <c r="I10" s="102">
        <f>478*7</f>
        <v>3346</v>
      </c>
      <c r="J10" s="107">
        <v>832</v>
      </c>
      <c r="K10" s="61">
        <f t="shared" si="0"/>
        <v>0.24865511057979678</v>
      </c>
      <c r="L10" s="180"/>
      <c r="M10" s="174"/>
      <c r="N10" s="159" t="s">
        <v>156</v>
      </c>
      <c r="O10" s="143" t="s">
        <v>111</v>
      </c>
    </row>
    <row r="11" spans="1:21" s="2" customFormat="1">
      <c r="A11" s="188"/>
      <c r="B11" s="175" t="s">
        <v>16</v>
      </c>
      <c r="C11" s="175"/>
      <c r="D11" s="175"/>
      <c r="E11" s="74">
        <f>SUM(E4:E8)</f>
        <v>15712664985</v>
      </c>
      <c r="F11" s="69"/>
      <c r="G11" s="115">
        <f>SUM(G4:G10)</f>
        <v>0.13917188064474556</v>
      </c>
      <c r="H11" s="67"/>
      <c r="I11" s="103"/>
      <c r="J11" s="103"/>
      <c r="K11" s="97"/>
      <c r="L11" s="116">
        <f>SUM(L4:L10)</f>
        <v>0.13603615819209039</v>
      </c>
      <c r="M11" s="70">
        <f>L11/G11</f>
        <v>0.9774687067665665</v>
      </c>
      <c r="N11" s="70">
        <f>M11</f>
        <v>0.9774687067665665</v>
      </c>
      <c r="O11" s="145"/>
    </row>
    <row r="12" spans="1:21" s="2" customFormat="1" ht="20.25" customHeight="1">
      <c r="A12" s="188" t="s">
        <v>17</v>
      </c>
      <c r="B12" s="177" t="s">
        <v>18</v>
      </c>
      <c r="C12" s="177" t="s">
        <v>19</v>
      </c>
      <c r="D12" s="182" t="s">
        <v>18</v>
      </c>
      <c r="E12" s="178">
        <v>88400000000</v>
      </c>
      <c r="F12" s="59" t="s">
        <v>127</v>
      </c>
      <c r="G12" s="199">
        <f>E12/E31</f>
        <v>0.78298584363252799</v>
      </c>
      <c r="H12" s="63">
        <f>G12*27%</f>
        <v>0.21140617778078258</v>
      </c>
      <c r="I12" s="102">
        <v>478</v>
      </c>
      <c r="J12" s="107">
        <v>478</v>
      </c>
      <c r="K12" s="64">
        <f>J12/I12</f>
        <v>1</v>
      </c>
      <c r="L12" s="180">
        <f>K12*H12+K13*H13+K14*H14+K15*H15+K16*H16</f>
        <v>0.78298584363252799</v>
      </c>
      <c r="M12" s="190">
        <f>L12/G12</f>
        <v>1</v>
      </c>
      <c r="N12" s="159" t="s">
        <v>146</v>
      </c>
      <c r="O12" s="143" t="s">
        <v>112</v>
      </c>
    </row>
    <row r="13" spans="1:21" s="2" customFormat="1" ht="20.25" customHeight="1">
      <c r="A13" s="188"/>
      <c r="B13" s="177"/>
      <c r="C13" s="177"/>
      <c r="D13" s="182"/>
      <c r="E13" s="178"/>
      <c r="F13" s="59" t="s">
        <v>128</v>
      </c>
      <c r="G13" s="199"/>
      <c r="H13" s="63">
        <f>G12*4%</f>
        <v>3.131943374530112E-2</v>
      </c>
      <c r="I13" s="102">
        <v>478</v>
      </c>
      <c r="J13" s="107">
        <v>478</v>
      </c>
      <c r="K13" s="162">
        <f t="shared" ref="K13:K16" si="1">J13/I13</f>
        <v>1</v>
      </c>
      <c r="L13" s="180"/>
      <c r="M13" s="191"/>
      <c r="N13" s="159" t="s">
        <v>169</v>
      </c>
      <c r="O13" s="143"/>
    </row>
    <row r="14" spans="1:21" s="2" customFormat="1" ht="20.25" customHeight="1">
      <c r="A14" s="188"/>
      <c r="B14" s="177"/>
      <c r="C14" s="177"/>
      <c r="D14" s="182"/>
      <c r="E14" s="178"/>
      <c r="F14" s="59" t="s">
        <v>170</v>
      </c>
      <c r="G14" s="199"/>
      <c r="H14" s="63">
        <f>G12*3%</f>
        <v>2.348957530897584E-2</v>
      </c>
      <c r="I14" s="134">
        <v>478</v>
      </c>
      <c r="J14" s="107">
        <v>478</v>
      </c>
      <c r="K14" s="64">
        <f t="shared" si="1"/>
        <v>1</v>
      </c>
      <c r="L14" s="180"/>
      <c r="M14" s="191"/>
      <c r="N14" s="159"/>
      <c r="O14" s="143"/>
    </row>
    <row r="15" spans="1:21" s="2" customFormat="1" ht="20.25" customHeight="1">
      <c r="A15" s="188"/>
      <c r="B15" s="177"/>
      <c r="C15" s="177"/>
      <c r="D15" s="182"/>
      <c r="E15" s="178"/>
      <c r="F15" s="59" t="s">
        <v>129</v>
      </c>
      <c r="G15" s="199"/>
      <c r="H15" s="63">
        <f>G12*66%</f>
        <v>0.51677065679746848</v>
      </c>
      <c r="I15" s="102">
        <v>478</v>
      </c>
      <c r="J15" s="107">
        <v>478</v>
      </c>
      <c r="K15" s="64">
        <f t="shared" si="1"/>
        <v>1</v>
      </c>
      <c r="L15" s="180"/>
      <c r="M15" s="191"/>
      <c r="N15" s="159" t="s">
        <v>147</v>
      </c>
      <c r="O15" s="143"/>
    </row>
    <row r="16" spans="1:21" s="2" customFormat="1" ht="26.25" customHeight="1">
      <c r="A16" s="188"/>
      <c r="B16" s="177"/>
      <c r="C16" s="177"/>
      <c r="D16" s="182"/>
      <c r="E16" s="178"/>
      <c r="F16" s="59" t="s">
        <v>70</v>
      </c>
      <c r="G16" s="199"/>
      <c r="H16" s="63">
        <v>0</v>
      </c>
      <c r="I16" s="102">
        <v>478</v>
      </c>
      <c r="J16" s="107">
        <v>470</v>
      </c>
      <c r="K16" s="64">
        <f t="shared" si="1"/>
        <v>0.98326359832635979</v>
      </c>
      <c r="L16" s="180"/>
      <c r="M16" s="192"/>
      <c r="N16" s="159" t="s">
        <v>186</v>
      </c>
      <c r="O16" s="143" t="s">
        <v>174</v>
      </c>
    </row>
    <row r="17" spans="1:16" s="2" customFormat="1" ht="30">
      <c r="A17" s="188"/>
      <c r="B17" s="177" t="s">
        <v>36</v>
      </c>
      <c r="C17" s="181" t="s">
        <v>40</v>
      </c>
      <c r="D17" s="193" t="s">
        <v>36</v>
      </c>
      <c r="E17" s="178">
        <v>2500000000</v>
      </c>
      <c r="F17" s="58" t="s">
        <v>135</v>
      </c>
      <c r="G17" s="196">
        <f>E17/E31</f>
        <v>2.2143264808612218E-2</v>
      </c>
      <c r="H17" s="106">
        <v>5.0000000000000001E-3</v>
      </c>
      <c r="I17" s="134">
        <v>2</v>
      </c>
      <c r="J17" s="108">
        <v>2</v>
      </c>
      <c r="K17" s="64">
        <f>J17/I17</f>
        <v>1</v>
      </c>
      <c r="L17" s="173">
        <f>K17*H17+K18*H18+K19*H19</f>
        <v>1.5259999999999999E-2</v>
      </c>
      <c r="M17" s="173">
        <f>L17/G17</f>
        <v>0.68914860260646393</v>
      </c>
      <c r="N17" s="159" t="s">
        <v>149</v>
      </c>
      <c r="O17" s="144" t="s">
        <v>113</v>
      </c>
    </row>
    <row r="18" spans="1:16" s="2" customFormat="1" ht="57.75" customHeight="1">
      <c r="A18" s="188"/>
      <c r="B18" s="177"/>
      <c r="C18" s="181"/>
      <c r="D18" s="194"/>
      <c r="E18" s="178"/>
      <c r="F18" s="112" t="s">
        <v>117</v>
      </c>
      <c r="G18" s="197"/>
      <c r="H18" s="106">
        <f>1.71%/2</f>
        <v>8.5500000000000003E-3</v>
      </c>
      <c r="I18" s="102">
        <v>5</v>
      </c>
      <c r="J18" s="168">
        <f>(I18*35%)+(I18*25%)</f>
        <v>3</v>
      </c>
      <c r="K18" s="64">
        <f>J18/I18</f>
        <v>0.6</v>
      </c>
      <c r="L18" s="187"/>
      <c r="M18" s="187"/>
      <c r="N18" s="159" t="s">
        <v>179</v>
      </c>
      <c r="O18" s="144" t="s">
        <v>163</v>
      </c>
    </row>
    <row r="19" spans="1:16" s="2" customFormat="1" ht="63" customHeight="1">
      <c r="A19" s="188"/>
      <c r="B19" s="75"/>
      <c r="C19" s="46"/>
      <c r="D19" s="195"/>
      <c r="E19" s="71"/>
      <c r="F19" s="58" t="s">
        <v>118</v>
      </c>
      <c r="G19" s="198"/>
      <c r="H19" s="106">
        <f>1.71%/2</f>
        <v>8.5500000000000003E-3</v>
      </c>
      <c r="I19" s="102">
        <v>5</v>
      </c>
      <c r="J19" s="168">
        <f>(I19*35%)+(I19*25%)</f>
        <v>3</v>
      </c>
      <c r="K19" s="64">
        <f>J19/I19</f>
        <v>0.6</v>
      </c>
      <c r="L19" s="174"/>
      <c r="M19" s="174"/>
      <c r="N19" s="159" t="s">
        <v>178</v>
      </c>
      <c r="O19" s="144" t="s">
        <v>164</v>
      </c>
    </row>
    <row r="20" spans="1:16" s="2" customFormat="1">
      <c r="A20" s="188"/>
      <c r="B20" s="175" t="s">
        <v>16</v>
      </c>
      <c r="C20" s="175"/>
      <c r="D20" s="175"/>
      <c r="E20" s="74">
        <f>SUM(E12:E18)</f>
        <v>90900000000</v>
      </c>
      <c r="F20" s="69"/>
      <c r="G20" s="115">
        <f>SUM(G12:G18)</f>
        <v>0.80512910844114016</v>
      </c>
      <c r="H20" s="67"/>
      <c r="I20" s="103"/>
      <c r="J20" s="103"/>
      <c r="K20" s="97"/>
      <c r="L20" s="116">
        <f>SUM(L12:L18)</f>
        <v>0.79824584363252804</v>
      </c>
      <c r="M20" s="70">
        <f>L20/G20</f>
        <v>0.99145073164484232</v>
      </c>
      <c r="N20" s="70">
        <f>M20</f>
        <v>0.99145073164484232</v>
      </c>
      <c r="O20" s="145"/>
    </row>
    <row r="21" spans="1:16" s="2" customFormat="1" ht="15" customHeight="1">
      <c r="A21" s="188" t="s">
        <v>21</v>
      </c>
      <c r="B21" s="177" t="s">
        <v>8</v>
      </c>
      <c r="C21" s="177" t="s">
        <v>23</v>
      </c>
      <c r="D21" s="182" t="s">
        <v>22</v>
      </c>
      <c r="E21" s="178">
        <v>4400000000</v>
      </c>
      <c r="F21" s="59" t="s">
        <v>48</v>
      </c>
      <c r="G21" s="189">
        <f>E21/E31</f>
        <v>3.8972146063157499E-2</v>
      </c>
      <c r="H21" s="106">
        <v>2E-3</v>
      </c>
      <c r="I21" s="102">
        <v>1</v>
      </c>
      <c r="J21" s="107">
        <v>1</v>
      </c>
      <c r="K21" s="64">
        <f t="shared" ref="K21:K29" si="2">J21/I21</f>
        <v>1</v>
      </c>
      <c r="L21" s="180">
        <f>K21*H21+K22*H22+K23*H23</f>
        <v>3.9000000000000007E-2</v>
      </c>
      <c r="M21" s="190">
        <f>L21/G21</f>
        <v>1.0007147139600003</v>
      </c>
      <c r="N21" s="159" t="s">
        <v>151</v>
      </c>
      <c r="O21" s="143"/>
      <c r="P21" s="113"/>
    </row>
    <row r="22" spans="1:16" s="2" customFormat="1" ht="15" customHeight="1">
      <c r="A22" s="188"/>
      <c r="B22" s="177"/>
      <c r="C22" s="177"/>
      <c r="D22" s="182"/>
      <c r="E22" s="178"/>
      <c r="F22" s="59" t="s">
        <v>49</v>
      </c>
      <c r="G22" s="189"/>
      <c r="H22" s="106">
        <v>2E-3</v>
      </c>
      <c r="I22" s="102">
        <v>1</v>
      </c>
      <c r="J22" s="107">
        <v>1</v>
      </c>
      <c r="K22" s="64">
        <f t="shared" si="2"/>
        <v>1</v>
      </c>
      <c r="L22" s="180"/>
      <c r="M22" s="191"/>
      <c r="N22" s="159" t="s">
        <v>151</v>
      </c>
      <c r="O22" s="143"/>
    </row>
    <row r="23" spans="1:16" s="2" customFormat="1" ht="28.5" customHeight="1">
      <c r="A23" s="188"/>
      <c r="B23" s="177"/>
      <c r="C23" s="177"/>
      <c r="D23" s="182"/>
      <c r="E23" s="178"/>
      <c r="F23" s="59" t="s">
        <v>57</v>
      </c>
      <c r="G23" s="189"/>
      <c r="H23" s="106">
        <v>3.5000000000000003E-2</v>
      </c>
      <c r="I23" s="102">
        <v>12</v>
      </c>
      <c r="J23" s="107">
        <v>12</v>
      </c>
      <c r="K23" s="64">
        <f t="shared" si="2"/>
        <v>1</v>
      </c>
      <c r="L23" s="180"/>
      <c r="M23" s="192"/>
      <c r="N23" s="159" t="s">
        <v>162</v>
      </c>
      <c r="O23" s="143"/>
    </row>
    <row r="24" spans="1:16" s="2" customFormat="1" ht="193.5" customHeight="1">
      <c r="A24" s="188"/>
      <c r="B24" s="177"/>
      <c r="C24" s="181" t="s">
        <v>41</v>
      </c>
      <c r="D24" s="182" t="s">
        <v>39</v>
      </c>
      <c r="E24" s="183">
        <v>300000000</v>
      </c>
      <c r="F24" s="112" t="s">
        <v>67</v>
      </c>
      <c r="G24" s="184">
        <f>E24/E31</f>
        <v>2.6571917770334659E-3</v>
      </c>
      <c r="H24" s="152">
        <f>G24/2</f>
        <v>1.328595888516733E-3</v>
      </c>
      <c r="I24" s="102">
        <v>7</v>
      </c>
      <c r="J24" s="107">
        <v>7</v>
      </c>
      <c r="K24" s="64">
        <f>J24/I24</f>
        <v>1</v>
      </c>
      <c r="L24" s="180">
        <f>K24*H24+K25*H25</f>
        <v>2.6571917770334659E-3</v>
      </c>
      <c r="M24" s="185">
        <f>L24/G24</f>
        <v>1</v>
      </c>
      <c r="N24" s="161" t="s">
        <v>176</v>
      </c>
      <c r="O24" s="144" t="s">
        <v>138</v>
      </c>
      <c r="P24" s="114"/>
    </row>
    <row r="25" spans="1:16" s="2" customFormat="1" ht="58.5" customHeight="1">
      <c r="A25" s="188"/>
      <c r="B25" s="177"/>
      <c r="C25" s="181"/>
      <c r="D25" s="182"/>
      <c r="E25" s="183"/>
      <c r="F25" s="112" t="s">
        <v>119</v>
      </c>
      <c r="G25" s="184"/>
      <c r="H25" s="152">
        <f>G24/2</f>
        <v>1.328595888516733E-3</v>
      </c>
      <c r="I25" s="102">
        <v>7</v>
      </c>
      <c r="J25" s="107">
        <f>(I25*35%)+(I25*25%)+(I25*40%)</f>
        <v>7</v>
      </c>
      <c r="K25" s="64">
        <f t="shared" si="2"/>
        <v>1</v>
      </c>
      <c r="L25" s="180"/>
      <c r="M25" s="186"/>
      <c r="N25" s="156" t="s">
        <v>152</v>
      </c>
      <c r="O25" s="144" t="s">
        <v>166</v>
      </c>
    </row>
    <row r="26" spans="1:16" s="2" customFormat="1" ht="30">
      <c r="A26" s="188"/>
      <c r="B26" s="177"/>
      <c r="C26" s="46" t="s">
        <v>42</v>
      </c>
      <c r="D26" s="75" t="s">
        <v>25</v>
      </c>
      <c r="E26" s="71">
        <v>483396329</v>
      </c>
      <c r="F26" s="58" t="s">
        <v>68</v>
      </c>
      <c r="G26" s="106">
        <f>E26/E31</f>
        <v>4.2815891682232137E-3</v>
      </c>
      <c r="H26" s="106">
        <v>4.3E-3</v>
      </c>
      <c r="I26" s="71">
        <v>483396329</v>
      </c>
      <c r="J26" s="110">
        <v>455673750</v>
      </c>
      <c r="K26" s="64">
        <f t="shared" si="2"/>
        <v>0.94265041470763833</v>
      </c>
      <c r="L26" s="111">
        <f>K26*H26</f>
        <v>4.0533967832428446E-3</v>
      </c>
      <c r="M26" s="79">
        <f>L26/G26</f>
        <v>0.94670381112836544</v>
      </c>
      <c r="N26" s="157" t="s">
        <v>153</v>
      </c>
      <c r="O26" s="143" t="s">
        <v>167</v>
      </c>
    </row>
    <row r="27" spans="1:16" s="2" customFormat="1" ht="177.75" customHeight="1">
      <c r="A27" s="188"/>
      <c r="B27" s="177" t="s">
        <v>28</v>
      </c>
      <c r="C27" s="46" t="s">
        <v>43</v>
      </c>
      <c r="D27" s="75" t="s">
        <v>29</v>
      </c>
      <c r="E27" s="71">
        <v>745085902</v>
      </c>
      <c r="F27" s="112" t="s">
        <v>69</v>
      </c>
      <c r="G27" s="106">
        <f>E27/E31</f>
        <v>6.5994537732598762E-3</v>
      </c>
      <c r="H27" s="106">
        <v>6.6E-3</v>
      </c>
      <c r="I27" s="71">
        <v>745085902</v>
      </c>
      <c r="J27" s="110">
        <v>295933487</v>
      </c>
      <c r="K27" s="163">
        <f>J27/I27</f>
        <v>0.39718036028549097</v>
      </c>
      <c r="L27" s="111">
        <f>K27*H27</f>
        <v>2.6213903778842403E-3</v>
      </c>
      <c r="M27" s="160">
        <f>L27/G27</f>
        <v>0.39721323429914329</v>
      </c>
      <c r="N27" s="161" t="s">
        <v>180</v>
      </c>
      <c r="O27" s="143" t="s">
        <v>167</v>
      </c>
    </row>
    <row r="28" spans="1:16" s="2" customFormat="1" ht="195">
      <c r="A28" s="188"/>
      <c r="B28" s="177"/>
      <c r="C28" s="177" t="s">
        <v>44</v>
      </c>
      <c r="D28" s="177" t="s">
        <v>31</v>
      </c>
      <c r="E28" s="178">
        <v>360000000</v>
      </c>
      <c r="F28" s="132" t="s">
        <v>58</v>
      </c>
      <c r="G28" s="179">
        <f>E28/E31</f>
        <v>3.1886301324401591E-3</v>
      </c>
      <c r="H28" s="133">
        <v>1E-3</v>
      </c>
      <c r="I28" s="134">
        <v>2</v>
      </c>
      <c r="J28" s="108">
        <v>2</v>
      </c>
      <c r="K28" s="64">
        <f t="shared" si="2"/>
        <v>1</v>
      </c>
      <c r="L28" s="180">
        <f>(K28*H28)+(K29*H29)</f>
        <v>2.1000000000000003E-3</v>
      </c>
      <c r="M28" s="173">
        <f>L28/G28</f>
        <v>0.65859002542666678</v>
      </c>
      <c r="N28" s="159" t="s">
        <v>149</v>
      </c>
      <c r="O28" s="144" t="s">
        <v>110</v>
      </c>
    </row>
    <row r="29" spans="1:16" s="2" customFormat="1" ht="80.25" customHeight="1">
      <c r="A29" s="188"/>
      <c r="B29" s="177"/>
      <c r="C29" s="177"/>
      <c r="D29" s="177"/>
      <c r="E29" s="178"/>
      <c r="F29" s="112" t="s">
        <v>59</v>
      </c>
      <c r="G29" s="179"/>
      <c r="H29" s="133">
        <v>2.2000000000000001E-3</v>
      </c>
      <c r="I29" s="134">
        <v>2</v>
      </c>
      <c r="J29" s="164">
        <v>1</v>
      </c>
      <c r="K29" s="166">
        <f t="shared" si="2"/>
        <v>0.5</v>
      </c>
      <c r="L29" s="180"/>
      <c r="M29" s="174"/>
      <c r="N29" s="155" t="s">
        <v>183</v>
      </c>
      <c r="O29" s="165" t="s">
        <v>184</v>
      </c>
    </row>
    <row r="30" spans="1:16" s="2" customFormat="1">
      <c r="A30" s="188"/>
      <c r="B30" s="175" t="s">
        <v>16</v>
      </c>
      <c r="C30" s="175"/>
      <c r="D30" s="175"/>
      <c r="E30" s="74">
        <f>SUM(E21:E28)</f>
        <v>6288482231</v>
      </c>
      <c r="F30" s="66"/>
      <c r="G30" s="82">
        <f>SUM(G21:G29)</f>
        <v>5.5699010914114222E-2</v>
      </c>
      <c r="H30" s="78"/>
      <c r="I30" s="104"/>
      <c r="J30" s="104"/>
      <c r="K30" s="96"/>
      <c r="L30" s="116">
        <f>SUM(L21:L29)</f>
        <v>5.0431978938160558E-2</v>
      </c>
      <c r="M30" s="70">
        <f>L30/G30</f>
        <v>0.90543760311874788</v>
      </c>
      <c r="N30" s="70">
        <f>M30</f>
        <v>0.90543760311874788</v>
      </c>
      <c r="O30" s="146"/>
    </row>
    <row r="31" spans="1:16" s="2" customFormat="1" ht="21">
      <c r="A31" s="176" t="s">
        <v>32</v>
      </c>
      <c r="B31" s="176"/>
      <c r="C31" s="176"/>
      <c r="D31" s="176"/>
      <c r="E31" s="76">
        <f>E30+E20+E11</f>
        <v>112901147216</v>
      </c>
      <c r="F31" s="58"/>
      <c r="G31" s="98">
        <f>SUM(G11,G20,G30)</f>
        <v>1</v>
      </c>
      <c r="H31" s="98"/>
      <c r="I31" s="105"/>
      <c r="J31" s="105"/>
      <c r="K31" s="99"/>
      <c r="L31" s="117">
        <f>SUM(L11,L20,L30)</f>
        <v>0.98471398076277894</v>
      </c>
      <c r="M31" s="98">
        <f>L31/G31</f>
        <v>0.98471398076277894</v>
      </c>
      <c r="N31" s="98"/>
      <c r="O31" s="147"/>
    </row>
    <row r="32" spans="1:16" s="2" customFormat="1">
      <c r="C32" s="52"/>
      <c r="D32" s="3"/>
      <c r="E32" s="85"/>
      <c r="I32" s="100"/>
      <c r="J32" s="100"/>
      <c r="O32" s="148"/>
    </row>
    <row r="33" spans="3:15" s="2" customFormat="1">
      <c r="C33" s="52"/>
      <c r="D33" s="3"/>
      <c r="E33" s="86"/>
      <c r="I33" s="100"/>
      <c r="J33" s="100"/>
      <c r="O33" s="148"/>
    </row>
    <row r="34" spans="3:15" s="2" customFormat="1">
      <c r="C34" s="52"/>
      <c r="D34" s="3"/>
      <c r="E34" s="86"/>
      <c r="I34" s="100"/>
      <c r="J34" s="100"/>
      <c r="O34" s="148"/>
    </row>
    <row r="35" spans="3:15" s="2" customFormat="1">
      <c r="C35" s="52"/>
      <c r="D35" s="3"/>
      <c r="E35" s="86"/>
      <c r="I35" s="100"/>
      <c r="J35" s="100"/>
      <c r="O35" s="148"/>
    </row>
    <row r="36" spans="3:15" s="2" customFormat="1">
      <c r="C36" s="52"/>
      <c r="D36" s="3"/>
      <c r="E36" s="86"/>
      <c r="I36" s="100"/>
      <c r="J36" s="100"/>
      <c r="O36" s="148"/>
    </row>
    <row r="37" spans="3:15" s="2" customFormat="1">
      <c r="C37" s="52"/>
      <c r="D37" s="3"/>
      <c r="E37" s="86"/>
      <c r="I37" s="100"/>
      <c r="J37" s="100"/>
      <c r="O37" s="148"/>
    </row>
    <row r="38" spans="3:15" s="2" customFormat="1">
      <c r="C38" s="52"/>
      <c r="D38" s="3"/>
      <c r="E38" s="86"/>
      <c r="I38" s="100"/>
      <c r="J38" s="100"/>
      <c r="O38" s="148"/>
    </row>
    <row r="39" spans="3:15" s="2" customFormat="1">
      <c r="C39" s="52"/>
      <c r="D39" s="3"/>
      <c r="E39" s="86"/>
      <c r="I39" s="100"/>
      <c r="J39" s="100"/>
      <c r="O39" s="148"/>
    </row>
    <row r="40" spans="3:15" s="2" customFormat="1">
      <c r="C40" s="52"/>
      <c r="D40" s="3"/>
      <c r="E40" s="84"/>
      <c r="I40" s="100"/>
      <c r="J40" s="100"/>
      <c r="O40" s="148"/>
    </row>
    <row r="41" spans="3:15" s="2" customFormat="1">
      <c r="C41" s="52"/>
      <c r="D41" s="3"/>
      <c r="E41" s="84"/>
      <c r="I41" s="100"/>
      <c r="J41" s="100"/>
      <c r="O41" s="148"/>
    </row>
    <row r="42" spans="3:15" s="2" customFormat="1">
      <c r="C42" s="52"/>
      <c r="D42" s="3"/>
      <c r="E42" s="84"/>
      <c r="I42" s="100"/>
      <c r="J42" s="100"/>
      <c r="O42" s="148"/>
    </row>
    <row r="43" spans="3:15" s="2" customFormat="1">
      <c r="C43" s="52"/>
      <c r="D43" s="3"/>
      <c r="E43" s="84"/>
      <c r="I43" s="100"/>
      <c r="J43" s="100"/>
      <c r="O43" s="148"/>
    </row>
    <row r="44" spans="3:15" s="2" customFormat="1">
      <c r="C44" s="52"/>
      <c r="D44" s="3"/>
      <c r="E44" s="84"/>
      <c r="I44" s="100"/>
      <c r="J44" s="100"/>
      <c r="O44" s="148"/>
    </row>
    <row r="45" spans="3:15" s="2" customFormat="1">
      <c r="C45" s="52"/>
      <c r="D45" s="3"/>
      <c r="E45" s="84"/>
      <c r="I45" s="100"/>
      <c r="J45" s="100"/>
      <c r="O45" s="148"/>
    </row>
    <row r="46" spans="3:15" s="2" customFormat="1">
      <c r="C46" s="52"/>
      <c r="D46" s="3"/>
      <c r="E46" s="84"/>
      <c r="I46" s="100"/>
      <c r="J46" s="100"/>
      <c r="O46" s="148"/>
    </row>
    <row r="47" spans="3:15" s="2" customFormat="1">
      <c r="C47" s="52"/>
      <c r="D47" s="3"/>
      <c r="E47" s="84"/>
      <c r="I47" s="100"/>
      <c r="J47" s="100"/>
      <c r="O47" s="148"/>
    </row>
    <row r="48" spans="3:15" s="2" customFormat="1">
      <c r="C48" s="52"/>
      <c r="D48" s="3"/>
      <c r="E48" s="84"/>
      <c r="I48" s="100"/>
      <c r="J48" s="100"/>
      <c r="O48" s="148"/>
    </row>
    <row r="49" spans="3:15" s="2" customFormat="1">
      <c r="C49" s="52"/>
      <c r="D49" s="3"/>
      <c r="E49" s="84"/>
      <c r="I49" s="100"/>
      <c r="J49" s="100"/>
      <c r="O49" s="148"/>
    </row>
    <row r="50" spans="3:15" s="2" customFormat="1">
      <c r="C50" s="52"/>
      <c r="D50" s="3"/>
      <c r="E50" s="84"/>
      <c r="I50" s="100"/>
      <c r="J50" s="100"/>
      <c r="O50" s="148"/>
    </row>
    <row r="51" spans="3:15" s="2" customFormat="1">
      <c r="C51" s="52"/>
      <c r="D51" s="3"/>
      <c r="E51" s="84"/>
      <c r="I51" s="100"/>
      <c r="J51" s="100"/>
      <c r="O51" s="148"/>
    </row>
    <row r="52" spans="3:15" s="2" customFormat="1">
      <c r="C52" s="52"/>
      <c r="D52" s="3"/>
      <c r="E52" s="84"/>
      <c r="I52" s="100"/>
      <c r="J52" s="100"/>
      <c r="O52" s="148"/>
    </row>
    <row r="53" spans="3:15" s="2" customFormat="1">
      <c r="C53" s="52"/>
      <c r="D53" s="3"/>
      <c r="E53" s="84"/>
      <c r="I53" s="100"/>
      <c r="J53" s="100"/>
      <c r="O53" s="148"/>
    </row>
    <row r="54" spans="3:15" s="2" customFormat="1">
      <c r="C54" s="52"/>
      <c r="D54" s="3"/>
      <c r="E54" s="84"/>
      <c r="I54" s="100"/>
      <c r="J54" s="100"/>
      <c r="O54" s="148"/>
    </row>
    <row r="55" spans="3:15" s="2" customFormat="1">
      <c r="C55" s="52"/>
      <c r="D55" s="3"/>
      <c r="E55" s="84"/>
      <c r="I55" s="100"/>
      <c r="J55" s="100"/>
      <c r="O55" s="148"/>
    </row>
    <row r="56" spans="3:15" s="2" customFormat="1">
      <c r="C56" s="52"/>
      <c r="D56" s="3"/>
      <c r="E56" s="84"/>
      <c r="I56" s="100"/>
      <c r="J56" s="100"/>
      <c r="O56" s="148"/>
    </row>
    <row r="57" spans="3:15" s="2" customFormat="1">
      <c r="C57" s="52"/>
      <c r="D57" s="3"/>
      <c r="E57" s="84"/>
      <c r="I57" s="100"/>
      <c r="J57" s="100"/>
      <c r="O57" s="148"/>
    </row>
    <row r="58" spans="3:15" s="2" customFormat="1">
      <c r="C58" s="52"/>
      <c r="D58" s="3"/>
      <c r="E58" s="84"/>
      <c r="I58" s="100"/>
      <c r="J58" s="100"/>
      <c r="O58" s="148"/>
    </row>
    <row r="59" spans="3:15" s="2" customFormat="1">
      <c r="C59" s="52"/>
      <c r="D59" s="3"/>
      <c r="E59" s="84"/>
      <c r="I59" s="100"/>
      <c r="J59" s="100"/>
      <c r="O59" s="148"/>
    </row>
    <row r="60" spans="3:15" s="2" customFormat="1">
      <c r="C60" s="52"/>
      <c r="D60" s="3"/>
      <c r="E60" s="84"/>
      <c r="I60" s="100"/>
      <c r="J60" s="100"/>
      <c r="O60" s="148"/>
    </row>
    <row r="61" spans="3:15" s="2" customFormat="1">
      <c r="C61" s="52"/>
      <c r="D61" s="3"/>
      <c r="E61" s="84"/>
      <c r="I61" s="100"/>
      <c r="J61" s="100"/>
      <c r="O61" s="148"/>
    </row>
    <row r="62" spans="3:15" s="2" customFormat="1">
      <c r="C62" s="52"/>
      <c r="D62" s="3"/>
      <c r="E62" s="84"/>
      <c r="I62" s="100"/>
      <c r="J62" s="100"/>
      <c r="O62" s="148"/>
    </row>
    <row r="63" spans="3:15" s="2" customFormat="1">
      <c r="C63" s="52"/>
      <c r="D63" s="3"/>
      <c r="E63" s="84"/>
      <c r="I63" s="100"/>
      <c r="J63" s="100"/>
      <c r="O63" s="148"/>
    </row>
    <row r="64" spans="3:15" s="2" customFormat="1">
      <c r="C64" s="52"/>
      <c r="D64" s="3"/>
      <c r="E64" s="84"/>
      <c r="I64" s="100"/>
      <c r="J64" s="100"/>
      <c r="O64" s="148"/>
    </row>
    <row r="65" spans="3:15" s="2" customFormat="1">
      <c r="C65" s="52"/>
      <c r="D65" s="3"/>
      <c r="E65" s="84"/>
      <c r="I65" s="100"/>
      <c r="J65" s="100"/>
      <c r="O65" s="148"/>
    </row>
    <row r="66" spans="3:15" s="2" customFormat="1">
      <c r="C66" s="52"/>
      <c r="D66" s="3"/>
      <c r="E66" s="84"/>
      <c r="I66" s="100"/>
      <c r="J66" s="100"/>
      <c r="O66" s="148"/>
    </row>
    <row r="67" spans="3:15" s="2" customFormat="1">
      <c r="C67" s="52"/>
      <c r="D67" s="3"/>
      <c r="E67" s="84"/>
      <c r="I67" s="100"/>
      <c r="J67" s="100"/>
      <c r="O67" s="148"/>
    </row>
    <row r="68" spans="3:15" s="2" customFormat="1">
      <c r="C68" s="52"/>
      <c r="D68" s="3"/>
      <c r="E68" s="84"/>
      <c r="I68" s="100"/>
      <c r="J68" s="100"/>
      <c r="O68" s="148"/>
    </row>
    <row r="69" spans="3:15" s="2" customFormat="1">
      <c r="C69" s="52"/>
      <c r="D69" s="3"/>
      <c r="E69" s="84"/>
      <c r="I69" s="100"/>
      <c r="J69" s="100"/>
      <c r="O69" s="148"/>
    </row>
    <row r="70" spans="3:15" s="2" customFormat="1">
      <c r="C70" s="52"/>
      <c r="D70" s="3"/>
      <c r="E70" s="84"/>
      <c r="I70" s="100"/>
      <c r="J70" s="100"/>
      <c r="O70" s="148"/>
    </row>
    <row r="71" spans="3:15" s="2" customFormat="1">
      <c r="C71" s="52"/>
      <c r="D71" s="3"/>
      <c r="E71" s="84"/>
      <c r="I71" s="100"/>
      <c r="J71" s="100"/>
      <c r="O71" s="148"/>
    </row>
    <row r="72" spans="3:15" s="2" customFormat="1">
      <c r="C72" s="52"/>
      <c r="D72" s="3"/>
      <c r="E72" s="84"/>
      <c r="I72" s="100"/>
      <c r="J72" s="100"/>
      <c r="O72" s="148"/>
    </row>
    <row r="73" spans="3:15" s="2" customFormat="1">
      <c r="C73" s="52"/>
      <c r="D73" s="3"/>
      <c r="E73" s="84"/>
      <c r="I73" s="100"/>
      <c r="J73" s="100"/>
      <c r="O73" s="148"/>
    </row>
    <row r="74" spans="3:15" s="2" customFormat="1">
      <c r="C74" s="52"/>
      <c r="D74" s="3"/>
      <c r="E74" s="84"/>
      <c r="I74" s="100"/>
      <c r="J74" s="100"/>
      <c r="O74" s="148"/>
    </row>
    <row r="75" spans="3:15" s="2" customFormat="1">
      <c r="C75" s="52"/>
      <c r="D75" s="3"/>
      <c r="E75" s="84"/>
      <c r="I75" s="100"/>
      <c r="J75" s="100"/>
      <c r="O75" s="148"/>
    </row>
    <row r="76" spans="3:15" s="2" customFormat="1">
      <c r="C76" s="52"/>
      <c r="D76" s="3"/>
      <c r="E76" s="84"/>
      <c r="I76" s="100"/>
      <c r="J76" s="100"/>
      <c r="O76" s="148"/>
    </row>
    <row r="77" spans="3:15" s="2" customFormat="1">
      <c r="C77" s="52"/>
      <c r="D77" s="3"/>
      <c r="E77" s="84"/>
      <c r="I77" s="100"/>
      <c r="J77" s="100"/>
      <c r="O77" s="148"/>
    </row>
    <row r="78" spans="3:15" s="2" customFormat="1">
      <c r="C78" s="52"/>
      <c r="D78" s="3"/>
      <c r="E78" s="84"/>
      <c r="I78" s="100"/>
      <c r="J78" s="100"/>
      <c r="O78" s="148"/>
    </row>
    <row r="79" spans="3:15" s="2" customFormat="1">
      <c r="C79" s="52"/>
      <c r="D79" s="3"/>
      <c r="E79" s="84"/>
      <c r="I79" s="100"/>
      <c r="J79" s="100"/>
      <c r="O79" s="148"/>
    </row>
    <row r="80" spans="3:15" s="2" customFormat="1">
      <c r="C80" s="52"/>
      <c r="D80" s="3"/>
      <c r="E80" s="84"/>
      <c r="I80" s="100"/>
      <c r="J80" s="100"/>
      <c r="O80" s="148"/>
    </row>
    <row r="81" spans="3:15" s="2" customFormat="1">
      <c r="C81" s="52"/>
      <c r="D81" s="3"/>
      <c r="E81" s="84"/>
      <c r="I81" s="100"/>
      <c r="J81" s="100"/>
      <c r="O81" s="148"/>
    </row>
    <row r="82" spans="3:15" s="2" customFormat="1">
      <c r="C82" s="52"/>
      <c r="D82" s="3"/>
      <c r="E82" s="86"/>
      <c r="I82" s="100"/>
      <c r="J82" s="100"/>
      <c r="O82" s="148"/>
    </row>
    <row r="83" spans="3:15" s="2" customFormat="1">
      <c r="C83" s="52"/>
      <c r="D83" s="3"/>
      <c r="E83" s="84"/>
      <c r="I83" s="100"/>
      <c r="J83" s="100"/>
      <c r="O83" s="148"/>
    </row>
    <row r="84" spans="3:15" s="2" customFormat="1">
      <c r="C84" s="52"/>
      <c r="D84" s="3"/>
      <c r="E84" s="84"/>
      <c r="I84" s="100"/>
      <c r="J84" s="100"/>
      <c r="O84" s="148"/>
    </row>
    <row r="85" spans="3:15" s="2" customFormat="1">
      <c r="C85" s="52"/>
      <c r="D85" s="3"/>
      <c r="E85" s="84"/>
      <c r="I85" s="100"/>
      <c r="J85" s="100"/>
      <c r="O85" s="148"/>
    </row>
    <row r="86" spans="3:15" s="2" customFormat="1">
      <c r="C86" s="52"/>
      <c r="D86" s="3"/>
      <c r="E86" s="84"/>
      <c r="I86" s="100"/>
      <c r="J86" s="100"/>
      <c r="O86" s="148"/>
    </row>
    <row r="87" spans="3:15" s="2" customFormat="1">
      <c r="C87" s="52"/>
      <c r="D87" s="3"/>
      <c r="E87" s="84"/>
      <c r="I87" s="100"/>
      <c r="J87" s="100"/>
      <c r="O87" s="148"/>
    </row>
    <row r="88" spans="3:15" s="2" customFormat="1">
      <c r="C88" s="52"/>
      <c r="D88" s="3"/>
      <c r="E88" s="84"/>
      <c r="I88" s="100"/>
      <c r="J88" s="100"/>
      <c r="O88" s="148"/>
    </row>
    <row r="89" spans="3:15" s="2" customFormat="1">
      <c r="C89" s="52"/>
      <c r="D89" s="3"/>
      <c r="E89" s="84"/>
      <c r="I89" s="100"/>
      <c r="J89" s="100"/>
      <c r="O89" s="148"/>
    </row>
    <row r="90" spans="3:15" s="2" customFormat="1">
      <c r="C90" s="52"/>
      <c r="D90" s="3"/>
      <c r="E90" s="84"/>
      <c r="I90" s="100"/>
      <c r="J90" s="100"/>
      <c r="O90" s="148"/>
    </row>
    <row r="91" spans="3:15" s="2" customFormat="1">
      <c r="C91" s="52"/>
      <c r="D91" s="3"/>
      <c r="E91" s="84"/>
      <c r="I91" s="100"/>
      <c r="J91" s="100"/>
      <c r="O91" s="148"/>
    </row>
    <row r="92" spans="3:15" s="2" customFormat="1">
      <c r="C92" s="52"/>
      <c r="D92" s="3"/>
      <c r="E92" s="84"/>
      <c r="I92" s="100"/>
      <c r="J92" s="100"/>
      <c r="O92" s="148"/>
    </row>
    <row r="93" spans="3:15" s="2" customFormat="1">
      <c r="C93" s="52"/>
      <c r="D93" s="3"/>
      <c r="E93" s="84"/>
      <c r="I93" s="100"/>
      <c r="J93" s="100"/>
      <c r="O93" s="148"/>
    </row>
    <row r="94" spans="3:15" s="2" customFormat="1">
      <c r="C94" s="52"/>
      <c r="D94" s="3"/>
      <c r="E94" s="84"/>
      <c r="I94" s="100"/>
      <c r="J94" s="100"/>
      <c r="O94" s="148"/>
    </row>
    <row r="95" spans="3:15" s="2" customFormat="1">
      <c r="C95" s="52"/>
      <c r="D95" s="3"/>
      <c r="E95" s="84"/>
      <c r="I95" s="100"/>
      <c r="J95" s="100"/>
      <c r="O95" s="148"/>
    </row>
    <row r="96" spans="3:15" s="2" customFormat="1">
      <c r="C96" s="52"/>
      <c r="D96" s="3"/>
      <c r="E96" s="84"/>
      <c r="I96" s="100"/>
      <c r="J96" s="100"/>
      <c r="O96" s="148"/>
    </row>
    <row r="97" spans="3:15" s="2" customFormat="1">
      <c r="C97" s="52"/>
      <c r="D97" s="3"/>
      <c r="E97" s="84"/>
      <c r="I97" s="100"/>
      <c r="J97" s="100"/>
      <c r="O97" s="148"/>
    </row>
    <row r="98" spans="3:15" s="2" customFormat="1">
      <c r="C98" s="52"/>
      <c r="D98" s="3"/>
      <c r="E98" s="84"/>
      <c r="I98" s="100"/>
      <c r="J98" s="100"/>
      <c r="O98" s="148"/>
    </row>
    <row r="99" spans="3:15" s="2" customFormat="1">
      <c r="C99" s="52"/>
      <c r="D99" s="3"/>
      <c r="E99" s="84"/>
      <c r="I99" s="100"/>
      <c r="J99" s="100"/>
      <c r="O99" s="148"/>
    </row>
    <row r="100" spans="3:15" s="2" customFormat="1">
      <c r="C100" s="52"/>
      <c r="D100" s="3"/>
      <c r="E100" s="84"/>
      <c r="I100" s="100"/>
      <c r="J100" s="100"/>
      <c r="O100" s="148"/>
    </row>
    <row r="101" spans="3:15" s="2" customFormat="1">
      <c r="C101" s="52"/>
      <c r="D101" s="3"/>
      <c r="E101" s="84"/>
      <c r="I101" s="100"/>
      <c r="J101" s="100"/>
      <c r="O101" s="148"/>
    </row>
    <row r="102" spans="3:15" s="2" customFormat="1">
      <c r="C102" s="52"/>
      <c r="D102" s="3"/>
      <c r="E102" s="84"/>
      <c r="I102" s="100"/>
      <c r="J102" s="100"/>
      <c r="O102" s="148"/>
    </row>
    <row r="103" spans="3:15" s="2" customFormat="1">
      <c r="C103" s="52"/>
      <c r="D103" s="3"/>
      <c r="E103" s="84"/>
      <c r="I103" s="100"/>
      <c r="J103" s="100"/>
      <c r="O103" s="148"/>
    </row>
    <row r="104" spans="3:15" s="2" customFormat="1">
      <c r="C104" s="52"/>
      <c r="D104" s="3"/>
      <c r="E104" s="84"/>
      <c r="I104" s="100"/>
      <c r="J104" s="100"/>
      <c r="O104" s="148"/>
    </row>
    <row r="105" spans="3:15" s="2" customFormat="1">
      <c r="C105" s="52"/>
      <c r="D105" s="3"/>
      <c r="E105" s="84"/>
      <c r="I105" s="100"/>
      <c r="J105" s="100"/>
      <c r="O105" s="148"/>
    </row>
    <row r="106" spans="3:15" s="2" customFormat="1">
      <c r="C106" s="52"/>
      <c r="D106" s="3"/>
      <c r="E106" s="84"/>
      <c r="I106" s="100"/>
      <c r="J106" s="100"/>
      <c r="O106" s="148"/>
    </row>
    <row r="107" spans="3:15" s="2" customFormat="1">
      <c r="C107" s="52"/>
      <c r="D107" s="3"/>
      <c r="E107" s="84"/>
      <c r="I107" s="100"/>
      <c r="J107" s="100"/>
      <c r="O107" s="148"/>
    </row>
    <row r="108" spans="3:15" s="2" customFormat="1">
      <c r="C108" s="52"/>
      <c r="D108" s="3"/>
      <c r="E108" s="84"/>
      <c r="I108" s="100"/>
      <c r="J108" s="100"/>
      <c r="O108" s="148"/>
    </row>
    <row r="109" spans="3:15" s="2" customFormat="1">
      <c r="C109" s="52"/>
      <c r="D109" s="3"/>
      <c r="E109" s="84"/>
      <c r="I109" s="100"/>
      <c r="J109" s="100"/>
      <c r="O109" s="148"/>
    </row>
    <row r="110" spans="3:15" s="2" customFormat="1">
      <c r="C110" s="52"/>
      <c r="D110" s="3"/>
      <c r="E110" s="84"/>
      <c r="I110" s="100"/>
      <c r="J110" s="100"/>
      <c r="O110" s="148"/>
    </row>
    <row r="111" spans="3:15" s="2" customFormat="1">
      <c r="C111" s="52"/>
      <c r="D111" s="3"/>
      <c r="E111" s="84"/>
      <c r="I111" s="100"/>
      <c r="J111" s="100"/>
      <c r="O111" s="148"/>
    </row>
    <row r="112" spans="3:15" s="2" customFormat="1">
      <c r="C112" s="52"/>
      <c r="D112" s="3"/>
      <c r="E112" s="84"/>
      <c r="I112" s="100"/>
      <c r="J112" s="100"/>
      <c r="O112" s="148"/>
    </row>
    <row r="113" spans="3:15" s="2" customFormat="1">
      <c r="C113" s="52"/>
      <c r="D113" s="3"/>
      <c r="E113" s="84"/>
      <c r="I113" s="100"/>
      <c r="J113" s="100"/>
      <c r="O113" s="148"/>
    </row>
    <row r="114" spans="3:15" s="2" customFormat="1">
      <c r="C114" s="52"/>
      <c r="D114" s="3"/>
      <c r="E114" s="84"/>
      <c r="I114" s="100"/>
      <c r="J114" s="100"/>
      <c r="O114" s="148"/>
    </row>
    <row r="115" spans="3:15" s="2" customFormat="1">
      <c r="C115" s="52"/>
      <c r="D115" s="3"/>
      <c r="E115" s="84"/>
      <c r="I115" s="100"/>
      <c r="J115" s="100"/>
      <c r="O115" s="148"/>
    </row>
    <row r="116" spans="3:15" s="2" customFormat="1">
      <c r="C116" s="52"/>
      <c r="D116" s="3"/>
      <c r="E116" s="84"/>
      <c r="I116" s="100"/>
      <c r="J116" s="100"/>
      <c r="O116" s="148"/>
    </row>
    <row r="117" spans="3:15" s="2" customFormat="1">
      <c r="C117" s="52"/>
      <c r="D117" s="3"/>
      <c r="E117" s="84"/>
      <c r="I117" s="100"/>
      <c r="J117" s="100"/>
      <c r="O117" s="148"/>
    </row>
    <row r="118" spans="3:15" s="2" customFormat="1">
      <c r="C118" s="52"/>
      <c r="D118" s="3"/>
      <c r="E118" s="84"/>
      <c r="I118" s="100"/>
      <c r="J118" s="100"/>
      <c r="O118" s="148"/>
    </row>
    <row r="119" spans="3:15" s="2" customFormat="1">
      <c r="C119" s="52"/>
      <c r="D119" s="3"/>
      <c r="E119" s="84"/>
      <c r="I119" s="100"/>
      <c r="J119" s="100"/>
      <c r="O119" s="148"/>
    </row>
    <row r="120" spans="3:15" s="2" customFormat="1">
      <c r="C120" s="52"/>
      <c r="D120" s="3"/>
      <c r="E120" s="84"/>
      <c r="I120" s="100"/>
      <c r="J120" s="100"/>
      <c r="O120" s="148"/>
    </row>
    <row r="121" spans="3:15" s="2" customFormat="1">
      <c r="C121" s="52"/>
      <c r="D121" s="3"/>
      <c r="E121" s="84"/>
      <c r="I121" s="100"/>
      <c r="J121" s="100"/>
      <c r="O121" s="148"/>
    </row>
    <row r="122" spans="3:15" s="2" customFormat="1">
      <c r="C122" s="52"/>
      <c r="D122" s="3"/>
      <c r="E122" s="84"/>
      <c r="I122" s="100"/>
      <c r="J122" s="100"/>
      <c r="O122" s="148"/>
    </row>
    <row r="123" spans="3:15" s="2" customFormat="1">
      <c r="C123" s="52"/>
      <c r="D123" s="3"/>
      <c r="E123" s="84"/>
      <c r="I123" s="100"/>
      <c r="J123" s="100"/>
      <c r="O123" s="148"/>
    </row>
    <row r="124" spans="3:15" s="2" customFormat="1">
      <c r="C124" s="52"/>
      <c r="D124" s="3"/>
      <c r="E124" s="84"/>
      <c r="I124" s="100"/>
      <c r="J124" s="100"/>
      <c r="O124" s="148"/>
    </row>
    <row r="125" spans="3:15" s="2" customFormat="1">
      <c r="C125" s="52"/>
      <c r="D125" s="3"/>
      <c r="E125" s="84"/>
      <c r="I125" s="100"/>
      <c r="J125" s="100"/>
      <c r="O125" s="148"/>
    </row>
    <row r="126" spans="3:15" s="2" customFormat="1">
      <c r="C126" s="52"/>
      <c r="D126" s="3"/>
      <c r="E126" s="84"/>
      <c r="I126" s="100"/>
      <c r="J126" s="100"/>
      <c r="O126" s="148"/>
    </row>
    <row r="127" spans="3:15" s="2" customFormat="1">
      <c r="C127" s="52"/>
      <c r="D127" s="3"/>
      <c r="E127" s="84"/>
      <c r="I127" s="100"/>
      <c r="J127" s="100"/>
      <c r="O127" s="148"/>
    </row>
    <row r="128" spans="3:15" s="2" customFormat="1">
      <c r="C128" s="52"/>
      <c r="D128" s="3"/>
      <c r="E128" s="84"/>
      <c r="I128" s="100"/>
      <c r="J128" s="100"/>
      <c r="O128" s="148"/>
    </row>
    <row r="129" spans="3:15" s="2" customFormat="1">
      <c r="C129" s="52"/>
      <c r="D129" s="3"/>
      <c r="E129" s="84"/>
      <c r="I129" s="100"/>
      <c r="J129" s="100"/>
      <c r="O129" s="148"/>
    </row>
    <row r="130" spans="3:15" s="2" customFormat="1">
      <c r="C130" s="52"/>
      <c r="D130" s="3"/>
      <c r="E130" s="84"/>
      <c r="I130" s="100"/>
      <c r="J130" s="100"/>
      <c r="O130" s="148"/>
    </row>
    <row r="131" spans="3:15" s="2" customFormat="1">
      <c r="C131" s="52"/>
      <c r="D131" s="3"/>
      <c r="E131" s="84"/>
      <c r="I131" s="100"/>
      <c r="J131" s="100"/>
      <c r="O131" s="148"/>
    </row>
    <row r="132" spans="3:15" s="2" customFormat="1">
      <c r="C132" s="52"/>
      <c r="D132" s="3"/>
      <c r="E132" s="84"/>
      <c r="I132" s="100"/>
      <c r="J132" s="100"/>
      <c r="O132" s="148"/>
    </row>
    <row r="133" spans="3:15" s="2" customFormat="1">
      <c r="C133" s="52"/>
      <c r="D133" s="3"/>
      <c r="E133" s="84"/>
      <c r="I133" s="100"/>
      <c r="J133" s="100"/>
      <c r="O133" s="148"/>
    </row>
    <row r="134" spans="3:15" s="2" customFormat="1">
      <c r="C134" s="52"/>
      <c r="D134" s="3"/>
      <c r="E134" s="84"/>
      <c r="I134" s="100"/>
      <c r="J134" s="100"/>
      <c r="O134" s="148"/>
    </row>
    <row r="135" spans="3:15" s="2" customFormat="1">
      <c r="C135" s="52"/>
      <c r="D135" s="3"/>
      <c r="E135" s="84"/>
      <c r="I135" s="100"/>
      <c r="J135" s="100"/>
      <c r="O135" s="148"/>
    </row>
    <row r="136" spans="3:15" s="2" customFormat="1">
      <c r="C136" s="52"/>
      <c r="D136" s="3"/>
      <c r="E136" s="84"/>
      <c r="I136" s="100"/>
      <c r="J136" s="100"/>
      <c r="O136" s="148"/>
    </row>
    <row r="137" spans="3:15" s="2" customFormat="1">
      <c r="C137" s="52"/>
      <c r="D137" s="3"/>
      <c r="E137" s="84"/>
      <c r="I137" s="100"/>
      <c r="J137" s="100"/>
      <c r="O137" s="148"/>
    </row>
    <row r="138" spans="3:15" s="2" customFormat="1">
      <c r="C138" s="52"/>
      <c r="D138" s="3"/>
      <c r="E138" s="84"/>
      <c r="I138" s="100"/>
      <c r="J138" s="100"/>
      <c r="O138" s="148"/>
    </row>
    <row r="139" spans="3:15" s="2" customFormat="1">
      <c r="C139" s="52"/>
      <c r="D139" s="3"/>
      <c r="E139" s="84"/>
      <c r="I139" s="100"/>
      <c r="J139" s="100"/>
      <c r="O139" s="148"/>
    </row>
    <row r="140" spans="3:15" s="2" customFormat="1">
      <c r="C140" s="52"/>
      <c r="D140" s="3"/>
      <c r="E140" s="84"/>
      <c r="I140" s="100"/>
      <c r="J140" s="100"/>
      <c r="O140" s="148"/>
    </row>
    <row r="141" spans="3:15" s="2" customFormat="1">
      <c r="C141" s="52"/>
      <c r="D141" s="3"/>
      <c r="E141" s="84"/>
      <c r="I141" s="100"/>
      <c r="J141" s="100"/>
      <c r="O141" s="148"/>
    </row>
    <row r="142" spans="3:15" s="2" customFormat="1">
      <c r="C142" s="52"/>
      <c r="D142" s="3"/>
      <c r="E142" s="84"/>
      <c r="I142" s="100"/>
      <c r="J142" s="100"/>
      <c r="O142" s="148"/>
    </row>
    <row r="143" spans="3:15" s="2" customFormat="1">
      <c r="C143" s="52"/>
      <c r="D143" s="3"/>
      <c r="E143" s="84"/>
      <c r="I143" s="100"/>
      <c r="J143" s="100"/>
      <c r="O143" s="148"/>
    </row>
    <row r="144" spans="3:15" s="2" customFormat="1">
      <c r="C144" s="52"/>
      <c r="D144" s="3"/>
      <c r="E144" s="84"/>
      <c r="I144" s="100"/>
      <c r="J144" s="100"/>
      <c r="O144" s="148"/>
    </row>
    <row r="145" spans="3:15" s="2" customFormat="1">
      <c r="C145" s="52"/>
      <c r="D145" s="3"/>
      <c r="E145" s="84"/>
      <c r="I145" s="100"/>
      <c r="J145" s="100"/>
      <c r="O145" s="148"/>
    </row>
    <row r="146" spans="3:15" s="2" customFormat="1">
      <c r="C146" s="52"/>
      <c r="D146" s="3"/>
      <c r="E146" s="84"/>
      <c r="I146" s="100"/>
      <c r="J146" s="100"/>
      <c r="O146" s="148"/>
    </row>
    <row r="147" spans="3:15" s="2" customFormat="1">
      <c r="C147" s="52"/>
      <c r="D147" s="3"/>
      <c r="E147" s="84"/>
      <c r="I147" s="100"/>
      <c r="J147" s="100"/>
      <c r="O147" s="148"/>
    </row>
    <row r="148" spans="3:15" s="2" customFormat="1">
      <c r="C148" s="52"/>
      <c r="D148" s="3"/>
      <c r="E148" s="84"/>
      <c r="I148" s="100"/>
      <c r="J148" s="100"/>
      <c r="O148" s="148"/>
    </row>
    <row r="149" spans="3:15" s="2" customFormat="1">
      <c r="C149" s="52"/>
      <c r="D149" s="3"/>
      <c r="E149" s="84"/>
      <c r="I149" s="100"/>
      <c r="J149" s="100"/>
      <c r="O149" s="148"/>
    </row>
    <row r="150" spans="3:15" s="2" customFormat="1">
      <c r="C150" s="52"/>
      <c r="D150" s="3"/>
      <c r="E150" s="84"/>
      <c r="I150" s="100"/>
      <c r="J150" s="100"/>
      <c r="O150" s="148"/>
    </row>
    <row r="151" spans="3:15" s="2" customFormat="1">
      <c r="C151" s="52"/>
      <c r="D151" s="3"/>
      <c r="E151" s="84"/>
      <c r="I151" s="100"/>
      <c r="J151" s="100"/>
      <c r="O151" s="148"/>
    </row>
    <row r="152" spans="3:15" s="2" customFormat="1">
      <c r="C152" s="52"/>
      <c r="D152" s="3"/>
      <c r="E152" s="84"/>
      <c r="I152" s="100"/>
      <c r="J152" s="100"/>
      <c r="O152" s="148"/>
    </row>
    <row r="153" spans="3:15" s="2" customFormat="1">
      <c r="C153" s="52"/>
      <c r="D153" s="3"/>
      <c r="E153" s="84"/>
      <c r="I153" s="100"/>
      <c r="J153" s="100"/>
      <c r="O153" s="148"/>
    </row>
    <row r="154" spans="3:15" s="2" customFormat="1">
      <c r="C154" s="52"/>
      <c r="D154" s="3"/>
      <c r="E154" s="84"/>
      <c r="I154" s="100"/>
      <c r="J154" s="100"/>
      <c r="O154" s="148"/>
    </row>
    <row r="155" spans="3:15" s="2" customFormat="1">
      <c r="C155" s="52"/>
      <c r="D155" s="3"/>
      <c r="E155" s="84"/>
      <c r="I155" s="100"/>
      <c r="J155" s="100"/>
      <c r="O155" s="148"/>
    </row>
    <row r="156" spans="3:15" s="2" customFormat="1">
      <c r="C156" s="52"/>
      <c r="D156" s="3"/>
      <c r="E156" s="84"/>
      <c r="I156" s="100"/>
      <c r="J156" s="100"/>
      <c r="O156" s="148"/>
    </row>
    <row r="157" spans="3:15" s="2" customFormat="1">
      <c r="C157" s="52"/>
      <c r="D157" s="3"/>
      <c r="E157" s="84"/>
      <c r="I157" s="100"/>
      <c r="J157" s="100"/>
      <c r="O157" s="148"/>
    </row>
    <row r="158" spans="3:15" s="2" customFormat="1">
      <c r="C158" s="52"/>
      <c r="D158" s="3"/>
      <c r="E158" s="84"/>
      <c r="I158" s="100"/>
      <c r="J158" s="100"/>
      <c r="O158" s="148"/>
    </row>
    <row r="159" spans="3:15" s="2" customFormat="1">
      <c r="C159" s="52"/>
      <c r="D159" s="3"/>
      <c r="E159" s="84"/>
      <c r="I159" s="100"/>
      <c r="J159" s="100"/>
      <c r="O159" s="148"/>
    </row>
    <row r="160" spans="3:15" s="2" customFormat="1">
      <c r="C160" s="52"/>
      <c r="D160" s="3"/>
      <c r="E160" s="84"/>
      <c r="I160" s="100"/>
      <c r="J160" s="100"/>
      <c r="O160" s="148"/>
    </row>
    <row r="161" spans="3:15" s="2" customFormat="1">
      <c r="C161" s="52"/>
      <c r="D161" s="3"/>
      <c r="E161" s="84"/>
      <c r="I161" s="100"/>
      <c r="J161" s="100"/>
      <c r="O161" s="148"/>
    </row>
    <row r="162" spans="3:15" s="2" customFormat="1">
      <c r="C162" s="52"/>
      <c r="D162" s="3"/>
      <c r="E162" s="84"/>
      <c r="I162" s="100"/>
      <c r="J162" s="100"/>
      <c r="O162" s="148"/>
    </row>
    <row r="163" spans="3:15" s="2" customFormat="1">
      <c r="C163" s="52"/>
      <c r="D163" s="3"/>
      <c r="E163" s="84"/>
      <c r="I163" s="100"/>
      <c r="J163" s="100"/>
      <c r="O163" s="148"/>
    </row>
    <row r="164" spans="3:15" s="2" customFormat="1">
      <c r="C164" s="52"/>
      <c r="D164" s="3"/>
      <c r="E164" s="84"/>
      <c r="I164" s="100"/>
      <c r="J164" s="100"/>
      <c r="O164" s="148"/>
    </row>
    <row r="165" spans="3:15" s="2" customFormat="1">
      <c r="C165" s="52"/>
      <c r="D165" s="3"/>
      <c r="E165" s="84"/>
      <c r="I165" s="100"/>
      <c r="J165" s="100"/>
      <c r="O165" s="148"/>
    </row>
    <row r="166" spans="3:15" s="2" customFormat="1">
      <c r="C166" s="52"/>
      <c r="D166" s="3"/>
      <c r="E166" s="84"/>
      <c r="I166" s="100"/>
      <c r="J166" s="100"/>
      <c r="O166" s="148"/>
    </row>
    <row r="167" spans="3:15" s="2" customFormat="1">
      <c r="C167" s="52"/>
      <c r="D167" s="3"/>
      <c r="E167" s="84"/>
      <c r="I167" s="100"/>
      <c r="J167" s="100"/>
      <c r="O167" s="148"/>
    </row>
    <row r="168" spans="3:15" s="2" customFormat="1">
      <c r="C168" s="52"/>
      <c r="D168" s="3"/>
      <c r="E168" s="84"/>
      <c r="I168" s="100"/>
      <c r="J168" s="100"/>
      <c r="O168" s="148"/>
    </row>
    <row r="169" spans="3:15" s="2" customFormat="1">
      <c r="C169" s="52"/>
      <c r="D169" s="3"/>
      <c r="E169" s="84"/>
      <c r="I169" s="100"/>
      <c r="J169" s="100"/>
      <c r="O169" s="148"/>
    </row>
    <row r="170" spans="3:15" s="2" customFormat="1">
      <c r="C170" s="52"/>
      <c r="D170" s="3"/>
      <c r="E170" s="84"/>
      <c r="I170" s="100"/>
      <c r="J170" s="100"/>
      <c r="O170" s="148"/>
    </row>
    <row r="171" spans="3:15" s="2" customFormat="1">
      <c r="C171" s="52"/>
      <c r="D171" s="3"/>
      <c r="E171" s="84"/>
      <c r="I171" s="100"/>
      <c r="J171" s="100"/>
      <c r="O171" s="148"/>
    </row>
    <row r="172" spans="3:15" s="2" customFormat="1">
      <c r="C172" s="52"/>
      <c r="D172" s="3"/>
      <c r="E172" s="84"/>
      <c r="I172" s="100"/>
      <c r="J172" s="100"/>
      <c r="O172" s="148"/>
    </row>
    <row r="173" spans="3:15" s="2" customFormat="1">
      <c r="C173" s="52"/>
      <c r="D173" s="3"/>
      <c r="E173" s="84"/>
      <c r="I173" s="100"/>
      <c r="J173" s="100"/>
      <c r="O173" s="148"/>
    </row>
    <row r="174" spans="3:15" s="2" customFormat="1">
      <c r="C174" s="52"/>
      <c r="D174" s="3"/>
      <c r="E174" s="84"/>
      <c r="I174" s="100"/>
      <c r="J174" s="100"/>
      <c r="O174" s="148"/>
    </row>
    <row r="175" spans="3:15" s="2" customFormat="1">
      <c r="C175" s="52"/>
      <c r="D175" s="3"/>
      <c r="E175" s="84"/>
      <c r="I175" s="100"/>
      <c r="J175" s="100"/>
      <c r="O175" s="148"/>
    </row>
    <row r="176" spans="3:15" s="2" customFormat="1">
      <c r="C176" s="52"/>
      <c r="D176" s="3"/>
      <c r="E176" s="84"/>
      <c r="I176" s="100"/>
      <c r="J176" s="100"/>
      <c r="O176" s="148"/>
    </row>
    <row r="177" spans="3:15" s="2" customFormat="1">
      <c r="C177" s="52"/>
      <c r="D177" s="3"/>
      <c r="E177" s="84"/>
      <c r="I177" s="100"/>
      <c r="J177" s="100"/>
      <c r="O177" s="148"/>
    </row>
    <row r="178" spans="3:15" s="2" customFormat="1">
      <c r="C178" s="52"/>
      <c r="D178" s="3"/>
      <c r="E178" s="84"/>
      <c r="I178" s="100"/>
      <c r="J178" s="100"/>
      <c r="O178" s="148"/>
    </row>
    <row r="179" spans="3:15" s="2" customFormat="1">
      <c r="C179" s="52"/>
      <c r="D179" s="3"/>
      <c r="E179" s="84"/>
      <c r="I179" s="100"/>
      <c r="J179" s="100"/>
      <c r="O179" s="148"/>
    </row>
    <row r="180" spans="3:15" s="2" customFormat="1">
      <c r="C180" s="52"/>
      <c r="D180" s="3"/>
      <c r="E180" s="84"/>
      <c r="I180" s="100"/>
      <c r="J180" s="100"/>
      <c r="O180" s="148"/>
    </row>
    <row r="181" spans="3:15" s="2" customFormat="1">
      <c r="C181" s="52"/>
      <c r="D181" s="3"/>
      <c r="E181" s="84"/>
      <c r="I181" s="100"/>
      <c r="J181" s="100"/>
      <c r="O181" s="148"/>
    </row>
    <row r="182" spans="3:15" s="2" customFormat="1">
      <c r="C182" s="52"/>
      <c r="D182" s="3"/>
      <c r="E182" s="84"/>
      <c r="I182" s="100"/>
      <c r="J182" s="100"/>
      <c r="O182" s="148"/>
    </row>
    <row r="183" spans="3:15" s="2" customFormat="1">
      <c r="C183" s="52"/>
      <c r="D183" s="3"/>
      <c r="E183" s="84"/>
      <c r="I183" s="100"/>
      <c r="J183" s="100"/>
      <c r="O183" s="148"/>
    </row>
    <row r="184" spans="3:15" s="2" customFormat="1">
      <c r="C184" s="52"/>
      <c r="D184" s="3"/>
      <c r="E184" s="84"/>
      <c r="I184" s="100"/>
      <c r="J184" s="100"/>
      <c r="O184" s="148"/>
    </row>
    <row r="185" spans="3:15" s="2" customFormat="1">
      <c r="C185" s="52"/>
      <c r="D185" s="3"/>
      <c r="E185" s="84"/>
      <c r="I185" s="100"/>
      <c r="J185" s="100"/>
      <c r="O185" s="148"/>
    </row>
    <row r="186" spans="3:15" s="2" customFormat="1">
      <c r="C186" s="52"/>
      <c r="D186" s="3"/>
      <c r="E186" s="84"/>
      <c r="I186" s="100"/>
      <c r="J186" s="100"/>
      <c r="O186" s="148"/>
    </row>
    <row r="187" spans="3:15" s="2" customFormat="1">
      <c r="C187" s="52"/>
      <c r="D187" s="3"/>
      <c r="E187" s="84"/>
      <c r="I187" s="100"/>
      <c r="J187" s="100"/>
      <c r="O187" s="148"/>
    </row>
    <row r="188" spans="3:15" s="2" customFormat="1">
      <c r="C188" s="52"/>
      <c r="D188" s="3"/>
      <c r="E188" s="84"/>
      <c r="I188" s="100"/>
      <c r="J188" s="100"/>
      <c r="O188" s="148"/>
    </row>
  </sheetData>
  <sheetProtection algorithmName="SHA-512" hashValue="cbzIYhEoWAxr3cEDxv+mbdCg21bbAznikBajXci5drubNUKLFgex4V6mGYCzjypCfa9FKI1o1z5zdhR+EWXdIw==" saltValue="cSYx/ORp/MsCI6tVJ06vOQ==" spinCount="100000" sheet="1" formatCells="0" formatColumns="0" formatRows="0" insertColumns="0" insertRows="0" insertHyperlinks="0" deleteColumns="0" deleteRows="0" sort="0" autoFilter="0" pivotTables="0"/>
  <mergeCells count="61">
    <mergeCell ref="M17:M19"/>
    <mergeCell ref="M8:M10"/>
    <mergeCell ref="L8:L10"/>
    <mergeCell ref="L12:L16"/>
    <mergeCell ref="M21:M23"/>
    <mergeCell ref="M24:M25"/>
    <mergeCell ref="M28:M29"/>
    <mergeCell ref="D1:M2"/>
    <mergeCell ref="M4:M5"/>
    <mergeCell ref="M6:M7"/>
    <mergeCell ref="M12:M16"/>
    <mergeCell ref="L28:L29"/>
    <mergeCell ref="G12:G16"/>
    <mergeCell ref="G8:G10"/>
    <mergeCell ref="G6:G7"/>
    <mergeCell ref="G4:G5"/>
    <mergeCell ref="G28:G29"/>
    <mergeCell ref="G21:G23"/>
    <mergeCell ref="L4:L5"/>
    <mergeCell ref="L6:L7"/>
    <mergeCell ref="L21:L23"/>
    <mergeCell ref="G24:G25"/>
    <mergeCell ref="L24:L25"/>
    <mergeCell ref="B27:B29"/>
    <mergeCell ref="E17:E18"/>
    <mergeCell ref="C17:C18"/>
    <mergeCell ref="B17:B18"/>
    <mergeCell ref="E24:E25"/>
    <mergeCell ref="C24:C25"/>
    <mergeCell ref="D24:D25"/>
    <mergeCell ref="E21:E23"/>
    <mergeCell ref="D21:D23"/>
    <mergeCell ref="C21:C23"/>
    <mergeCell ref="G17:G19"/>
    <mergeCell ref="D17:D19"/>
    <mergeCell ref="L17:L19"/>
    <mergeCell ref="B4:B10"/>
    <mergeCell ref="E12:E16"/>
    <mergeCell ref="D12:D16"/>
    <mergeCell ref="C12:C16"/>
    <mergeCell ref="B12:B16"/>
    <mergeCell ref="C6:C7"/>
    <mergeCell ref="E8:E10"/>
    <mergeCell ref="D8:D10"/>
    <mergeCell ref="C8:C10"/>
    <mergeCell ref="A21:A30"/>
    <mergeCell ref="B21:B26"/>
    <mergeCell ref="B30:D30"/>
    <mergeCell ref="A31:D31"/>
    <mergeCell ref="E4:E5"/>
    <mergeCell ref="C4:C5"/>
    <mergeCell ref="D4:D5"/>
    <mergeCell ref="A4:A11"/>
    <mergeCell ref="B11:D11"/>
    <mergeCell ref="A12:A20"/>
    <mergeCell ref="B20:D20"/>
    <mergeCell ref="E6:E7"/>
    <mergeCell ref="D6:D7"/>
    <mergeCell ref="E28:E29"/>
    <mergeCell ref="D28:D29"/>
    <mergeCell ref="C28:C29"/>
  </mergeCells>
  <conditionalFormatting sqref="K1:K1048576">
    <cfRule type="cellIs" dxfId="5" priority="3" operator="equal">
      <formula>1</formula>
    </cfRule>
  </conditionalFormatting>
  <conditionalFormatting sqref="N1:N1048576">
    <cfRule type="cellIs" dxfId="4" priority="1" operator="equal">
      <formula>1</formula>
    </cfRule>
  </conditionalFormatting>
  <pageMargins left="0.70866141732283472" right="0.70866141732283472" top="0.74803149606299213" bottom="0.74803149606299213" header="0.31496062992125984" footer="0.31496062992125984"/>
  <pageSetup scale="19"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1"/>
    <pageSetUpPr fitToPage="1"/>
  </sheetPr>
  <dimension ref="A1:AB179"/>
  <sheetViews>
    <sheetView topLeftCell="A4" zoomScale="90" zoomScaleNormal="90" workbookViewId="0">
      <selection activeCell="D75" sqref="D75"/>
    </sheetView>
  </sheetViews>
  <sheetFormatPr baseColWidth="10" defaultColWidth="11.42578125" defaultRowHeight="15"/>
  <cols>
    <col min="1" max="1" width="19.85546875" customWidth="1"/>
    <col min="2" max="2" width="18.5703125" customWidth="1"/>
    <col min="3" max="3" width="34.85546875" style="1" customWidth="1"/>
    <col min="4" max="4" width="19.85546875" customWidth="1"/>
    <col min="5" max="5" width="33.5703125" style="2" customWidth="1"/>
    <col min="6" max="6" width="11.42578125" style="60"/>
    <col min="7" max="9" width="11.42578125" style="52"/>
    <col min="10" max="10" width="11.85546875" style="52" bestFit="1" customWidth="1"/>
    <col min="11" max="15" width="11.42578125" style="2"/>
  </cols>
  <sheetData>
    <row r="1" spans="1:28" s="2" customFormat="1">
      <c r="C1" s="3"/>
      <c r="F1" s="60"/>
      <c r="G1" s="52"/>
      <c r="H1" s="52"/>
      <c r="I1" s="52"/>
      <c r="J1" s="52"/>
      <c r="P1"/>
      <c r="Q1"/>
      <c r="R1"/>
      <c r="S1"/>
      <c r="T1"/>
      <c r="U1"/>
      <c r="V1"/>
      <c r="W1"/>
      <c r="X1"/>
      <c r="Y1"/>
      <c r="Z1"/>
      <c r="AA1"/>
      <c r="AB1"/>
    </row>
    <row r="2" spans="1:28" s="2" customFormat="1">
      <c r="A2" s="222" t="s">
        <v>171</v>
      </c>
      <c r="B2" s="222"/>
      <c r="C2" s="222"/>
      <c r="D2" s="222"/>
      <c r="E2" s="222"/>
      <c r="F2" s="222"/>
      <c r="G2" s="222"/>
      <c r="H2" s="222"/>
      <c r="I2" s="222"/>
      <c r="J2" s="222"/>
      <c r="P2"/>
      <c r="Q2"/>
      <c r="R2"/>
      <c r="S2"/>
      <c r="T2"/>
      <c r="U2"/>
      <c r="V2"/>
      <c r="W2"/>
      <c r="X2"/>
      <c r="Y2"/>
      <c r="Z2"/>
      <c r="AA2"/>
      <c r="AB2"/>
    </row>
    <row r="3" spans="1:28" s="2" customFormat="1" ht="45.75" customHeight="1">
      <c r="A3" s="80" t="s">
        <v>0</v>
      </c>
      <c r="B3" s="80" t="s">
        <v>1</v>
      </c>
      <c r="C3" s="80" t="s">
        <v>64</v>
      </c>
      <c r="D3" s="81" t="s">
        <v>4</v>
      </c>
      <c r="E3" s="81" t="s">
        <v>55</v>
      </c>
      <c r="F3" s="81" t="s">
        <v>62</v>
      </c>
      <c r="G3" s="81" t="s">
        <v>60</v>
      </c>
      <c r="H3" s="81" t="s">
        <v>61</v>
      </c>
      <c r="I3" s="81" t="s">
        <v>79</v>
      </c>
      <c r="J3" s="81" t="s">
        <v>63</v>
      </c>
      <c r="P3"/>
      <c r="Q3"/>
      <c r="R3"/>
      <c r="S3"/>
      <c r="T3"/>
      <c r="U3"/>
      <c r="V3"/>
      <c r="W3"/>
      <c r="X3"/>
      <c r="Y3"/>
      <c r="Z3"/>
      <c r="AA3"/>
      <c r="AB3"/>
    </row>
    <row r="4" spans="1:28" s="2" customFormat="1" ht="15" customHeight="1">
      <c r="A4" s="188" t="s">
        <v>7</v>
      </c>
      <c r="B4" s="177" t="s">
        <v>8</v>
      </c>
      <c r="C4" s="182" t="s">
        <v>9</v>
      </c>
      <c r="D4" s="223">
        <v>2362200000</v>
      </c>
      <c r="E4" s="58" t="s">
        <v>50</v>
      </c>
      <c r="F4" s="199">
        <f>D4/D22</f>
        <v>5.9055000000000003E-2</v>
      </c>
      <c r="G4" s="64">
        <v>0.9</v>
      </c>
      <c r="H4" s="64">
        <v>1</v>
      </c>
      <c r="I4" s="64">
        <f>G4*H4</f>
        <v>0.9</v>
      </c>
      <c r="J4" s="79">
        <f>F4*I4</f>
        <v>5.3149500000000002E-2</v>
      </c>
      <c r="P4"/>
    </row>
    <row r="5" spans="1:28" s="2" customFormat="1" ht="15" customHeight="1">
      <c r="A5" s="188"/>
      <c r="B5" s="177"/>
      <c r="C5" s="182"/>
      <c r="D5" s="223"/>
      <c r="E5" s="58" t="s">
        <v>56</v>
      </c>
      <c r="F5" s="199"/>
      <c r="G5" s="64">
        <v>0.1</v>
      </c>
      <c r="H5" s="64">
        <v>1</v>
      </c>
      <c r="I5" s="64">
        <f t="shared" ref="I5:I6" si="0">G5*H5</f>
        <v>0.1</v>
      </c>
      <c r="J5" s="79">
        <f>F4*I5</f>
        <v>5.905500000000001E-3</v>
      </c>
      <c r="P5"/>
    </row>
    <row r="6" spans="1:28" s="2" customFormat="1">
      <c r="A6" s="188"/>
      <c r="B6" s="177"/>
      <c r="C6" s="72" t="s">
        <v>11</v>
      </c>
      <c r="D6" s="73">
        <v>193600000</v>
      </c>
      <c r="E6" s="59" t="s">
        <v>65</v>
      </c>
      <c r="F6" s="63">
        <f>D6/D22</f>
        <v>4.8399999999999997E-3</v>
      </c>
      <c r="G6" s="64">
        <v>1</v>
      </c>
      <c r="H6" s="64">
        <v>1</v>
      </c>
      <c r="I6" s="64">
        <f t="shared" si="0"/>
        <v>1</v>
      </c>
      <c r="J6" s="64">
        <f>I6*F6</f>
        <v>4.8399999999999997E-3</v>
      </c>
      <c r="P6"/>
    </row>
    <row r="7" spans="1:28" s="2" customFormat="1" ht="15" customHeight="1">
      <c r="A7" s="188"/>
      <c r="B7" s="177"/>
      <c r="C7" s="72" t="s">
        <v>51</v>
      </c>
      <c r="D7" s="73">
        <v>0</v>
      </c>
      <c r="E7" s="59"/>
      <c r="F7" s="63">
        <f>D7/D22</f>
        <v>0</v>
      </c>
      <c r="G7" s="64"/>
      <c r="H7" s="65"/>
      <c r="I7" s="65"/>
      <c r="J7" s="64">
        <f>I7*F7</f>
        <v>0</v>
      </c>
    </row>
    <row r="8" spans="1:28" s="2" customFormat="1">
      <c r="A8" s="188"/>
      <c r="B8" s="175" t="s">
        <v>16</v>
      </c>
      <c r="C8" s="175"/>
      <c r="D8" s="74">
        <f>SUM(D4:D7)</f>
        <v>2555800000</v>
      </c>
      <c r="E8" s="66"/>
      <c r="F8" s="67">
        <f>D8/D22</f>
        <v>6.3894999999999993E-2</v>
      </c>
      <c r="G8" s="68"/>
      <c r="H8" s="68"/>
      <c r="I8" s="68"/>
      <c r="J8" s="70">
        <f>SUM(J4+J5+J6+J7)</f>
        <v>6.3895000000000007E-2</v>
      </c>
    </row>
    <row r="9" spans="1:28" s="2" customFormat="1">
      <c r="A9" s="188" t="s">
        <v>17</v>
      </c>
      <c r="B9" s="209" t="s">
        <v>18</v>
      </c>
      <c r="C9" s="220" t="s">
        <v>18</v>
      </c>
      <c r="D9" s="203">
        <v>35960000000</v>
      </c>
      <c r="E9" s="59" t="s">
        <v>52</v>
      </c>
      <c r="F9" s="218">
        <f>D9/D22</f>
        <v>0.89900000000000002</v>
      </c>
      <c r="G9" s="64">
        <v>0.4</v>
      </c>
      <c r="H9" s="64">
        <v>1</v>
      </c>
      <c r="I9" s="64">
        <f>H9*G9</f>
        <v>0.4</v>
      </c>
      <c r="J9" s="64">
        <f>I9*F9</f>
        <v>0.35960000000000003</v>
      </c>
    </row>
    <row r="10" spans="1:28" s="2" customFormat="1">
      <c r="A10" s="188"/>
      <c r="B10" s="210"/>
      <c r="C10" s="221"/>
      <c r="D10" s="204"/>
      <c r="E10" s="59" t="s">
        <v>53</v>
      </c>
      <c r="F10" s="219"/>
      <c r="G10" s="64">
        <v>0.05</v>
      </c>
      <c r="H10" s="64">
        <v>1</v>
      </c>
      <c r="I10" s="64">
        <f t="shared" ref="I10:I12" si="1">H10*G10</f>
        <v>0.05</v>
      </c>
      <c r="J10" s="64">
        <f>I10*F9</f>
        <v>4.4950000000000004E-2</v>
      </c>
    </row>
    <row r="11" spans="1:28" s="2" customFormat="1">
      <c r="A11" s="188"/>
      <c r="B11" s="210"/>
      <c r="C11" s="221"/>
      <c r="D11" s="204"/>
      <c r="E11" s="59" t="s">
        <v>54</v>
      </c>
      <c r="F11" s="219"/>
      <c r="G11" s="64">
        <v>0.55000000000000004</v>
      </c>
      <c r="H11" s="64">
        <v>1</v>
      </c>
      <c r="I11" s="64">
        <f t="shared" si="1"/>
        <v>0.55000000000000004</v>
      </c>
      <c r="J11" s="64">
        <f>I11*F9</f>
        <v>0.49445000000000006</v>
      </c>
    </row>
    <row r="12" spans="1:28" s="2" customFormat="1" ht="28.5" customHeight="1">
      <c r="A12" s="188"/>
      <c r="B12" s="210"/>
      <c r="C12" s="221"/>
      <c r="D12" s="204"/>
      <c r="E12" s="59" t="s">
        <v>71</v>
      </c>
      <c r="F12" s="219"/>
      <c r="G12" s="62">
        <v>0</v>
      </c>
      <c r="H12" s="62">
        <v>1</v>
      </c>
      <c r="I12" s="64">
        <f t="shared" si="1"/>
        <v>0</v>
      </c>
      <c r="J12" s="64">
        <f>I12*F9</f>
        <v>0</v>
      </c>
    </row>
    <row r="13" spans="1:28" s="2" customFormat="1">
      <c r="A13" s="188"/>
      <c r="B13" s="175" t="s">
        <v>16</v>
      </c>
      <c r="C13" s="175"/>
      <c r="D13" s="74">
        <f>SUM(D9:D9)</f>
        <v>35960000000</v>
      </c>
      <c r="E13" s="66"/>
      <c r="F13" s="67">
        <f>D13/D22</f>
        <v>0.89900000000000002</v>
      </c>
      <c r="G13" s="77"/>
      <c r="H13" s="77"/>
      <c r="I13" s="77"/>
      <c r="J13" s="78">
        <f>SUM(J9+J10+J11+J12)</f>
        <v>0.89900000000000002</v>
      </c>
    </row>
    <row r="14" spans="1:28" s="2" customFormat="1" ht="15" customHeight="1">
      <c r="A14" s="188" t="s">
        <v>21</v>
      </c>
      <c r="B14" s="177" t="s">
        <v>8</v>
      </c>
      <c r="C14" s="182" t="s">
        <v>22</v>
      </c>
      <c r="D14" s="223">
        <v>899263068</v>
      </c>
      <c r="E14" s="59" t="s">
        <v>48</v>
      </c>
      <c r="F14" s="199">
        <f>D14/D22</f>
        <v>2.2481576699999999E-2</v>
      </c>
      <c r="G14" s="64">
        <v>0.05</v>
      </c>
      <c r="H14" s="64">
        <v>1</v>
      </c>
      <c r="I14" s="64">
        <f>H14*G14</f>
        <v>0.05</v>
      </c>
      <c r="J14" s="64">
        <f>I14*F14</f>
        <v>1.1240788350000001E-3</v>
      </c>
    </row>
    <row r="15" spans="1:28" s="2" customFormat="1" ht="15" customHeight="1">
      <c r="A15" s="188"/>
      <c r="B15" s="177"/>
      <c r="C15" s="182"/>
      <c r="D15" s="223"/>
      <c r="E15" s="59" t="s">
        <v>49</v>
      </c>
      <c r="F15" s="199"/>
      <c r="G15" s="64">
        <v>0.05</v>
      </c>
      <c r="H15" s="64">
        <v>1</v>
      </c>
      <c r="I15" s="64">
        <f t="shared" ref="I15:I20" si="2">H15*G15</f>
        <v>0.05</v>
      </c>
      <c r="J15" s="64">
        <f>I15*F14</f>
        <v>1.1240788350000001E-3</v>
      </c>
    </row>
    <row r="16" spans="1:28" s="2" customFormat="1" ht="27.75" customHeight="1">
      <c r="A16" s="188"/>
      <c r="B16" s="177"/>
      <c r="C16" s="182"/>
      <c r="D16" s="223"/>
      <c r="E16" s="59" t="s">
        <v>57</v>
      </c>
      <c r="F16" s="199"/>
      <c r="G16" s="64">
        <v>0.9</v>
      </c>
      <c r="H16" s="64">
        <v>1</v>
      </c>
      <c r="I16" s="64">
        <v>0.91210000000000002</v>
      </c>
      <c r="J16" s="64">
        <f>I16*F14</f>
        <v>2.0505446108069997E-2</v>
      </c>
    </row>
    <row r="17" spans="1:11" s="2" customFormat="1">
      <c r="A17" s="188"/>
      <c r="B17" s="177"/>
      <c r="C17" s="75" t="s">
        <v>25</v>
      </c>
      <c r="D17" s="71">
        <v>171263567</v>
      </c>
      <c r="E17" s="58" t="s">
        <v>68</v>
      </c>
      <c r="F17" s="63">
        <f>D17/$D$22</f>
        <v>4.2815891750000003E-3</v>
      </c>
      <c r="G17" s="64">
        <v>1</v>
      </c>
      <c r="H17" s="139">
        <f>K17/D17</f>
        <v>0.91501279767225674</v>
      </c>
      <c r="I17" s="79">
        <f t="shared" ref="I17" si="3">H17*G17</f>
        <v>0.91501279767225674</v>
      </c>
      <c r="J17" s="64">
        <f>I17*F17</f>
        <v>3.9177088895000003E-3</v>
      </c>
      <c r="K17" s="2">
        <v>156708355.57999998</v>
      </c>
    </row>
    <row r="18" spans="1:11" s="2" customFormat="1">
      <c r="A18" s="188"/>
      <c r="B18" s="177" t="s">
        <v>28</v>
      </c>
      <c r="C18" s="75" t="s">
        <v>29</v>
      </c>
      <c r="D18" s="71">
        <v>373673365</v>
      </c>
      <c r="E18" s="58" t="s">
        <v>69</v>
      </c>
      <c r="F18" s="63">
        <f>D18/$D$22</f>
        <v>9.3418341250000002E-3</v>
      </c>
      <c r="G18" s="64">
        <v>1</v>
      </c>
      <c r="H18" s="140">
        <v>0.82509999999999994</v>
      </c>
      <c r="I18" s="79">
        <f>H18*G18</f>
        <v>0.82509999999999994</v>
      </c>
      <c r="J18" s="79">
        <f>I18*F18</f>
        <v>7.7079473365374998E-3</v>
      </c>
    </row>
    <row r="19" spans="1:11" s="2" customFormat="1">
      <c r="A19" s="188"/>
      <c r="B19" s="177"/>
      <c r="C19" s="177" t="s">
        <v>31</v>
      </c>
      <c r="D19" s="71">
        <v>40000000</v>
      </c>
      <c r="E19" s="58" t="s">
        <v>58</v>
      </c>
      <c r="F19" s="199">
        <f>D19/$D$22</f>
        <v>1E-3</v>
      </c>
      <c r="G19" s="64">
        <v>0.4</v>
      </c>
      <c r="H19" s="64">
        <v>1</v>
      </c>
      <c r="I19" s="64">
        <f>H19*G19</f>
        <v>0.4</v>
      </c>
      <c r="J19" s="64">
        <f>I19*F19</f>
        <v>4.0000000000000002E-4</v>
      </c>
    </row>
    <row r="20" spans="1:11" s="2" customFormat="1">
      <c r="A20" s="188"/>
      <c r="B20" s="75"/>
      <c r="C20" s="177"/>
      <c r="D20" s="71"/>
      <c r="E20" s="58" t="s">
        <v>59</v>
      </c>
      <c r="F20" s="199"/>
      <c r="G20" s="64">
        <v>0.6</v>
      </c>
      <c r="H20" s="64">
        <v>1</v>
      </c>
      <c r="I20" s="64">
        <f t="shared" si="2"/>
        <v>0.6</v>
      </c>
      <c r="J20" s="64">
        <f>I20*F19</f>
        <v>5.9999999999999995E-4</v>
      </c>
    </row>
    <row r="21" spans="1:11" s="2" customFormat="1">
      <c r="A21" s="188"/>
      <c r="B21" s="224" t="s">
        <v>16</v>
      </c>
      <c r="C21" s="224"/>
      <c r="D21" s="74">
        <f>SUM(D14:D19)</f>
        <v>1484200000</v>
      </c>
      <c r="E21" s="66"/>
      <c r="F21" s="67">
        <f>D21/$D$22</f>
        <v>3.7104999999999999E-2</v>
      </c>
      <c r="G21" s="77"/>
      <c r="H21" s="77"/>
      <c r="I21" s="77"/>
      <c r="J21" s="82">
        <f>SUM(J14+J15+J16+J17+J18+J19+J20)</f>
        <v>3.5379260004107502E-2</v>
      </c>
    </row>
    <row r="22" spans="1:11" s="2" customFormat="1" ht="18.75">
      <c r="A22" s="176" t="s">
        <v>32</v>
      </c>
      <c r="B22" s="176"/>
      <c r="C22" s="176"/>
      <c r="D22" s="76">
        <f>D21+D13+D8</f>
        <v>40000000000</v>
      </c>
      <c r="E22" s="66"/>
      <c r="F22" s="83">
        <f>D22/$D$22</f>
        <v>1</v>
      </c>
      <c r="G22" s="77"/>
      <c r="H22" s="77"/>
      <c r="I22" s="77"/>
      <c r="J22" s="89">
        <f>J8+J13+J21</f>
        <v>0.99827426000410757</v>
      </c>
    </row>
    <row r="23" spans="1:11" s="2" customFormat="1">
      <c r="C23" s="3"/>
      <c r="D23" s="6"/>
      <c r="F23" s="60"/>
      <c r="G23" s="52"/>
      <c r="H23" s="52"/>
      <c r="I23" s="52"/>
      <c r="J23" s="52"/>
    </row>
    <row r="24" spans="1:11" s="2" customFormat="1" hidden="1">
      <c r="C24" s="3"/>
      <c r="D24" s="26"/>
      <c r="F24" s="60"/>
      <c r="G24" s="52"/>
      <c r="H24" s="52"/>
      <c r="I24" s="52"/>
      <c r="J24" s="52"/>
    </row>
    <row r="25" spans="1:11" s="2" customFormat="1" hidden="1">
      <c r="C25" s="3"/>
      <c r="D25" s="26">
        <f>D22/1.0048</f>
        <v>39808917197.452232</v>
      </c>
      <c r="F25" s="60"/>
      <c r="G25" s="52"/>
      <c r="H25" s="52"/>
      <c r="I25" s="52"/>
      <c r="J25" s="52"/>
    </row>
    <row r="26" spans="1:11" s="2" customFormat="1" hidden="1">
      <c r="C26" s="3"/>
      <c r="D26" s="26">
        <f>D25*0.48%</f>
        <v>191082802.54777071</v>
      </c>
      <c r="F26" s="60"/>
      <c r="G26" s="52"/>
      <c r="H26" s="52"/>
      <c r="I26" s="52"/>
      <c r="J26" s="52"/>
    </row>
    <row r="27" spans="1:11" s="2" customFormat="1" hidden="1">
      <c r="C27" s="3"/>
      <c r="D27" s="26">
        <f>D25+D26</f>
        <v>40000000000</v>
      </c>
      <c r="F27" s="60"/>
      <c r="G27" s="52"/>
      <c r="H27" s="52"/>
      <c r="I27" s="52"/>
      <c r="J27" s="52"/>
    </row>
    <row r="28" spans="1:11" s="2" customFormat="1" hidden="1">
      <c r="C28" s="3"/>
      <c r="D28" s="26"/>
      <c r="F28" s="60"/>
      <c r="G28" s="52"/>
      <c r="H28" s="52"/>
      <c r="I28" s="52"/>
      <c r="J28" s="52"/>
    </row>
    <row r="29" spans="1:11" s="2" customFormat="1" hidden="1">
      <c r="C29" s="3"/>
      <c r="D29" s="26"/>
      <c r="F29" s="60"/>
      <c r="G29" s="52"/>
      <c r="H29" s="52"/>
      <c r="I29" s="52"/>
      <c r="J29" s="52"/>
    </row>
    <row r="30" spans="1:11" s="2" customFormat="1" hidden="1">
      <c r="C30" s="3"/>
      <c r="D30" s="26"/>
      <c r="F30" s="60"/>
      <c r="G30" s="52"/>
      <c r="H30" s="52"/>
      <c r="I30" s="52"/>
      <c r="J30" s="52"/>
    </row>
    <row r="31" spans="1:11" s="2" customFormat="1" hidden="1">
      <c r="C31" s="3"/>
      <c r="F31" s="60"/>
      <c r="G31" s="52"/>
      <c r="H31" s="52"/>
      <c r="I31" s="52"/>
      <c r="J31" s="52"/>
    </row>
    <row r="32" spans="1:11" s="2" customFormat="1" hidden="1">
      <c r="C32" s="3"/>
      <c r="F32" s="60"/>
      <c r="G32" s="52"/>
      <c r="H32" s="52"/>
      <c r="I32" s="52"/>
      <c r="J32" s="52"/>
    </row>
    <row r="33" spans="3:10" s="2" customFormat="1" hidden="1">
      <c r="C33" s="3"/>
      <c r="F33" s="60"/>
      <c r="G33" s="52"/>
      <c r="H33" s="52"/>
      <c r="I33" s="52"/>
      <c r="J33" s="52"/>
    </row>
    <row r="34" spans="3:10" s="2" customFormat="1" hidden="1">
      <c r="C34" s="3"/>
      <c r="F34" s="60"/>
      <c r="G34" s="52"/>
      <c r="H34" s="52"/>
      <c r="I34" s="52"/>
      <c r="J34" s="52"/>
    </row>
    <row r="35" spans="3:10" s="2" customFormat="1" hidden="1">
      <c r="C35" s="3"/>
      <c r="F35" s="60"/>
      <c r="G35" s="52"/>
      <c r="H35" s="52"/>
      <c r="I35" s="52"/>
      <c r="J35" s="52"/>
    </row>
    <row r="36" spans="3:10" s="2" customFormat="1" hidden="1">
      <c r="C36" s="3"/>
      <c r="F36" s="60"/>
      <c r="G36" s="52"/>
      <c r="H36" s="52"/>
      <c r="I36" s="52"/>
      <c r="J36" s="52"/>
    </row>
    <row r="37" spans="3:10" s="2" customFormat="1" hidden="1">
      <c r="C37" s="3"/>
      <c r="F37" s="60"/>
      <c r="G37" s="52"/>
      <c r="H37" s="52"/>
      <c r="I37" s="52"/>
      <c r="J37" s="52"/>
    </row>
    <row r="38" spans="3:10" s="2" customFormat="1" hidden="1">
      <c r="C38" s="3"/>
      <c r="F38" s="60"/>
      <c r="G38" s="52"/>
      <c r="H38" s="52"/>
      <c r="I38" s="52"/>
      <c r="J38" s="52"/>
    </row>
    <row r="39" spans="3:10" s="2" customFormat="1" hidden="1">
      <c r="C39" s="3"/>
      <c r="F39" s="60"/>
      <c r="G39" s="52"/>
      <c r="H39" s="52"/>
      <c r="I39" s="52"/>
      <c r="J39" s="52"/>
    </row>
    <row r="40" spans="3:10" s="2" customFormat="1" hidden="1">
      <c r="C40" s="3"/>
      <c r="F40" s="60"/>
      <c r="G40" s="52"/>
      <c r="H40" s="52"/>
      <c r="I40" s="52"/>
      <c r="J40" s="52"/>
    </row>
    <row r="41" spans="3:10" s="2" customFormat="1" hidden="1">
      <c r="C41" s="3"/>
      <c r="F41" s="60"/>
      <c r="G41" s="52"/>
      <c r="H41" s="52"/>
      <c r="I41" s="52"/>
      <c r="J41" s="52"/>
    </row>
    <row r="42" spans="3:10" s="2" customFormat="1" hidden="1">
      <c r="C42" s="3"/>
      <c r="F42" s="60"/>
      <c r="G42" s="52"/>
      <c r="H42" s="52"/>
      <c r="I42" s="52"/>
      <c r="J42" s="52"/>
    </row>
    <row r="43" spans="3:10" s="2" customFormat="1" hidden="1">
      <c r="C43" s="3"/>
      <c r="F43" s="60"/>
      <c r="G43" s="52"/>
      <c r="H43" s="52"/>
      <c r="I43" s="52"/>
      <c r="J43" s="52"/>
    </row>
    <row r="44" spans="3:10" s="2" customFormat="1" hidden="1">
      <c r="C44" s="3"/>
      <c r="F44" s="60"/>
      <c r="G44" s="52"/>
      <c r="H44" s="52"/>
      <c r="I44" s="52"/>
      <c r="J44" s="52"/>
    </row>
    <row r="45" spans="3:10" s="2" customFormat="1" hidden="1">
      <c r="C45" s="3"/>
      <c r="F45" s="60"/>
      <c r="G45" s="52"/>
      <c r="H45" s="52"/>
      <c r="I45" s="52"/>
      <c r="J45" s="52"/>
    </row>
    <row r="46" spans="3:10" s="2" customFormat="1" hidden="1">
      <c r="C46" s="3"/>
      <c r="F46" s="60"/>
      <c r="G46" s="52"/>
      <c r="H46" s="52"/>
      <c r="I46" s="52"/>
      <c r="J46" s="52"/>
    </row>
    <row r="47" spans="3:10" s="2" customFormat="1" hidden="1">
      <c r="C47" s="3"/>
      <c r="F47" s="60"/>
      <c r="G47" s="52"/>
      <c r="H47" s="52"/>
      <c r="I47" s="52"/>
      <c r="J47" s="52"/>
    </row>
    <row r="48" spans="3:10" s="2" customFormat="1" hidden="1">
      <c r="C48" s="3"/>
      <c r="F48" s="60"/>
      <c r="G48" s="52"/>
      <c r="H48" s="52"/>
      <c r="I48" s="52"/>
      <c r="J48" s="52"/>
    </row>
    <row r="49" spans="3:10" s="2" customFormat="1" hidden="1">
      <c r="C49" s="3"/>
      <c r="F49" s="60"/>
      <c r="G49" s="52"/>
      <c r="H49" s="52"/>
      <c r="I49" s="52"/>
      <c r="J49" s="52"/>
    </row>
    <row r="50" spans="3:10" s="2" customFormat="1" hidden="1">
      <c r="C50" s="3"/>
      <c r="F50" s="60"/>
      <c r="G50" s="52"/>
      <c r="H50" s="52"/>
      <c r="I50" s="52"/>
      <c r="J50" s="52"/>
    </row>
    <row r="51" spans="3:10" s="2" customFormat="1" hidden="1">
      <c r="C51" s="3"/>
      <c r="F51" s="60"/>
      <c r="G51" s="52"/>
      <c r="H51" s="52"/>
      <c r="I51" s="52"/>
      <c r="J51" s="52"/>
    </row>
    <row r="52" spans="3:10" s="2" customFormat="1" hidden="1">
      <c r="C52" s="3"/>
      <c r="F52" s="60"/>
      <c r="G52" s="52"/>
      <c r="H52" s="52"/>
      <c r="I52" s="52"/>
      <c r="J52" s="52"/>
    </row>
    <row r="53" spans="3:10" s="2" customFormat="1" hidden="1">
      <c r="C53" s="3"/>
      <c r="F53" s="60"/>
      <c r="G53" s="52"/>
      <c r="H53" s="52"/>
      <c r="I53" s="52"/>
      <c r="J53" s="52"/>
    </row>
    <row r="54" spans="3:10" s="2" customFormat="1" hidden="1">
      <c r="C54" s="3"/>
      <c r="F54" s="60"/>
      <c r="G54" s="52"/>
      <c r="H54" s="52"/>
      <c r="I54" s="52"/>
      <c r="J54" s="52"/>
    </row>
    <row r="55" spans="3:10" s="2" customFormat="1" hidden="1">
      <c r="C55" s="3"/>
      <c r="F55" s="60"/>
      <c r="G55" s="52"/>
      <c r="H55" s="52"/>
      <c r="I55" s="52"/>
      <c r="J55" s="52"/>
    </row>
    <row r="56" spans="3:10" s="2" customFormat="1" hidden="1">
      <c r="C56" s="3"/>
      <c r="F56" s="60"/>
      <c r="G56" s="52"/>
      <c r="H56" s="52"/>
      <c r="I56" s="52"/>
      <c r="J56" s="52"/>
    </row>
    <row r="57" spans="3:10" s="2" customFormat="1" hidden="1">
      <c r="C57" s="3"/>
      <c r="F57" s="60"/>
      <c r="G57" s="52"/>
      <c r="H57" s="52"/>
      <c r="I57" s="52"/>
      <c r="J57" s="52"/>
    </row>
    <row r="58" spans="3:10" s="2" customFormat="1" hidden="1">
      <c r="C58" s="3"/>
      <c r="F58" s="60"/>
      <c r="G58" s="52"/>
      <c r="H58" s="52"/>
      <c r="I58" s="52"/>
      <c r="J58" s="52"/>
    </row>
    <row r="59" spans="3:10" s="2" customFormat="1" hidden="1">
      <c r="C59" s="3"/>
      <c r="F59" s="60"/>
      <c r="G59" s="52"/>
      <c r="H59" s="52"/>
      <c r="I59" s="52"/>
      <c r="J59" s="52"/>
    </row>
    <row r="60" spans="3:10" s="2" customFormat="1" hidden="1">
      <c r="C60" s="3"/>
      <c r="F60" s="60"/>
      <c r="G60" s="52"/>
      <c r="H60" s="52"/>
      <c r="I60" s="52"/>
      <c r="J60" s="52"/>
    </row>
    <row r="61" spans="3:10" s="2" customFormat="1" hidden="1">
      <c r="C61" s="3"/>
      <c r="F61" s="60"/>
      <c r="G61" s="52"/>
      <c r="H61" s="52"/>
      <c r="I61" s="52"/>
      <c r="J61" s="52"/>
    </row>
    <row r="62" spans="3:10" s="2" customFormat="1" hidden="1">
      <c r="C62" s="3"/>
      <c r="F62" s="60"/>
      <c r="G62" s="52"/>
      <c r="H62" s="52"/>
      <c r="I62" s="52"/>
      <c r="J62" s="52"/>
    </row>
    <row r="63" spans="3:10" s="2" customFormat="1" hidden="1">
      <c r="C63" s="3"/>
      <c r="F63" s="60"/>
      <c r="G63" s="52"/>
      <c r="H63" s="52"/>
      <c r="I63" s="52"/>
      <c r="J63" s="52"/>
    </row>
    <row r="64" spans="3:10" s="2" customFormat="1" hidden="1">
      <c r="C64" s="3"/>
      <c r="F64" s="60"/>
      <c r="G64" s="52"/>
      <c r="H64" s="52"/>
      <c r="I64" s="52"/>
      <c r="J64" s="52"/>
    </row>
    <row r="65" spans="3:10" s="2" customFormat="1" hidden="1">
      <c r="C65" s="3"/>
      <c r="F65" s="60"/>
      <c r="G65" s="52"/>
      <c r="H65" s="52"/>
      <c r="I65" s="52"/>
      <c r="J65" s="52"/>
    </row>
    <row r="66" spans="3:10" s="2" customFormat="1" hidden="1">
      <c r="C66" s="3"/>
      <c r="F66" s="60"/>
      <c r="G66" s="52"/>
      <c r="H66" s="52"/>
      <c r="I66" s="52"/>
      <c r="J66" s="52"/>
    </row>
    <row r="67" spans="3:10" s="2" customFormat="1" hidden="1">
      <c r="C67" s="3"/>
      <c r="F67" s="60"/>
      <c r="G67" s="52"/>
      <c r="H67" s="52"/>
      <c r="I67" s="52"/>
      <c r="J67" s="52"/>
    </row>
    <row r="68" spans="3:10" s="2" customFormat="1" hidden="1">
      <c r="C68" s="3"/>
      <c r="F68" s="60"/>
      <c r="G68" s="52"/>
      <c r="H68" s="52"/>
      <c r="I68" s="52"/>
      <c r="J68" s="52"/>
    </row>
    <row r="69" spans="3:10" s="2" customFormat="1" hidden="1">
      <c r="C69" s="3"/>
      <c r="F69" s="60"/>
      <c r="G69" s="52"/>
      <c r="H69" s="52"/>
      <c r="I69" s="52"/>
      <c r="J69" s="52"/>
    </row>
    <row r="70" spans="3:10" s="2" customFormat="1" hidden="1">
      <c r="C70" s="3"/>
      <c r="F70" s="60"/>
      <c r="G70" s="52"/>
      <c r="H70" s="52"/>
      <c r="I70" s="52"/>
      <c r="J70" s="52"/>
    </row>
    <row r="71" spans="3:10" s="2" customFormat="1" hidden="1">
      <c r="C71" s="3"/>
      <c r="F71" s="60"/>
      <c r="G71" s="52"/>
      <c r="H71" s="52"/>
      <c r="I71" s="52"/>
      <c r="J71" s="52"/>
    </row>
    <row r="72" spans="3:10" s="2" customFormat="1" hidden="1">
      <c r="C72" s="3"/>
      <c r="F72" s="60"/>
      <c r="G72" s="52"/>
      <c r="H72" s="52"/>
      <c r="I72" s="52"/>
      <c r="J72" s="52"/>
    </row>
    <row r="73" spans="3:10" s="2" customFormat="1">
      <c r="C73" s="3"/>
      <c r="D73" s="26"/>
      <c r="F73" s="60"/>
      <c r="G73" s="52"/>
      <c r="H73" s="52"/>
      <c r="I73" s="52"/>
      <c r="J73" s="52"/>
    </row>
    <row r="74" spans="3:10" s="2" customFormat="1">
      <c r="C74" s="3"/>
      <c r="F74" s="60"/>
      <c r="G74" s="52"/>
      <c r="H74" s="52"/>
      <c r="I74" s="52"/>
      <c r="J74" s="52"/>
    </row>
    <row r="75" spans="3:10" s="2" customFormat="1">
      <c r="C75" s="3"/>
      <c r="F75" s="60"/>
      <c r="G75" s="52"/>
      <c r="H75" s="52"/>
      <c r="I75" s="52"/>
      <c r="J75" s="52"/>
    </row>
    <row r="76" spans="3:10" s="2" customFormat="1">
      <c r="C76" s="3"/>
      <c r="F76" s="60"/>
      <c r="G76" s="52"/>
      <c r="H76" s="52"/>
      <c r="I76" s="52"/>
      <c r="J76" s="52"/>
    </row>
    <row r="77" spans="3:10" s="2" customFormat="1">
      <c r="C77" s="3"/>
      <c r="F77" s="60"/>
      <c r="G77" s="52"/>
      <c r="H77" s="52"/>
      <c r="I77" s="52"/>
      <c r="J77" s="52"/>
    </row>
    <row r="78" spans="3:10" s="2" customFormat="1">
      <c r="C78" s="3"/>
      <c r="F78" s="60"/>
      <c r="G78" s="52"/>
      <c r="H78" s="52"/>
      <c r="I78" s="52"/>
      <c r="J78" s="52"/>
    </row>
    <row r="79" spans="3:10" s="2" customFormat="1">
      <c r="C79" s="3"/>
      <c r="F79" s="60"/>
      <c r="G79" s="52"/>
      <c r="H79" s="52"/>
      <c r="I79" s="52"/>
      <c r="J79" s="52"/>
    </row>
    <row r="80" spans="3:10" s="2" customFormat="1">
      <c r="C80" s="3"/>
      <c r="F80" s="60"/>
      <c r="G80" s="52"/>
      <c r="H80" s="52"/>
      <c r="I80" s="52"/>
      <c r="J80" s="52"/>
    </row>
    <row r="81" spans="3:10" s="2" customFormat="1">
      <c r="C81" s="3"/>
      <c r="F81" s="60"/>
      <c r="G81" s="52"/>
      <c r="H81" s="52"/>
      <c r="I81" s="52"/>
      <c r="J81" s="52"/>
    </row>
    <row r="82" spans="3:10" s="2" customFormat="1">
      <c r="C82" s="3"/>
      <c r="F82" s="60"/>
      <c r="G82" s="52"/>
      <c r="H82" s="52"/>
      <c r="I82" s="52"/>
      <c r="J82" s="52"/>
    </row>
    <row r="83" spans="3:10" s="2" customFormat="1">
      <c r="C83" s="3"/>
      <c r="F83" s="60"/>
      <c r="G83" s="52"/>
      <c r="H83" s="52"/>
      <c r="I83" s="52"/>
      <c r="J83" s="52"/>
    </row>
    <row r="84" spans="3:10" s="2" customFormat="1">
      <c r="C84" s="3"/>
      <c r="F84" s="60"/>
      <c r="G84" s="52"/>
      <c r="H84" s="52"/>
      <c r="I84" s="52"/>
      <c r="J84" s="52"/>
    </row>
    <row r="85" spans="3:10" s="2" customFormat="1">
      <c r="C85" s="3"/>
      <c r="F85" s="60"/>
      <c r="G85" s="52"/>
      <c r="H85" s="52"/>
      <c r="I85" s="52"/>
      <c r="J85" s="52"/>
    </row>
    <row r="86" spans="3:10" s="2" customFormat="1">
      <c r="C86" s="3"/>
      <c r="F86" s="60"/>
      <c r="G86" s="52"/>
      <c r="H86" s="52"/>
      <c r="I86" s="52"/>
      <c r="J86" s="52"/>
    </row>
    <row r="87" spans="3:10" s="2" customFormat="1">
      <c r="C87" s="3"/>
      <c r="F87" s="60"/>
      <c r="G87" s="52"/>
      <c r="H87" s="52"/>
      <c r="I87" s="52"/>
      <c r="J87" s="52"/>
    </row>
    <row r="88" spans="3:10" s="2" customFormat="1">
      <c r="C88" s="3"/>
      <c r="F88" s="60"/>
      <c r="G88" s="52"/>
      <c r="H88" s="52"/>
      <c r="I88" s="52"/>
      <c r="J88" s="52"/>
    </row>
    <row r="89" spans="3:10" s="2" customFormat="1">
      <c r="C89" s="3"/>
      <c r="F89" s="60"/>
      <c r="G89" s="52"/>
      <c r="H89" s="52"/>
      <c r="I89" s="52"/>
      <c r="J89" s="52"/>
    </row>
    <row r="90" spans="3:10" s="2" customFormat="1">
      <c r="C90" s="3"/>
      <c r="F90" s="60"/>
      <c r="G90" s="52"/>
      <c r="H90" s="52"/>
      <c r="I90" s="52"/>
      <c r="J90" s="52"/>
    </row>
    <row r="91" spans="3:10" s="2" customFormat="1">
      <c r="C91" s="3"/>
      <c r="F91" s="60"/>
      <c r="G91" s="52"/>
      <c r="H91" s="52"/>
      <c r="I91" s="52"/>
      <c r="J91" s="52"/>
    </row>
    <row r="92" spans="3:10" s="2" customFormat="1">
      <c r="C92" s="3"/>
      <c r="F92" s="60"/>
      <c r="G92" s="52"/>
      <c r="H92" s="52"/>
      <c r="I92" s="52"/>
      <c r="J92" s="52"/>
    </row>
    <row r="93" spans="3:10" s="2" customFormat="1">
      <c r="C93" s="3"/>
      <c r="F93" s="60"/>
      <c r="G93" s="52"/>
      <c r="H93" s="52"/>
      <c r="I93" s="52"/>
      <c r="J93" s="52"/>
    </row>
    <row r="94" spans="3:10" s="2" customFormat="1">
      <c r="C94" s="3"/>
      <c r="F94" s="60"/>
      <c r="G94" s="52"/>
      <c r="H94" s="52"/>
      <c r="I94" s="52"/>
      <c r="J94" s="52"/>
    </row>
    <row r="95" spans="3:10" s="2" customFormat="1">
      <c r="C95" s="3"/>
      <c r="F95" s="60"/>
      <c r="G95" s="52"/>
      <c r="H95" s="52"/>
      <c r="I95" s="52"/>
      <c r="J95" s="52"/>
    </row>
    <row r="96" spans="3:10" s="2" customFormat="1">
      <c r="C96" s="3"/>
      <c r="F96" s="60"/>
      <c r="G96" s="52"/>
      <c r="H96" s="52"/>
      <c r="I96" s="52"/>
      <c r="J96" s="52"/>
    </row>
    <row r="97" spans="3:10" s="2" customFormat="1">
      <c r="C97" s="3"/>
      <c r="F97" s="60"/>
      <c r="G97" s="52"/>
      <c r="H97" s="52"/>
      <c r="I97" s="52"/>
      <c r="J97" s="52"/>
    </row>
    <row r="98" spans="3:10" s="2" customFormat="1">
      <c r="C98" s="3"/>
      <c r="F98" s="60"/>
      <c r="G98" s="52"/>
      <c r="H98" s="52"/>
      <c r="I98" s="52"/>
      <c r="J98" s="52"/>
    </row>
    <row r="99" spans="3:10" s="2" customFormat="1">
      <c r="C99" s="3"/>
      <c r="F99" s="60"/>
      <c r="G99" s="52"/>
      <c r="H99" s="52"/>
      <c r="I99" s="52"/>
      <c r="J99" s="52"/>
    </row>
    <row r="100" spans="3:10" s="2" customFormat="1">
      <c r="C100" s="3"/>
      <c r="F100" s="60"/>
      <c r="G100" s="52"/>
      <c r="H100" s="52"/>
      <c r="I100" s="52"/>
      <c r="J100" s="52"/>
    </row>
    <row r="101" spans="3:10" s="2" customFormat="1">
      <c r="C101" s="3"/>
      <c r="F101" s="60"/>
      <c r="G101" s="52"/>
      <c r="H101" s="52"/>
      <c r="I101" s="52"/>
      <c r="J101" s="52"/>
    </row>
    <row r="102" spans="3:10" s="2" customFormat="1">
      <c r="C102" s="3"/>
      <c r="F102" s="60"/>
      <c r="G102" s="52"/>
      <c r="H102" s="52"/>
      <c r="I102" s="52"/>
      <c r="J102" s="52"/>
    </row>
    <row r="103" spans="3:10" s="2" customFormat="1">
      <c r="C103" s="3"/>
      <c r="F103" s="60"/>
      <c r="G103" s="52"/>
      <c r="H103" s="52"/>
      <c r="I103" s="52"/>
      <c r="J103" s="52"/>
    </row>
    <row r="104" spans="3:10" s="2" customFormat="1">
      <c r="C104" s="3"/>
      <c r="F104" s="60"/>
      <c r="G104" s="52"/>
      <c r="H104" s="52"/>
      <c r="I104" s="52"/>
      <c r="J104" s="52"/>
    </row>
    <row r="105" spans="3:10" s="2" customFormat="1">
      <c r="C105" s="3"/>
      <c r="F105" s="60"/>
      <c r="G105" s="52"/>
      <c r="H105" s="52"/>
      <c r="I105" s="52"/>
      <c r="J105" s="52"/>
    </row>
    <row r="106" spans="3:10" s="2" customFormat="1">
      <c r="C106" s="3"/>
      <c r="F106" s="60"/>
      <c r="G106" s="52"/>
      <c r="H106" s="52"/>
      <c r="I106" s="52"/>
      <c r="J106" s="52"/>
    </row>
    <row r="107" spans="3:10" s="2" customFormat="1">
      <c r="C107" s="3"/>
      <c r="F107" s="60"/>
      <c r="G107" s="52"/>
      <c r="H107" s="52"/>
      <c r="I107" s="52"/>
      <c r="J107" s="52"/>
    </row>
    <row r="108" spans="3:10" s="2" customFormat="1">
      <c r="C108" s="3"/>
      <c r="F108" s="60"/>
      <c r="G108" s="52"/>
      <c r="H108" s="52"/>
      <c r="I108" s="52"/>
      <c r="J108" s="52"/>
    </row>
    <row r="109" spans="3:10" s="2" customFormat="1">
      <c r="C109" s="3"/>
      <c r="F109" s="60"/>
      <c r="G109" s="52"/>
      <c r="H109" s="52"/>
      <c r="I109" s="52"/>
      <c r="J109" s="52"/>
    </row>
    <row r="110" spans="3:10" s="2" customFormat="1">
      <c r="C110" s="3"/>
      <c r="F110" s="60"/>
      <c r="G110" s="52"/>
      <c r="H110" s="52"/>
      <c r="I110" s="52"/>
      <c r="J110" s="52"/>
    </row>
    <row r="111" spans="3:10" s="2" customFormat="1">
      <c r="C111" s="3"/>
      <c r="F111" s="60"/>
      <c r="G111" s="52"/>
      <c r="H111" s="52"/>
      <c r="I111" s="52"/>
      <c r="J111" s="52"/>
    </row>
    <row r="112" spans="3:10" s="2" customFormat="1">
      <c r="C112" s="3"/>
      <c r="F112" s="60"/>
      <c r="G112" s="52"/>
      <c r="H112" s="52"/>
      <c r="I112" s="52"/>
      <c r="J112" s="52"/>
    </row>
    <row r="113" spans="3:10" s="2" customFormat="1">
      <c r="C113" s="3"/>
      <c r="F113" s="60"/>
      <c r="G113" s="52"/>
      <c r="H113" s="52"/>
      <c r="I113" s="52"/>
      <c r="J113" s="52"/>
    </row>
    <row r="114" spans="3:10" s="2" customFormat="1">
      <c r="C114" s="3"/>
      <c r="F114" s="60"/>
      <c r="G114" s="52"/>
      <c r="H114" s="52"/>
      <c r="I114" s="52"/>
      <c r="J114" s="52"/>
    </row>
    <row r="115" spans="3:10" s="2" customFormat="1">
      <c r="C115" s="3"/>
      <c r="F115" s="60"/>
      <c r="G115" s="52"/>
      <c r="H115" s="52"/>
      <c r="I115" s="52"/>
      <c r="J115" s="52"/>
    </row>
    <row r="116" spans="3:10" s="2" customFormat="1">
      <c r="C116" s="3"/>
      <c r="F116" s="60"/>
      <c r="G116" s="52"/>
      <c r="H116" s="52"/>
      <c r="I116" s="52"/>
      <c r="J116" s="52"/>
    </row>
    <row r="117" spans="3:10" s="2" customFormat="1">
      <c r="C117" s="3"/>
      <c r="F117" s="60"/>
      <c r="G117" s="52"/>
      <c r="H117" s="52"/>
      <c r="I117" s="52"/>
      <c r="J117" s="52"/>
    </row>
    <row r="118" spans="3:10" s="2" customFormat="1">
      <c r="C118" s="3"/>
      <c r="F118" s="60"/>
      <c r="G118" s="52"/>
      <c r="H118" s="52"/>
      <c r="I118" s="52"/>
      <c r="J118" s="52"/>
    </row>
    <row r="119" spans="3:10" s="2" customFormat="1">
      <c r="C119" s="3"/>
      <c r="F119" s="60"/>
      <c r="G119" s="52"/>
      <c r="H119" s="52"/>
      <c r="I119" s="52"/>
      <c r="J119" s="52"/>
    </row>
    <row r="120" spans="3:10" s="2" customFormat="1">
      <c r="C120" s="3"/>
      <c r="F120" s="60"/>
      <c r="G120" s="52"/>
      <c r="H120" s="52"/>
      <c r="I120" s="52"/>
      <c r="J120" s="52"/>
    </row>
    <row r="121" spans="3:10" s="2" customFormat="1">
      <c r="C121" s="3"/>
      <c r="F121" s="60"/>
      <c r="G121" s="52"/>
      <c r="H121" s="52"/>
      <c r="I121" s="52"/>
      <c r="J121" s="52"/>
    </row>
    <row r="122" spans="3:10" s="2" customFormat="1">
      <c r="C122" s="3"/>
      <c r="F122" s="60"/>
      <c r="G122" s="52"/>
      <c r="H122" s="52"/>
      <c r="I122" s="52"/>
      <c r="J122" s="52"/>
    </row>
    <row r="123" spans="3:10" s="2" customFormat="1">
      <c r="C123" s="3"/>
      <c r="F123" s="60"/>
      <c r="G123" s="52"/>
      <c r="H123" s="52"/>
      <c r="I123" s="52"/>
      <c r="J123" s="52"/>
    </row>
    <row r="124" spans="3:10" s="2" customFormat="1">
      <c r="C124" s="3"/>
      <c r="F124" s="60"/>
      <c r="G124" s="52"/>
      <c r="H124" s="52"/>
      <c r="I124" s="52"/>
      <c r="J124" s="52"/>
    </row>
    <row r="125" spans="3:10" s="2" customFormat="1">
      <c r="C125" s="3"/>
      <c r="F125" s="60"/>
      <c r="G125" s="52"/>
      <c r="H125" s="52"/>
      <c r="I125" s="52"/>
      <c r="J125" s="52"/>
    </row>
    <row r="126" spans="3:10" s="2" customFormat="1">
      <c r="C126" s="3"/>
      <c r="F126" s="60"/>
      <c r="G126" s="52"/>
      <c r="H126" s="52"/>
      <c r="I126" s="52"/>
      <c r="J126" s="52"/>
    </row>
    <row r="127" spans="3:10" s="2" customFormat="1">
      <c r="C127" s="3"/>
      <c r="F127" s="60"/>
      <c r="G127" s="52"/>
      <c r="H127" s="52"/>
      <c r="I127" s="52"/>
      <c r="J127" s="52"/>
    </row>
    <row r="128" spans="3:10" s="2" customFormat="1">
      <c r="C128" s="3"/>
      <c r="F128" s="60"/>
      <c r="G128" s="52"/>
      <c r="H128" s="52"/>
      <c r="I128" s="52"/>
      <c r="J128" s="52"/>
    </row>
    <row r="129" spans="3:10" s="2" customFormat="1">
      <c r="C129" s="3"/>
      <c r="F129" s="60"/>
      <c r="G129" s="52"/>
      <c r="H129" s="52"/>
      <c r="I129" s="52"/>
      <c r="J129" s="52"/>
    </row>
    <row r="130" spans="3:10" s="2" customFormat="1">
      <c r="C130" s="3"/>
      <c r="F130" s="60"/>
      <c r="G130" s="52"/>
      <c r="H130" s="52"/>
      <c r="I130" s="52"/>
      <c r="J130" s="52"/>
    </row>
    <row r="131" spans="3:10" s="2" customFormat="1">
      <c r="C131" s="3"/>
      <c r="F131" s="60"/>
      <c r="G131" s="52"/>
      <c r="H131" s="52"/>
      <c r="I131" s="52"/>
      <c r="J131" s="52"/>
    </row>
    <row r="132" spans="3:10" s="2" customFormat="1">
      <c r="C132" s="3"/>
      <c r="F132" s="60"/>
      <c r="G132" s="52"/>
      <c r="H132" s="52"/>
      <c r="I132" s="52"/>
      <c r="J132" s="52"/>
    </row>
    <row r="133" spans="3:10" s="2" customFormat="1">
      <c r="C133" s="3"/>
      <c r="F133" s="60"/>
      <c r="G133" s="52"/>
      <c r="H133" s="52"/>
      <c r="I133" s="52"/>
      <c r="J133" s="52"/>
    </row>
    <row r="134" spans="3:10" s="2" customFormat="1">
      <c r="C134" s="3"/>
      <c r="F134" s="60"/>
      <c r="G134" s="52"/>
      <c r="H134" s="52"/>
      <c r="I134" s="52"/>
      <c r="J134" s="52"/>
    </row>
    <row r="135" spans="3:10" s="2" customFormat="1">
      <c r="C135" s="3"/>
      <c r="F135" s="60"/>
      <c r="G135" s="52"/>
      <c r="H135" s="52"/>
      <c r="I135" s="52"/>
      <c r="J135" s="52"/>
    </row>
    <row r="136" spans="3:10" s="2" customFormat="1">
      <c r="C136" s="3"/>
      <c r="F136" s="60"/>
      <c r="G136" s="52"/>
      <c r="H136" s="52"/>
      <c r="I136" s="52"/>
      <c r="J136" s="52"/>
    </row>
    <row r="137" spans="3:10" s="2" customFormat="1">
      <c r="C137" s="3"/>
      <c r="F137" s="60"/>
      <c r="G137" s="52"/>
      <c r="H137" s="52"/>
      <c r="I137" s="52"/>
      <c r="J137" s="52"/>
    </row>
    <row r="138" spans="3:10" s="2" customFormat="1">
      <c r="C138" s="3"/>
      <c r="F138" s="60"/>
      <c r="G138" s="52"/>
      <c r="H138" s="52"/>
      <c r="I138" s="52"/>
      <c r="J138" s="52"/>
    </row>
    <row r="139" spans="3:10" s="2" customFormat="1">
      <c r="C139" s="3"/>
      <c r="F139" s="60"/>
      <c r="G139" s="52"/>
      <c r="H139" s="52"/>
      <c r="I139" s="52"/>
      <c r="J139" s="52"/>
    </row>
    <row r="140" spans="3:10" s="2" customFormat="1">
      <c r="C140" s="3"/>
      <c r="F140" s="60"/>
      <c r="G140" s="52"/>
      <c r="H140" s="52"/>
      <c r="I140" s="52"/>
      <c r="J140" s="52"/>
    </row>
    <row r="141" spans="3:10" s="2" customFormat="1">
      <c r="C141" s="3"/>
      <c r="F141" s="60"/>
      <c r="G141" s="52"/>
      <c r="H141" s="52"/>
      <c r="I141" s="52"/>
      <c r="J141" s="52"/>
    </row>
    <row r="142" spans="3:10" s="2" customFormat="1">
      <c r="C142" s="3"/>
      <c r="F142" s="60"/>
      <c r="G142" s="52"/>
      <c r="H142" s="52"/>
      <c r="I142" s="52"/>
      <c r="J142" s="52"/>
    </row>
    <row r="143" spans="3:10" s="2" customFormat="1">
      <c r="C143" s="3"/>
      <c r="F143" s="60"/>
      <c r="G143" s="52"/>
      <c r="H143" s="52"/>
      <c r="I143" s="52"/>
      <c r="J143" s="52"/>
    </row>
    <row r="144" spans="3:10" s="2" customFormat="1">
      <c r="C144" s="3"/>
      <c r="F144" s="60"/>
      <c r="G144" s="52"/>
      <c r="H144" s="52"/>
      <c r="I144" s="52"/>
      <c r="J144" s="52"/>
    </row>
    <row r="145" spans="3:10" s="2" customFormat="1">
      <c r="C145" s="3"/>
      <c r="F145" s="60"/>
      <c r="G145" s="52"/>
      <c r="H145" s="52"/>
      <c r="I145" s="52"/>
      <c r="J145" s="52"/>
    </row>
    <row r="146" spans="3:10" s="2" customFormat="1">
      <c r="C146" s="3"/>
      <c r="F146" s="60"/>
      <c r="G146" s="52"/>
      <c r="H146" s="52"/>
      <c r="I146" s="52"/>
      <c r="J146" s="52"/>
    </row>
    <row r="147" spans="3:10" s="2" customFormat="1">
      <c r="C147" s="3"/>
      <c r="F147" s="60"/>
      <c r="G147" s="52"/>
      <c r="H147" s="52"/>
      <c r="I147" s="52"/>
      <c r="J147" s="52"/>
    </row>
    <row r="148" spans="3:10" s="2" customFormat="1">
      <c r="C148" s="3"/>
      <c r="F148" s="60"/>
      <c r="G148" s="52"/>
      <c r="H148" s="52"/>
      <c r="I148" s="52"/>
      <c r="J148" s="52"/>
    </row>
    <row r="149" spans="3:10" s="2" customFormat="1">
      <c r="C149" s="3"/>
      <c r="F149" s="60"/>
      <c r="G149" s="52"/>
      <c r="H149" s="52"/>
      <c r="I149" s="52"/>
      <c r="J149" s="52"/>
    </row>
    <row r="150" spans="3:10" s="2" customFormat="1">
      <c r="C150" s="3"/>
      <c r="F150" s="60"/>
      <c r="G150" s="52"/>
      <c r="H150" s="52"/>
      <c r="I150" s="52"/>
      <c r="J150" s="52"/>
    </row>
    <row r="151" spans="3:10" s="2" customFormat="1">
      <c r="C151" s="3"/>
      <c r="F151" s="60"/>
      <c r="G151" s="52"/>
      <c r="H151" s="52"/>
      <c r="I151" s="52"/>
      <c r="J151" s="52"/>
    </row>
    <row r="152" spans="3:10" s="2" customFormat="1">
      <c r="C152" s="3"/>
      <c r="F152" s="60"/>
      <c r="G152" s="52"/>
      <c r="H152" s="52"/>
      <c r="I152" s="52"/>
      <c r="J152" s="52"/>
    </row>
    <row r="153" spans="3:10" s="2" customFormat="1">
      <c r="C153" s="3"/>
      <c r="F153" s="60"/>
      <c r="G153" s="52"/>
      <c r="H153" s="52"/>
      <c r="I153" s="52"/>
      <c r="J153" s="52"/>
    </row>
    <row r="154" spans="3:10" s="2" customFormat="1">
      <c r="C154" s="3"/>
      <c r="F154" s="60"/>
      <c r="G154" s="52"/>
      <c r="H154" s="52"/>
      <c r="I154" s="52"/>
      <c r="J154" s="52"/>
    </row>
    <row r="155" spans="3:10" s="2" customFormat="1">
      <c r="C155" s="3"/>
      <c r="F155" s="60"/>
      <c r="G155" s="52"/>
      <c r="H155" s="52"/>
      <c r="I155" s="52"/>
      <c r="J155" s="52"/>
    </row>
    <row r="156" spans="3:10" s="2" customFormat="1">
      <c r="C156" s="3"/>
      <c r="F156" s="60"/>
      <c r="G156" s="52"/>
      <c r="H156" s="52"/>
      <c r="I156" s="52"/>
      <c r="J156" s="52"/>
    </row>
    <row r="157" spans="3:10" s="2" customFormat="1">
      <c r="C157" s="3"/>
      <c r="F157" s="60"/>
      <c r="G157" s="52"/>
      <c r="H157" s="52"/>
      <c r="I157" s="52"/>
      <c r="J157" s="52"/>
    </row>
    <row r="158" spans="3:10" s="2" customFormat="1">
      <c r="C158" s="3"/>
      <c r="F158" s="60"/>
      <c r="G158" s="52"/>
      <c r="H158" s="52"/>
      <c r="I158" s="52"/>
      <c r="J158" s="52"/>
    </row>
    <row r="159" spans="3:10" s="2" customFormat="1">
      <c r="C159" s="3"/>
      <c r="F159" s="60"/>
      <c r="G159" s="52"/>
      <c r="H159" s="52"/>
      <c r="I159" s="52"/>
      <c r="J159" s="52"/>
    </row>
    <row r="160" spans="3:10" s="2" customFormat="1">
      <c r="C160" s="3"/>
      <c r="F160" s="60"/>
      <c r="G160" s="52"/>
      <c r="H160" s="52"/>
      <c r="I160" s="52"/>
      <c r="J160" s="52"/>
    </row>
    <row r="161" spans="3:10" s="2" customFormat="1">
      <c r="C161" s="3"/>
      <c r="F161" s="60"/>
      <c r="G161" s="52"/>
      <c r="H161" s="52"/>
      <c r="I161" s="52"/>
      <c r="J161" s="52"/>
    </row>
    <row r="162" spans="3:10" s="2" customFormat="1">
      <c r="C162" s="3"/>
      <c r="F162" s="60"/>
      <c r="G162" s="52"/>
      <c r="H162" s="52"/>
      <c r="I162" s="52"/>
      <c r="J162" s="52"/>
    </row>
    <row r="163" spans="3:10" s="2" customFormat="1">
      <c r="C163" s="3"/>
      <c r="F163" s="60"/>
      <c r="G163" s="52"/>
      <c r="H163" s="52"/>
      <c r="I163" s="52"/>
      <c r="J163" s="52"/>
    </row>
    <row r="164" spans="3:10" s="2" customFormat="1">
      <c r="C164" s="3"/>
      <c r="F164" s="60"/>
      <c r="G164" s="52"/>
      <c r="H164" s="52"/>
      <c r="I164" s="52"/>
      <c r="J164" s="52"/>
    </row>
    <row r="165" spans="3:10" s="2" customFormat="1">
      <c r="C165" s="3"/>
      <c r="F165" s="60"/>
      <c r="G165" s="52"/>
      <c r="H165" s="52"/>
      <c r="I165" s="52"/>
      <c r="J165" s="52"/>
    </row>
    <row r="166" spans="3:10" s="2" customFormat="1">
      <c r="C166" s="3"/>
      <c r="F166" s="60"/>
      <c r="G166" s="52"/>
      <c r="H166" s="52"/>
      <c r="I166" s="52"/>
      <c r="J166" s="52"/>
    </row>
    <row r="167" spans="3:10" s="2" customFormat="1">
      <c r="C167" s="3"/>
      <c r="F167" s="60"/>
      <c r="G167" s="52"/>
      <c r="H167" s="52"/>
      <c r="I167" s="52"/>
      <c r="J167" s="52"/>
    </row>
    <row r="168" spans="3:10" s="2" customFormat="1">
      <c r="C168" s="3"/>
      <c r="F168" s="60"/>
      <c r="G168" s="52"/>
      <c r="H168" s="52"/>
      <c r="I168" s="52"/>
      <c r="J168" s="52"/>
    </row>
    <row r="169" spans="3:10" s="2" customFormat="1">
      <c r="C169" s="3"/>
      <c r="F169" s="60"/>
      <c r="G169" s="52"/>
      <c r="H169" s="52"/>
      <c r="I169" s="52"/>
      <c r="J169" s="52"/>
    </row>
    <row r="170" spans="3:10" s="2" customFormat="1">
      <c r="C170" s="3"/>
      <c r="F170" s="60"/>
      <c r="G170" s="52"/>
      <c r="H170" s="52"/>
      <c r="I170" s="52"/>
      <c r="J170" s="52"/>
    </row>
    <row r="171" spans="3:10" s="2" customFormat="1">
      <c r="C171" s="3"/>
      <c r="F171" s="60"/>
      <c r="G171" s="52"/>
      <c r="H171" s="52"/>
      <c r="I171" s="52"/>
      <c r="J171" s="52"/>
    </row>
    <row r="172" spans="3:10" s="2" customFormat="1">
      <c r="C172" s="3"/>
      <c r="F172" s="60"/>
      <c r="G172" s="52"/>
      <c r="H172" s="52"/>
      <c r="I172" s="52"/>
      <c r="J172" s="52"/>
    </row>
    <row r="173" spans="3:10" s="2" customFormat="1">
      <c r="C173" s="3"/>
      <c r="F173" s="60"/>
      <c r="G173" s="52"/>
      <c r="H173" s="52"/>
      <c r="I173" s="52"/>
      <c r="J173" s="52"/>
    </row>
    <row r="174" spans="3:10" s="2" customFormat="1">
      <c r="C174" s="3"/>
      <c r="F174" s="60"/>
      <c r="G174" s="52"/>
      <c r="H174" s="52"/>
      <c r="I174" s="52"/>
      <c r="J174" s="52"/>
    </row>
    <row r="175" spans="3:10" s="2" customFormat="1">
      <c r="C175" s="3"/>
      <c r="F175" s="60"/>
      <c r="G175" s="52"/>
      <c r="H175" s="52"/>
      <c r="I175" s="52"/>
      <c r="J175" s="52"/>
    </row>
    <row r="176" spans="3:10" s="2" customFormat="1">
      <c r="C176" s="3"/>
      <c r="F176" s="60"/>
      <c r="G176" s="52"/>
      <c r="H176" s="52"/>
      <c r="I176" s="52"/>
      <c r="J176" s="52"/>
    </row>
    <row r="177" spans="3:10" s="2" customFormat="1">
      <c r="C177" s="3"/>
      <c r="F177" s="60"/>
      <c r="G177" s="52"/>
      <c r="H177" s="52"/>
      <c r="I177" s="52"/>
      <c r="J177" s="52"/>
    </row>
    <row r="178" spans="3:10" s="2" customFormat="1">
      <c r="C178" s="3"/>
      <c r="F178" s="60"/>
      <c r="G178" s="52"/>
      <c r="H178" s="52"/>
      <c r="I178" s="52"/>
      <c r="J178" s="52"/>
    </row>
    <row r="179" spans="3:10" s="2" customFormat="1">
      <c r="C179" s="3"/>
      <c r="F179" s="60"/>
      <c r="G179" s="52"/>
      <c r="H179" s="52"/>
      <c r="I179" s="52"/>
      <c r="J179" s="52"/>
    </row>
  </sheetData>
  <mergeCells count="23">
    <mergeCell ref="A2:J2"/>
    <mergeCell ref="C14:C16"/>
    <mergeCell ref="D14:D16"/>
    <mergeCell ref="F14:F16"/>
    <mergeCell ref="F4:F5"/>
    <mergeCell ref="C4:C5"/>
    <mergeCell ref="B4:B7"/>
    <mergeCell ref="A9:A13"/>
    <mergeCell ref="D4:D5"/>
    <mergeCell ref="A14:A21"/>
    <mergeCell ref="B14:B17"/>
    <mergeCell ref="B18:B19"/>
    <mergeCell ref="B21:C21"/>
    <mergeCell ref="A22:C22"/>
    <mergeCell ref="A4:A8"/>
    <mergeCell ref="B8:C8"/>
    <mergeCell ref="B13:C13"/>
    <mergeCell ref="F9:F12"/>
    <mergeCell ref="B9:B12"/>
    <mergeCell ref="C9:C12"/>
    <mergeCell ref="D9:D12"/>
    <mergeCell ref="F19:F20"/>
    <mergeCell ref="C19:C20"/>
  </mergeCells>
  <conditionalFormatting sqref="I4">
    <cfRule type="cellIs" dxfId="3" priority="1" operator="equal">
      <formula>$I$4=$G$4</formula>
    </cfRule>
  </conditionalFormatting>
  <conditionalFormatting sqref="J8">
    <cfRule type="cellIs" dxfId="2" priority="4" operator="equal">
      <formula>$F$8</formula>
    </cfRule>
  </conditionalFormatting>
  <conditionalFormatting sqref="J13">
    <cfRule type="cellIs" dxfId="1" priority="3" operator="equal">
      <formula>$F$13</formula>
    </cfRule>
  </conditionalFormatting>
  <conditionalFormatting sqref="J21">
    <cfRule type="cellIs" dxfId="0" priority="2" operator="equal">
      <formula>$F$21</formula>
    </cfRule>
  </conditionalFormatting>
  <pageMargins left="0.70866141732283472" right="0.70866141732283472" top="0.74803149606299213" bottom="0.74803149606299213" header="0.31496062992125984" footer="0.31496062992125984"/>
  <pageSetup scale="19"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1"/>
    <pageSetUpPr fitToPage="1"/>
  </sheetPr>
  <dimension ref="A1:Q177"/>
  <sheetViews>
    <sheetView zoomScale="90" zoomScaleNormal="90" workbookViewId="0">
      <selection activeCell="F1" sqref="F1:G1048576"/>
    </sheetView>
  </sheetViews>
  <sheetFormatPr baseColWidth="10" defaultColWidth="11.42578125" defaultRowHeight="15"/>
  <cols>
    <col min="1" max="1" width="19.85546875" customWidth="1"/>
    <col min="2" max="2" width="12.85546875" customWidth="1"/>
    <col min="3" max="3" width="7.7109375" style="53" customWidth="1"/>
    <col min="4" max="4" width="35" style="1" customWidth="1"/>
    <col min="5" max="5" width="19.85546875" customWidth="1"/>
    <col min="6" max="6" width="18.28515625" style="2" hidden="1" customWidth="1"/>
    <col min="7" max="7" width="9.42578125" style="2" hidden="1" customWidth="1"/>
    <col min="8" max="17" width="11.42578125" style="2"/>
  </cols>
  <sheetData>
    <row r="1" spans="1:7">
      <c r="A1" s="2"/>
      <c r="B1" s="2"/>
      <c r="C1" s="52"/>
      <c r="D1" s="3"/>
      <c r="E1" s="2"/>
    </row>
    <row r="2" spans="1:7">
      <c r="A2" s="2"/>
      <c r="B2" s="2"/>
      <c r="C2" s="52"/>
      <c r="D2" s="3"/>
      <c r="E2" s="2"/>
    </row>
    <row r="3" spans="1:7">
      <c r="A3" s="2"/>
      <c r="B3" s="2"/>
      <c r="C3" s="52"/>
      <c r="D3" s="3"/>
      <c r="E3" s="2"/>
    </row>
    <row r="4" spans="1:7" ht="15.75" thickBot="1">
      <c r="A4" s="2"/>
      <c r="B4" s="2"/>
      <c r="C4" s="52"/>
      <c r="D4" s="3"/>
      <c r="E4" s="2"/>
    </row>
    <row r="5" spans="1:7" ht="15.75" thickBot="1">
      <c r="A5" s="225">
        <v>2022</v>
      </c>
      <c r="B5" s="226"/>
      <c r="C5" s="226"/>
      <c r="D5" s="226"/>
      <c r="E5" s="226"/>
      <c r="F5" s="226"/>
      <c r="G5" s="227"/>
    </row>
    <row r="6" spans="1:7" ht="25.5" customHeight="1" thickBot="1">
      <c r="A6" s="57" t="s">
        <v>0</v>
      </c>
      <c r="B6" s="57" t="s">
        <v>1</v>
      </c>
      <c r="C6" s="57" t="s">
        <v>114</v>
      </c>
      <c r="D6" s="57" t="s">
        <v>2</v>
      </c>
      <c r="E6" s="55" t="s">
        <v>115</v>
      </c>
      <c r="F6" s="55" t="s">
        <v>47</v>
      </c>
      <c r="G6" s="55" t="s">
        <v>46</v>
      </c>
    </row>
    <row r="7" spans="1:7" s="2" customFormat="1">
      <c r="A7" s="228" t="s">
        <v>7</v>
      </c>
      <c r="B7" s="230" t="s">
        <v>8</v>
      </c>
      <c r="C7" s="47" t="s">
        <v>10</v>
      </c>
      <c r="D7" s="8" t="s">
        <v>14</v>
      </c>
      <c r="E7" s="10">
        <v>596700000</v>
      </c>
      <c r="F7" s="10"/>
      <c r="G7" s="48">
        <f t="shared" ref="G7:G20" si="0">F7/E7</f>
        <v>0</v>
      </c>
    </row>
    <row r="8" spans="1:7">
      <c r="A8" s="229"/>
      <c r="B8" s="202"/>
      <c r="C8" s="47" t="s">
        <v>12</v>
      </c>
      <c r="D8" s="8" t="s">
        <v>38</v>
      </c>
      <c r="E8" s="10">
        <v>4490720000</v>
      </c>
      <c r="F8" s="10"/>
      <c r="G8" s="48">
        <f t="shared" si="0"/>
        <v>0</v>
      </c>
    </row>
    <row r="9" spans="1:7" s="2" customFormat="1">
      <c r="A9" s="229"/>
      <c r="B9" s="202"/>
      <c r="C9" s="47" t="s">
        <v>13</v>
      </c>
      <c r="D9" s="8" t="s">
        <v>11</v>
      </c>
      <c r="E9" s="10">
        <v>7490625000</v>
      </c>
      <c r="F9" s="10"/>
      <c r="G9" s="48">
        <f t="shared" si="0"/>
        <v>0</v>
      </c>
    </row>
    <row r="10" spans="1:7" s="2" customFormat="1">
      <c r="A10" s="229"/>
      <c r="B10" s="224" t="s">
        <v>16</v>
      </c>
      <c r="C10" s="231"/>
      <c r="D10" s="231"/>
      <c r="E10" s="13">
        <f>SUM(E7:E9)</f>
        <v>12578045000</v>
      </c>
      <c r="F10" s="13">
        <f>SUM(F7:F9)</f>
        <v>0</v>
      </c>
      <c r="G10" s="49">
        <f t="shared" si="0"/>
        <v>0</v>
      </c>
    </row>
    <row r="11" spans="1:7" s="2" customFormat="1" ht="20.25" customHeight="1">
      <c r="A11" s="229" t="s">
        <v>17</v>
      </c>
      <c r="B11" s="14" t="s">
        <v>18</v>
      </c>
      <c r="C11" s="47" t="s">
        <v>19</v>
      </c>
      <c r="D11" s="15" t="s">
        <v>18</v>
      </c>
      <c r="E11" s="16">
        <v>54400000000</v>
      </c>
      <c r="F11" s="16">
        <v>0</v>
      </c>
      <c r="G11" s="48">
        <f t="shared" si="0"/>
        <v>0</v>
      </c>
    </row>
    <row r="12" spans="1:7" s="2" customFormat="1">
      <c r="A12" s="229"/>
      <c r="B12" s="14" t="s">
        <v>36</v>
      </c>
      <c r="C12" s="47" t="s">
        <v>40</v>
      </c>
      <c r="D12" s="15" t="s">
        <v>36</v>
      </c>
      <c r="E12" s="16">
        <v>1200000000</v>
      </c>
      <c r="F12" s="16">
        <v>0</v>
      </c>
      <c r="G12" s="48">
        <f t="shared" si="0"/>
        <v>0</v>
      </c>
    </row>
    <row r="13" spans="1:7" s="2" customFormat="1">
      <c r="A13" s="229"/>
      <c r="B13" s="224" t="s">
        <v>16</v>
      </c>
      <c r="C13" s="231"/>
      <c r="D13" s="231"/>
      <c r="E13" s="13">
        <f>SUM(E11:E12)</f>
        <v>55600000000</v>
      </c>
      <c r="F13" s="13">
        <f>SUM(F11:F11)</f>
        <v>0</v>
      </c>
      <c r="G13" s="49">
        <f t="shared" si="0"/>
        <v>0</v>
      </c>
    </row>
    <row r="14" spans="1:7" s="2" customFormat="1" ht="15" customHeight="1">
      <c r="A14" s="229" t="s">
        <v>21</v>
      </c>
      <c r="B14" s="221" t="s">
        <v>8</v>
      </c>
      <c r="C14" s="50" t="s">
        <v>23</v>
      </c>
      <c r="D14" s="15" t="s">
        <v>22</v>
      </c>
      <c r="E14" s="16">
        <v>5000000000</v>
      </c>
      <c r="F14" s="16"/>
      <c r="G14" s="48">
        <f t="shared" si="0"/>
        <v>0</v>
      </c>
    </row>
    <row r="15" spans="1:7" s="2" customFormat="1" ht="15" customHeight="1">
      <c r="A15" s="229"/>
      <c r="B15" s="221"/>
      <c r="C15" s="50" t="s">
        <v>41</v>
      </c>
      <c r="D15" s="15" t="s">
        <v>39</v>
      </c>
      <c r="E15" s="16">
        <v>300000000</v>
      </c>
      <c r="F15" s="16"/>
      <c r="G15" s="48">
        <f t="shared" si="0"/>
        <v>0</v>
      </c>
    </row>
    <row r="16" spans="1:7" s="2" customFormat="1">
      <c r="A16" s="229"/>
      <c r="B16" s="221"/>
      <c r="C16" s="50" t="s">
        <v>42</v>
      </c>
      <c r="D16" s="17" t="s">
        <v>25</v>
      </c>
      <c r="E16" s="16">
        <v>321119187</v>
      </c>
      <c r="F16" s="16"/>
      <c r="G16" s="48">
        <f t="shared" si="0"/>
        <v>0</v>
      </c>
    </row>
    <row r="17" spans="1:7" s="2" customFormat="1">
      <c r="A17" s="229"/>
      <c r="B17" s="232" t="s">
        <v>28</v>
      </c>
      <c r="C17" s="51" t="s">
        <v>43</v>
      </c>
      <c r="D17" s="17" t="s">
        <v>29</v>
      </c>
      <c r="E17" s="16">
        <v>700835813</v>
      </c>
      <c r="F17" s="16"/>
      <c r="G17" s="48">
        <f t="shared" si="0"/>
        <v>0</v>
      </c>
    </row>
    <row r="18" spans="1:7" s="2" customFormat="1">
      <c r="A18" s="229"/>
      <c r="B18" s="233"/>
      <c r="C18" s="50" t="s">
        <v>44</v>
      </c>
      <c r="D18" s="22" t="s">
        <v>31</v>
      </c>
      <c r="E18" s="16">
        <v>500000000</v>
      </c>
      <c r="F18" s="16"/>
      <c r="G18" s="48">
        <f t="shared" si="0"/>
        <v>0</v>
      </c>
    </row>
    <row r="19" spans="1:7" s="2" customFormat="1" ht="15.75" thickBot="1">
      <c r="A19" s="229"/>
      <c r="B19" s="224" t="s">
        <v>16</v>
      </c>
      <c r="C19" s="224"/>
      <c r="D19" s="224"/>
      <c r="E19" s="13">
        <f>SUM(E14:E18)</f>
        <v>6821955000</v>
      </c>
      <c r="F19" s="13">
        <f>SUM(F14:F18)</f>
        <v>0</v>
      </c>
      <c r="G19" s="49">
        <f t="shared" si="0"/>
        <v>0</v>
      </c>
    </row>
    <row r="20" spans="1:7" s="2" customFormat="1" ht="16.5" thickTop="1" thickBot="1">
      <c r="A20" s="234" t="s">
        <v>32</v>
      </c>
      <c r="B20" s="235"/>
      <c r="C20" s="235"/>
      <c r="D20" s="235"/>
      <c r="E20" s="20">
        <f>E19+E13+E10</f>
        <v>75000000000</v>
      </c>
      <c r="F20" s="39">
        <f>F10+F13+F19</f>
        <v>0</v>
      </c>
      <c r="G20" s="54">
        <f t="shared" si="0"/>
        <v>0</v>
      </c>
    </row>
    <row r="21" spans="1:7" s="2" customFormat="1">
      <c r="C21" s="52"/>
      <c r="D21" s="3"/>
      <c r="E21" s="6"/>
      <c r="F21" s="26"/>
    </row>
    <row r="22" spans="1:7" s="2" customFormat="1" hidden="1">
      <c r="C22" s="52"/>
      <c r="D22" s="3"/>
      <c r="E22" s="26"/>
    </row>
    <row r="23" spans="1:7" s="2" customFormat="1" hidden="1">
      <c r="C23" s="52"/>
      <c r="D23" s="3"/>
      <c r="E23" s="26">
        <f>E20/1.0048</f>
        <v>74641719745.222931</v>
      </c>
    </row>
    <row r="24" spans="1:7" s="2" customFormat="1" hidden="1">
      <c r="C24" s="52"/>
      <c r="D24" s="3"/>
      <c r="E24" s="26">
        <f>E23*0.48%</f>
        <v>358280254.77707005</v>
      </c>
    </row>
    <row r="25" spans="1:7" s="2" customFormat="1" hidden="1">
      <c r="C25" s="52"/>
      <c r="D25" s="3"/>
      <c r="E25" s="26">
        <f>E23+E24</f>
        <v>75000000000</v>
      </c>
    </row>
    <row r="26" spans="1:7" s="2" customFormat="1" hidden="1">
      <c r="C26" s="52"/>
      <c r="D26" s="3"/>
      <c r="E26" s="26"/>
    </row>
    <row r="27" spans="1:7" s="2" customFormat="1" hidden="1">
      <c r="C27" s="52"/>
      <c r="D27" s="3"/>
      <c r="E27" s="26"/>
    </row>
    <row r="28" spans="1:7" s="2" customFormat="1" hidden="1">
      <c r="C28" s="52"/>
      <c r="D28" s="3"/>
      <c r="E28" s="26"/>
    </row>
    <row r="29" spans="1:7" s="2" customFormat="1" hidden="1">
      <c r="C29" s="52"/>
      <c r="D29" s="3"/>
    </row>
    <row r="30" spans="1:7" s="2" customFormat="1" hidden="1">
      <c r="C30" s="52"/>
      <c r="D30" s="3"/>
    </row>
    <row r="31" spans="1:7" s="2" customFormat="1" hidden="1">
      <c r="C31" s="52"/>
      <c r="D31" s="3"/>
    </row>
    <row r="32" spans="1:7" s="2" customFormat="1" hidden="1">
      <c r="C32" s="52"/>
      <c r="D32" s="3"/>
    </row>
    <row r="33" spans="3:4" s="2" customFormat="1" hidden="1">
      <c r="C33" s="52"/>
      <c r="D33" s="3"/>
    </row>
    <row r="34" spans="3:4" s="2" customFormat="1" hidden="1">
      <c r="C34" s="52"/>
      <c r="D34" s="3"/>
    </row>
    <row r="35" spans="3:4" s="2" customFormat="1" hidden="1">
      <c r="C35" s="52"/>
      <c r="D35" s="3"/>
    </row>
    <row r="36" spans="3:4" s="2" customFormat="1" hidden="1">
      <c r="C36" s="52"/>
      <c r="D36" s="3"/>
    </row>
    <row r="37" spans="3:4" s="2" customFormat="1" hidden="1">
      <c r="C37" s="52"/>
      <c r="D37" s="3"/>
    </row>
    <row r="38" spans="3:4" s="2" customFormat="1" hidden="1">
      <c r="C38" s="52"/>
      <c r="D38" s="3"/>
    </row>
    <row r="39" spans="3:4" s="2" customFormat="1" hidden="1">
      <c r="C39" s="52"/>
      <c r="D39" s="3"/>
    </row>
    <row r="40" spans="3:4" s="2" customFormat="1" hidden="1">
      <c r="C40" s="52"/>
      <c r="D40" s="3"/>
    </row>
    <row r="41" spans="3:4" s="2" customFormat="1" hidden="1">
      <c r="C41" s="52"/>
      <c r="D41" s="3"/>
    </row>
    <row r="42" spans="3:4" s="2" customFormat="1" hidden="1">
      <c r="C42" s="52"/>
      <c r="D42" s="3"/>
    </row>
    <row r="43" spans="3:4" s="2" customFormat="1" hidden="1">
      <c r="C43" s="52"/>
      <c r="D43" s="3"/>
    </row>
    <row r="44" spans="3:4" s="2" customFormat="1" hidden="1">
      <c r="C44" s="52"/>
      <c r="D44" s="3"/>
    </row>
    <row r="45" spans="3:4" s="2" customFormat="1" hidden="1">
      <c r="C45" s="52"/>
      <c r="D45" s="3"/>
    </row>
    <row r="46" spans="3:4" s="2" customFormat="1" hidden="1">
      <c r="C46" s="52"/>
      <c r="D46" s="3"/>
    </row>
    <row r="47" spans="3:4" s="2" customFormat="1" hidden="1">
      <c r="C47" s="52"/>
      <c r="D47" s="3"/>
    </row>
    <row r="48" spans="3:4" s="2" customFormat="1" hidden="1">
      <c r="C48" s="52"/>
      <c r="D48" s="3"/>
    </row>
    <row r="49" spans="3:4" s="2" customFormat="1" hidden="1">
      <c r="C49" s="52"/>
      <c r="D49" s="3"/>
    </row>
    <row r="50" spans="3:4" s="2" customFormat="1" hidden="1">
      <c r="C50" s="52"/>
      <c r="D50" s="3"/>
    </row>
    <row r="51" spans="3:4" s="2" customFormat="1" hidden="1">
      <c r="C51" s="52"/>
      <c r="D51" s="3"/>
    </row>
    <row r="52" spans="3:4" s="2" customFormat="1" hidden="1">
      <c r="C52" s="52"/>
      <c r="D52" s="3"/>
    </row>
    <row r="53" spans="3:4" s="2" customFormat="1" hidden="1">
      <c r="C53" s="52"/>
      <c r="D53" s="3"/>
    </row>
    <row r="54" spans="3:4" s="2" customFormat="1" hidden="1">
      <c r="C54" s="52"/>
      <c r="D54" s="3"/>
    </row>
    <row r="55" spans="3:4" s="2" customFormat="1" hidden="1">
      <c r="C55" s="52"/>
      <c r="D55" s="3"/>
    </row>
    <row r="56" spans="3:4" s="2" customFormat="1" hidden="1">
      <c r="C56" s="52"/>
      <c r="D56" s="3"/>
    </row>
    <row r="57" spans="3:4" s="2" customFormat="1" hidden="1">
      <c r="C57" s="52"/>
      <c r="D57" s="3"/>
    </row>
    <row r="58" spans="3:4" s="2" customFormat="1" hidden="1">
      <c r="C58" s="52"/>
      <c r="D58" s="3"/>
    </row>
    <row r="59" spans="3:4" s="2" customFormat="1" hidden="1">
      <c r="C59" s="52"/>
      <c r="D59" s="3"/>
    </row>
    <row r="60" spans="3:4" s="2" customFormat="1" hidden="1">
      <c r="C60" s="52"/>
      <c r="D60" s="3"/>
    </row>
    <row r="61" spans="3:4" s="2" customFormat="1" hidden="1">
      <c r="C61" s="52"/>
      <c r="D61" s="3"/>
    </row>
    <row r="62" spans="3:4" s="2" customFormat="1" hidden="1">
      <c r="C62" s="52"/>
      <c r="D62" s="3"/>
    </row>
    <row r="63" spans="3:4" s="2" customFormat="1" hidden="1">
      <c r="C63" s="52"/>
      <c r="D63" s="3"/>
    </row>
    <row r="64" spans="3:4" s="2" customFormat="1" hidden="1">
      <c r="C64" s="52"/>
      <c r="D64" s="3"/>
    </row>
    <row r="65" spans="3:6" s="2" customFormat="1" hidden="1">
      <c r="C65" s="52"/>
      <c r="D65" s="3"/>
    </row>
    <row r="66" spans="3:6" s="2" customFormat="1" hidden="1">
      <c r="C66" s="52"/>
      <c r="D66" s="3"/>
    </row>
    <row r="67" spans="3:6" s="2" customFormat="1" hidden="1">
      <c r="C67" s="52"/>
      <c r="D67" s="3"/>
    </row>
    <row r="68" spans="3:6" s="2" customFormat="1" hidden="1">
      <c r="C68" s="52"/>
      <c r="D68" s="3"/>
    </row>
    <row r="69" spans="3:6" s="2" customFormat="1" hidden="1">
      <c r="C69" s="52"/>
      <c r="D69" s="3"/>
    </row>
    <row r="70" spans="3:6" s="2" customFormat="1" hidden="1">
      <c r="C70" s="52"/>
      <c r="D70" s="3"/>
    </row>
    <row r="71" spans="3:6" s="2" customFormat="1">
      <c r="C71" s="52"/>
      <c r="D71" s="3"/>
      <c r="E71" s="26"/>
      <c r="F71" s="38"/>
    </row>
    <row r="72" spans="3:6" s="2" customFormat="1">
      <c r="C72" s="52"/>
      <c r="D72" s="3"/>
    </row>
    <row r="73" spans="3:6" s="2" customFormat="1">
      <c r="C73" s="52"/>
      <c r="D73" s="3"/>
    </row>
    <row r="74" spans="3:6" s="2" customFormat="1">
      <c r="C74" s="52"/>
      <c r="D74" s="3"/>
    </row>
    <row r="75" spans="3:6" s="2" customFormat="1">
      <c r="C75" s="52"/>
      <c r="D75" s="3"/>
    </row>
    <row r="76" spans="3:6" s="2" customFormat="1">
      <c r="C76" s="52"/>
      <c r="D76" s="3"/>
    </row>
    <row r="77" spans="3:6" s="2" customFormat="1">
      <c r="C77" s="52"/>
      <c r="D77" s="3"/>
    </row>
    <row r="78" spans="3:6" s="2" customFormat="1">
      <c r="C78" s="52"/>
      <c r="D78" s="3"/>
    </row>
    <row r="79" spans="3:6" s="2" customFormat="1">
      <c r="C79" s="52"/>
      <c r="D79" s="3"/>
    </row>
    <row r="80" spans="3:6" s="2" customFormat="1">
      <c r="C80" s="52"/>
      <c r="D80" s="3"/>
    </row>
    <row r="81" spans="3:4" s="2" customFormat="1">
      <c r="C81" s="52"/>
      <c r="D81" s="3"/>
    </row>
    <row r="82" spans="3:4" s="2" customFormat="1">
      <c r="C82" s="52"/>
      <c r="D82" s="3"/>
    </row>
    <row r="83" spans="3:4" s="2" customFormat="1">
      <c r="C83" s="52"/>
      <c r="D83" s="3"/>
    </row>
    <row r="84" spans="3:4" s="2" customFormat="1">
      <c r="C84" s="52"/>
      <c r="D84" s="3"/>
    </row>
    <row r="85" spans="3:4" s="2" customFormat="1">
      <c r="C85" s="52"/>
      <c r="D85" s="3"/>
    </row>
    <row r="86" spans="3:4" s="2" customFormat="1">
      <c r="C86" s="52"/>
      <c r="D86" s="3"/>
    </row>
    <row r="87" spans="3:4" s="2" customFormat="1">
      <c r="C87" s="52"/>
      <c r="D87" s="3"/>
    </row>
    <row r="88" spans="3:4" s="2" customFormat="1">
      <c r="C88" s="52"/>
      <c r="D88" s="3"/>
    </row>
    <row r="89" spans="3:4" s="2" customFormat="1">
      <c r="C89" s="52"/>
      <c r="D89" s="3"/>
    </row>
    <row r="90" spans="3:4" s="2" customFormat="1">
      <c r="C90" s="52"/>
      <c r="D90" s="3"/>
    </row>
    <row r="91" spans="3:4" s="2" customFormat="1">
      <c r="C91" s="52"/>
      <c r="D91" s="3"/>
    </row>
    <row r="92" spans="3:4" s="2" customFormat="1">
      <c r="C92" s="52"/>
      <c r="D92" s="3"/>
    </row>
    <row r="93" spans="3:4" s="2" customFormat="1">
      <c r="C93" s="52"/>
      <c r="D93" s="3"/>
    </row>
    <row r="94" spans="3:4" s="2" customFormat="1">
      <c r="C94" s="52"/>
      <c r="D94" s="3"/>
    </row>
    <row r="95" spans="3:4" s="2" customFormat="1">
      <c r="C95" s="52"/>
      <c r="D95" s="3"/>
    </row>
    <row r="96" spans="3:4" s="2" customFormat="1">
      <c r="C96" s="52"/>
      <c r="D96" s="3"/>
    </row>
    <row r="97" spans="3:4" s="2" customFormat="1">
      <c r="C97" s="52"/>
      <c r="D97" s="3"/>
    </row>
    <row r="98" spans="3:4" s="2" customFormat="1">
      <c r="C98" s="52"/>
      <c r="D98" s="3"/>
    </row>
    <row r="99" spans="3:4" s="2" customFormat="1">
      <c r="C99" s="52"/>
      <c r="D99" s="3"/>
    </row>
    <row r="100" spans="3:4" s="2" customFormat="1">
      <c r="C100" s="52"/>
      <c r="D100" s="3"/>
    </row>
    <row r="101" spans="3:4" s="2" customFormat="1">
      <c r="C101" s="52"/>
      <c r="D101" s="3"/>
    </row>
    <row r="102" spans="3:4" s="2" customFormat="1">
      <c r="C102" s="52"/>
      <c r="D102" s="3"/>
    </row>
    <row r="103" spans="3:4" s="2" customFormat="1">
      <c r="C103" s="52"/>
      <c r="D103" s="3"/>
    </row>
    <row r="104" spans="3:4" s="2" customFormat="1">
      <c r="C104" s="52"/>
      <c r="D104" s="3"/>
    </row>
    <row r="105" spans="3:4" s="2" customFormat="1">
      <c r="C105" s="52"/>
      <c r="D105" s="3"/>
    </row>
    <row r="106" spans="3:4" s="2" customFormat="1">
      <c r="C106" s="52"/>
      <c r="D106" s="3"/>
    </row>
    <row r="107" spans="3:4" s="2" customFormat="1">
      <c r="C107" s="52"/>
      <c r="D107" s="3"/>
    </row>
    <row r="108" spans="3:4" s="2" customFormat="1">
      <c r="C108" s="52"/>
      <c r="D108" s="3"/>
    </row>
    <row r="109" spans="3:4" s="2" customFormat="1">
      <c r="C109" s="52"/>
      <c r="D109" s="3"/>
    </row>
    <row r="110" spans="3:4" s="2" customFormat="1">
      <c r="C110" s="52"/>
      <c r="D110" s="3"/>
    </row>
    <row r="111" spans="3:4" s="2" customFormat="1">
      <c r="C111" s="52"/>
      <c r="D111" s="3"/>
    </row>
    <row r="112" spans="3:4" s="2" customFormat="1">
      <c r="C112" s="52"/>
      <c r="D112" s="3"/>
    </row>
    <row r="113" spans="3:4" s="2" customFormat="1">
      <c r="C113" s="52"/>
      <c r="D113" s="3"/>
    </row>
    <row r="114" spans="3:4" s="2" customFormat="1">
      <c r="C114" s="52"/>
      <c r="D114" s="3"/>
    </row>
    <row r="115" spans="3:4" s="2" customFormat="1">
      <c r="C115" s="52"/>
      <c r="D115" s="3"/>
    </row>
    <row r="116" spans="3:4" s="2" customFormat="1">
      <c r="C116" s="52"/>
      <c r="D116" s="3"/>
    </row>
    <row r="117" spans="3:4" s="2" customFormat="1">
      <c r="C117" s="52"/>
      <c r="D117" s="3"/>
    </row>
    <row r="118" spans="3:4" s="2" customFormat="1">
      <c r="C118" s="52"/>
      <c r="D118" s="3"/>
    </row>
    <row r="119" spans="3:4" s="2" customFormat="1">
      <c r="C119" s="52"/>
      <c r="D119" s="3"/>
    </row>
    <row r="120" spans="3:4" s="2" customFormat="1">
      <c r="C120" s="52"/>
      <c r="D120" s="3"/>
    </row>
    <row r="121" spans="3:4" s="2" customFormat="1">
      <c r="C121" s="52"/>
      <c r="D121" s="3"/>
    </row>
    <row r="122" spans="3:4" s="2" customFormat="1">
      <c r="C122" s="52"/>
      <c r="D122" s="3"/>
    </row>
    <row r="123" spans="3:4" s="2" customFormat="1">
      <c r="C123" s="52"/>
      <c r="D123" s="3"/>
    </row>
    <row r="124" spans="3:4" s="2" customFormat="1">
      <c r="C124" s="52"/>
      <c r="D124" s="3"/>
    </row>
    <row r="125" spans="3:4" s="2" customFormat="1">
      <c r="C125" s="52"/>
      <c r="D125" s="3"/>
    </row>
    <row r="126" spans="3:4" s="2" customFormat="1">
      <c r="C126" s="52"/>
      <c r="D126" s="3"/>
    </row>
    <row r="127" spans="3:4" s="2" customFormat="1">
      <c r="C127" s="52"/>
      <c r="D127" s="3"/>
    </row>
    <row r="128" spans="3:4" s="2" customFormat="1">
      <c r="C128" s="52"/>
      <c r="D128" s="3"/>
    </row>
    <row r="129" spans="3:4" s="2" customFormat="1">
      <c r="C129" s="52"/>
      <c r="D129" s="3"/>
    </row>
    <row r="130" spans="3:4" s="2" customFormat="1">
      <c r="C130" s="52"/>
      <c r="D130" s="3"/>
    </row>
    <row r="131" spans="3:4" s="2" customFormat="1">
      <c r="C131" s="52"/>
      <c r="D131" s="3"/>
    </row>
    <row r="132" spans="3:4" s="2" customFormat="1">
      <c r="C132" s="52"/>
      <c r="D132" s="3"/>
    </row>
    <row r="133" spans="3:4" s="2" customFormat="1">
      <c r="C133" s="52"/>
      <c r="D133" s="3"/>
    </row>
    <row r="134" spans="3:4" s="2" customFormat="1">
      <c r="C134" s="52"/>
      <c r="D134" s="3"/>
    </row>
    <row r="135" spans="3:4" s="2" customFormat="1">
      <c r="C135" s="52"/>
      <c r="D135" s="3"/>
    </row>
    <row r="136" spans="3:4" s="2" customFormat="1">
      <c r="C136" s="52"/>
      <c r="D136" s="3"/>
    </row>
    <row r="137" spans="3:4" s="2" customFormat="1">
      <c r="C137" s="52"/>
      <c r="D137" s="3"/>
    </row>
    <row r="138" spans="3:4" s="2" customFormat="1">
      <c r="C138" s="52"/>
      <c r="D138" s="3"/>
    </row>
    <row r="139" spans="3:4" s="2" customFormat="1">
      <c r="C139" s="52"/>
      <c r="D139" s="3"/>
    </row>
    <row r="140" spans="3:4" s="2" customFormat="1">
      <c r="C140" s="52"/>
      <c r="D140" s="3"/>
    </row>
    <row r="141" spans="3:4" s="2" customFormat="1">
      <c r="C141" s="52"/>
      <c r="D141" s="3"/>
    </row>
    <row r="142" spans="3:4" s="2" customFormat="1">
      <c r="C142" s="52"/>
      <c r="D142" s="3"/>
    </row>
    <row r="143" spans="3:4" s="2" customFormat="1">
      <c r="C143" s="52"/>
      <c r="D143" s="3"/>
    </row>
    <row r="144" spans="3:4" s="2" customFormat="1">
      <c r="C144" s="52"/>
      <c r="D144" s="3"/>
    </row>
    <row r="145" spans="3:4" s="2" customFormat="1">
      <c r="C145" s="52"/>
      <c r="D145" s="3"/>
    </row>
    <row r="146" spans="3:4" s="2" customFormat="1">
      <c r="C146" s="52"/>
      <c r="D146" s="3"/>
    </row>
    <row r="147" spans="3:4" s="2" customFormat="1">
      <c r="C147" s="52"/>
      <c r="D147" s="3"/>
    </row>
    <row r="148" spans="3:4" s="2" customFormat="1">
      <c r="C148" s="52"/>
      <c r="D148" s="3"/>
    </row>
    <row r="149" spans="3:4" s="2" customFormat="1">
      <c r="C149" s="52"/>
      <c r="D149" s="3"/>
    </row>
    <row r="150" spans="3:4" s="2" customFormat="1">
      <c r="C150" s="52"/>
      <c r="D150" s="3"/>
    </row>
    <row r="151" spans="3:4" s="2" customFormat="1">
      <c r="C151" s="52"/>
      <c r="D151" s="3"/>
    </row>
    <row r="152" spans="3:4" s="2" customFormat="1">
      <c r="C152" s="52"/>
      <c r="D152" s="3"/>
    </row>
    <row r="153" spans="3:4" s="2" customFormat="1">
      <c r="C153" s="52"/>
      <c r="D153" s="3"/>
    </row>
    <row r="154" spans="3:4" s="2" customFormat="1">
      <c r="C154" s="52"/>
      <c r="D154" s="3"/>
    </row>
    <row r="155" spans="3:4" s="2" customFormat="1">
      <c r="C155" s="52"/>
      <c r="D155" s="3"/>
    </row>
    <row r="156" spans="3:4" s="2" customFormat="1">
      <c r="C156" s="52"/>
      <c r="D156" s="3"/>
    </row>
    <row r="157" spans="3:4" s="2" customFormat="1">
      <c r="C157" s="52"/>
      <c r="D157" s="3"/>
    </row>
    <row r="158" spans="3:4" s="2" customFormat="1">
      <c r="C158" s="52"/>
      <c r="D158" s="3"/>
    </row>
    <row r="159" spans="3:4" s="2" customFormat="1">
      <c r="C159" s="52"/>
      <c r="D159" s="3"/>
    </row>
    <row r="160" spans="3:4" s="2" customFormat="1">
      <c r="C160" s="52"/>
      <c r="D160" s="3"/>
    </row>
    <row r="161" spans="3:4" s="2" customFormat="1">
      <c r="C161" s="52"/>
      <c r="D161" s="3"/>
    </row>
    <row r="162" spans="3:4" s="2" customFormat="1">
      <c r="C162" s="52"/>
      <c r="D162" s="3"/>
    </row>
    <row r="163" spans="3:4" s="2" customFormat="1">
      <c r="C163" s="52"/>
      <c r="D163" s="3"/>
    </row>
    <row r="164" spans="3:4" s="2" customFormat="1">
      <c r="C164" s="52"/>
      <c r="D164" s="3"/>
    </row>
    <row r="165" spans="3:4" s="2" customFormat="1">
      <c r="C165" s="52"/>
      <c r="D165" s="3"/>
    </row>
    <row r="166" spans="3:4" s="2" customFormat="1">
      <c r="C166" s="52"/>
      <c r="D166" s="3"/>
    </row>
    <row r="167" spans="3:4" s="2" customFormat="1">
      <c r="C167" s="52"/>
      <c r="D167" s="3"/>
    </row>
    <row r="168" spans="3:4" s="2" customFormat="1">
      <c r="C168" s="52"/>
      <c r="D168" s="3"/>
    </row>
    <row r="169" spans="3:4" s="2" customFormat="1">
      <c r="C169" s="52"/>
      <c r="D169" s="3"/>
    </row>
    <row r="170" spans="3:4" s="2" customFormat="1">
      <c r="C170" s="52"/>
      <c r="D170" s="3"/>
    </row>
    <row r="171" spans="3:4" s="2" customFormat="1">
      <c r="C171" s="52"/>
      <c r="D171" s="3"/>
    </row>
    <row r="172" spans="3:4" s="2" customFormat="1">
      <c r="C172" s="52"/>
      <c r="D172" s="3"/>
    </row>
    <row r="173" spans="3:4" s="2" customFormat="1">
      <c r="C173" s="52"/>
      <c r="D173" s="3"/>
    </row>
    <row r="174" spans="3:4" s="2" customFormat="1">
      <c r="C174" s="52"/>
      <c r="D174" s="3"/>
    </row>
    <row r="175" spans="3:4" s="2" customFormat="1">
      <c r="C175" s="52"/>
      <c r="D175" s="3"/>
    </row>
    <row r="176" spans="3:4" s="2" customFormat="1">
      <c r="C176" s="52"/>
      <c r="D176" s="3"/>
    </row>
    <row r="177" spans="3:4" s="2" customFormat="1">
      <c r="C177" s="52"/>
      <c r="D177" s="3"/>
    </row>
  </sheetData>
  <mergeCells count="11">
    <mergeCell ref="A14:A19"/>
    <mergeCell ref="B14:B16"/>
    <mergeCell ref="B17:B18"/>
    <mergeCell ref="B19:D19"/>
    <mergeCell ref="A20:D20"/>
    <mergeCell ref="A5:G5"/>
    <mergeCell ref="A7:A10"/>
    <mergeCell ref="B7:B9"/>
    <mergeCell ref="B10:D10"/>
    <mergeCell ref="A11:A13"/>
    <mergeCell ref="B13:D13"/>
  </mergeCells>
  <pageMargins left="0.70866141732283472" right="0.70866141732283472" top="0.74803149606299213" bottom="0.74803149606299213" header="0.31496062992125984" footer="0.31496062992125984"/>
  <pageSetup scale="1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1"/>
    <pageSetUpPr fitToPage="1"/>
  </sheetPr>
  <dimension ref="A1:Q177"/>
  <sheetViews>
    <sheetView zoomScale="90" zoomScaleNormal="90" workbookViewId="0">
      <selection activeCell="I12" sqref="I12"/>
    </sheetView>
  </sheetViews>
  <sheetFormatPr baseColWidth="10" defaultColWidth="11.42578125" defaultRowHeight="15"/>
  <cols>
    <col min="1" max="1" width="19.85546875" customWidth="1"/>
    <col min="2" max="2" width="12.85546875" customWidth="1"/>
    <col min="3" max="3" width="6" style="53" customWidth="1"/>
    <col min="4" max="4" width="35" style="1" customWidth="1"/>
    <col min="5" max="5" width="19.85546875" customWidth="1"/>
    <col min="6" max="6" width="18.28515625" style="2" customWidth="1"/>
    <col min="7" max="7" width="9.42578125" style="2" hidden="1" customWidth="1"/>
    <col min="8" max="17" width="11.42578125" style="2"/>
  </cols>
  <sheetData>
    <row r="1" spans="1:7">
      <c r="A1" s="2"/>
      <c r="B1" s="2"/>
      <c r="C1" s="52"/>
      <c r="D1" s="3"/>
      <c r="E1" s="2"/>
    </row>
    <row r="2" spans="1:7">
      <c r="A2" s="2"/>
      <c r="B2" s="2"/>
      <c r="C2" s="52"/>
      <c r="D2" s="3"/>
      <c r="E2" s="2"/>
    </row>
    <row r="3" spans="1:7">
      <c r="A3" s="2"/>
      <c r="B3" s="2"/>
      <c r="C3" s="52"/>
      <c r="D3" s="3"/>
      <c r="E3" s="2"/>
    </row>
    <row r="4" spans="1:7" ht="15.75" thickBot="1">
      <c r="A4" s="2"/>
      <c r="B4" s="2"/>
      <c r="C4" s="52"/>
      <c r="D4" s="3"/>
      <c r="E4" s="2"/>
    </row>
    <row r="5" spans="1:7" ht="15.75" thickBot="1">
      <c r="A5" s="225">
        <v>2021</v>
      </c>
      <c r="B5" s="226"/>
      <c r="C5" s="226"/>
      <c r="D5" s="226"/>
      <c r="E5" s="226"/>
      <c r="F5" s="226"/>
      <c r="G5" s="227"/>
    </row>
    <row r="6" spans="1:7" ht="25.5" customHeight="1" thickBot="1">
      <c r="A6" s="57" t="s">
        <v>0</v>
      </c>
      <c r="B6" s="57" t="s">
        <v>1</v>
      </c>
      <c r="C6" s="57" t="s">
        <v>37</v>
      </c>
      <c r="D6" s="57" t="s">
        <v>2</v>
      </c>
      <c r="E6" s="55" t="s">
        <v>45</v>
      </c>
      <c r="F6" s="55" t="s">
        <v>47</v>
      </c>
      <c r="G6" s="55" t="s">
        <v>46</v>
      </c>
    </row>
    <row r="7" spans="1:7" s="2" customFormat="1">
      <c r="A7" s="228" t="s">
        <v>7</v>
      </c>
      <c r="B7" s="230" t="s">
        <v>8</v>
      </c>
      <c r="C7" s="47" t="s">
        <v>10</v>
      </c>
      <c r="D7" s="8" t="s">
        <v>14</v>
      </c>
      <c r="E7" s="10">
        <v>754825500</v>
      </c>
      <c r="F7" s="10">
        <v>754676000</v>
      </c>
      <c r="G7" s="48">
        <f t="shared" ref="G7:G20" si="0">F7/E7</f>
        <v>0.99980194097841157</v>
      </c>
    </row>
    <row r="8" spans="1:7">
      <c r="A8" s="229"/>
      <c r="B8" s="202"/>
      <c r="C8" s="47" t="s">
        <v>12</v>
      </c>
      <c r="D8" s="8" t="s">
        <v>38</v>
      </c>
      <c r="E8" s="10">
        <v>6174740000</v>
      </c>
      <c r="F8" s="10">
        <v>6173507200</v>
      </c>
      <c r="G8" s="48">
        <f t="shared" si="0"/>
        <v>0.99980034786889815</v>
      </c>
    </row>
    <row r="9" spans="1:7" s="2" customFormat="1">
      <c r="A9" s="229"/>
      <c r="B9" s="202"/>
      <c r="C9" s="47" t="s">
        <v>13</v>
      </c>
      <c r="D9" s="8" t="s">
        <v>11</v>
      </c>
      <c r="E9" s="10">
        <v>8783099485</v>
      </c>
      <c r="F9" s="10">
        <v>8601000000</v>
      </c>
      <c r="G9" s="48">
        <f t="shared" si="0"/>
        <v>0.97926705882006759</v>
      </c>
    </row>
    <row r="10" spans="1:7" s="2" customFormat="1">
      <c r="A10" s="229"/>
      <c r="B10" s="224" t="s">
        <v>16</v>
      </c>
      <c r="C10" s="231"/>
      <c r="D10" s="231"/>
      <c r="E10" s="13">
        <f>SUM(E7:E9)</f>
        <v>15712664985</v>
      </c>
      <c r="F10" s="13">
        <f>SUM(F7:F9)</f>
        <v>15529183200</v>
      </c>
      <c r="G10" s="49">
        <f t="shared" si="0"/>
        <v>0.98832268204183316</v>
      </c>
    </row>
    <row r="11" spans="1:7" s="2" customFormat="1" ht="20.25" customHeight="1">
      <c r="A11" s="229" t="s">
        <v>17</v>
      </c>
      <c r="B11" s="14" t="s">
        <v>18</v>
      </c>
      <c r="C11" s="47" t="s">
        <v>19</v>
      </c>
      <c r="D11" s="15" t="s">
        <v>18</v>
      </c>
      <c r="E11" s="16">
        <v>88400000000</v>
      </c>
      <c r="F11" s="16">
        <v>0</v>
      </c>
      <c r="G11" s="48">
        <f t="shared" si="0"/>
        <v>0</v>
      </c>
    </row>
    <row r="12" spans="1:7" s="2" customFormat="1">
      <c r="A12" s="229"/>
      <c r="B12" s="14" t="s">
        <v>36</v>
      </c>
      <c r="C12" s="47" t="s">
        <v>40</v>
      </c>
      <c r="D12" s="15" t="s">
        <v>36</v>
      </c>
      <c r="E12" s="16">
        <v>2500000000</v>
      </c>
      <c r="F12" s="16">
        <v>0</v>
      </c>
      <c r="G12" s="48">
        <f t="shared" si="0"/>
        <v>0</v>
      </c>
    </row>
    <row r="13" spans="1:7" s="2" customFormat="1">
      <c r="A13" s="229"/>
      <c r="B13" s="224" t="s">
        <v>16</v>
      </c>
      <c r="C13" s="231"/>
      <c r="D13" s="231"/>
      <c r="E13" s="13">
        <f>SUM(E11:E11)</f>
        <v>88400000000</v>
      </c>
      <c r="F13" s="13">
        <f>SUM(F11:F11)</f>
        <v>0</v>
      </c>
      <c r="G13" s="49">
        <f t="shared" si="0"/>
        <v>0</v>
      </c>
    </row>
    <row r="14" spans="1:7" s="2" customFormat="1" ht="15" customHeight="1">
      <c r="A14" s="229" t="s">
        <v>21</v>
      </c>
      <c r="B14" s="221" t="s">
        <v>8</v>
      </c>
      <c r="C14" s="50" t="s">
        <v>23</v>
      </c>
      <c r="D14" s="15" t="s">
        <v>22</v>
      </c>
      <c r="E14" s="16">
        <v>4400000000</v>
      </c>
      <c r="F14" s="16">
        <v>4226713335</v>
      </c>
      <c r="G14" s="48">
        <f t="shared" si="0"/>
        <v>0.96061666704545456</v>
      </c>
    </row>
    <row r="15" spans="1:7" s="2" customFormat="1" ht="15" customHeight="1">
      <c r="A15" s="229"/>
      <c r="B15" s="221"/>
      <c r="C15" s="50" t="s">
        <v>41</v>
      </c>
      <c r="D15" s="15" t="s">
        <v>39</v>
      </c>
      <c r="E15" s="16">
        <v>300000000</v>
      </c>
      <c r="F15" s="16">
        <v>120500000</v>
      </c>
      <c r="G15" s="48">
        <f t="shared" si="0"/>
        <v>0.40166666666666667</v>
      </c>
    </row>
    <row r="16" spans="1:7" s="2" customFormat="1">
      <c r="A16" s="229"/>
      <c r="B16" s="221"/>
      <c r="C16" s="50" t="s">
        <v>42</v>
      </c>
      <c r="D16" s="17" t="s">
        <v>25</v>
      </c>
      <c r="E16" s="16">
        <v>483396329</v>
      </c>
      <c r="F16" s="16">
        <v>483396329</v>
      </c>
      <c r="G16" s="48">
        <f t="shared" si="0"/>
        <v>1</v>
      </c>
    </row>
    <row r="17" spans="1:7" s="2" customFormat="1">
      <c r="A17" s="229"/>
      <c r="B17" s="232" t="s">
        <v>28</v>
      </c>
      <c r="C17" s="51" t="s">
        <v>43</v>
      </c>
      <c r="D17" s="17" t="s">
        <v>29</v>
      </c>
      <c r="E17" s="16">
        <v>745085902</v>
      </c>
      <c r="F17" s="16">
        <v>10686547</v>
      </c>
      <c r="G17" s="48">
        <f t="shared" si="0"/>
        <v>1.4342704608038605E-2</v>
      </c>
    </row>
    <row r="18" spans="1:7" s="2" customFormat="1">
      <c r="A18" s="229"/>
      <c r="B18" s="233"/>
      <c r="C18" s="50" t="s">
        <v>44</v>
      </c>
      <c r="D18" s="22" t="s">
        <v>31</v>
      </c>
      <c r="E18" s="16">
        <v>360000000</v>
      </c>
      <c r="F18" s="16">
        <v>0</v>
      </c>
      <c r="G18" s="48">
        <f t="shared" si="0"/>
        <v>0</v>
      </c>
    </row>
    <row r="19" spans="1:7" s="2" customFormat="1" ht="15.75" thickBot="1">
      <c r="A19" s="229"/>
      <c r="B19" s="224" t="s">
        <v>16</v>
      </c>
      <c r="C19" s="224"/>
      <c r="D19" s="224"/>
      <c r="E19" s="13">
        <f>SUM(E14:E18)</f>
        <v>6288482231</v>
      </c>
      <c r="F19" s="13">
        <f>SUM(F14:F18)</f>
        <v>4841296211</v>
      </c>
      <c r="G19" s="49">
        <f t="shared" si="0"/>
        <v>0.7698672005677486</v>
      </c>
    </row>
    <row r="20" spans="1:7" s="2" customFormat="1" ht="16.5" thickTop="1" thickBot="1">
      <c r="A20" s="234" t="s">
        <v>32</v>
      </c>
      <c r="B20" s="235"/>
      <c r="C20" s="235"/>
      <c r="D20" s="235"/>
      <c r="E20" s="20">
        <f>E19+E13+E10</f>
        <v>110401147216</v>
      </c>
      <c r="F20" s="39">
        <f>F10+F13+F19</f>
        <v>20370479411</v>
      </c>
      <c r="G20" s="54">
        <f t="shared" si="0"/>
        <v>0.18451329469561695</v>
      </c>
    </row>
    <row r="21" spans="1:7" s="2" customFormat="1">
      <c r="C21" s="52"/>
      <c r="D21" s="3"/>
      <c r="E21" s="6"/>
      <c r="F21" s="26"/>
    </row>
    <row r="22" spans="1:7" s="2" customFormat="1" hidden="1">
      <c r="C22" s="52"/>
      <c r="D22" s="3"/>
      <c r="E22" s="26"/>
    </row>
    <row r="23" spans="1:7" s="2" customFormat="1" hidden="1">
      <c r="C23" s="52"/>
      <c r="D23" s="3"/>
      <c r="E23" s="26">
        <f>E20/1.0048</f>
        <v>109873753200.63695</v>
      </c>
    </row>
    <row r="24" spans="1:7" s="2" customFormat="1" hidden="1">
      <c r="C24" s="52"/>
      <c r="D24" s="3"/>
      <c r="E24" s="26">
        <f>E23*0.48%</f>
        <v>527394015.36305732</v>
      </c>
    </row>
    <row r="25" spans="1:7" s="2" customFormat="1" hidden="1">
      <c r="C25" s="52"/>
      <c r="D25" s="3"/>
      <c r="E25" s="26">
        <f>E23+E24</f>
        <v>110401147216</v>
      </c>
    </row>
    <row r="26" spans="1:7" s="2" customFormat="1" hidden="1">
      <c r="C26" s="52"/>
      <c r="D26" s="3"/>
      <c r="E26" s="26"/>
    </row>
    <row r="27" spans="1:7" s="2" customFormat="1" hidden="1">
      <c r="C27" s="52"/>
      <c r="D27" s="3"/>
      <c r="E27" s="26"/>
    </row>
    <row r="28" spans="1:7" s="2" customFormat="1" hidden="1">
      <c r="C28" s="52"/>
      <c r="D28" s="3"/>
      <c r="E28" s="26"/>
    </row>
    <row r="29" spans="1:7" s="2" customFormat="1" hidden="1">
      <c r="C29" s="52"/>
      <c r="D29" s="3"/>
    </row>
    <row r="30" spans="1:7" s="2" customFormat="1" hidden="1">
      <c r="C30" s="52"/>
      <c r="D30" s="3"/>
    </row>
    <row r="31" spans="1:7" s="2" customFormat="1" hidden="1">
      <c r="C31" s="52"/>
      <c r="D31" s="3"/>
    </row>
    <row r="32" spans="1:7" s="2" customFormat="1" hidden="1">
      <c r="C32" s="52"/>
      <c r="D32" s="3"/>
    </row>
    <row r="33" spans="3:4" s="2" customFormat="1" hidden="1">
      <c r="C33" s="52"/>
      <c r="D33" s="3"/>
    </row>
    <row r="34" spans="3:4" s="2" customFormat="1" hidden="1">
      <c r="C34" s="52"/>
      <c r="D34" s="3"/>
    </row>
    <row r="35" spans="3:4" s="2" customFormat="1" hidden="1">
      <c r="C35" s="52"/>
      <c r="D35" s="3"/>
    </row>
    <row r="36" spans="3:4" s="2" customFormat="1" hidden="1">
      <c r="C36" s="52"/>
      <c r="D36" s="3"/>
    </row>
    <row r="37" spans="3:4" s="2" customFormat="1" hidden="1">
      <c r="C37" s="52"/>
      <c r="D37" s="3"/>
    </row>
    <row r="38" spans="3:4" s="2" customFormat="1" hidden="1">
      <c r="C38" s="52"/>
      <c r="D38" s="3"/>
    </row>
    <row r="39" spans="3:4" s="2" customFormat="1" hidden="1">
      <c r="C39" s="52"/>
      <c r="D39" s="3"/>
    </row>
    <row r="40" spans="3:4" s="2" customFormat="1" hidden="1">
      <c r="C40" s="52"/>
      <c r="D40" s="3"/>
    </row>
    <row r="41" spans="3:4" s="2" customFormat="1" hidden="1">
      <c r="C41" s="52"/>
      <c r="D41" s="3"/>
    </row>
    <row r="42" spans="3:4" s="2" customFormat="1" hidden="1">
      <c r="C42" s="52"/>
      <c r="D42" s="3"/>
    </row>
    <row r="43" spans="3:4" s="2" customFormat="1" hidden="1">
      <c r="C43" s="52"/>
      <c r="D43" s="3"/>
    </row>
    <row r="44" spans="3:4" s="2" customFormat="1" hidden="1">
      <c r="C44" s="52"/>
      <c r="D44" s="3"/>
    </row>
    <row r="45" spans="3:4" s="2" customFormat="1" hidden="1">
      <c r="C45" s="52"/>
      <c r="D45" s="3"/>
    </row>
    <row r="46" spans="3:4" s="2" customFormat="1" hidden="1">
      <c r="C46" s="52"/>
      <c r="D46" s="3"/>
    </row>
    <row r="47" spans="3:4" s="2" customFormat="1" hidden="1">
      <c r="C47" s="52"/>
      <c r="D47" s="3"/>
    </row>
    <row r="48" spans="3:4" s="2" customFormat="1" hidden="1">
      <c r="C48" s="52"/>
      <c r="D48" s="3"/>
    </row>
    <row r="49" spans="3:4" s="2" customFormat="1" hidden="1">
      <c r="C49" s="52"/>
      <c r="D49" s="3"/>
    </row>
    <row r="50" spans="3:4" s="2" customFormat="1" hidden="1">
      <c r="C50" s="52"/>
      <c r="D50" s="3"/>
    </row>
    <row r="51" spans="3:4" s="2" customFormat="1" hidden="1">
      <c r="C51" s="52"/>
      <c r="D51" s="3"/>
    </row>
    <row r="52" spans="3:4" s="2" customFormat="1" hidden="1">
      <c r="C52" s="52"/>
      <c r="D52" s="3"/>
    </row>
    <row r="53" spans="3:4" s="2" customFormat="1" hidden="1">
      <c r="C53" s="52"/>
      <c r="D53" s="3"/>
    </row>
    <row r="54" spans="3:4" s="2" customFormat="1" hidden="1">
      <c r="C54" s="52"/>
      <c r="D54" s="3"/>
    </row>
    <row r="55" spans="3:4" s="2" customFormat="1" hidden="1">
      <c r="C55" s="52"/>
      <c r="D55" s="3"/>
    </row>
    <row r="56" spans="3:4" s="2" customFormat="1" hidden="1">
      <c r="C56" s="52"/>
      <c r="D56" s="3"/>
    </row>
    <row r="57" spans="3:4" s="2" customFormat="1" hidden="1">
      <c r="C57" s="52"/>
      <c r="D57" s="3"/>
    </row>
    <row r="58" spans="3:4" s="2" customFormat="1" hidden="1">
      <c r="C58" s="52"/>
      <c r="D58" s="3"/>
    </row>
    <row r="59" spans="3:4" s="2" customFormat="1" hidden="1">
      <c r="C59" s="52"/>
      <c r="D59" s="3"/>
    </row>
    <row r="60" spans="3:4" s="2" customFormat="1" hidden="1">
      <c r="C60" s="52"/>
      <c r="D60" s="3"/>
    </row>
    <row r="61" spans="3:4" s="2" customFormat="1" hidden="1">
      <c r="C61" s="52"/>
      <c r="D61" s="3"/>
    </row>
    <row r="62" spans="3:4" s="2" customFormat="1" hidden="1">
      <c r="C62" s="52"/>
      <c r="D62" s="3"/>
    </row>
    <row r="63" spans="3:4" s="2" customFormat="1" hidden="1">
      <c r="C63" s="52"/>
      <c r="D63" s="3"/>
    </row>
    <row r="64" spans="3:4" s="2" customFormat="1" hidden="1">
      <c r="C64" s="52"/>
      <c r="D64" s="3"/>
    </row>
    <row r="65" spans="3:6" s="2" customFormat="1" hidden="1">
      <c r="C65" s="52"/>
      <c r="D65" s="3"/>
    </row>
    <row r="66" spans="3:6" s="2" customFormat="1" hidden="1">
      <c r="C66" s="52"/>
      <c r="D66" s="3"/>
    </row>
    <row r="67" spans="3:6" s="2" customFormat="1" hidden="1">
      <c r="C67" s="52"/>
      <c r="D67" s="3"/>
    </row>
    <row r="68" spans="3:6" s="2" customFormat="1" hidden="1">
      <c r="C68" s="52"/>
      <c r="D68" s="3"/>
    </row>
    <row r="69" spans="3:6" s="2" customFormat="1" hidden="1">
      <c r="C69" s="52"/>
      <c r="D69" s="3"/>
    </row>
    <row r="70" spans="3:6" s="2" customFormat="1" hidden="1">
      <c r="C70" s="52"/>
      <c r="D70" s="3"/>
    </row>
    <row r="71" spans="3:6" s="2" customFormat="1">
      <c r="C71" s="52"/>
      <c r="D71" s="3"/>
      <c r="E71" s="26"/>
      <c r="F71" s="38"/>
    </row>
    <row r="72" spans="3:6" s="2" customFormat="1">
      <c r="C72" s="52"/>
      <c r="D72" s="3"/>
    </row>
    <row r="73" spans="3:6" s="2" customFormat="1">
      <c r="C73" s="52"/>
      <c r="D73" s="3"/>
    </row>
    <row r="74" spans="3:6" s="2" customFormat="1">
      <c r="C74" s="52"/>
      <c r="D74" s="3"/>
    </row>
    <row r="75" spans="3:6" s="2" customFormat="1">
      <c r="C75" s="52"/>
      <c r="D75" s="3"/>
    </row>
    <row r="76" spans="3:6" s="2" customFormat="1">
      <c r="C76" s="52"/>
      <c r="D76" s="3"/>
    </row>
    <row r="77" spans="3:6" s="2" customFormat="1">
      <c r="C77" s="52"/>
      <c r="D77" s="3"/>
    </row>
    <row r="78" spans="3:6" s="2" customFormat="1">
      <c r="C78" s="52"/>
      <c r="D78" s="3"/>
    </row>
    <row r="79" spans="3:6" s="2" customFormat="1">
      <c r="C79" s="52"/>
      <c r="D79" s="3"/>
    </row>
    <row r="80" spans="3:6" s="2" customFormat="1">
      <c r="C80" s="52"/>
      <c r="D80" s="3"/>
    </row>
    <row r="81" spans="3:4" s="2" customFormat="1">
      <c r="C81" s="52"/>
      <c r="D81" s="3"/>
    </row>
    <row r="82" spans="3:4" s="2" customFormat="1">
      <c r="C82" s="52"/>
      <c r="D82" s="3"/>
    </row>
    <row r="83" spans="3:4" s="2" customFormat="1">
      <c r="C83" s="52"/>
      <c r="D83" s="3"/>
    </row>
    <row r="84" spans="3:4" s="2" customFormat="1">
      <c r="C84" s="52"/>
      <c r="D84" s="3"/>
    </row>
    <row r="85" spans="3:4" s="2" customFormat="1">
      <c r="C85" s="52"/>
      <c r="D85" s="3"/>
    </row>
    <row r="86" spans="3:4" s="2" customFormat="1">
      <c r="C86" s="52"/>
      <c r="D86" s="3"/>
    </row>
    <row r="87" spans="3:4" s="2" customFormat="1">
      <c r="C87" s="52"/>
      <c r="D87" s="3"/>
    </row>
    <row r="88" spans="3:4" s="2" customFormat="1">
      <c r="C88" s="52"/>
      <c r="D88" s="3"/>
    </row>
    <row r="89" spans="3:4" s="2" customFormat="1">
      <c r="C89" s="52"/>
      <c r="D89" s="3"/>
    </row>
    <row r="90" spans="3:4" s="2" customFormat="1">
      <c r="C90" s="52"/>
      <c r="D90" s="3"/>
    </row>
    <row r="91" spans="3:4" s="2" customFormat="1">
      <c r="C91" s="52"/>
      <c r="D91" s="3"/>
    </row>
    <row r="92" spans="3:4" s="2" customFormat="1">
      <c r="C92" s="52"/>
      <c r="D92" s="3"/>
    </row>
    <row r="93" spans="3:4" s="2" customFormat="1">
      <c r="C93" s="52"/>
      <c r="D93" s="3"/>
    </row>
    <row r="94" spans="3:4" s="2" customFormat="1">
      <c r="C94" s="52"/>
      <c r="D94" s="3"/>
    </row>
    <row r="95" spans="3:4" s="2" customFormat="1">
      <c r="C95" s="52"/>
      <c r="D95" s="3"/>
    </row>
    <row r="96" spans="3:4" s="2" customFormat="1">
      <c r="C96" s="52"/>
      <c r="D96" s="3"/>
    </row>
    <row r="97" spans="3:4" s="2" customFormat="1">
      <c r="C97" s="52"/>
      <c r="D97" s="3"/>
    </row>
    <row r="98" spans="3:4" s="2" customFormat="1">
      <c r="C98" s="52"/>
      <c r="D98" s="3"/>
    </row>
    <row r="99" spans="3:4" s="2" customFormat="1">
      <c r="C99" s="52"/>
      <c r="D99" s="3"/>
    </row>
    <row r="100" spans="3:4" s="2" customFormat="1">
      <c r="C100" s="52"/>
      <c r="D100" s="3"/>
    </row>
    <row r="101" spans="3:4" s="2" customFormat="1">
      <c r="C101" s="52"/>
      <c r="D101" s="3"/>
    </row>
    <row r="102" spans="3:4" s="2" customFormat="1">
      <c r="C102" s="52"/>
      <c r="D102" s="3"/>
    </row>
    <row r="103" spans="3:4" s="2" customFormat="1">
      <c r="C103" s="52"/>
      <c r="D103" s="3"/>
    </row>
    <row r="104" spans="3:4" s="2" customFormat="1">
      <c r="C104" s="52"/>
      <c r="D104" s="3"/>
    </row>
    <row r="105" spans="3:4" s="2" customFormat="1">
      <c r="C105" s="52"/>
      <c r="D105" s="3"/>
    </row>
    <row r="106" spans="3:4" s="2" customFormat="1">
      <c r="C106" s="52"/>
      <c r="D106" s="3"/>
    </row>
    <row r="107" spans="3:4" s="2" customFormat="1">
      <c r="C107" s="52"/>
      <c r="D107" s="3"/>
    </row>
    <row r="108" spans="3:4" s="2" customFormat="1">
      <c r="C108" s="52"/>
      <c r="D108" s="3"/>
    </row>
    <row r="109" spans="3:4" s="2" customFormat="1">
      <c r="C109" s="52"/>
      <c r="D109" s="3"/>
    </row>
    <row r="110" spans="3:4" s="2" customFormat="1">
      <c r="C110" s="52"/>
      <c r="D110" s="3"/>
    </row>
    <row r="111" spans="3:4" s="2" customFormat="1">
      <c r="C111" s="52"/>
      <c r="D111" s="3"/>
    </row>
    <row r="112" spans="3:4" s="2" customFormat="1">
      <c r="C112" s="52"/>
      <c r="D112" s="3"/>
    </row>
    <row r="113" spans="3:4" s="2" customFormat="1">
      <c r="C113" s="52"/>
      <c r="D113" s="3"/>
    </row>
    <row r="114" spans="3:4" s="2" customFormat="1">
      <c r="C114" s="52"/>
      <c r="D114" s="3"/>
    </row>
    <row r="115" spans="3:4" s="2" customFormat="1">
      <c r="C115" s="52"/>
      <c r="D115" s="3"/>
    </row>
    <row r="116" spans="3:4" s="2" customFormat="1">
      <c r="C116" s="52"/>
      <c r="D116" s="3"/>
    </row>
    <row r="117" spans="3:4" s="2" customFormat="1">
      <c r="C117" s="52"/>
      <c r="D117" s="3"/>
    </row>
    <row r="118" spans="3:4" s="2" customFormat="1">
      <c r="C118" s="52"/>
      <c r="D118" s="3"/>
    </row>
    <row r="119" spans="3:4" s="2" customFormat="1">
      <c r="C119" s="52"/>
      <c r="D119" s="3"/>
    </row>
    <row r="120" spans="3:4" s="2" customFormat="1">
      <c r="C120" s="52"/>
      <c r="D120" s="3"/>
    </row>
    <row r="121" spans="3:4" s="2" customFormat="1">
      <c r="C121" s="52"/>
      <c r="D121" s="3"/>
    </row>
    <row r="122" spans="3:4" s="2" customFormat="1">
      <c r="C122" s="52"/>
      <c r="D122" s="3"/>
    </row>
    <row r="123" spans="3:4" s="2" customFormat="1">
      <c r="C123" s="52"/>
      <c r="D123" s="3"/>
    </row>
    <row r="124" spans="3:4" s="2" customFormat="1">
      <c r="C124" s="52"/>
      <c r="D124" s="3"/>
    </row>
    <row r="125" spans="3:4" s="2" customFormat="1">
      <c r="C125" s="52"/>
      <c r="D125" s="3"/>
    </row>
    <row r="126" spans="3:4" s="2" customFormat="1">
      <c r="C126" s="52"/>
      <c r="D126" s="3"/>
    </row>
    <row r="127" spans="3:4" s="2" customFormat="1">
      <c r="C127" s="52"/>
      <c r="D127" s="3"/>
    </row>
    <row r="128" spans="3:4" s="2" customFormat="1">
      <c r="C128" s="52"/>
      <c r="D128" s="3"/>
    </row>
    <row r="129" spans="3:4" s="2" customFormat="1">
      <c r="C129" s="52"/>
      <c r="D129" s="3"/>
    </row>
    <row r="130" spans="3:4" s="2" customFormat="1">
      <c r="C130" s="52"/>
      <c r="D130" s="3"/>
    </row>
    <row r="131" spans="3:4" s="2" customFormat="1">
      <c r="C131" s="52"/>
      <c r="D131" s="3"/>
    </row>
    <row r="132" spans="3:4" s="2" customFormat="1">
      <c r="C132" s="52"/>
      <c r="D132" s="3"/>
    </row>
    <row r="133" spans="3:4" s="2" customFormat="1">
      <c r="C133" s="52"/>
      <c r="D133" s="3"/>
    </row>
    <row r="134" spans="3:4" s="2" customFormat="1">
      <c r="C134" s="52"/>
      <c r="D134" s="3"/>
    </row>
    <row r="135" spans="3:4" s="2" customFormat="1">
      <c r="C135" s="52"/>
      <c r="D135" s="3"/>
    </row>
    <row r="136" spans="3:4" s="2" customFormat="1">
      <c r="C136" s="52"/>
      <c r="D136" s="3"/>
    </row>
    <row r="137" spans="3:4" s="2" customFormat="1">
      <c r="C137" s="52"/>
      <c r="D137" s="3"/>
    </row>
    <row r="138" spans="3:4" s="2" customFormat="1">
      <c r="C138" s="52"/>
      <c r="D138" s="3"/>
    </row>
    <row r="139" spans="3:4" s="2" customFormat="1">
      <c r="C139" s="52"/>
      <c r="D139" s="3"/>
    </row>
    <row r="140" spans="3:4" s="2" customFormat="1">
      <c r="C140" s="52"/>
      <c r="D140" s="3"/>
    </row>
    <row r="141" spans="3:4" s="2" customFormat="1">
      <c r="C141" s="52"/>
      <c r="D141" s="3"/>
    </row>
    <row r="142" spans="3:4" s="2" customFormat="1">
      <c r="C142" s="52"/>
      <c r="D142" s="3"/>
    </row>
    <row r="143" spans="3:4" s="2" customFormat="1">
      <c r="C143" s="52"/>
      <c r="D143" s="3"/>
    </row>
    <row r="144" spans="3:4" s="2" customFormat="1">
      <c r="C144" s="52"/>
      <c r="D144" s="3"/>
    </row>
    <row r="145" spans="3:4" s="2" customFormat="1">
      <c r="C145" s="52"/>
      <c r="D145" s="3"/>
    </row>
    <row r="146" spans="3:4" s="2" customFormat="1">
      <c r="C146" s="52"/>
      <c r="D146" s="3"/>
    </row>
    <row r="147" spans="3:4" s="2" customFormat="1">
      <c r="C147" s="52"/>
      <c r="D147" s="3"/>
    </row>
    <row r="148" spans="3:4" s="2" customFormat="1">
      <c r="C148" s="52"/>
      <c r="D148" s="3"/>
    </row>
    <row r="149" spans="3:4" s="2" customFormat="1">
      <c r="C149" s="52"/>
      <c r="D149" s="3"/>
    </row>
    <row r="150" spans="3:4" s="2" customFormat="1">
      <c r="C150" s="52"/>
      <c r="D150" s="3"/>
    </row>
    <row r="151" spans="3:4" s="2" customFormat="1">
      <c r="C151" s="52"/>
      <c r="D151" s="3"/>
    </row>
    <row r="152" spans="3:4" s="2" customFormat="1">
      <c r="C152" s="52"/>
      <c r="D152" s="3"/>
    </row>
    <row r="153" spans="3:4" s="2" customFormat="1">
      <c r="C153" s="52"/>
      <c r="D153" s="3"/>
    </row>
    <row r="154" spans="3:4" s="2" customFormat="1">
      <c r="C154" s="52"/>
      <c r="D154" s="3"/>
    </row>
    <row r="155" spans="3:4" s="2" customFormat="1">
      <c r="C155" s="52"/>
      <c r="D155" s="3"/>
    </row>
    <row r="156" spans="3:4" s="2" customFormat="1">
      <c r="C156" s="52"/>
      <c r="D156" s="3"/>
    </row>
    <row r="157" spans="3:4" s="2" customFormat="1">
      <c r="C157" s="52"/>
      <c r="D157" s="3"/>
    </row>
    <row r="158" spans="3:4" s="2" customFormat="1">
      <c r="C158" s="52"/>
      <c r="D158" s="3"/>
    </row>
    <row r="159" spans="3:4" s="2" customFormat="1">
      <c r="C159" s="52"/>
      <c r="D159" s="3"/>
    </row>
    <row r="160" spans="3:4" s="2" customFormat="1">
      <c r="C160" s="52"/>
      <c r="D160" s="3"/>
    </row>
    <row r="161" spans="3:4" s="2" customFormat="1">
      <c r="C161" s="52"/>
      <c r="D161" s="3"/>
    </row>
    <row r="162" spans="3:4" s="2" customFormat="1">
      <c r="C162" s="52"/>
      <c r="D162" s="3"/>
    </row>
    <row r="163" spans="3:4" s="2" customFormat="1">
      <c r="C163" s="52"/>
      <c r="D163" s="3"/>
    </row>
    <row r="164" spans="3:4" s="2" customFormat="1">
      <c r="C164" s="52"/>
      <c r="D164" s="3"/>
    </row>
    <row r="165" spans="3:4" s="2" customFormat="1">
      <c r="C165" s="52"/>
      <c r="D165" s="3"/>
    </row>
    <row r="166" spans="3:4" s="2" customFormat="1">
      <c r="C166" s="52"/>
      <c r="D166" s="3"/>
    </row>
    <row r="167" spans="3:4" s="2" customFormat="1">
      <c r="C167" s="52"/>
      <c r="D167" s="3"/>
    </row>
    <row r="168" spans="3:4" s="2" customFormat="1">
      <c r="C168" s="52"/>
      <c r="D168" s="3"/>
    </row>
    <row r="169" spans="3:4" s="2" customFormat="1">
      <c r="C169" s="52"/>
      <c r="D169" s="3"/>
    </row>
    <row r="170" spans="3:4" s="2" customFormat="1">
      <c r="C170" s="52"/>
      <c r="D170" s="3"/>
    </row>
    <row r="171" spans="3:4" s="2" customFormat="1">
      <c r="C171" s="52"/>
      <c r="D171" s="3"/>
    </row>
    <row r="172" spans="3:4" s="2" customFormat="1">
      <c r="C172" s="52"/>
      <c r="D172" s="3"/>
    </row>
    <row r="173" spans="3:4" s="2" customFormat="1">
      <c r="C173" s="52"/>
      <c r="D173" s="3"/>
    </row>
    <row r="174" spans="3:4" s="2" customFormat="1">
      <c r="C174" s="52"/>
      <c r="D174" s="3"/>
    </row>
    <row r="175" spans="3:4" s="2" customFormat="1">
      <c r="C175" s="52"/>
      <c r="D175" s="3"/>
    </row>
    <row r="176" spans="3:4" s="2" customFormat="1">
      <c r="C176" s="52"/>
      <c r="D176" s="3"/>
    </row>
    <row r="177" spans="3:4" s="2" customFormat="1">
      <c r="C177" s="52"/>
      <c r="D177" s="3"/>
    </row>
  </sheetData>
  <mergeCells count="11">
    <mergeCell ref="A5:G5"/>
    <mergeCell ref="A7:A10"/>
    <mergeCell ref="B7:B9"/>
    <mergeCell ref="B10:D10"/>
    <mergeCell ref="A11:A13"/>
    <mergeCell ref="B13:D13"/>
    <mergeCell ref="A14:A19"/>
    <mergeCell ref="B14:B16"/>
    <mergeCell ref="B17:B18"/>
    <mergeCell ref="B19:D19"/>
    <mergeCell ref="A20:D20"/>
  </mergeCells>
  <pageMargins left="0.70866141732283472" right="0.70866141732283472" top="0.74803149606299213" bottom="0.74803149606299213" header="0.31496062992125984" footer="0.31496062992125984"/>
  <pageSetup scale="1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1"/>
    <pageSetUpPr fitToPage="1"/>
  </sheetPr>
  <dimension ref="A1:Z178"/>
  <sheetViews>
    <sheetView zoomScale="90" zoomScaleNormal="90" workbookViewId="0">
      <selection activeCell="U9" sqref="U9"/>
    </sheetView>
  </sheetViews>
  <sheetFormatPr baseColWidth="10" defaultColWidth="11.42578125" defaultRowHeight="15"/>
  <cols>
    <col min="1" max="1" width="19.85546875" customWidth="1"/>
    <col min="2" max="2" width="18.5703125" customWidth="1"/>
    <col min="3" max="3" width="52.140625" style="1" customWidth="1"/>
    <col min="4" max="4" width="11" style="1" hidden="1" customWidth="1"/>
    <col min="5" max="5" width="19.85546875" customWidth="1"/>
    <col min="6" max="7" width="19.85546875" hidden="1" customWidth="1"/>
    <col min="8" max="8" width="14.85546875" style="2" hidden="1" customWidth="1"/>
    <col min="9" max="9" width="22.5703125" style="2" hidden="1" customWidth="1"/>
    <col min="10" max="10" width="15.140625" style="2" hidden="1" customWidth="1"/>
    <col min="11" max="11" width="18" style="2" hidden="1" customWidth="1"/>
    <col min="12" max="12" width="0" style="2" hidden="1" customWidth="1"/>
    <col min="13" max="13" width="15.28515625" style="2" hidden="1" customWidth="1"/>
    <col min="14" max="14" width="12.5703125" style="2" hidden="1" customWidth="1"/>
    <col min="15" max="15" width="15.28515625" style="2" hidden="1" customWidth="1"/>
    <col min="16" max="16" width="0" style="2" hidden="1" customWidth="1"/>
    <col min="17" max="26" width="11.42578125" style="2"/>
  </cols>
  <sheetData>
    <row r="1" spans="1:16">
      <c r="A1" s="2"/>
      <c r="B1" s="2"/>
      <c r="C1" s="3"/>
      <c r="D1" s="3"/>
      <c r="E1" s="2"/>
      <c r="F1" s="2"/>
      <c r="G1" s="2"/>
      <c r="H1" s="4"/>
      <c r="I1" s="4"/>
    </row>
    <row r="2" spans="1:16">
      <c r="A2" s="2"/>
      <c r="B2" s="2"/>
      <c r="C2" s="3"/>
      <c r="D2" s="3"/>
      <c r="E2" s="2"/>
      <c r="F2" s="2"/>
      <c r="G2" s="2"/>
      <c r="H2" s="4"/>
      <c r="I2" s="4"/>
    </row>
    <row r="3" spans="1:16">
      <c r="A3" s="2"/>
      <c r="B3" s="2"/>
      <c r="C3" s="3"/>
      <c r="D3" s="3"/>
      <c r="E3" s="2"/>
      <c r="F3" s="2"/>
      <c r="G3" s="2"/>
      <c r="H3" s="4"/>
      <c r="I3" s="4"/>
    </row>
    <row r="4" spans="1:16" ht="15.75" thickBot="1">
      <c r="A4" s="2"/>
      <c r="B4" s="2"/>
      <c r="C4" s="3"/>
      <c r="D4" s="3"/>
      <c r="E4" s="2"/>
      <c r="F4" s="2"/>
      <c r="G4" s="2"/>
      <c r="H4" s="4"/>
      <c r="I4" s="4"/>
    </row>
    <row r="5" spans="1:16" ht="15.75" thickBot="1">
      <c r="A5" s="236">
        <v>2020</v>
      </c>
      <c r="B5" s="237"/>
      <c r="C5" s="237"/>
      <c r="D5" s="237"/>
      <c r="E5" s="237"/>
      <c r="F5" s="237"/>
      <c r="G5" s="237"/>
      <c r="H5" s="237"/>
      <c r="I5" s="237"/>
      <c r="J5" s="237"/>
      <c r="K5" s="237"/>
      <c r="L5" s="237"/>
      <c r="M5" s="237"/>
      <c r="N5" s="237"/>
      <c r="O5" s="237"/>
      <c r="P5" s="237"/>
    </row>
    <row r="6" spans="1:16" ht="25.5" customHeight="1" thickBot="1">
      <c r="A6" s="36" t="s">
        <v>0</v>
      </c>
      <c r="B6" s="36" t="s">
        <v>1</v>
      </c>
      <c r="C6" s="36" t="s">
        <v>2</v>
      </c>
      <c r="D6" s="7" t="s">
        <v>3</v>
      </c>
      <c r="E6" s="7" t="s">
        <v>4</v>
      </c>
      <c r="F6" s="7" t="s">
        <v>5</v>
      </c>
      <c r="G6" s="7"/>
      <c r="H6" s="37" t="s">
        <v>6</v>
      </c>
      <c r="I6" s="32"/>
      <c r="O6" s="26" t="e">
        <f>O7/171</f>
        <v>#REF!</v>
      </c>
    </row>
    <row r="7" spans="1:16" ht="15" customHeight="1">
      <c r="A7" s="228" t="s">
        <v>7</v>
      </c>
      <c r="B7" s="238" t="s">
        <v>8</v>
      </c>
      <c r="C7" s="23" t="s">
        <v>9</v>
      </c>
      <c r="D7" s="24" t="s">
        <v>10</v>
      </c>
      <c r="E7" s="25">
        <v>2362200000</v>
      </c>
      <c r="F7" s="25">
        <f>H7*85</f>
        <v>1174192982.4561405</v>
      </c>
      <c r="G7" s="25">
        <f>I7*147</f>
        <v>1866900000</v>
      </c>
      <c r="H7" s="26">
        <f>E7/171</f>
        <v>13814035.087719299</v>
      </c>
      <c r="I7" s="40">
        <v>12700000</v>
      </c>
      <c r="J7" s="2">
        <f>171/3</f>
        <v>57</v>
      </c>
      <c r="K7" s="2">
        <f>J7/3</f>
        <v>19</v>
      </c>
      <c r="L7" s="26">
        <f>H7/3</f>
        <v>4604678.3625730993</v>
      </c>
      <c r="M7" s="26" t="e">
        <f>E7-#REF!</f>
        <v>#REF!</v>
      </c>
      <c r="N7" s="26" t="e">
        <f>M7/171</f>
        <v>#REF!</v>
      </c>
      <c r="O7" s="26" t="e">
        <f>E7-#REF!</f>
        <v>#REF!</v>
      </c>
    </row>
    <row r="8" spans="1:16">
      <c r="A8" s="229"/>
      <c r="B8" s="181"/>
      <c r="C8" s="8" t="s">
        <v>11</v>
      </c>
      <c r="D8" s="11" t="s">
        <v>12</v>
      </c>
      <c r="E8" s="10">
        <v>193600000</v>
      </c>
      <c r="F8" s="16">
        <v>461745491</v>
      </c>
      <c r="G8" s="16"/>
      <c r="H8" s="26">
        <f>E8/12</f>
        <v>16133333.333333334</v>
      </c>
      <c r="I8" s="26"/>
      <c r="J8" s="26">
        <f>H8/6</f>
        <v>2688888.888888889</v>
      </c>
    </row>
    <row r="9" spans="1:16">
      <c r="A9" s="229"/>
      <c r="B9" s="181"/>
      <c r="C9" s="8" t="s">
        <v>14</v>
      </c>
      <c r="D9" s="9" t="s">
        <v>15</v>
      </c>
      <c r="E9" s="10">
        <v>0</v>
      </c>
      <c r="F9" s="16">
        <f>H9*85</f>
        <v>0</v>
      </c>
      <c r="G9" s="16">
        <f>H9*169</f>
        <v>0</v>
      </c>
      <c r="H9" s="26">
        <f>E9/171</f>
        <v>0</v>
      </c>
      <c r="I9" s="26">
        <v>169</v>
      </c>
    </row>
    <row r="10" spans="1:16">
      <c r="A10" s="229"/>
      <c r="B10" s="224" t="s">
        <v>16</v>
      </c>
      <c r="C10" s="231"/>
      <c r="D10" s="12"/>
      <c r="E10" s="13">
        <f>SUM(E7:E9)</f>
        <v>2555800000</v>
      </c>
      <c r="F10" s="28">
        <f>SUM(F7:F9)</f>
        <v>1635938473.4561405</v>
      </c>
      <c r="G10" s="28">
        <f>SUM(G7:G9)</f>
        <v>1866900000</v>
      </c>
      <c r="J10" s="41">
        <f>E10+E13</f>
        <v>38515800000</v>
      </c>
      <c r="K10" s="42">
        <f>J10/E21</f>
        <v>0.96289499999999995</v>
      </c>
    </row>
    <row r="11" spans="1:16" ht="20.25" customHeight="1">
      <c r="A11" s="229" t="s">
        <v>17</v>
      </c>
      <c r="B11" s="14" t="s">
        <v>18</v>
      </c>
      <c r="C11" s="15" t="s">
        <v>18</v>
      </c>
      <c r="D11" s="11" t="s">
        <v>19</v>
      </c>
      <c r="E11" s="16">
        <v>35960000000</v>
      </c>
      <c r="F11" s="16">
        <f>H11*85</f>
        <v>17874853801.16959</v>
      </c>
      <c r="G11" s="16">
        <f>H11*H5</f>
        <v>0</v>
      </c>
      <c r="H11" s="26">
        <f>E11/171</f>
        <v>210292397.66081873</v>
      </c>
      <c r="I11" s="26"/>
      <c r="J11" s="41">
        <f>E20</f>
        <v>1484200000</v>
      </c>
      <c r="K11" s="42">
        <f>J11/E21</f>
        <v>3.7104999999999999E-2</v>
      </c>
    </row>
    <row r="12" spans="1:16" hidden="1">
      <c r="A12" s="229"/>
      <c r="B12" s="14" t="s">
        <v>8</v>
      </c>
      <c r="C12" s="15" t="s">
        <v>20</v>
      </c>
      <c r="D12" s="30"/>
      <c r="E12" s="16"/>
      <c r="F12" s="16"/>
      <c r="G12" s="16">
        <v>713875430</v>
      </c>
      <c r="H12" s="26"/>
      <c r="I12" s="26"/>
      <c r="J12" s="41"/>
      <c r="K12" s="42"/>
    </row>
    <row r="13" spans="1:16">
      <c r="A13" s="229"/>
      <c r="B13" s="224" t="s">
        <v>16</v>
      </c>
      <c r="C13" s="231"/>
      <c r="D13" s="12"/>
      <c r="E13" s="13">
        <f>SUM(E11:E11)</f>
        <v>35960000000</v>
      </c>
      <c r="F13" s="28">
        <f>SUM(F11)</f>
        <v>17874853801.16959</v>
      </c>
      <c r="G13" s="28">
        <f>SUM(G11:G12)</f>
        <v>713875430</v>
      </c>
    </row>
    <row r="14" spans="1:16" ht="15" customHeight="1">
      <c r="A14" s="229" t="s">
        <v>21</v>
      </c>
      <c r="B14" s="221" t="s">
        <v>8</v>
      </c>
      <c r="C14" s="15" t="s">
        <v>22</v>
      </c>
      <c r="D14" s="11" t="s">
        <v>23</v>
      </c>
      <c r="E14" s="16">
        <v>899263068</v>
      </c>
      <c r="F14" s="16">
        <f>H14*8</f>
        <v>599508712</v>
      </c>
      <c r="G14" s="16">
        <f>F14</f>
        <v>599508712</v>
      </c>
      <c r="H14" s="26">
        <f>E14/12</f>
        <v>74938589</v>
      </c>
      <c r="I14" s="26"/>
      <c r="K14" s="26">
        <v>34200000000</v>
      </c>
      <c r="L14" s="2">
        <v>171</v>
      </c>
    </row>
    <row r="15" spans="1:16" ht="15" hidden="1" customHeight="1">
      <c r="A15" s="229"/>
      <c r="B15" s="221"/>
      <c r="C15" s="15" t="s">
        <v>24</v>
      </c>
      <c r="D15" s="11"/>
      <c r="E15" s="16"/>
      <c r="F15" s="16"/>
      <c r="G15" s="16">
        <v>300000000</v>
      </c>
      <c r="H15" s="26"/>
      <c r="I15" s="26"/>
      <c r="K15" s="26">
        <v>26000000000</v>
      </c>
    </row>
    <row r="16" spans="1:16">
      <c r="A16" s="229"/>
      <c r="B16" s="221"/>
      <c r="C16" s="17" t="s">
        <v>25</v>
      </c>
      <c r="D16" s="18" t="s">
        <v>26</v>
      </c>
      <c r="E16" s="16">
        <v>171263567</v>
      </c>
      <c r="F16" s="16">
        <v>100318471</v>
      </c>
      <c r="G16" s="16">
        <v>148089171.97452229</v>
      </c>
      <c r="H16" s="43"/>
      <c r="I16" s="43"/>
      <c r="K16" s="26"/>
    </row>
    <row r="17" spans="1:16" hidden="1">
      <c r="A17" s="229"/>
      <c r="B17" s="35"/>
      <c r="C17" s="17" t="s">
        <v>27</v>
      </c>
      <c r="D17" s="18"/>
      <c r="E17" s="16"/>
      <c r="F17" s="16"/>
      <c r="G17" s="16">
        <v>800000000</v>
      </c>
      <c r="H17" s="43"/>
      <c r="I17" s="43"/>
      <c r="K17" s="26">
        <f>K15/H11</f>
        <v>123.63737486095661</v>
      </c>
    </row>
    <row r="18" spans="1:16">
      <c r="A18" s="229"/>
      <c r="B18" s="232" t="s">
        <v>28</v>
      </c>
      <c r="C18" s="17" t="s">
        <v>29</v>
      </c>
      <c r="D18" s="11" t="s">
        <v>30</v>
      </c>
      <c r="E18" s="16">
        <v>373673365</v>
      </c>
      <c r="F18" s="16">
        <f>H18*8</f>
        <v>249115576.66666666</v>
      </c>
      <c r="G18" s="16">
        <f>F18</f>
        <v>249115576.66666666</v>
      </c>
      <c r="H18" s="26">
        <f>E18/12</f>
        <v>31139447.083333332</v>
      </c>
      <c r="I18" s="26"/>
    </row>
    <row r="19" spans="1:16">
      <c r="A19" s="229"/>
      <c r="B19" s="233"/>
      <c r="C19" s="22" t="s">
        <v>31</v>
      </c>
      <c r="D19" s="11"/>
      <c r="E19" s="16">
        <v>40000000</v>
      </c>
      <c r="F19" s="16">
        <f>E19</f>
        <v>40000000</v>
      </c>
      <c r="G19" s="16">
        <v>50000000</v>
      </c>
    </row>
    <row r="20" spans="1:16" ht="15.75" thickBot="1">
      <c r="A20" s="229"/>
      <c r="B20" s="224" t="s">
        <v>16</v>
      </c>
      <c r="C20" s="224"/>
      <c r="D20" s="21"/>
      <c r="E20" s="13">
        <f>SUM(E14:E19)</f>
        <v>1484200000</v>
      </c>
      <c r="F20" s="29">
        <f>SUM(F14:F19)</f>
        <v>988942759.66666663</v>
      </c>
      <c r="G20" s="28">
        <f>SUM(G14:G19)</f>
        <v>2146713460.6411891</v>
      </c>
    </row>
    <row r="21" spans="1:16" ht="16.5" thickTop="1" thickBot="1">
      <c r="A21" s="234" t="s">
        <v>32</v>
      </c>
      <c r="B21" s="235"/>
      <c r="C21" s="235"/>
      <c r="D21" s="19"/>
      <c r="E21" s="20">
        <f>E20+E13+E10</f>
        <v>40000000000</v>
      </c>
      <c r="F21" s="27">
        <f>F20+F13+F10</f>
        <v>20499735034.292397</v>
      </c>
      <c r="G21" s="31">
        <v>31000000000</v>
      </c>
      <c r="H21" s="44"/>
      <c r="I21" s="45">
        <f>G21-G20-G12</f>
        <v>28139411109.35881</v>
      </c>
      <c r="J21" s="44"/>
      <c r="K21" s="44"/>
      <c r="L21" s="44"/>
      <c r="M21" s="44"/>
      <c r="N21" s="44"/>
      <c r="O21" s="44"/>
      <c r="P21" s="44"/>
    </row>
    <row r="22" spans="1:16" s="2" customFormat="1">
      <c r="C22" s="3"/>
      <c r="D22" s="3"/>
      <c r="E22" s="6"/>
      <c r="F22" s="6"/>
      <c r="G22" s="6">
        <f>G21-G20-G13-G10</f>
        <v>26272511109.35881</v>
      </c>
      <c r="I22" s="26" t="e">
        <f>I21-#REF!-#REF!</f>
        <v>#REF!</v>
      </c>
    </row>
    <row r="23" spans="1:16" s="2" customFormat="1" hidden="1">
      <c r="C23" s="3"/>
      <c r="D23" s="3"/>
      <c r="E23" s="26"/>
      <c r="F23" s="26"/>
      <c r="G23" s="26"/>
      <c r="H23" s="26"/>
      <c r="I23" s="26" t="e">
        <f>I22/200000000</f>
        <v>#REF!</v>
      </c>
      <c r="K23" s="26"/>
    </row>
    <row r="24" spans="1:16" s="2" customFormat="1" hidden="1">
      <c r="C24" s="3"/>
      <c r="D24" s="3"/>
      <c r="E24" s="26">
        <f>E21/1.0048</f>
        <v>39808917197.452232</v>
      </c>
      <c r="F24" s="26">
        <f>F21/1.0048</f>
        <v>20401806363.746414</v>
      </c>
      <c r="G24" s="26">
        <f>G21/1.0048</f>
        <v>30851910828.025482</v>
      </c>
      <c r="I24" s="26" t="e">
        <f>I23*1.1</f>
        <v>#REF!</v>
      </c>
      <c r="J24" s="2" t="s">
        <v>33</v>
      </c>
      <c r="K24" s="26"/>
      <c r="L24" s="4"/>
    </row>
    <row r="25" spans="1:16" s="2" customFormat="1" hidden="1">
      <c r="C25" s="3"/>
      <c r="D25" s="3"/>
      <c r="E25" s="26">
        <f>E24*0.48%</f>
        <v>191082802.54777071</v>
      </c>
      <c r="F25" s="26">
        <f>F24*0.48%</f>
        <v>97928670.545982778</v>
      </c>
      <c r="G25" s="26">
        <f>G24*0.48%</f>
        <v>148089171.97452229</v>
      </c>
      <c r="I25" s="26" t="e">
        <f>I24*1.15</f>
        <v>#REF!</v>
      </c>
      <c r="J25" s="2" t="s">
        <v>34</v>
      </c>
      <c r="K25" s="26"/>
      <c r="L25" s="4"/>
    </row>
    <row r="26" spans="1:16" s="2" customFormat="1" hidden="1">
      <c r="C26" s="3"/>
      <c r="D26" s="3"/>
      <c r="E26" s="26">
        <f>E24+E25</f>
        <v>40000000000</v>
      </c>
      <c r="F26" s="26">
        <f>F24+F25</f>
        <v>20499735034.292397</v>
      </c>
      <c r="G26" s="26">
        <f>G24+G25</f>
        <v>31000000000.000004</v>
      </c>
      <c r="I26" s="26" t="e">
        <f>I25/32</f>
        <v>#REF!</v>
      </c>
      <c r="K26" s="26"/>
      <c r="L26" s="4"/>
    </row>
    <row r="27" spans="1:16" s="2" customFormat="1" hidden="1">
      <c r="C27" s="3"/>
      <c r="D27" s="3"/>
      <c r="E27" s="26"/>
      <c r="F27" s="26"/>
      <c r="G27" s="26"/>
      <c r="I27" s="26" t="e">
        <f>I25-14</f>
        <v>#REF!</v>
      </c>
      <c r="J27" s="33" t="s">
        <v>35</v>
      </c>
    </row>
    <row r="28" spans="1:16" s="2" customFormat="1" hidden="1">
      <c r="C28" s="3"/>
      <c r="D28" s="3"/>
      <c r="E28" s="26"/>
      <c r="F28" s="26"/>
      <c r="G28" s="26"/>
      <c r="I28" s="34" t="e">
        <f>I27/27</f>
        <v>#REF!</v>
      </c>
    </row>
    <row r="29" spans="1:16" s="2" customFormat="1" hidden="1">
      <c r="C29" s="3"/>
      <c r="D29" s="3"/>
      <c r="E29" s="26"/>
      <c r="F29" s="26"/>
      <c r="G29" s="26"/>
    </row>
    <row r="30" spans="1:16" s="2" customFormat="1" hidden="1">
      <c r="C30" s="3"/>
      <c r="D30" s="3"/>
      <c r="I30" s="26" t="e">
        <f>I22-G7-G9</f>
        <v>#REF!</v>
      </c>
    </row>
    <row r="31" spans="1:16" s="2" customFormat="1" hidden="1">
      <c r="C31" s="3"/>
      <c r="D31" s="3"/>
      <c r="I31" s="26" t="e">
        <f>I30/200000000</f>
        <v>#REF!</v>
      </c>
    </row>
    <row r="32" spans="1:16" s="2" customFormat="1" hidden="1">
      <c r="C32" s="3"/>
      <c r="D32" s="3"/>
      <c r="I32" s="26" t="e">
        <f>I31-7</f>
        <v>#REF!</v>
      </c>
    </row>
    <row r="33" spans="3:9" s="2" customFormat="1" hidden="1">
      <c r="C33" s="3"/>
      <c r="D33" s="3"/>
      <c r="I33" s="26" t="e">
        <f>I32/27</f>
        <v>#REF!</v>
      </c>
    </row>
    <row r="34" spans="3:9" s="2" customFormat="1" hidden="1">
      <c r="C34" s="3"/>
      <c r="D34" s="3"/>
    </row>
    <row r="35" spans="3:9" s="2" customFormat="1" hidden="1">
      <c r="C35" s="3"/>
      <c r="D35" s="3"/>
    </row>
    <row r="36" spans="3:9" s="2" customFormat="1" hidden="1">
      <c r="C36" s="3"/>
      <c r="D36" s="3"/>
    </row>
    <row r="37" spans="3:9" s="2" customFormat="1" hidden="1">
      <c r="C37" s="3"/>
      <c r="D37" s="3"/>
    </row>
    <row r="38" spans="3:9" s="2" customFormat="1" hidden="1">
      <c r="C38" s="3"/>
      <c r="D38" s="3"/>
    </row>
    <row r="39" spans="3:9" s="2" customFormat="1" hidden="1">
      <c r="C39" s="3"/>
      <c r="D39" s="3"/>
    </row>
    <row r="40" spans="3:9" s="2" customFormat="1" hidden="1">
      <c r="C40" s="3"/>
      <c r="D40" s="3"/>
    </row>
    <row r="41" spans="3:9" s="2" customFormat="1" hidden="1">
      <c r="C41" s="3"/>
      <c r="D41" s="3"/>
    </row>
    <row r="42" spans="3:9" s="2" customFormat="1" hidden="1">
      <c r="C42" s="3"/>
      <c r="D42" s="3"/>
    </row>
    <row r="43" spans="3:9" s="2" customFormat="1" hidden="1">
      <c r="C43" s="3"/>
      <c r="D43" s="3"/>
    </row>
    <row r="44" spans="3:9" s="2" customFormat="1" hidden="1">
      <c r="C44" s="3"/>
      <c r="D44" s="3"/>
    </row>
    <row r="45" spans="3:9" s="2" customFormat="1" hidden="1">
      <c r="C45" s="3"/>
      <c r="D45" s="3"/>
    </row>
    <row r="46" spans="3:9" s="2" customFormat="1" hidden="1">
      <c r="C46" s="3"/>
      <c r="D46" s="3"/>
    </row>
    <row r="47" spans="3:9" s="2" customFormat="1" hidden="1">
      <c r="C47" s="3"/>
      <c r="D47" s="3"/>
    </row>
    <row r="48" spans="3:9" s="2" customFormat="1" hidden="1">
      <c r="C48" s="3"/>
      <c r="D48" s="3"/>
    </row>
    <row r="49" spans="3:4" s="2" customFormat="1" hidden="1">
      <c r="C49" s="3"/>
      <c r="D49" s="3"/>
    </row>
    <row r="50" spans="3:4" s="2" customFormat="1" hidden="1">
      <c r="C50" s="3"/>
      <c r="D50" s="3"/>
    </row>
    <row r="51" spans="3:4" s="2" customFormat="1" hidden="1">
      <c r="C51" s="3"/>
      <c r="D51" s="3"/>
    </row>
    <row r="52" spans="3:4" s="2" customFormat="1" hidden="1">
      <c r="C52" s="3"/>
      <c r="D52" s="3"/>
    </row>
    <row r="53" spans="3:4" s="2" customFormat="1" hidden="1">
      <c r="C53" s="3"/>
      <c r="D53" s="3"/>
    </row>
    <row r="54" spans="3:4" s="2" customFormat="1" hidden="1">
      <c r="C54" s="3"/>
      <c r="D54" s="3"/>
    </row>
    <row r="55" spans="3:4" s="2" customFormat="1" hidden="1">
      <c r="C55" s="3"/>
      <c r="D55" s="3"/>
    </row>
    <row r="56" spans="3:4" s="2" customFormat="1" hidden="1">
      <c r="C56" s="3"/>
      <c r="D56" s="3"/>
    </row>
    <row r="57" spans="3:4" s="2" customFormat="1" hidden="1">
      <c r="C57" s="3"/>
      <c r="D57" s="3"/>
    </row>
    <row r="58" spans="3:4" s="2" customFormat="1" hidden="1">
      <c r="C58" s="3"/>
      <c r="D58" s="3"/>
    </row>
    <row r="59" spans="3:4" s="2" customFormat="1" hidden="1">
      <c r="C59" s="3"/>
      <c r="D59" s="3"/>
    </row>
    <row r="60" spans="3:4" s="2" customFormat="1" hidden="1">
      <c r="C60" s="3"/>
      <c r="D60" s="3"/>
    </row>
    <row r="61" spans="3:4" s="2" customFormat="1" hidden="1">
      <c r="C61" s="3"/>
      <c r="D61" s="3"/>
    </row>
    <row r="62" spans="3:4" s="2" customFormat="1" hidden="1">
      <c r="C62" s="3"/>
      <c r="D62" s="3"/>
    </row>
    <row r="63" spans="3:4" s="2" customFormat="1" hidden="1">
      <c r="C63" s="3"/>
      <c r="D63" s="3"/>
    </row>
    <row r="64" spans="3:4" s="2" customFormat="1" hidden="1">
      <c r="C64" s="3"/>
      <c r="D64" s="3"/>
    </row>
    <row r="65" spans="3:5" s="2" customFormat="1" hidden="1">
      <c r="C65" s="3"/>
      <c r="D65" s="3"/>
    </row>
    <row r="66" spans="3:5" s="2" customFormat="1" hidden="1">
      <c r="C66" s="3"/>
      <c r="D66" s="3"/>
    </row>
    <row r="67" spans="3:5" s="2" customFormat="1" hidden="1">
      <c r="C67" s="3"/>
      <c r="D67" s="3"/>
    </row>
    <row r="68" spans="3:5" s="2" customFormat="1" hidden="1">
      <c r="C68" s="3"/>
      <c r="D68" s="3"/>
    </row>
    <row r="69" spans="3:5" s="2" customFormat="1" hidden="1">
      <c r="C69" s="3"/>
      <c r="D69" s="3"/>
    </row>
    <row r="70" spans="3:5" s="2" customFormat="1" hidden="1">
      <c r="C70" s="3"/>
      <c r="D70" s="3"/>
    </row>
    <row r="71" spans="3:5" s="2" customFormat="1" hidden="1">
      <c r="C71" s="3"/>
      <c r="D71" s="3"/>
    </row>
    <row r="72" spans="3:5" s="2" customFormat="1">
      <c r="C72" s="3"/>
      <c r="D72" s="3"/>
      <c r="E72" s="26"/>
    </row>
    <row r="73" spans="3:5" s="2" customFormat="1">
      <c r="C73" s="3"/>
      <c r="D73" s="3"/>
    </row>
    <row r="74" spans="3:5" s="2" customFormat="1">
      <c r="C74" s="3"/>
      <c r="D74" s="3"/>
    </row>
    <row r="75" spans="3:5" s="2" customFormat="1">
      <c r="C75" s="3"/>
      <c r="D75" s="3"/>
    </row>
    <row r="76" spans="3:5" s="2" customFormat="1">
      <c r="C76" s="3"/>
      <c r="D76" s="3"/>
    </row>
    <row r="77" spans="3:5" s="2" customFormat="1">
      <c r="C77" s="3"/>
      <c r="D77" s="3"/>
    </row>
    <row r="78" spans="3:5" s="2" customFormat="1">
      <c r="C78" s="3"/>
      <c r="D78" s="3"/>
    </row>
    <row r="79" spans="3:5" s="2" customFormat="1">
      <c r="C79" s="3"/>
      <c r="D79" s="3"/>
    </row>
    <row r="80" spans="3:5" s="2" customFormat="1">
      <c r="C80" s="3"/>
      <c r="D80" s="3"/>
    </row>
    <row r="81" spans="3:4" s="2" customFormat="1">
      <c r="C81" s="3"/>
      <c r="D81" s="3"/>
    </row>
    <row r="82" spans="3:4" s="2" customFormat="1">
      <c r="C82" s="3"/>
      <c r="D82" s="3"/>
    </row>
    <row r="83" spans="3:4" s="2" customFormat="1">
      <c r="C83" s="3"/>
      <c r="D83" s="3"/>
    </row>
    <row r="84" spans="3:4" s="2" customFormat="1">
      <c r="C84" s="3"/>
      <c r="D84" s="3"/>
    </row>
    <row r="85" spans="3:4" s="2" customFormat="1">
      <c r="C85" s="3"/>
      <c r="D85" s="3"/>
    </row>
    <row r="86" spans="3:4" s="2" customFormat="1">
      <c r="C86" s="3"/>
      <c r="D86" s="3"/>
    </row>
    <row r="87" spans="3:4" s="2" customFormat="1">
      <c r="C87" s="3"/>
      <c r="D87" s="3"/>
    </row>
    <row r="88" spans="3:4" s="2" customFormat="1">
      <c r="C88" s="3"/>
      <c r="D88" s="3"/>
    </row>
    <row r="89" spans="3:4" s="2" customFormat="1">
      <c r="C89" s="3"/>
      <c r="D89" s="3"/>
    </row>
    <row r="90" spans="3:4" s="2" customFormat="1">
      <c r="C90" s="3"/>
      <c r="D90" s="3"/>
    </row>
    <row r="91" spans="3:4" s="2" customFormat="1">
      <c r="C91" s="3"/>
      <c r="D91" s="3"/>
    </row>
    <row r="92" spans="3:4" s="2" customFormat="1">
      <c r="C92" s="3"/>
      <c r="D92" s="3"/>
    </row>
    <row r="93" spans="3:4" s="2" customFormat="1">
      <c r="C93" s="3"/>
      <c r="D93" s="3"/>
    </row>
    <row r="94" spans="3:4" s="2" customFormat="1">
      <c r="C94" s="3"/>
      <c r="D94" s="3"/>
    </row>
    <row r="95" spans="3:4" s="2" customFormat="1">
      <c r="C95" s="3"/>
      <c r="D95" s="3"/>
    </row>
    <row r="96" spans="3:4" s="2" customFormat="1">
      <c r="C96" s="3"/>
      <c r="D96" s="3"/>
    </row>
    <row r="97" spans="3:4" s="2" customFormat="1">
      <c r="C97" s="3"/>
      <c r="D97" s="3"/>
    </row>
    <row r="98" spans="3:4" s="2" customFormat="1">
      <c r="C98" s="3"/>
      <c r="D98" s="3"/>
    </row>
    <row r="99" spans="3:4" s="2" customFormat="1">
      <c r="C99" s="3"/>
      <c r="D99" s="3"/>
    </row>
    <row r="100" spans="3:4" s="2" customFormat="1">
      <c r="C100" s="3"/>
      <c r="D100" s="3"/>
    </row>
    <row r="101" spans="3:4" s="2" customFormat="1">
      <c r="C101" s="3"/>
      <c r="D101" s="3"/>
    </row>
    <row r="102" spans="3:4" s="2" customFormat="1">
      <c r="C102" s="3"/>
      <c r="D102" s="3"/>
    </row>
    <row r="103" spans="3:4" s="2" customFormat="1">
      <c r="C103" s="3"/>
      <c r="D103" s="3"/>
    </row>
    <row r="104" spans="3:4" s="2" customFormat="1">
      <c r="C104" s="3"/>
      <c r="D104" s="3"/>
    </row>
    <row r="105" spans="3:4" s="2" customFormat="1">
      <c r="C105" s="3"/>
      <c r="D105" s="3"/>
    </row>
    <row r="106" spans="3:4" s="2" customFormat="1">
      <c r="C106" s="3"/>
      <c r="D106" s="3"/>
    </row>
    <row r="107" spans="3:4" s="2" customFormat="1">
      <c r="C107" s="3"/>
      <c r="D107" s="3"/>
    </row>
    <row r="108" spans="3:4" s="2" customFormat="1">
      <c r="C108" s="3"/>
      <c r="D108" s="3"/>
    </row>
    <row r="109" spans="3:4" s="2" customFormat="1">
      <c r="C109" s="3"/>
      <c r="D109" s="3"/>
    </row>
    <row r="110" spans="3:4" s="2" customFormat="1">
      <c r="C110" s="3"/>
      <c r="D110" s="3"/>
    </row>
    <row r="111" spans="3:4" s="2" customFormat="1">
      <c r="C111" s="3"/>
      <c r="D111" s="3"/>
    </row>
    <row r="112" spans="3:4" s="2" customFormat="1">
      <c r="C112" s="3"/>
      <c r="D112" s="3"/>
    </row>
    <row r="113" spans="3:4" s="2" customFormat="1">
      <c r="C113" s="3"/>
      <c r="D113" s="3"/>
    </row>
    <row r="114" spans="3:4" s="2" customFormat="1">
      <c r="C114" s="3"/>
      <c r="D114" s="3"/>
    </row>
    <row r="115" spans="3:4" s="2" customFormat="1">
      <c r="C115" s="3"/>
      <c r="D115" s="3"/>
    </row>
    <row r="116" spans="3:4" s="2" customFormat="1">
      <c r="C116" s="3"/>
      <c r="D116" s="3"/>
    </row>
    <row r="117" spans="3:4" s="2" customFormat="1">
      <c r="C117" s="3"/>
      <c r="D117" s="3"/>
    </row>
    <row r="118" spans="3:4" s="2" customFormat="1">
      <c r="C118" s="3"/>
      <c r="D118" s="3"/>
    </row>
    <row r="119" spans="3:4" s="2" customFormat="1">
      <c r="C119" s="3"/>
      <c r="D119" s="3"/>
    </row>
    <row r="120" spans="3:4" s="2" customFormat="1">
      <c r="C120" s="3"/>
      <c r="D120" s="3"/>
    </row>
    <row r="121" spans="3:4" s="2" customFormat="1">
      <c r="C121" s="3"/>
      <c r="D121" s="3"/>
    </row>
    <row r="122" spans="3:4" s="2" customFormat="1">
      <c r="C122" s="3"/>
      <c r="D122" s="3"/>
    </row>
    <row r="123" spans="3:4" s="2" customFormat="1">
      <c r="C123" s="3"/>
      <c r="D123" s="3"/>
    </row>
    <row r="124" spans="3:4" s="2" customFormat="1">
      <c r="C124" s="3"/>
      <c r="D124" s="3"/>
    </row>
    <row r="125" spans="3:4" s="2" customFormat="1">
      <c r="C125" s="3"/>
      <c r="D125" s="3"/>
    </row>
    <row r="126" spans="3:4" s="2" customFormat="1">
      <c r="C126" s="3"/>
      <c r="D126" s="3"/>
    </row>
    <row r="127" spans="3:4" s="2" customFormat="1">
      <c r="C127" s="3"/>
      <c r="D127" s="3"/>
    </row>
    <row r="128" spans="3:4" s="2" customFormat="1">
      <c r="C128" s="3"/>
      <c r="D128" s="3"/>
    </row>
    <row r="129" spans="3:4" s="2" customFormat="1">
      <c r="C129" s="3"/>
      <c r="D129" s="3"/>
    </row>
    <row r="130" spans="3:4" s="2" customFormat="1">
      <c r="C130" s="3"/>
      <c r="D130" s="3"/>
    </row>
    <row r="131" spans="3:4" s="2" customFormat="1">
      <c r="C131" s="3"/>
      <c r="D131" s="3"/>
    </row>
    <row r="132" spans="3:4" s="2" customFormat="1">
      <c r="C132" s="3"/>
      <c r="D132" s="3"/>
    </row>
    <row r="133" spans="3:4" s="2" customFormat="1">
      <c r="C133" s="3"/>
      <c r="D133" s="3"/>
    </row>
    <row r="134" spans="3:4" s="2" customFormat="1">
      <c r="C134" s="3"/>
      <c r="D134" s="3"/>
    </row>
    <row r="135" spans="3:4" s="2" customFormat="1">
      <c r="C135" s="3"/>
      <c r="D135" s="3"/>
    </row>
    <row r="136" spans="3:4" s="2" customFormat="1">
      <c r="C136" s="3"/>
      <c r="D136" s="3"/>
    </row>
    <row r="137" spans="3:4" s="2" customFormat="1">
      <c r="C137" s="3"/>
      <c r="D137" s="3"/>
    </row>
    <row r="138" spans="3:4" s="2" customFormat="1">
      <c r="C138" s="3"/>
      <c r="D138" s="3"/>
    </row>
    <row r="139" spans="3:4" s="2" customFormat="1">
      <c r="C139" s="3"/>
      <c r="D139" s="3"/>
    </row>
    <row r="140" spans="3:4" s="2" customFormat="1">
      <c r="C140" s="3"/>
      <c r="D140" s="3"/>
    </row>
    <row r="141" spans="3:4" s="2" customFormat="1">
      <c r="C141" s="3"/>
      <c r="D141" s="3"/>
    </row>
    <row r="142" spans="3:4" s="2" customFormat="1">
      <c r="C142" s="3"/>
      <c r="D142" s="3"/>
    </row>
    <row r="143" spans="3:4" s="2" customFormat="1">
      <c r="C143" s="3"/>
      <c r="D143" s="3"/>
    </row>
    <row r="144" spans="3:4" s="2" customFormat="1">
      <c r="C144" s="3"/>
      <c r="D144" s="3"/>
    </row>
    <row r="145" spans="3:4" s="2" customFormat="1">
      <c r="C145" s="3"/>
      <c r="D145" s="3"/>
    </row>
    <row r="146" spans="3:4" s="2" customFormat="1">
      <c r="C146" s="3"/>
      <c r="D146" s="3"/>
    </row>
    <row r="147" spans="3:4" s="2" customFormat="1">
      <c r="C147" s="3"/>
      <c r="D147" s="3"/>
    </row>
    <row r="148" spans="3:4" s="2" customFormat="1">
      <c r="C148" s="3"/>
      <c r="D148" s="3"/>
    </row>
    <row r="149" spans="3:4" s="2" customFormat="1">
      <c r="C149" s="3"/>
      <c r="D149" s="3"/>
    </row>
    <row r="150" spans="3:4" s="2" customFormat="1">
      <c r="C150" s="3"/>
      <c r="D150" s="3"/>
    </row>
    <row r="151" spans="3:4" s="2" customFormat="1">
      <c r="C151" s="3"/>
      <c r="D151" s="3"/>
    </row>
    <row r="152" spans="3:4" s="2" customFormat="1">
      <c r="C152" s="3"/>
      <c r="D152" s="3"/>
    </row>
    <row r="153" spans="3:4" s="2" customFormat="1">
      <c r="C153" s="3"/>
      <c r="D153" s="3"/>
    </row>
    <row r="154" spans="3:4" s="2" customFormat="1">
      <c r="C154" s="3"/>
      <c r="D154" s="3"/>
    </row>
    <row r="155" spans="3:4" s="2" customFormat="1">
      <c r="C155" s="3"/>
      <c r="D155" s="3"/>
    </row>
    <row r="156" spans="3:4" s="2" customFormat="1">
      <c r="C156" s="3"/>
      <c r="D156" s="3"/>
    </row>
    <row r="157" spans="3:4" s="2" customFormat="1">
      <c r="C157" s="3"/>
      <c r="D157" s="3"/>
    </row>
    <row r="158" spans="3:4" s="2" customFormat="1">
      <c r="C158" s="3"/>
      <c r="D158" s="3"/>
    </row>
    <row r="159" spans="3:4" s="2" customFormat="1">
      <c r="C159" s="3"/>
      <c r="D159" s="3"/>
    </row>
    <row r="160" spans="3:4" s="2" customFormat="1">
      <c r="C160" s="3"/>
      <c r="D160" s="3"/>
    </row>
    <row r="161" spans="3:4" s="2" customFormat="1">
      <c r="C161" s="3"/>
      <c r="D161" s="3"/>
    </row>
    <row r="162" spans="3:4" s="2" customFormat="1">
      <c r="C162" s="3"/>
      <c r="D162" s="3"/>
    </row>
    <row r="163" spans="3:4" s="2" customFormat="1">
      <c r="C163" s="3"/>
      <c r="D163" s="3"/>
    </row>
    <row r="164" spans="3:4" s="2" customFormat="1">
      <c r="C164" s="3"/>
      <c r="D164" s="3"/>
    </row>
    <row r="165" spans="3:4" s="2" customFormat="1">
      <c r="C165" s="3"/>
      <c r="D165" s="3"/>
    </row>
    <row r="166" spans="3:4" s="2" customFormat="1">
      <c r="C166" s="3"/>
      <c r="D166" s="3"/>
    </row>
    <row r="167" spans="3:4" s="2" customFormat="1">
      <c r="C167" s="3"/>
      <c r="D167" s="3"/>
    </row>
    <row r="168" spans="3:4" s="2" customFormat="1">
      <c r="C168" s="3"/>
      <c r="D168" s="3"/>
    </row>
    <row r="169" spans="3:4" s="2" customFormat="1">
      <c r="C169" s="3"/>
      <c r="D169" s="3"/>
    </row>
    <row r="170" spans="3:4" s="2" customFormat="1">
      <c r="C170" s="3"/>
      <c r="D170" s="3"/>
    </row>
    <row r="171" spans="3:4" s="2" customFormat="1">
      <c r="C171" s="3"/>
      <c r="D171" s="3"/>
    </row>
    <row r="172" spans="3:4" s="2" customFormat="1">
      <c r="C172" s="3"/>
      <c r="D172" s="3"/>
    </row>
    <row r="173" spans="3:4" s="2" customFormat="1">
      <c r="C173" s="3"/>
      <c r="D173" s="3"/>
    </row>
    <row r="174" spans="3:4" s="2" customFormat="1">
      <c r="C174" s="3"/>
      <c r="D174" s="3"/>
    </row>
    <row r="175" spans="3:4" s="2" customFormat="1">
      <c r="C175" s="3"/>
      <c r="D175" s="3"/>
    </row>
    <row r="176" spans="3:4" s="2" customFormat="1">
      <c r="C176" s="3"/>
      <c r="D176" s="3"/>
    </row>
    <row r="177" spans="3:4" s="2" customFormat="1">
      <c r="C177" s="3"/>
      <c r="D177" s="3"/>
    </row>
    <row r="178" spans="3:4" s="2" customFormat="1">
      <c r="C178" s="3"/>
      <c r="D178" s="3"/>
    </row>
  </sheetData>
  <mergeCells count="11">
    <mergeCell ref="A5:P5"/>
    <mergeCell ref="A7:A10"/>
    <mergeCell ref="B18:B19"/>
    <mergeCell ref="A21:C21"/>
    <mergeCell ref="A14:A20"/>
    <mergeCell ref="B20:C20"/>
    <mergeCell ref="B10:C10"/>
    <mergeCell ref="A11:A13"/>
    <mergeCell ref="B13:C13"/>
    <mergeCell ref="B14:B16"/>
    <mergeCell ref="B7:B9"/>
  </mergeCells>
  <pageMargins left="0.70866141732283472" right="0.70866141732283472" top="0.74803149606299213" bottom="0.74803149606299213" header="0.31496062992125984" footer="0.31496062992125984"/>
  <pageSetup scale="19" orientation="landscape" r:id="rId1"/>
  <ignoredErrors>
    <ignoredError sqref="F10:G10" formula="1"/>
  </ignoredError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1"/>
  </sheetPr>
  <dimension ref="A2:E25"/>
  <sheetViews>
    <sheetView zoomScale="110" zoomScaleNormal="110" workbookViewId="0">
      <selection activeCell="C1" sqref="C1"/>
    </sheetView>
  </sheetViews>
  <sheetFormatPr baseColWidth="10" defaultRowHeight="15"/>
  <cols>
    <col min="1" max="1" width="26" customWidth="1"/>
    <col min="2" max="2" width="12.7109375" customWidth="1"/>
    <col min="3" max="3" width="17.140625" customWidth="1"/>
    <col min="4" max="4" width="10.5703125" customWidth="1"/>
    <col min="5" max="5" width="10.42578125" customWidth="1"/>
  </cols>
  <sheetData>
    <row r="2" spans="1:5" ht="18.75">
      <c r="A2" s="95" t="s">
        <v>78</v>
      </c>
    </row>
    <row r="4" spans="1:5" ht="30">
      <c r="A4" s="94" t="s">
        <v>75</v>
      </c>
      <c r="B4" s="94" t="s">
        <v>74</v>
      </c>
      <c r="C4" s="130" t="s">
        <v>76</v>
      </c>
    </row>
    <row r="5" spans="1:5">
      <c r="A5" s="5" t="s">
        <v>72</v>
      </c>
      <c r="B5" s="90">
        <f>'Avance 2020'!J22</f>
        <v>0.99827426000410757</v>
      </c>
      <c r="C5" s="91">
        <v>0.5</v>
      </c>
    </row>
    <row r="6" spans="1:5">
      <c r="A6" s="5" t="s">
        <v>73</v>
      </c>
      <c r="B6" s="92">
        <f>'Avance 2021'!L31</f>
        <v>0.98471398076277894</v>
      </c>
      <c r="C6" s="91">
        <v>0.5</v>
      </c>
    </row>
    <row r="7" spans="1:5">
      <c r="A7" s="5" t="s">
        <v>77</v>
      </c>
      <c r="B7" s="93">
        <f>(B5+B6)/2</f>
        <v>0.99149412038344331</v>
      </c>
      <c r="C7" s="91">
        <f>C5+C6</f>
        <v>1</v>
      </c>
    </row>
    <row r="9" spans="1:5" ht="16.5">
      <c r="B9" s="122" t="s">
        <v>103</v>
      </c>
      <c r="C9" s="122"/>
      <c r="D9" s="122" t="s">
        <v>104</v>
      </c>
      <c r="E9" s="122"/>
    </row>
    <row r="10" spans="1:5" ht="16.5">
      <c r="A10" s="119" t="s">
        <v>92</v>
      </c>
      <c r="B10" s="120">
        <v>2020</v>
      </c>
      <c r="C10" s="121">
        <v>2021</v>
      </c>
      <c r="D10" s="120">
        <v>2020</v>
      </c>
      <c r="E10" s="121">
        <v>2021</v>
      </c>
    </row>
    <row r="11" spans="1:5" ht="16.5">
      <c r="A11" s="122" t="s">
        <v>93</v>
      </c>
      <c r="B11" s="123">
        <v>1</v>
      </c>
      <c r="C11" s="124">
        <v>1</v>
      </c>
      <c r="D11" s="129"/>
      <c r="E11" s="129"/>
    </row>
    <row r="12" spans="1:5" ht="16.5">
      <c r="A12" s="122" t="s">
        <v>94</v>
      </c>
      <c r="B12" s="123">
        <v>1</v>
      </c>
      <c r="C12" s="124">
        <v>0.55310000000000004</v>
      </c>
      <c r="D12" s="129"/>
      <c r="E12" s="129"/>
    </row>
    <row r="13" spans="1:5" ht="16.5">
      <c r="A13" s="122" t="s">
        <v>95</v>
      </c>
      <c r="B13" s="123">
        <v>1</v>
      </c>
      <c r="C13" s="124">
        <v>1</v>
      </c>
      <c r="D13" s="129"/>
      <c r="E13" s="129"/>
    </row>
    <row r="14" spans="1:5" ht="16.5">
      <c r="A14" s="122" t="s">
        <v>109</v>
      </c>
      <c r="B14" s="123">
        <v>1</v>
      </c>
      <c r="C14" s="124">
        <v>0.65</v>
      </c>
      <c r="D14" s="128">
        <f>(28%*70%)+ (14%*30%)</f>
        <v>0.23800000000000002</v>
      </c>
      <c r="E14" s="128">
        <f>(0%*70%)+ (0*30%)</f>
        <v>0</v>
      </c>
    </row>
    <row r="15" spans="1:5" ht="16.5">
      <c r="A15" s="122" t="s">
        <v>96</v>
      </c>
      <c r="B15" s="123">
        <v>1</v>
      </c>
      <c r="C15" s="124">
        <v>1</v>
      </c>
      <c r="D15" s="129"/>
      <c r="E15" s="129"/>
    </row>
    <row r="16" spans="1:5" ht="16.5">
      <c r="A16" s="122" t="s">
        <v>97</v>
      </c>
      <c r="B16" s="125">
        <f>'Avance 2020'!H17</f>
        <v>0.91501279767225674</v>
      </c>
      <c r="C16" s="126">
        <v>0.106</v>
      </c>
      <c r="D16" s="129"/>
      <c r="E16" s="129"/>
    </row>
    <row r="17" spans="1:5" ht="16.5">
      <c r="A17" s="122" t="s">
        <v>98</v>
      </c>
      <c r="B17" s="125">
        <f>'Avance 2020'!H18</f>
        <v>0.82509999999999994</v>
      </c>
      <c r="C17" s="126">
        <v>0.377</v>
      </c>
      <c r="D17" s="129"/>
      <c r="E17" s="129"/>
    </row>
    <row r="18" spans="1:5" ht="16.5">
      <c r="A18" s="122" t="s">
        <v>99</v>
      </c>
      <c r="B18" s="123">
        <v>1</v>
      </c>
      <c r="C18" s="126">
        <v>0.65859999999999996</v>
      </c>
      <c r="D18" s="129"/>
      <c r="E18" s="129"/>
    </row>
    <row r="19" spans="1:5" ht="16.5">
      <c r="A19" s="122" t="s">
        <v>100</v>
      </c>
      <c r="B19" s="127" t="s">
        <v>101</v>
      </c>
      <c r="C19" s="126">
        <v>0.22600000000000001</v>
      </c>
      <c r="D19" s="129"/>
      <c r="E19" s="129"/>
    </row>
    <row r="20" spans="1:5" ht="16.5">
      <c r="A20" s="122" t="s">
        <v>102</v>
      </c>
      <c r="B20" s="127" t="s">
        <v>101</v>
      </c>
      <c r="C20" s="126">
        <v>0.42799999999999999</v>
      </c>
      <c r="D20" s="129"/>
      <c r="E20" s="129"/>
    </row>
    <row r="21" spans="1:5" ht="16.5">
      <c r="A21" s="137" t="s">
        <v>105</v>
      </c>
      <c r="B21" s="131">
        <f>B5</f>
        <v>0.99827426000410757</v>
      </c>
      <c r="C21" s="124">
        <f>B6</f>
        <v>0.98471398076277894</v>
      </c>
      <c r="D21" s="128">
        <f>D14</f>
        <v>0.23800000000000002</v>
      </c>
      <c r="E21" s="128">
        <f>E14</f>
        <v>0</v>
      </c>
    </row>
    <row r="22" spans="1:5" ht="16.5">
      <c r="A22" s="138" t="s">
        <v>106</v>
      </c>
      <c r="B22" s="128">
        <f>B21*30%</f>
        <v>0.29948227800123228</v>
      </c>
      <c r="C22" s="128">
        <f>C21*30%</f>
        <v>0.29541419422883369</v>
      </c>
      <c r="D22" s="128">
        <f>D21*70%</f>
        <v>0.1666</v>
      </c>
      <c r="E22" s="128">
        <f>E21*70%</f>
        <v>0</v>
      </c>
    </row>
    <row r="23" spans="1:5" ht="16.5">
      <c r="A23" s="122" t="s">
        <v>107</v>
      </c>
      <c r="B23" s="128">
        <f>B22+D22</f>
        <v>0.46608227800123225</v>
      </c>
    </row>
    <row r="24" spans="1:5" ht="16.5">
      <c r="A24" s="122" t="s">
        <v>108</v>
      </c>
      <c r="B24" s="128">
        <f>C22+E22</f>
        <v>0.29541419422883369</v>
      </c>
    </row>
    <row r="25" spans="1:5">
      <c r="A25" s="118"/>
    </row>
  </sheetData>
  <hyperlinks>
    <hyperlink ref="A14" location="_ftn2" display="_ftn2" xr:uid="{00000000-0004-0000-0600-000000000000}"/>
  </hyperlink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CB76FD9558F17448959E12BEE3010FB" ma:contentTypeVersion="14" ma:contentTypeDescription="Crear nuevo documento." ma:contentTypeScope="" ma:versionID="346358dfb689a89b2fd6cca10cd96be5">
  <xsd:schema xmlns:xsd="http://www.w3.org/2001/XMLSchema" xmlns:xs="http://www.w3.org/2001/XMLSchema" xmlns:p="http://schemas.microsoft.com/office/2006/metadata/properties" xmlns:ns3="24534655-a7b0-4e42-b214-15c9cd64abfc" xmlns:ns4="616911a3-c91d-43bc-a231-27c924438f28" targetNamespace="http://schemas.microsoft.com/office/2006/metadata/properties" ma:root="true" ma:fieldsID="7708525fa91543354604bbb9f8545b74" ns3:_="" ns4:_="">
    <xsd:import namespace="24534655-a7b0-4e42-b214-15c9cd64abfc"/>
    <xsd:import namespace="616911a3-c91d-43bc-a231-27c924438f2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534655-a7b0-4e42-b214-15c9cd64ab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16911a3-c91d-43bc-a231-27c924438f28"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SharingHintHash" ma:index="19"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43264B3-6901-4BBC-A986-CB2AEDF6D3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4534655-a7b0-4e42-b214-15c9cd64abfc"/>
    <ds:schemaRef ds:uri="616911a3-c91d-43bc-a231-27c924438f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3ABCD18-BCC4-4133-A224-DFDAC6072517}">
  <ds:schemaRefs>
    <ds:schemaRef ds:uri="http://schemas.microsoft.com/sharepoint/v3/contenttype/forms"/>
  </ds:schemaRefs>
</ds:datastoreItem>
</file>

<file path=customXml/itemProps3.xml><?xml version="1.0" encoding="utf-8"?>
<ds:datastoreItem xmlns:ds="http://schemas.openxmlformats.org/officeDocument/2006/customXml" ds:itemID="{4E2F3C67-1DBF-491D-978A-74B42114054E}">
  <ds:schemaRefs>
    <ds:schemaRef ds:uri="http://purl.org/dc/dcmitype/"/>
    <ds:schemaRef ds:uri="616911a3-c91d-43bc-a231-27c924438f28"/>
    <ds:schemaRef ds:uri="http://schemas.microsoft.com/office/2006/metadata/properties"/>
    <ds:schemaRef ds:uri="http://schemas.microsoft.com/office/infopath/2007/PartnerControls"/>
    <ds:schemaRef ds:uri="http://www.w3.org/XML/1998/namespace"/>
    <ds:schemaRef ds:uri="http://schemas.microsoft.com/office/2006/documentManagement/types"/>
    <ds:schemaRef ds:uri="http://purl.org/dc/elements/1.1/"/>
    <ds:schemaRef ds:uri="http://schemas.openxmlformats.org/package/2006/metadata/core-properties"/>
    <ds:schemaRef ds:uri="24534655-a7b0-4e42-b214-15c9cd64abfc"/>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4</vt:i4>
      </vt:variant>
    </vt:vector>
  </HeadingPairs>
  <TitlesOfParts>
    <vt:vector size="13" baseType="lpstr">
      <vt:lpstr>Avance 2021 super</vt:lpstr>
      <vt:lpstr>Avance 2022 super</vt:lpstr>
      <vt:lpstr>Avance 2022</vt:lpstr>
      <vt:lpstr>Avance 2021</vt:lpstr>
      <vt:lpstr>Avance 2020</vt:lpstr>
      <vt:lpstr>2022</vt:lpstr>
      <vt:lpstr>2021</vt:lpstr>
      <vt:lpstr>2020</vt:lpstr>
      <vt:lpstr>Avance contrato</vt:lpstr>
      <vt:lpstr>'Avance contrato'!_ftn1</vt:lpstr>
      <vt:lpstr>'Avance contrato'!_ftn2</vt:lpstr>
      <vt:lpstr>'Avance contrato'!_ftnref1</vt:lpstr>
      <vt:lpstr>'Avance contrato'!_ftnref2</vt:lpstr>
    </vt:vector>
  </TitlesOfParts>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Melissa Carvajal Infante</dc:creator>
  <cp:lastModifiedBy>Adriana Mercedes Ibarra</cp:lastModifiedBy>
  <cp:revision/>
  <dcterms:created xsi:type="dcterms:W3CDTF">2018-07-16T21:48:44Z</dcterms:created>
  <dcterms:modified xsi:type="dcterms:W3CDTF">2023-11-19T23:09:37Z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0x0101003CB76FD9558F17448959E12BEE3010FB</vt:lpwstr>
  </property>
</Properties>
</file>