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/>
  <mc:AlternateContent xmlns:mc="http://schemas.openxmlformats.org/markup-compatibility/2006">
    <mc:Choice Requires="x15">
      <x15ac:absPath xmlns:x15ac="http://schemas.microsoft.com/office/spreadsheetml/2010/11/ac" url="F:\SEMÁFORO\"/>
    </mc:Choice>
  </mc:AlternateContent>
  <xr:revisionPtr revIDLastSave="0" documentId="8_{812D406C-E400-48D5-9A94-93E64240EAA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OLIDADO" sheetId="12" r:id="rId1"/>
    <sheet name="Pacífico" sheetId="18" r:id="rId2"/>
    <sheet name="Eje Cafetero" sheetId="22" r:id="rId3"/>
    <sheet name="Caribe I" sheetId="23" r:id="rId4"/>
    <sheet name="Caribe II" sheetId="24" r:id="rId5"/>
    <sheet name="Central" sheetId="25" r:id="rId6"/>
    <sheet name="Santanderes" sheetId="26" r:id="rId7"/>
    <sheet name="Llanos" sheetId="28" r:id="rId8"/>
    <sheet name="Amazonía" sheetId="27" r:id="rId9"/>
    <sheet name="Resumen" sheetId="29" r:id="rId10"/>
    <sheet name="INFORME CRIS" sheetId="32" r:id="rId11"/>
    <sheet name="Proyección Monitoreos" sheetId="33" state="hidden" r:id="rId12"/>
  </sheets>
  <definedNames>
    <definedName name="_xlnm._FilterDatabase" localSheetId="8" hidden="1">Amazonía!$A$27:$T$27</definedName>
    <definedName name="_xlnm._FilterDatabase" localSheetId="3" hidden="1">'Caribe I'!$B$2:$Q$20</definedName>
    <definedName name="_xlnm._FilterDatabase" localSheetId="4" hidden="1">'Caribe II'!$B$2:$Q$33</definedName>
    <definedName name="_xlnm._FilterDatabase" localSheetId="5" hidden="1">Central!$B$2:$R$24</definedName>
    <definedName name="_xlnm._FilterDatabase" localSheetId="0" hidden="1">CONSOLIDADO!$A$1:$AH$660</definedName>
    <definedName name="_xlnm._FilterDatabase" localSheetId="2" hidden="1">'Eje Cafetero'!$B$2:$S$29</definedName>
    <definedName name="_xlnm._FilterDatabase" localSheetId="7" hidden="1">Llanos!$B$2:$S$23</definedName>
    <definedName name="_xlnm._FilterDatabase" localSheetId="1" hidden="1">Pacífico!$B$2:$S$28</definedName>
    <definedName name="_xlnm._FilterDatabase" localSheetId="11" hidden="1">'Proyección Monitoreos'!$A$1:$F$179</definedName>
    <definedName name="_xlnm._FilterDatabase" localSheetId="6" hidden="1">Santanderes!$B$2:$S$15</definedName>
  </definedNames>
  <calcPr calcId="191029"/>
  <pivotCaches>
    <pivotCache cacheId="1" r:id="rId1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" i="12" l="1"/>
  <c r="X659" i="12"/>
  <c r="X180" i="12"/>
  <c r="X660" i="12" l="1"/>
  <c r="S13" i="18" l="1"/>
  <c r="S29" i="18" s="1"/>
  <c r="S19" i="18"/>
  <c r="S15" i="18"/>
  <c r="D55" i="29"/>
  <c r="C55" i="29"/>
  <c r="B55" i="29"/>
  <c r="D53" i="29"/>
  <c r="C53" i="29"/>
  <c r="B53" i="29"/>
  <c r="D52" i="29"/>
  <c r="C52" i="29"/>
  <c r="B52" i="29"/>
  <c r="D51" i="29"/>
  <c r="B51" i="29"/>
  <c r="D50" i="29"/>
  <c r="B50" i="29"/>
  <c r="D49" i="29"/>
  <c r="C49" i="29"/>
  <c r="B49" i="29"/>
  <c r="D48" i="29"/>
  <c r="C48" i="29"/>
  <c r="B48" i="29"/>
  <c r="AD658" i="12"/>
  <c r="AD657" i="12"/>
  <c r="AD656" i="12"/>
  <c r="AD655" i="12"/>
  <c r="AD395" i="12"/>
  <c r="AD464" i="12"/>
  <c r="AD553" i="12"/>
  <c r="AD552" i="12"/>
  <c r="AD494" i="12"/>
  <c r="AD551" i="12"/>
  <c r="AD550" i="12"/>
  <c r="AD654" i="12"/>
  <c r="AD486" i="12"/>
  <c r="AD549" i="12"/>
  <c r="AD278" i="12"/>
  <c r="AD274" i="12"/>
  <c r="AD382" i="12"/>
  <c r="AD370" i="12"/>
  <c r="AD383" i="12"/>
  <c r="AD534" i="12"/>
  <c r="AD533" i="12"/>
  <c r="AD393" i="12"/>
  <c r="AD361" i="12"/>
  <c r="AD412" i="12"/>
  <c r="AD399" i="12"/>
  <c r="AD330" i="12"/>
  <c r="AD286" i="12"/>
  <c r="AD297" i="12"/>
  <c r="AD257" i="12"/>
  <c r="AD315" i="12"/>
  <c r="AD258" i="12"/>
  <c r="AD235" i="12"/>
  <c r="AD175" i="12"/>
  <c r="AD167" i="12"/>
  <c r="AD103" i="12"/>
  <c r="AD117" i="12"/>
  <c r="AD93" i="12"/>
  <c r="AD121" i="12"/>
  <c r="AD99" i="12"/>
  <c r="AD90" i="12"/>
  <c r="AD71" i="12"/>
  <c r="AD37" i="12"/>
  <c r="AD40" i="12"/>
  <c r="AD28" i="12"/>
  <c r="AD29" i="12"/>
  <c r="AD653" i="12"/>
  <c r="AD652" i="12"/>
  <c r="AD651" i="12"/>
  <c r="AD650" i="12"/>
  <c r="AD649" i="12"/>
  <c r="AD648" i="12"/>
  <c r="AD647" i="12"/>
  <c r="AD646" i="12"/>
  <c r="AD644" i="12"/>
  <c r="AD643" i="12"/>
  <c r="AD484" i="12"/>
  <c r="AD571" i="12"/>
  <c r="AD408" i="12"/>
  <c r="AD225" i="12"/>
  <c r="AD555" i="12"/>
  <c r="AD538" i="12"/>
  <c r="AD537" i="12"/>
  <c r="AD387" i="12"/>
  <c r="AD525" i="12"/>
  <c r="AD521" i="12"/>
  <c r="AD516" i="12"/>
  <c r="AD511" i="12"/>
  <c r="AD508" i="12"/>
  <c r="AD505" i="12"/>
  <c r="AD504" i="12"/>
  <c r="AD503" i="12"/>
  <c r="AD497" i="12"/>
  <c r="AD495" i="12"/>
  <c r="AD492" i="12"/>
  <c r="AD264" i="12"/>
  <c r="AD251" i="12"/>
  <c r="AD419" i="12"/>
  <c r="AD485" i="12"/>
  <c r="AD415" i="12"/>
  <c r="AD400" i="12"/>
  <c r="AD483" i="12"/>
  <c r="AD481" i="12"/>
  <c r="AD480" i="12"/>
  <c r="AD373" i="12"/>
  <c r="AD360" i="12"/>
  <c r="AD467" i="12"/>
  <c r="AD363" i="12"/>
  <c r="AD334" i="12"/>
  <c r="AD433" i="12"/>
  <c r="AD236" i="12"/>
  <c r="AD410" i="12"/>
  <c r="AD313" i="12"/>
  <c r="AD392" i="12"/>
  <c r="AD442" i="12"/>
  <c r="AD281" i="12"/>
  <c r="AD403" i="12"/>
  <c r="AD422" i="12"/>
  <c r="AD380" i="12"/>
  <c r="AD416" i="12"/>
  <c r="AD420" i="12"/>
  <c r="AD348" i="12"/>
  <c r="AD359" i="12"/>
  <c r="AD371" i="12"/>
  <c r="AD262" i="12"/>
  <c r="AD256" i="12"/>
  <c r="AD391" i="12"/>
  <c r="AD365" i="12"/>
  <c r="AD183" i="12"/>
  <c r="AD328" i="12"/>
  <c r="AD306" i="12"/>
  <c r="AD337" i="12"/>
  <c r="AD270" i="12"/>
  <c r="AD296" i="12"/>
  <c r="AD245" i="12"/>
  <c r="AD217" i="12"/>
  <c r="AD189" i="12"/>
  <c r="AD179" i="12"/>
  <c r="AD151" i="12"/>
  <c r="AD150" i="12"/>
  <c r="AD144" i="12"/>
  <c r="AD141" i="12"/>
  <c r="AD134" i="12"/>
  <c r="AD104" i="12"/>
  <c r="AD129" i="12"/>
  <c r="AD128" i="12"/>
  <c r="AD127" i="12"/>
  <c r="AD123" i="12"/>
  <c r="AD84" i="12"/>
  <c r="AD83" i="12"/>
  <c r="AD64" i="12"/>
  <c r="AD98" i="12"/>
  <c r="AD72" i="12"/>
  <c r="AD19" i="12"/>
  <c r="AD48" i="12"/>
  <c r="AD25" i="12"/>
  <c r="AD60" i="12"/>
  <c r="AD32" i="12"/>
  <c r="AD20" i="12"/>
  <c r="AD47" i="12"/>
  <c r="AD164" i="12"/>
  <c r="AD143" i="12"/>
  <c r="AD148" i="12"/>
  <c r="AD107" i="12"/>
  <c r="AD140" i="12"/>
  <c r="AD137" i="12"/>
  <c r="AD108" i="12"/>
  <c r="AD119" i="12"/>
  <c r="AD113" i="12"/>
  <c r="AD69" i="12"/>
  <c r="AD110" i="12"/>
  <c r="AD66" i="12"/>
  <c r="AD31" i="12"/>
  <c r="AD81" i="12"/>
  <c r="AD80" i="12"/>
  <c r="AD57" i="12"/>
  <c r="AD53" i="12"/>
  <c r="AD24" i="12"/>
  <c r="AD21" i="12"/>
  <c r="AD27" i="12"/>
  <c r="AD23" i="12"/>
  <c r="AD388" i="12"/>
  <c r="AD572" i="12"/>
  <c r="AD640" i="12"/>
  <c r="AD547" i="12"/>
  <c r="AD220" i="12"/>
  <c r="AD413" i="12"/>
  <c r="AD493" i="12"/>
  <c r="AD300" i="12"/>
  <c r="AD574" i="12"/>
  <c r="AD639" i="12"/>
  <c r="AD443" i="12"/>
  <c r="AD460" i="12"/>
  <c r="AD638" i="12"/>
  <c r="AD575" i="12"/>
  <c r="AD439" i="12"/>
  <c r="AD473" i="12"/>
  <c r="AD577" i="12"/>
  <c r="AD457" i="12"/>
  <c r="AD429" i="12"/>
  <c r="AD637" i="12"/>
  <c r="AD406" i="12"/>
  <c r="AD576" i="12"/>
  <c r="AD506" i="12"/>
  <c r="AD342" i="12"/>
  <c r="AD438" i="12"/>
  <c r="AD354" i="12"/>
  <c r="AD353" i="12"/>
  <c r="AD352" i="12"/>
  <c r="AD336" i="12"/>
  <c r="AD517" i="12"/>
  <c r="AD338" i="12"/>
  <c r="AD244" i="12"/>
  <c r="AD381" i="12"/>
  <c r="AD326" i="12"/>
  <c r="AD341" i="12"/>
  <c r="AD345" i="12"/>
  <c r="AD366" i="12"/>
  <c r="AD466" i="12"/>
  <c r="AD290" i="12"/>
  <c r="AD312" i="12"/>
  <c r="AD451" i="12"/>
  <c r="AD362" i="12"/>
  <c r="AD320" i="12"/>
  <c r="AD394" i="12"/>
  <c r="AD445" i="12"/>
  <c r="AD325" i="12"/>
  <c r="AD260" i="12"/>
  <c r="AD298" i="12"/>
  <c r="AD267" i="12"/>
  <c r="AD355" i="12"/>
  <c r="AD214" i="12"/>
  <c r="AD229" i="12"/>
  <c r="AD193" i="12"/>
  <c r="AD206" i="12"/>
  <c r="AD301" i="12"/>
  <c r="AD295" i="12"/>
  <c r="AD299" i="12"/>
  <c r="AD231" i="12"/>
  <c r="AD185" i="12"/>
  <c r="AD287" i="12"/>
  <c r="AD280" i="12"/>
  <c r="AD272" i="12"/>
  <c r="AD292" i="12"/>
  <c r="AD242" i="12"/>
  <c r="AD261" i="12"/>
  <c r="AD276" i="12"/>
  <c r="AD248" i="12"/>
  <c r="AD216" i="12"/>
  <c r="AD6" i="12"/>
  <c r="AD160" i="12"/>
  <c r="AD105" i="12"/>
  <c r="AD131" i="12"/>
  <c r="AD116" i="12"/>
  <c r="AD88" i="12"/>
  <c r="AD100" i="12"/>
  <c r="AD126" i="12"/>
  <c r="AD109" i="12"/>
  <c r="AD17" i="12"/>
  <c r="AD67" i="12"/>
  <c r="AD94" i="12"/>
  <c r="AD91" i="12"/>
  <c r="AD54" i="12"/>
  <c r="AD77" i="12"/>
  <c r="AD49" i="12"/>
  <c r="AD33" i="12"/>
  <c r="AD73" i="12"/>
  <c r="AD52" i="12"/>
  <c r="AD62" i="12"/>
  <c r="AD51" i="12"/>
  <c r="AD38" i="12"/>
  <c r="AD11" i="12"/>
  <c r="AD44" i="12"/>
  <c r="AD42" i="12"/>
  <c r="AD22" i="12"/>
  <c r="AD13" i="12"/>
  <c r="R31" i="25"/>
  <c r="R32" i="25"/>
  <c r="R33" i="25"/>
  <c r="R34" i="25"/>
  <c r="R35" i="25"/>
  <c r="R36" i="25"/>
  <c r="R37" i="25"/>
  <c r="R38" i="25"/>
  <c r="R39" i="25"/>
  <c r="R40" i="25"/>
  <c r="R41" i="25"/>
  <c r="R42" i="25"/>
  <c r="R43" i="25"/>
  <c r="R44" i="25"/>
  <c r="R45" i="25"/>
  <c r="R46" i="25"/>
  <c r="R47" i="25"/>
  <c r="R48" i="25"/>
  <c r="R49" i="25"/>
  <c r="R50" i="25"/>
  <c r="R51" i="25"/>
  <c r="R52" i="25"/>
  <c r="R53" i="25"/>
  <c r="R54" i="25"/>
  <c r="R55" i="25"/>
  <c r="R56" i="25"/>
  <c r="R57" i="25"/>
  <c r="R58" i="25"/>
  <c r="R59" i="25"/>
  <c r="R60" i="25"/>
  <c r="R61" i="25"/>
  <c r="R62" i="25"/>
  <c r="R63" i="25"/>
  <c r="R64" i="25"/>
  <c r="R65" i="25"/>
  <c r="R66" i="25"/>
  <c r="R67" i="25"/>
  <c r="R68" i="25"/>
  <c r="R69" i="25"/>
  <c r="R70" i="25"/>
  <c r="R71" i="25"/>
  <c r="R72" i="25"/>
  <c r="R73" i="25"/>
  <c r="R74" i="25"/>
  <c r="R75" i="25"/>
  <c r="R76" i="25"/>
  <c r="R77" i="25"/>
  <c r="R78" i="25"/>
  <c r="R79" i="25"/>
  <c r="R80" i="25"/>
  <c r="R81" i="25"/>
  <c r="R82" i="25"/>
  <c r="R83" i="25"/>
  <c r="R84" i="25"/>
  <c r="R85" i="25"/>
  <c r="R86" i="25"/>
  <c r="R87" i="25"/>
  <c r="R88" i="25"/>
  <c r="R89" i="25"/>
  <c r="R90" i="25"/>
  <c r="R91" i="25"/>
  <c r="R92" i="25"/>
  <c r="R93" i="25"/>
  <c r="R94" i="25"/>
  <c r="R95" i="25"/>
  <c r="R96" i="25"/>
  <c r="R97" i="25"/>
  <c r="R98" i="25"/>
  <c r="R99" i="25"/>
  <c r="R100" i="25"/>
  <c r="R101" i="25"/>
  <c r="R102" i="25"/>
  <c r="R103" i="25"/>
  <c r="R104" i="25"/>
  <c r="R105" i="25"/>
  <c r="R106" i="25"/>
  <c r="R107" i="25"/>
  <c r="R30" i="25"/>
  <c r="R108" i="25"/>
  <c r="O108" i="25"/>
  <c r="P108" i="25"/>
  <c r="Q108" i="25"/>
  <c r="R25" i="25"/>
  <c r="R4" i="25"/>
  <c r="R5" i="25"/>
  <c r="R6" i="25"/>
  <c r="R7" i="25"/>
  <c r="R8" i="25"/>
  <c r="R9" i="25"/>
  <c r="R10" i="25"/>
  <c r="R11" i="25"/>
  <c r="R12" i="25"/>
  <c r="R13" i="25"/>
  <c r="R14" i="25"/>
  <c r="R15" i="25"/>
  <c r="R16" i="25"/>
  <c r="R17" i="25"/>
  <c r="R18" i="25"/>
  <c r="R19" i="25"/>
  <c r="R20" i="25"/>
  <c r="R21" i="25"/>
  <c r="R22" i="25"/>
  <c r="R23" i="25"/>
  <c r="R24" i="25"/>
  <c r="R3" i="25"/>
  <c r="Q25" i="25"/>
  <c r="AD178" i="12"/>
  <c r="AD176" i="12"/>
  <c r="AD173" i="12"/>
  <c r="AD171" i="12"/>
  <c r="AD166" i="12"/>
  <c r="AD159" i="12"/>
  <c r="AD158" i="12"/>
  <c r="AD114" i="12"/>
  <c r="AD130" i="12"/>
  <c r="AD120" i="12"/>
  <c r="AD96" i="12"/>
  <c r="AD76" i="12"/>
  <c r="AD79" i="12"/>
  <c r="AD78" i="12"/>
  <c r="AD30" i="12"/>
  <c r="AD34" i="12"/>
  <c r="AD35" i="12"/>
  <c r="AD3" i="12"/>
  <c r="AD579" i="12"/>
  <c r="AD578" i="12"/>
  <c r="AD455" i="12"/>
  <c r="AD310" i="12"/>
  <c r="AD417" i="12"/>
  <c r="AD514" i="12"/>
  <c r="AD427" i="12"/>
  <c r="AD458" i="12"/>
  <c r="AD367" i="12"/>
  <c r="AD358" i="12"/>
  <c r="AD374" i="12"/>
  <c r="AD266" i="12"/>
  <c r="AD356" i="12"/>
  <c r="AD188" i="12"/>
  <c r="AD232" i="12"/>
  <c r="AD302" i="12"/>
  <c r="AD207" i="12"/>
  <c r="AD273" i="12"/>
  <c r="AD275" i="12"/>
  <c r="AD329" i="12"/>
  <c r="AD327" i="12"/>
  <c r="AD293" i="12"/>
  <c r="AD222" i="12"/>
  <c r="AD322" i="12"/>
  <c r="AD201" i="12"/>
  <c r="AD195" i="12"/>
  <c r="AD199" i="12"/>
  <c r="AD194" i="12"/>
  <c r="AD265" i="12"/>
  <c r="AD289" i="12"/>
  <c r="AD246" i="12"/>
  <c r="AD202" i="12"/>
  <c r="AD211" i="12"/>
  <c r="AD243" i="12"/>
  <c r="AD223" i="12"/>
  <c r="AD255" i="12"/>
  <c r="AD238" i="12"/>
  <c r="AD247" i="12"/>
  <c r="AD250" i="12"/>
  <c r="AD215" i="12"/>
  <c r="AD196" i="12"/>
  <c r="AD213" i="12"/>
  <c r="AD198" i="12"/>
  <c r="AD186" i="12"/>
  <c r="AD184" i="12"/>
  <c r="AD187" i="12"/>
  <c r="AD182" i="12"/>
  <c r="AD181" i="12"/>
  <c r="AD170" i="12"/>
  <c r="AD147" i="12"/>
  <c r="AD39" i="12"/>
  <c r="AD115" i="12"/>
  <c r="AD122" i="12"/>
  <c r="AD82" i="12"/>
  <c r="AD63" i="12"/>
  <c r="AD65" i="12"/>
  <c r="AD36" i="12"/>
  <c r="AD18" i="12"/>
  <c r="AD16" i="12" l="1"/>
  <c r="AD15" i="12"/>
  <c r="AD14" i="12"/>
  <c r="AD12" i="12"/>
  <c r="AD10" i="12"/>
  <c r="AD9" i="12"/>
  <c r="AD8" i="12"/>
  <c r="AD7" i="12"/>
  <c r="AD5" i="12"/>
  <c r="AD2" i="12"/>
  <c r="S36" i="22"/>
  <c r="S37" i="22"/>
  <c r="S38" i="22"/>
  <c r="S39" i="22"/>
  <c r="S40" i="22"/>
  <c r="S41" i="22"/>
  <c r="S42" i="22"/>
  <c r="S43" i="22"/>
  <c r="S44" i="22"/>
  <c r="S45" i="22"/>
  <c r="S46" i="22"/>
  <c r="S47" i="22"/>
  <c r="S48" i="22"/>
  <c r="S49" i="22"/>
  <c r="S50" i="22"/>
  <c r="S51" i="22"/>
  <c r="S52" i="22"/>
  <c r="S53" i="22"/>
  <c r="S54" i="22"/>
  <c r="S55" i="22"/>
  <c r="S56" i="22"/>
  <c r="S57" i="22"/>
  <c r="S58" i="22"/>
  <c r="S59" i="22"/>
  <c r="S60" i="22"/>
  <c r="S61" i="22"/>
  <c r="S62" i="22"/>
  <c r="S63" i="22"/>
  <c r="S64" i="22"/>
  <c r="S65" i="22"/>
  <c r="S66" i="22"/>
  <c r="S67" i="22"/>
  <c r="S68" i="22"/>
  <c r="S69" i="22"/>
  <c r="S70" i="22"/>
  <c r="S71" i="22"/>
  <c r="S72" i="22"/>
  <c r="S73" i="22"/>
  <c r="S74" i="22"/>
  <c r="S75" i="22"/>
  <c r="S76" i="22"/>
  <c r="S77" i="22"/>
  <c r="S78" i="22"/>
  <c r="S79" i="22"/>
  <c r="S80" i="22"/>
  <c r="S81" i="22"/>
  <c r="S82" i="22"/>
  <c r="S83" i="22"/>
  <c r="S84" i="22"/>
  <c r="S85" i="22"/>
  <c r="S86" i="22"/>
  <c r="S87" i="22"/>
  <c r="S88" i="22"/>
  <c r="S89" i="22"/>
  <c r="S90" i="22"/>
  <c r="S91" i="22"/>
  <c r="S92" i="22"/>
  <c r="S93" i="22"/>
  <c r="S94" i="22"/>
  <c r="S95" i="22"/>
  <c r="S96" i="22"/>
  <c r="S97" i="22"/>
  <c r="S98" i="22"/>
  <c r="S99" i="22"/>
  <c r="S100" i="22"/>
  <c r="S101" i="22"/>
  <c r="S102" i="22"/>
  <c r="S35" i="22"/>
  <c r="L103" i="22"/>
  <c r="T12" i="22"/>
  <c r="S12" i="22"/>
  <c r="T7" i="22"/>
  <c r="S7" i="22"/>
  <c r="T19" i="22"/>
  <c r="S19" i="22"/>
  <c r="K106" i="18"/>
  <c r="S4" i="18"/>
  <c r="S5" i="18"/>
  <c r="U5" i="18" s="1"/>
  <c r="S6" i="18"/>
  <c r="U6" i="18" s="1"/>
  <c r="S7" i="18"/>
  <c r="S8" i="18"/>
  <c r="S9" i="18"/>
  <c r="U9" i="18" s="1"/>
  <c r="S10" i="18"/>
  <c r="U10" i="18" s="1"/>
  <c r="S11" i="18"/>
  <c r="S12" i="18"/>
  <c r="U13" i="18"/>
  <c r="AD139" i="12" s="1"/>
  <c r="S14" i="18"/>
  <c r="U14" i="18" s="1"/>
  <c r="S16" i="18"/>
  <c r="S17" i="18"/>
  <c r="U17" i="18" s="1"/>
  <c r="S18" i="18"/>
  <c r="U18" i="18" s="1"/>
  <c r="S20" i="18"/>
  <c r="S21" i="18"/>
  <c r="U21" i="18" s="1"/>
  <c r="S22" i="18"/>
  <c r="S23" i="18"/>
  <c r="S24" i="18"/>
  <c r="S25" i="18"/>
  <c r="U25" i="18" s="1"/>
  <c r="S26" i="18"/>
  <c r="U26" i="18" s="1"/>
  <c r="S27" i="18"/>
  <c r="S28" i="18"/>
  <c r="S3" i="18"/>
  <c r="U3" i="18" s="1"/>
  <c r="T4" i="18"/>
  <c r="U4" i="18" s="1"/>
  <c r="T5" i="18"/>
  <c r="T6" i="18"/>
  <c r="T7" i="18"/>
  <c r="T8" i="18"/>
  <c r="T9" i="18"/>
  <c r="T10" i="18"/>
  <c r="T11" i="18"/>
  <c r="T12" i="18"/>
  <c r="U12" i="18" s="1"/>
  <c r="T14" i="18"/>
  <c r="T16" i="18"/>
  <c r="T17" i="18"/>
  <c r="T18" i="18"/>
  <c r="T19" i="18"/>
  <c r="T20" i="18"/>
  <c r="U20" i="18" s="1"/>
  <c r="T21" i="18"/>
  <c r="T22" i="18"/>
  <c r="T23" i="18"/>
  <c r="T24" i="18"/>
  <c r="U24" i="18" s="1"/>
  <c r="T25" i="18"/>
  <c r="T26" i="18"/>
  <c r="T27" i="18"/>
  <c r="T28" i="18"/>
  <c r="U28" i="18" s="1"/>
  <c r="T3" i="18"/>
  <c r="U22" i="18"/>
  <c r="U16" i="18"/>
  <c r="U8" i="18"/>
  <c r="R29" i="18"/>
  <c r="T29" i="18" l="1"/>
  <c r="U27" i="18"/>
  <c r="U23" i="18"/>
  <c r="U19" i="18"/>
  <c r="AD95" i="12" s="1"/>
  <c r="U15" i="18"/>
  <c r="AD26" i="12" s="1"/>
  <c r="U11" i="18"/>
  <c r="U7" i="18"/>
  <c r="E56" i="29"/>
  <c r="F55" i="29"/>
  <c r="F53" i="29"/>
  <c r="F52" i="29"/>
  <c r="F51" i="29"/>
  <c r="F50" i="29"/>
  <c r="F49" i="29"/>
  <c r="R17" i="26"/>
  <c r="K56" i="26"/>
  <c r="T15" i="26"/>
  <c r="T14" i="26"/>
  <c r="T13" i="26"/>
  <c r="T12" i="26"/>
  <c r="T11" i="26"/>
  <c r="T10" i="26"/>
  <c r="T9" i="26"/>
  <c r="T7" i="26"/>
  <c r="T5" i="26"/>
  <c r="T4" i="26"/>
  <c r="T3" i="26"/>
  <c r="S8" i="26"/>
  <c r="R16" i="26"/>
  <c r="F40" i="32"/>
  <c r="E39" i="32"/>
  <c r="F20" i="32"/>
  <c r="E14" i="32"/>
  <c r="E15" i="32"/>
  <c r="E8" i="32"/>
  <c r="E24" i="32"/>
  <c r="C25" i="32"/>
  <c r="F15" i="32"/>
  <c r="E20" i="32"/>
  <c r="C15" i="32"/>
  <c r="C20" i="32"/>
  <c r="C40" i="32"/>
  <c r="E29" i="32"/>
  <c r="E25" i="32"/>
  <c r="F25" i="32"/>
  <c r="E40" i="32"/>
  <c r="C35" i="32"/>
  <c r="F35" i="32"/>
  <c r="E30" i="32"/>
  <c r="E34" i="32"/>
  <c r="F30" i="32"/>
  <c r="F3" i="32"/>
  <c r="F39" i="32"/>
  <c r="F10" i="32"/>
  <c r="E10" i="32"/>
  <c r="E19" i="32"/>
  <c r="E35" i="32"/>
  <c r="F34" i="32"/>
  <c r="C30" i="32"/>
  <c r="E3" i="32"/>
  <c r="C10" i="32"/>
  <c r="U29" i="18" l="1"/>
  <c r="B54" i="29"/>
  <c r="B42" i="29"/>
  <c r="C54" i="29"/>
  <c r="C56" i="29" s="1"/>
  <c r="B44" i="29"/>
  <c r="E7" i="32"/>
  <c r="G14" i="32"/>
  <c r="E13" i="32"/>
  <c r="G24" i="32"/>
  <c r="E23" i="32"/>
  <c r="G29" i="32"/>
  <c r="E28" i="32"/>
  <c r="C7" i="32"/>
  <c r="C13" i="32"/>
  <c r="D20" i="32"/>
  <c r="G20" i="32" s="1"/>
  <c r="D15" i="32"/>
  <c r="D13" i="32" s="1"/>
  <c r="F48" i="29"/>
  <c r="B56" i="29"/>
  <c r="F38" i="32"/>
  <c r="D40" i="32"/>
  <c r="G40" i="32" s="1"/>
  <c r="E38" i="32"/>
  <c r="D39" i="32"/>
  <c r="C38" i="32"/>
  <c r="F33" i="32"/>
  <c r="E33" i="32"/>
  <c r="D35" i="32"/>
  <c r="C33" i="32"/>
  <c r="D30" i="32"/>
  <c r="D28" i="32" s="1"/>
  <c r="C28" i="32"/>
  <c r="D25" i="32"/>
  <c r="D23" i="32" s="1"/>
  <c r="C23" i="32"/>
  <c r="G19" i="32"/>
  <c r="C18" i="32"/>
  <c r="G8" i="32"/>
  <c r="D10" i="32"/>
  <c r="D7" i="32" s="1"/>
  <c r="G3" i="32"/>
  <c r="F4" i="32"/>
  <c r="C4" i="32"/>
  <c r="E4" i="32"/>
  <c r="G25" i="32" l="1"/>
  <c r="D38" i="32"/>
  <c r="G39" i="32"/>
  <c r="G15" i="32"/>
  <c r="G30" i="32"/>
  <c r="G10" i="32"/>
  <c r="G35" i="32"/>
  <c r="C2" i="32"/>
  <c r="D4" i="32"/>
  <c r="D2" i="32" s="1"/>
  <c r="E2" i="32"/>
  <c r="F2" i="32"/>
  <c r="U17" i="27"/>
  <c r="T16" i="27"/>
  <c r="T15" i="27"/>
  <c r="U14" i="27"/>
  <c r="U12" i="27"/>
  <c r="T11" i="27"/>
  <c r="T10" i="27"/>
  <c r="T9" i="27"/>
  <c r="T8" i="27"/>
  <c r="T7" i="27"/>
  <c r="T6" i="27"/>
  <c r="T5" i="27"/>
  <c r="T4" i="27"/>
  <c r="T3" i="27"/>
  <c r="V3" i="27" s="1"/>
  <c r="V24" i="27"/>
  <c r="T22" i="27"/>
  <c r="T21" i="27"/>
  <c r="T19" i="27"/>
  <c r="U9" i="27"/>
  <c r="U4" i="27"/>
  <c r="U5" i="27"/>
  <c r="U6" i="27"/>
  <c r="U7" i="27"/>
  <c r="U8" i="27"/>
  <c r="U10" i="27"/>
  <c r="U11" i="27"/>
  <c r="U13" i="27"/>
  <c r="U15" i="27"/>
  <c r="U16" i="27"/>
  <c r="U18" i="27"/>
  <c r="U20" i="27"/>
  <c r="U3" i="27"/>
  <c r="S23" i="27"/>
  <c r="P34" i="24"/>
  <c r="M86" i="28"/>
  <c r="U25" i="28"/>
  <c r="T4" i="28"/>
  <c r="T3" i="28"/>
  <c r="S24" i="28"/>
  <c r="T11" i="28"/>
  <c r="S11" i="28"/>
  <c r="G4" i="32" l="1"/>
  <c r="T23" i="27"/>
  <c r="V19" i="27"/>
  <c r="T24" i="28"/>
  <c r="R4" i="23"/>
  <c r="W659" i="12"/>
  <c r="W180" i="12"/>
  <c r="T6" i="26"/>
  <c r="T8" i="26"/>
  <c r="Q16" i="26"/>
  <c r="S12" i="26"/>
  <c r="K103" i="22"/>
  <c r="Q30" i="22"/>
  <c r="R30" i="22"/>
  <c r="T11" i="22"/>
  <c r="T14" i="22"/>
  <c r="T10" i="22"/>
  <c r="T9" i="22"/>
  <c r="T8" i="22"/>
  <c r="T5" i="22"/>
  <c r="T26" i="22"/>
  <c r="T15" i="22"/>
  <c r="T17" i="22"/>
  <c r="T28" i="22"/>
  <c r="T25" i="22"/>
  <c r="T22" i="22"/>
  <c r="T21" i="22"/>
  <c r="T20" i="22"/>
  <c r="T23" i="22"/>
  <c r="T4" i="22"/>
  <c r="T3" i="22"/>
  <c r="S16" i="22"/>
  <c r="S13" i="22"/>
  <c r="O84" i="23" l="1"/>
  <c r="P84" i="23"/>
  <c r="S3" i="22" l="1"/>
  <c r="S13" i="28" l="1"/>
  <c r="T20" i="28"/>
  <c r="T14" i="27"/>
  <c r="R23" i="27"/>
  <c r="V659" i="12" l="1"/>
  <c r="V180" i="12"/>
  <c r="T18" i="22"/>
  <c r="T24" i="22"/>
  <c r="T27" i="22"/>
  <c r="T29" i="22"/>
  <c r="T6" i="22"/>
  <c r="T13" i="22"/>
  <c r="T16" i="22"/>
  <c r="V660" i="12" l="1"/>
  <c r="J106" i="18"/>
  <c r="AD453" i="12"/>
  <c r="Q28" i="23"/>
  <c r="AD210" i="12" s="1"/>
  <c r="Q27" i="23"/>
  <c r="Q26" i="23"/>
  <c r="AD471" i="12" s="1"/>
  <c r="S15" i="28"/>
  <c r="T9" i="28"/>
  <c r="M24" i="28"/>
  <c r="N24" i="28"/>
  <c r="O24" i="28"/>
  <c r="Q24" i="28"/>
  <c r="R24" i="28"/>
  <c r="T12" i="27" l="1"/>
  <c r="Q23" i="27"/>
  <c r="T20" i="27"/>
  <c r="T17" i="27"/>
  <c r="T13" i="27"/>
  <c r="T18" i="28"/>
  <c r="T7" i="28"/>
  <c r="T5" i="28"/>
  <c r="S7" i="28"/>
  <c r="T23" i="28"/>
  <c r="S23" i="28"/>
  <c r="S21" i="28"/>
  <c r="T21" i="28"/>
  <c r="T19" i="28"/>
  <c r="S20" i="28"/>
  <c r="S18" i="28"/>
  <c r="T17" i="28"/>
  <c r="T16" i="28"/>
  <c r="T15" i="28"/>
  <c r="T14" i="28"/>
  <c r="T12" i="28"/>
  <c r="T10" i="28"/>
  <c r="T8" i="28"/>
  <c r="T6" i="28"/>
  <c r="S9" i="28"/>
  <c r="U23" i="27" l="1"/>
  <c r="V17" i="27"/>
  <c r="C72" i="26"/>
  <c r="O16" i="26"/>
  <c r="P16" i="26"/>
  <c r="I84" i="23" l="1"/>
  <c r="J84" i="23"/>
  <c r="K84" i="23"/>
  <c r="Q14" i="23"/>
  <c r="Q4" i="24" l="1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27" i="24"/>
  <c r="Q28" i="24"/>
  <c r="Q29" i="24"/>
  <c r="Q30" i="24"/>
  <c r="Q31" i="24"/>
  <c r="Q32" i="24"/>
  <c r="Q33" i="24"/>
  <c r="Q3" i="24"/>
  <c r="O34" i="24"/>
  <c r="I659" i="12" l="1"/>
  <c r="J659" i="12"/>
  <c r="K659" i="12"/>
  <c r="L659" i="12"/>
  <c r="M659" i="12"/>
  <c r="N659" i="12"/>
  <c r="O659" i="12"/>
  <c r="P659" i="12"/>
  <c r="Q659" i="12"/>
  <c r="R659" i="12"/>
  <c r="S659" i="12"/>
  <c r="T659" i="12"/>
  <c r="U659" i="12"/>
  <c r="AB2" i="12"/>
  <c r="I83" i="28"/>
  <c r="Q83" i="28"/>
  <c r="R83" i="28"/>
  <c r="S17" i="28"/>
  <c r="U17" i="28" s="1"/>
  <c r="S14" i="28"/>
  <c r="S12" i="28"/>
  <c r="S6" i="28"/>
  <c r="U6" i="28" s="1"/>
  <c r="S10" i="28"/>
  <c r="P24" i="28"/>
  <c r="S8" i="28"/>
  <c r="U8" i="28" s="1"/>
  <c r="S5" i="28"/>
  <c r="S4" i="28"/>
  <c r="U4" i="28" s="1"/>
  <c r="C93" i="27"/>
  <c r="V12" i="27"/>
  <c r="V20" i="27"/>
  <c r="V21" i="27"/>
  <c r="V13" i="27"/>
  <c r="T18" i="27"/>
  <c r="V15" i="27"/>
  <c r="V5" i="27"/>
  <c r="V6" i="27"/>
  <c r="V8" i="27"/>
  <c r="V10" i="27"/>
  <c r="V11" i="27"/>
  <c r="P23" i="27"/>
  <c r="V14" i="27"/>
  <c r="V22" i="27"/>
  <c r="U16" i="22"/>
  <c r="S17" i="22"/>
  <c r="U17" i="22" s="1"/>
  <c r="S18" i="22"/>
  <c r="S24" i="22"/>
  <c r="S25" i="22"/>
  <c r="S26" i="22"/>
  <c r="O103" i="22"/>
  <c r="P103" i="22"/>
  <c r="P30" i="22"/>
  <c r="S4" i="22"/>
  <c r="U4" i="22" s="1"/>
  <c r="S5" i="22"/>
  <c r="U5" i="22" s="1"/>
  <c r="S29" i="22"/>
  <c r="S28" i="22"/>
  <c r="S20" i="22"/>
  <c r="S21" i="22"/>
  <c r="S22" i="22"/>
  <c r="U22" i="22" s="1"/>
  <c r="S23" i="22"/>
  <c r="U23" i="22" s="1"/>
  <c r="S15" i="22"/>
  <c r="U15" i="22" s="1"/>
  <c r="S14" i="22"/>
  <c r="S6" i="22"/>
  <c r="U7" i="22"/>
  <c r="S8" i="22"/>
  <c r="U8" i="22" s="1"/>
  <c r="S9" i="22"/>
  <c r="S10" i="22"/>
  <c r="S11" i="22"/>
  <c r="U11" i="22" s="1"/>
  <c r="U12" i="22"/>
  <c r="S27" i="22"/>
  <c r="U27" i="22"/>
  <c r="U19" i="22"/>
  <c r="O25" i="25"/>
  <c r="P25" i="25"/>
  <c r="AD87" i="12"/>
  <c r="AD97" i="12"/>
  <c r="AD50" i="12"/>
  <c r="M25" i="25"/>
  <c r="N25" i="25"/>
  <c r="D108" i="25"/>
  <c r="S13" i="26"/>
  <c r="U13" i="26" s="1"/>
  <c r="U8" i="26"/>
  <c r="S9" i="26"/>
  <c r="U9" i="26" s="1"/>
  <c r="U12" i="26"/>
  <c r="S15" i="26"/>
  <c r="U15" i="26" s="1"/>
  <c r="S14" i="26"/>
  <c r="U14" i="26" s="1"/>
  <c r="S11" i="26"/>
  <c r="U11" i="26" s="1"/>
  <c r="S10" i="26"/>
  <c r="U10" i="26" s="1"/>
  <c r="S7" i="26"/>
  <c r="U7" i="26" s="1"/>
  <c r="S5" i="26"/>
  <c r="U5" i="26" s="1"/>
  <c r="S4" i="26"/>
  <c r="S3" i="26"/>
  <c r="R11" i="23"/>
  <c r="Q11" i="23"/>
  <c r="R10" i="23"/>
  <c r="Q10" i="23"/>
  <c r="R9" i="23"/>
  <c r="Q9" i="23"/>
  <c r="S9" i="23" s="1"/>
  <c r="R8" i="23"/>
  <c r="Q8" i="23"/>
  <c r="R7" i="23"/>
  <c r="Q7" i="23"/>
  <c r="R6" i="23"/>
  <c r="Q6" i="23"/>
  <c r="R5" i="23"/>
  <c r="Q5" i="23"/>
  <c r="Q4" i="23"/>
  <c r="S19" i="28"/>
  <c r="U19" i="28" s="1"/>
  <c r="S3" i="28"/>
  <c r="U3" i="28" s="1"/>
  <c r="S16" i="28"/>
  <c r="U16" i="28" s="1"/>
  <c r="I21" i="23"/>
  <c r="J21" i="23"/>
  <c r="K21" i="23"/>
  <c r="L21" i="23"/>
  <c r="M21" i="23"/>
  <c r="N21" i="23"/>
  <c r="O21" i="23"/>
  <c r="P21" i="23"/>
  <c r="E21" i="23"/>
  <c r="F21" i="23"/>
  <c r="G21" i="23"/>
  <c r="H21" i="23"/>
  <c r="D21" i="23"/>
  <c r="T16" i="26"/>
  <c r="Q19" i="23"/>
  <c r="S19" i="23" s="1"/>
  <c r="S14" i="23"/>
  <c r="Q12" i="23"/>
  <c r="Q13" i="23"/>
  <c r="S13" i="23" s="1"/>
  <c r="O29" i="18"/>
  <c r="P29" i="18"/>
  <c r="Q29" i="18"/>
  <c r="C125" i="24"/>
  <c r="C101" i="23"/>
  <c r="C100" i="28"/>
  <c r="O30" i="22"/>
  <c r="N30" i="22"/>
  <c r="O23" i="27"/>
  <c r="S70" i="28"/>
  <c r="AD488" i="12" s="1"/>
  <c r="S71" i="28"/>
  <c r="AD316" i="12" s="1"/>
  <c r="S72" i="28"/>
  <c r="AD347" i="12" s="1"/>
  <c r="S73" i="28"/>
  <c r="AD339" i="12" s="1"/>
  <c r="S74" i="28"/>
  <c r="AD489" i="12" s="1"/>
  <c r="S75" i="28"/>
  <c r="AD450" i="12" s="1"/>
  <c r="S76" i="28"/>
  <c r="AD452" i="12" s="1"/>
  <c r="S77" i="28"/>
  <c r="AD642" i="12" s="1"/>
  <c r="S78" i="28"/>
  <c r="AD543" i="12" s="1"/>
  <c r="S79" i="28"/>
  <c r="AD474" i="12" s="1"/>
  <c r="S80" i="28"/>
  <c r="AD294" i="12" s="1"/>
  <c r="S81" i="28"/>
  <c r="AD404" i="12" s="1"/>
  <c r="S82" i="28"/>
  <c r="S56" i="28"/>
  <c r="AD476" i="12" s="1"/>
  <c r="S57" i="28"/>
  <c r="AD291" i="12" s="1"/>
  <c r="S58" i="28"/>
  <c r="AD333" i="12" s="1"/>
  <c r="S59" i="28"/>
  <c r="AD573" i="12" s="1"/>
  <c r="S60" i="28"/>
  <c r="AD332" i="12" s="1"/>
  <c r="S61" i="28"/>
  <c r="AD331" i="12" s="1"/>
  <c r="S62" i="28"/>
  <c r="AD227" i="12" s="1"/>
  <c r="S63" i="28"/>
  <c r="AD209" i="12" s="1"/>
  <c r="S64" i="28"/>
  <c r="AD402" i="12" s="1"/>
  <c r="S65" i="28"/>
  <c r="AD478" i="12" s="1"/>
  <c r="S66" i="28"/>
  <c r="AD405" i="12" s="1"/>
  <c r="S67" i="28"/>
  <c r="AD263" i="12" s="1"/>
  <c r="S68" i="28"/>
  <c r="AD308" i="12" s="1"/>
  <c r="S69" i="28"/>
  <c r="AD324" i="12" s="1"/>
  <c r="S43" i="28"/>
  <c r="AD277" i="12" s="1"/>
  <c r="S44" i="28"/>
  <c r="AD228" i="12" s="1"/>
  <c r="S45" i="28"/>
  <c r="AD536" i="12" s="1"/>
  <c r="S46" i="28"/>
  <c r="AD482" i="12" s="1"/>
  <c r="S47" i="28"/>
  <c r="AD321" i="12" s="1"/>
  <c r="S48" i="28"/>
  <c r="AD241" i="12" s="1"/>
  <c r="S49" i="28"/>
  <c r="AD369" i="12" s="1"/>
  <c r="S50" i="28"/>
  <c r="AD368" i="12" s="1"/>
  <c r="S51" i="28"/>
  <c r="AD389" i="12" s="1"/>
  <c r="S52" i="28"/>
  <c r="AD548" i="12" s="1"/>
  <c r="S53" i="28"/>
  <c r="AD269" i="12" s="1"/>
  <c r="S54" i="28"/>
  <c r="AD335" i="12" s="1"/>
  <c r="S55" i="28"/>
  <c r="AD472" i="12" s="1"/>
  <c r="S30" i="28"/>
  <c r="AD418" i="12" s="1"/>
  <c r="S31" i="28"/>
  <c r="AD396" i="12" s="1"/>
  <c r="S32" i="28"/>
  <c r="AD319" i="12" s="1"/>
  <c r="S33" i="28"/>
  <c r="AD303" i="12" s="1"/>
  <c r="S34" i="28"/>
  <c r="AD305" i="12" s="1"/>
  <c r="S35" i="28"/>
  <c r="AD208" i="12" s="1"/>
  <c r="S36" i="28"/>
  <c r="AD349" i="12" s="1"/>
  <c r="S37" i="28"/>
  <c r="AD463" i="12" s="1"/>
  <c r="S38" i="28"/>
  <c r="AD253" i="12" s="1"/>
  <c r="S39" i="28"/>
  <c r="AD641" i="12" s="1"/>
  <c r="S40" i="28"/>
  <c r="AD425" i="12" s="1"/>
  <c r="S41" i="28"/>
  <c r="AD351" i="12" s="1"/>
  <c r="S42" i="28"/>
  <c r="AD350" i="12" s="1"/>
  <c r="S29" i="28"/>
  <c r="AD470" i="12" s="1"/>
  <c r="O83" i="28"/>
  <c r="P83" i="28"/>
  <c r="S22" i="28"/>
  <c r="U22" i="28" s="1"/>
  <c r="U23" i="28"/>
  <c r="U21" i="28"/>
  <c r="U13" i="28"/>
  <c r="U14" i="28"/>
  <c r="U15" i="28"/>
  <c r="U18" i="28"/>
  <c r="U12" i="28"/>
  <c r="U11" i="28"/>
  <c r="U9" i="28"/>
  <c r="U5" i="28"/>
  <c r="U7" i="28"/>
  <c r="Q83" i="23"/>
  <c r="J25" i="25"/>
  <c r="D84" i="23"/>
  <c r="F39" i="29"/>
  <c r="D83" i="28"/>
  <c r="AA180" i="12"/>
  <c r="AA659" i="12" s="1"/>
  <c r="Q180" i="12"/>
  <c r="K23" i="27"/>
  <c r="AB76" i="12"/>
  <c r="AC76" i="12" s="1"/>
  <c r="AB155" i="12"/>
  <c r="AC155" i="12" s="1"/>
  <c r="AB168" i="12"/>
  <c r="AB41" i="12"/>
  <c r="AC41" i="12" s="1"/>
  <c r="AB85" i="12"/>
  <c r="AC85" i="12" s="1"/>
  <c r="AB112" i="12"/>
  <c r="AB45" i="12"/>
  <c r="AC45" i="12" s="1"/>
  <c r="AB75" i="12"/>
  <c r="AB152" i="12"/>
  <c r="AC152" i="12" s="1"/>
  <c r="AB80" i="12"/>
  <c r="AB81" i="12"/>
  <c r="AC81" i="12" s="1"/>
  <c r="AB53" i="12"/>
  <c r="AC53" i="12" s="1"/>
  <c r="AB24" i="12"/>
  <c r="AC24" i="12" s="1"/>
  <c r="AB143" i="12"/>
  <c r="AC143" i="12" s="1"/>
  <c r="AB66" i="12"/>
  <c r="AB21" i="12"/>
  <c r="AC21" i="12" s="1"/>
  <c r="AB7" i="12"/>
  <c r="AC7" i="12" s="1"/>
  <c r="AB8" i="12"/>
  <c r="AC8" i="12" s="1"/>
  <c r="AB9" i="12"/>
  <c r="AC9" i="12" s="1"/>
  <c r="AB10" i="12"/>
  <c r="AC10" i="12" s="1"/>
  <c r="AB39" i="12"/>
  <c r="AC39" i="12" s="1"/>
  <c r="AB16" i="12"/>
  <c r="AC16" i="12" s="1"/>
  <c r="AB12" i="12"/>
  <c r="AB65" i="12"/>
  <c r="AB5" i="12"/>
  <c r="AC5" i="12" s="1"/>
  <c r="AB36" i="12"/>
  <c r="AB115" i="12"/>
  <c r="AC115" i="12" s="1"/>
  <c r="AB84" i="12"/>
  <c r="AC84" i="12" s="1"/>
  <c r="AB20" i="12"/>
  <c r="AC20" i="12" s="1"/>
  <c r="AB141" i="12"/>
  <c r="AC141" i="12" s="1"/>
  <c r="AB19" i="12"/>
  <c r="AB144" i="12"/>
  <c r="AC144" i="12" s="1"/>
  <c r="AB91" i="12"/>
  <c r="AC91" i="12" s="1"/>
  <c r="AB126" i="12"/>
  <c r="AB17" i="12"/>
  <c r="AC17" i="12" s="1"/>
  <c r="AB88" i="12"/>
  <c r="AC88" i="12" s="1"/>
  <c r="AB52" i="12"/>
  <c r="AC52" i="12" s="1"/>
  <c r="AB22" i="12"/>
  <c r="AB62" i="12"/>
  <c r="AC62" i="12" s="1"/>
  <c r="AB77" i="12"/>
  <c r="AB67" i="12"/>
  <c r="AC67" i="12" s="1"/>
  <c r="AB13" i="12"/>
  <c r="AC13" i="12" s="1"/>
  <c r="AB116" i="12"/>
  <c r="AC116" i="12" s="1"/>
  <c r="AB44" i="12"/>
  <c r="AB11" i="12"/>
  <c r="AC11" i="12" s="1"/>
  <c r="AB73" i="12"/>
  <c r="AC73" i="12" s="1"/>
  <c r="AB109" i="12"/>
  <c r="AB33" i="12"/>
  <c r="AC33" i="12" s="1"/>
  <c r="AB35" i="12"/>
  <c r="AB157" i="12"/>
  <c r="AB177" i="12"/>
  <c r="AC177" i="12" s="1"/>
  <c r="AB92" i="12"/>
  <c r="AC92" i="12" s="1"/>
  <c r="AB154" i="12"/>
  <c r="AC154" i="12" s="1"/>
  <c r="AB136" i="12"/>
  <c r="AB146" i="12"/>
  <c r="AC146" i="12" s="1"/>
  <c r="AB138" i="12"/>
  <c r="AB142" i="12"/>
  <c r="AC142" i="12" s="1"/>
  <c r="AB178" i="12"/>
  <c r="AC178" i="12" s="1"/>
  <c r="AB176" i="12"/>
  <c r="AC176" i="12" s="1"/>
  <c r="AB87" i="12"/>
  <c r="AB43" i="12"/>
  <c r="AC43" i="12" s="1"/>
  <c r="AB97" i="12"/>
  <c r="AB55" i="12"/>
  <c r="AB86" i="12"/>
  <c r="AC86" i="12" s="1"/>
  <c r="AB169" i="12"/>
  <c r="AC169" i="12" s="1"/>
  <c r="AB125" i="12"/>
  <c r="AC125" i="12" s="1"/>
  <c r="AB102" i="12"/>
  <c r="AB58" i="12"/>
  <c r="AC58" i="12" s="1"/>
  <c r="AB56" i="12"/>
  <c r="AB37" i="12"/>
  <c r="AB40" i="12"/>
  <c r="AB28" i="12"/>
  <c r="AB14" i="12"/>
  <c r="AB63" i="12"/>
  <c r="AB147" i="12"/>
  <c r="AB38" i="12"/>
  <c r="AC38" i="12" s="1"/>
  <c r="AB42" i="12"/>
  <c r="AB131" i="12"/>
  <c r="AC131" i="12" s="1"/>
  <c r="AB59" i="12"/>
  <c r="AC59" i="12" s="1"/>
  <c r="AB61" i="12"/>
  <c r="AC61" i="12" s="1"/>
  <c r="AB30" i="12"/>
  <c r="AC30" i="12" s="1"/>
  <c r="AB120" i="12"/>
  <c r="AC120" i="12" s="1"/>
  <c r="AB34" i="12"/>
  <c r="AC34" i="12" s="1"/>
  <c r="AB162" i="12"/>
  <c r="AC162" i="12" s="1"/>
  <c r="AB96" i="12"/>
  <c r="AB158" i="12"/>
  <c r="AB174" i="12"/>
  <c r="AB46" i="12"/>
  <c r="AC46" i="12" s="1"/>
  <c r="AB4" i="12"/>
  <c r="AC4" i="12" s="1"/>
  <c r="AB27" i="12"/>
  <c r="AB107" i="12"/>
  <c r="AB31" i="12"/>
  <c r="AB69" i="12"/>
  <c r="AC69" i="12" s="1"/>
  <c r="AB108" i="12"/>
  <c r="AB113" i="12"/>
  <c r="AC113" i="12" s="1"/>
  <c r="AB140" i="12"/>
  <c r="AC140" i="12" s="1"/>
  <c r="AB57" i="12"/>
  <c r="AC57" i="12" s="1"/>
  <c r="AB148" i="12"/>
  <c r="AC148" i="12" s="1"/>
  <c r="AB164" i="12"/>
  <c r="AC164" i="12" s="1"/>
  <c r="AB119" i="12"/>
  <c r="AC119" i="12" s="1"/>
  <c r="AB82" i="12"/>
  <c r="AB170" i="12"/>
  <c r="AC170" i="12" s="1"/>
  <c r="AB49" i="12"/>
  <c r="AB51" i="12"/>
  <c r="AC51" i="12" s="1"/>
  <c r="AB94" i="12"/>
  <c r="AB156" i="12"/>
  <c r="AC156" i="12" s="1"/>
  <c r="AB78" i="12"/>
  <c r="AB175" i="12"/>
  <c r="AB123" i="12"/>
  <c r="AC123" i="12" s="1"/>
  <c r="AB160" i="12"/>
  <c r="AC160" i="12" s="1"/>
  <c r="AB149" i="12"/>
  <c r="AB106" i="12"/>
  <c r="AB118" i="12"/>
  <c r="AB159" i="12"/>
  <c r="AC159" i="12" s="1"/>
  <c r="AB172" i="12"/>
  <c r="AC172" i="12" s="1"/>
  <c r="AB135" i="12"/>
  <c r="AC135" i="12" s="1"/>
  <c r="AB68" i="12"/>
  <c r="AC68" i="12" s="1"/>
  <c r="AB89" i="12"/>
  <c r="AB29" i="12"/>
  <c r="AB93" i="12"/>
  <c r="AB167" i="12"/>
  <c r="AB90" i="12"/>
  <c r="AB99" i="12"/>
  <c r="AC99" i="12" s="1"/>
  <c r="AB110" i="12"/>
  <c r="AB137" i="12"/>
  <c r="AB122" i="12"/>
  <c r="AC122" i="12" s="1"/>
  <c r="AB127" i="12"/>
  <c r="AC127" i="12" s="1"/>
  <c r="AB98" i="12"/>
  <c r="AB47" i="12"/>
  <c r="AB150" i="12"/>
  <c r="AC150" i="12" s="1"/>
  <c r="AB151" i="12"/>
  <c r="AB95" i="12"/>
  <c r="AB48" i="12"/>
  <c r="AC48" i="12" s="1"/>
  <c r="AB64" i="12"/>
  <c r="AB166" i="12"/>
  <c r="AC166" i="12" s="1"/>
  <c r="AB117" i="12"/>
  <c r="AC117" i="12" s="1"/>
  <c r="AB104" i="12"/>
  <c r="AC104" i="12" s="1"/>
  <c r="AB128" i="12"/>
  <c r="AB26" i="12"/>
  <c r="AB25" i="12"/>
  <c r="AB134" i="12"/>
  <c r="AC134" i="12" s="1"/>
  <c r="AB6" i="12"/>
  <c r="AC6" i="12" s="1"/>
  <c r="AB100" i="12"/>
  <c r="AC100" i="12" s="1"/>
  <c r="AB105" i="12"/>
  <c r="AB153" i="12"/>
  <c r="AC153" i="12" s="1"/>
  <c r="AB79" i="12"/>
  <c r="AC79" i="12" s="1"/>
  <c r="AB130" i="12"/>
  <c r="AB165" i="12"/>
  <c r="AB70" i="12"/>
  <c r="AC70" i="12" s="1"/>
  <c r="AB132" i="12"/>
  <c r="AB124" i="12"/>
  <c r="AB163" i="12"/>
  <c r="AB50" i="12"/>
  <c r="AC50" i="12" s="1"/>
  <c r="AB133" i="12"/>
  <c r="AC133" i="12" s="1"/>
  <c r="AB145" i="12"/>
  <c r="AB111" i="12"/>
  <c r="AC111" i="12" s="1"/>
  <c r="AB74" i="12"/>
  <c r="AB121" i="12"/>
  <c r="AC121" i="12" s="1"/>
  <c r="AB71" i="12"/>
  <c r="AC71" i="12" s="1"/>
  <c r="AB23" i="12"/>
  <c r="AC23" i="12" s="1"/>
  <c r="AB179" i="12"/>
  <c r="AC179" i="12" s="1"/>
  <c r="AB114" i="12"/>
  <c r="AB161" i="12"/>
  <c r="AC161" i="12" s="1"/>
  <c r="AB101" i="12"/>
  <c r="AB103" i="12"/>
  <c r="AC103" i="12" s="1"/>
  <c r="AB139" i="12"/>
  <c r="AC139" i="12" s="1"/>
  <c r="AB72" i="12"/>
  <c r="AB129" i="12"/>
  <c r="AC129" i="12" s="1"/>
  <c r="AB173" i="12"/>
  <c r="AB171" i="12"/>
  <c r="J180" i="12"/>
  <c r="L180" i="12"/>
  <c r="M180" i="12"/>
  <c r="O180" i="12"/>
  <c r="S180" i="12"/>
  <c r="T180" i="12"/>
  <c r="Y180" i="12"/>
  <c r="Y659" i="12" s="1"/>
  <c r="Z180" i="12"/>
  <c r="Z659" i="12" s="1"/>
  <c r="P180" i="12"/>
  <c r="AB54" i="12"/>
  <c r="AC54" i="12" s="1"/>
  <c r="E177" i="33"/>
  <c r="E175" i="33"/>
  <c r="E127" i="33"/>
  <c r="E123" i="33"/>
  <c r="E176" i="33"/>
  <c r="E149" i="33"/>
  <c r="E100" i="33"/>
  <c r="E148" i="33"/>
  <c r="E82" i="33"/>
  <c r="E75" i="33"/>
  <c r="E139" i="33"/>
  <c r="E60" i="33"/>
  <c r="E59" i="33"/>
  <c r="E55" i="33"/>
  <c r="E54" i="33"/>
  <c r="E53" i="33"/>
  <c r="E52" i="33"/>
  <c r="E51" i="33"/>
  <c r="E50" i="33"/>
  <c r="E48" i="33"/>
  <c r="E38" i="33"/>
  <c r="E34" i="33"/>
  <c r="E33" i="33"/>
  <c r="E98" i="33"/>
  <c r="E11" i="33"/>
  <c r="E32" i="33"/>
  <c r="E29" i="33"/>
  <c r="E10" i="33"/>
  <c r="E9" i="33"/>
  <c r="E27" i="33"/>
  <c r="E8" i="33"/>
  <c r="E24" i="33"/>
  <c r="E23" i="33"/>
  <c r="E22" i="33"/>
  <c r="E7" i="33"/>
  <c r="E16" i="33"/>
  <c r="E15" i="33"/>
  <c r="E6" i="33"/>
  <c r="E5" i="33"/>
  <c r="E4" i="33"/>
  <c r="E3" i="33"/>
  <c r="E40" i="33"/>
  <c r="E39" i="33"/>
  <c r="E37" i="33"/>
  <c r="E36" i="33"/>
  <c r="E35" i="33"/>
  <c r="E31" i="33"/>
  <c r="E30" i="33"/>
  <c r="E26" i="33"/>
  <c r="E20" i="33"/>
  <c r="E19" i="33"/>
  <c r="E18" i="33"/>
  <c r="E12" i="33"/>
  <c r="E129" i="33"/>
  <c r="E128" i="33"/>
  <c r="E124" i="33"/>
  <c r="E122" i="33"/>
  <c r="E117" i="33"/>
  <c r="E116" i="33"/>
  <c r="E105" i="33"/>
  <c r="E104" i="33"/>
  <c r="E103" i="33"/>
  <c r="E99" i="33"/>
  <c r="E96" i="33"/>
  <c r="E69" i="33"/>
  <c r="E67" i="33"/>
  <c r="E65" i="33"/>
  <c r="E64" i="33"/>
  <c r="E63" i="33"/>
  <c r="E62" i="33"/>
  <c r="E58" i="33"/>
  <c r="E57" i="33"/>
  <c r="E49" i="33"/>
  <c r="E47" i="33"/>
  <c r="E46" i="33"/>
  <c r="E174" i="33"/>
  <c r="E171" i="33"/>
  <c r="E169" i="33"/>
  <c r="E168" i="33"/>
  <c r="E167" i="33"/>
  <c r="E166" i="33"/>
  <c r="E165" i="33"/>
  <c r="E164" i="33"/>
  <c r="E163" i="33"/>
  <c r="E162" i="33"/>
  <c r="E161" i="33"/>
  <c r="E160" i="33"/>
  <c r="E159" i="33"/>
  <c r="E158" i="33"/>
  <c r="E157" i="33"/>
  <c r="E156" i="33"/>
  <c r="E155" i="33"/>
  <c r="E154" i="33"/>
  <c r="E153" i="33"/>
  <c r="E152" i="33"/>
  <c r="E151" i="33"/>
  <c r="E147" i="33"/>
  <c r="E146" i="33"/>
  <c r="E145" i="33"/>
  <c r="E144" i="33"/>
  <c r="E143" i="33"/>
  <c r="E142" i="33"/>
  <c r="E141" i="33"/>
  <c r="E140" i="33"/>
  <c r="E138" i="33"/>
  <c r="E137" i="33"/>
  <c r="E45" i="33"/>
  <c r="E136" i="33"/>
  <c r="E44" i="33"/>
  <c r="E43" i="33"/>
  <c r="E42" i="33"/>
  <c r="E41" i="33"/>
  <c r="E173" i="33"/>
  <c r="E172" i="33"/>
  <c r="E170" i="33"/>
  <c r="E150" i="33"/>
  <c r="E28" i="33"/>
  <c r="E25" i="33"/>
  <c r="E21" i="33"/>
  <c r="E17" i="33"/>
  <c r="E14" i="33"/>
  <c r="E13" i="33"/>
  <c r="E2" i="33"/>
  <c r="E126" i="33"/>
  <c r="E125" i="33"/>
  <c r="E119" i="33"/>
  <c r="E118" i="33"/>
  <c r="E114" i="33"/>
  <c r="E111" i="33"/>
  <c r="E110" i="33"/>
  <c r="E107" i="33"/>
  <c r="E102" i="33"/>
  <c r="E94" i="33"/>
  <c r="E93" i="33"/>
  <c r="E92" i="33"/>
  <c r="E91" i="33"/>
  <c r="E90" i="33"/>
  <c r="E89" i="33"/>
  <c r="E88" i="33"/>
  <c r="E87" i="33"/>
  <c r="E86" i="33"/>
  <c r="E85" i="33"/>
  <c r="E83" i="33"/>
  <c r="E81" i="33"/>
  <c r="E80" i="33"/>
  <c r="E78" i="33"/>
  <c r="E76" i="33"/>
  <c r="E73" i="33"/>
  <c r="E70" i="33"/>
  <c r="E56" i="33"/>
  <c r="E135" i="33"/>
  <c r="E134" i="33"/>
  <c r="E133" i="33"/>
  <c r="E132" i="33"/>
  <c r="E131" i="33"/>
  <c r="E130" i="33"/>
  <c r="E121" i="33"/>
  <c r="E120" i="33"/>
  <c r="E115" i="33"/>
  <c r="E113" i="33"/>
  <c r="E112" i="33"/>
  <c r="E109" i="33"/>
  <c r="E108" i="33"/>
  <c r="E106" i="33"/>
  <c r="E101" i="33"/>
  <c r="E97" i="33"/>
  <c r="E95" i="33"/>
  <c r="E84" i="33"/>
  <c r="E79" i="33"/>
  <c r="E77" i="33"/>
  <c r="E74" i="33"/>
  <c r="E72" i="33"/>
  <c r="E71" i="33"/>
  <c r="E68" i="33"/>
  <c r="E66" i="33"/>
  <c r="E61" i="33"/>
  <c r="D55" i="26"/>
  <c r="S54" i="26"/>
  <c r="T73" i="27"/>
  <c r="E76" i="27"/>
  <c r="F76" i="27"/>
  <c r="G76" i="27"/>
  <c r="H76" i="27"/>
  <c r="I76" i="27"/>
  <c r="J76" i="27"/>
  <c r="K76" i="27"/>
  <c r="L76" i="27"/>
  <c r="M76" i="27"/>
  <c r="N76" i="27"/>
  <c r="D76" i="27"/>
  <c r="T75" i="27"/>
  <c r="T67" i="27"/>
  <c r="T69" i="27"/>
  <c r="T30" i="27"/>
  <c r="T29" i="27"/>
  <c r="T74" i="27"/>
  <c r="T34" i="27"/>
  <c r="T32" i="27"/>
  <c r="T35" i="27"/>
  <c r="T70" i="27"/>
  <c r="T36" i="27"/>
  <c r="T33" i="27"/>
  <c r="T31" i="27"/>
  <c r="T59" i="27"/>
  <c r="T64" i="27"/>
  <c r="T28" i="27"/>
  <c r="T65" i="27"/>
  <c r="T37" i="27"/>
  <c r="T38" i="27"/>
  <c r="T72" i="27"/>
  <c r="T71" i="27"/>
  <c r="T39" i="27"/>
  <c r="T68" i="27"/>
  <c r="T66" i="27"/>
  <c r="T40" i="27"/>
  <c r="T41" i="27"/>
  <c r="T62" i="27"/>
  <c r="T63" i="27"/>
  <c r="T61" i="27"/>
  <c r="T60" i="27"/>
  <c r="T56" i="27"/>
  <c r="T52" i="27"/>
  <c r="T51" i="27"/>
  <c r="T50" i="27"/>
  <c r="T49" i="27"/>
  <c r="T48" i="27"/>
  <c r="T47" i="27"/>
  <c r="T46" i="27"/>
  <c r="T42" i="27"/>
  <c r="T43" i="27"/>
  <c r="T44" i="27"/>
  <c r="T45" i="27"/>
  <c r="T55" i="27"/>
  <c r="T57" i="27"/>
  <c r="T54" i="27"/>
  <c r="T58" i="27"/>
  <c r="T53" i="27"/>
  <c r="E83" i="28"/>
  <c r="F83" i="28"/>
  <c r="G83" i="28"/>
  <c r="H83" i="28"/>
  <c r="J83" i="28"/>
  <c r="K83" i="28"/>
  <c r="L83" i="28"/>
  <c r="M83" i="28"/>
  <c r="N83" i="28"/>
  <c r="E103" i="22"/>
  <c r="F103" i="22"/>
  <c r="G103" i="22"/>
  <c r="H103" i="22"/>
  <c r="I103" i="22"/>
  <c r="J103" i="22"/>
  <c r="M103" i="22"/>
  <c r="N103" i="22"/>
  <c r="D103" i="22"/>
  <c r="E84" i="23"/>
  <c r="F84" i="23"/>
  <c r="G84" i="23"/>
  <c r="H84" i="23"/>
  <c r="L84" i="23"/>
  <c r="M84" i="23"/>
  <c r="N84" i="23"/>
  <c r="F108" i="24"/>
  <c r="G108" i="24"/>
  <c r="H108" i="24"/>
  <c r="I108" i="24"/>
  <c r="J108" i="24"/>
  <c r="K108" i="24"/>
  <c r="L108" i="24"/>
  <c r="M108" i="24"/>
  <c r="N108" i="24"/>
  <c r="E108" i="24"/>
  <c r="E108" i="25"/>
  <c r="F108" i="25"/>
  <c r="G108" i="25"/>
  <c r="H108" i="25"/>
  <c r="I108" i="25"/>
  <c r="J108" i="25"/>
  <c r="K108" i="25"/>
  <c r="L108" i="25"/>
  <c r="M108" i="25"/>
  <c r="N108" i="25"/>
  <c r="E55" i="26"/>
  <c r="F55" i="26"/>
  <c r="G55" i="26"/>
  <c r="H55" i="26"/>
  <c r="I55" i="26"/>
  <c r="J55" i="26"/>
  <c r="K55" i="26"/>
  <c r="L55" i="26"/>
  <c r="M55" i="26"/>
  <c r="N55" i="26"/>
  <c r="S43" i="26"/>
  <c r="S44" i="26"/>
  <c r="S45" i="26"/>
  <c r="S46" i="26"/>
  <c r="S47" i="26"/>
  <c r="S48" i="26"/>
  <c r="S49" i="26"/>
  <c r="S50" i="26"/>
  <c r="S51" i="26"/>
  <c r="S52" i="26"/>
  <c r="S53" i="26"/>
  <c r="S42" i="26"/>
  <c r="S41" i="26"/>
  <c r="S40" i="26"/>
  <c r="S39" i="26"/>
  <c r="S38" i="26"/>
  <c r="S37" i="26"/>
  <c r="S36" i="26"/>
  <c r="S35" i="26"/>
  <c r="S34" i="26"/>
  <c r="S33" i="26"/>
  <c r="S32" i="26"/>
  <c r="S31" i="26"/>
  <c r="S30" i="26"/>
  <c r="S29" i="26"/>
  <c r="S28" i="26"/>
  <c r="S27" i="26"/>
  <c r="S26" i="26"/>
  <c r="S25" i="26"/>
  <c r="S24" i="26"/>
  <c r="S23" i="26"/>
  <c r="S22" i="26"/>
  <c r="AD625" i="12"/>
  <c r="AD620" i="12"/>
  <c r="AD633" i="12"/>
  <c r="AD448" i="12"/>
  <c r="AD441" i="12"/>
  <c r="AD624" i="12"/>
  <c r="AD283" i="12"/>
  <c r="AD221" i="12"/>
  <c r="AD621" i="12"/>
  <c r="AD635" i="12"/>
  <c r="AD465" i="12"/>
  <c r="AD343" i="12"/>
  <c r="AD309" i="12"/>
  <c r="AD224" i="12"/>
  <c r="AD444" i="12"/>
  <c r="AD344" i="12"/>
  <c r="AD190" i="12"/>
  <c r="AD323" i="12"/>
  <c r="AD524" i="12"/>
  <c r="AD240" i="12"/>
  <c r="AD414" i="12"/>
  <c r="AD432" i="12"/>
  <c r="AD423" i="12"/>
  <c r="AD629" i="12"/>
  <c r="AD421" i="12"/>
  <c r="AD630" i="12"/>
  <c r="AD490" i="12"/>
  <c r="AD628" i="12"/>
  <c r="AD428" i="12"/>
  <c r="AD407" i="12"/>
  <c r="AD626" i="12"/>
  <c r="AD631" i="12"/>
  <c r="AD510" i="12"/>
  <c r="AD502" i="12"/>
  <c r="AD520" i="12"/>
  <c r="AD397" i="12"/>
  <c r="AD535" i="12"/>
  <c r="AD437" i="12"/>
  <c r="AD461" i="12"/>
  <c r="AD531" i="12"/>
  <c r="AD627" i="12"/>
  <c r="AD426" i="12"/>
  <c r="AD314" i="12"/>
  <c r="AD385" i="12"/>
  <c r="AD513" i="12"/>
  <c r="AD526" i="12"/>
  <c r="AD498" i="12"/>
  <c r="AD249" i="12"/>
  <c r="AD259" i="12"/>
  <c r="AD522" i="12"/>
  <c r="AD282" i="12"/>
  <c r="AD518" i="12"/>
  <c r="AD523" i="12"/>
  <c r="AD519" i="12"/>
  <c r="AD500" i="12"/>
  <c r="AD311" i="12"/>
  <c r="AD528" i="12"/>
  <c r="AD468" i="12"/>
  <c r="AD386" i="12"/>
  <c r="AD340" i="12"/>
  <c r="AD384" i="12"/>
  <c r="AD268" i="12"/>
  <c r="AD239" i="12"/>
  <c r="AD285" i="12"/>
  <c r="AD622" i="12"/>
  <c r="AD346" i="12"/>
  <c r="AD390" i="12"/>
  <c r="AD401" i="12"/>
  <c r="AD636" i="12"/>
  <c r="AD623" i="12"/>
  <c r="AD542" i="12"/>
  <c r="AD634" i="12"/>
  <c r="AD618" i="12"/>
  <c r="AD376" i="12"/>
  <c r="AD546" i="12"/>
  <c r="AD619" i="12"/>
  <c r="AD632" i="12"/>
  <c r="AD378" i="12"/>
  <c r="Q65" i="24"/>
  <c r="AD254" i="12" s="1"/>
  <c r="Q66" i="24"/>
  <c r="AD597" i="12" s="1"/>
  <c r="Q67" i="24"/>
  <c r="AD598" i="12" s="1"/>
  <c r="Q68" i="24"/>
  <c r="AD609" i="12" s="1"/>
  <c r="Q69" i="24"/>
  <c r="AD610" i="12" s="1"/>
  <c r="Q70" i="24"/>
  <c r="AD233" i="12" s="1"/>
  <c r="Q71" i="24"/>
  <c r="AD607" i="12" s="1"/>
  <c r="Q72" i="24"/>
  <c r="AD601" i="12" s="1"/>
  <c r="Q73" i="24"/>
  <c r="AD614" i="12" s="1"/>
  <c r="Q74" i="24"/>
  <c r="AD562" i="12" s="1"/>
  <c r="Q75" i="24"/>
  <c r="AD554" i="12" s="1"/>
  <c r="Q76" i="24"/>
  <c r="AD398" i="12" s="1"/>
  <c r="Q77" i="24"/>
  <c r="AD604" i="12" s="1"/>
  <c r="Q78" i="24"/>
  <c r="AD602" i="12" s="1"/>
  <c r="Q79" i="24"/>
  <c r="AD613" i="12" s="1"/>
  <c r="Q80" i="24"/>
  <c r="AD595" i="12" s="1"/>
  <c r="Q81" i="24"/>
  <c r="AD570" i="12" s="1"/>
  <c r="Q82" i="24"/>
  <c r="AD603" i="12" s="1"/>
  <c r="Q83" i="24"/>
  <c r="AD561" i="12" s="1"/>
  <c r="Q84" i="24"/>
  <c r="AD379" i="12" s="1"/>
  <c r="Q85" i="24"/>
  <c r="AD568" i="12" s="1"/>
  <c r="Q86" i="24"/>
  <c r="AD567" i="12" s="1"/>
  <c r="Q87" i="24"/>
  <c r="AD566" i="12" s="1"/>
  <c r="Q88" i="24"/>
  <c r="AD569" i="12" s="1"/>
  <c r="Q89" i="24"/>
  <c r="AD596" i="12" s="1"/>
  <c r="Q90" i="24"/>
  <c r="AD565" i="12" s="1"/>
  <c r="Q91" i="24"/>
  <c r="AD594" i="12" s="1"/>
  <c r="Q92" i="24"/>
  <c r="AD564" i="12" s="1"/>
  <c r="Q93" i="24"/>
  <c r="AD557" i="12" s="1"/>
  <c r="Q94" i="24"/>
  <c r="AD606" i="12" s="1"/>
  <c r="Q95" i="24"/>
  <c r="AD616" i="12" s="1"/>
  <c r="Q96" i="24"/>
  <c r="AD611" i="12" s="1"/>
  <c r="Q97" i="24"/>
  <c r="AD605" i="12" s="1"/>
  <c r="Q98" i="24"/>
  <c r="AD617" i="12" s="1"/>
  <c r="Q99" i="24"/>
  <c r="AD545" i="12" s="1"/>
  <c r="Q100" i="24"/>
  <c r="AD608" i="12" s="1"/>
  <c r="Q101" i="24"/>
  <c r="AD612" i="12" s="1"/>
  <c r="Q102" i="24"/>
  <c r="AD436" i="12" s="1"/>
  <c r="Q103" i="24"/>
  <c r="AD499" i="12" s="1"/>
  <c r="Q104" i="24"/>
  <c r="AD501" i="12" s="1"/>
  <c r="Q105" i="24"/>
  <c r="AD556" i="12" s="1"/>
  <c r="Q106" i="24"/>
  <c r="AD599" i="12" s="1"/>
  <c r="Q107" i="24"/>
  <c r="AD600" i="12" s="1"/>
  <c r="D108" i="24"/>
  <c r="Q64" i="24"/>
  <c r="AD219" i="12" s="1"/>
  <c r="Q63" i="24"/>
  <c r="AD200" i="12" s="1"/>
  <c r="Q62" i="24"/>
  <c r="AD456" i="12" s="1"/>
  <c r="Q61" i="24"/>
  <c r="AD507" i="12" s="1"/>
  <c r="Q60" i="24"/>
  <c r="AD230" i="12" s="1"/>
  <c r="Q59" i="24"/>
  <c r="AD252" i="12" s="1"/>
  <c r="Q58" i="24"/>
  <c r="AD435" i="12" s="1"/>
  <c r="Q57" i="24"/>
  <c r="AD424" i="12" s="1"/>
  <c r="Q56" i="24"/>
  <c r="AD364" i="12" s="1"/>
  <c r="Q55" i="24"/>
  <c r="AD512" i="12" s="1"/>
  <c r="Q54" i="24"/>
  <c r="AD203" i="12" s="1"/>
  <c r="Q53" i="24"/>
  <c r="AD559" i="12" s="1"/>
  <c r="Q52" i="24"/>
  <c r="AD558" i="12" s="1"/>
  <c r="Q51" i="24"/>
  <c r="AD541" i="12" s="1"/>
  <c r="Q50" i="24"/>
  <c r="AD271" i="12" s="1"/>
  <c r="Q49" i="24"/>
  <c r="AD491" i="12" s="1"/>
  <c r="Q48" i="24"/>
  <c r="AD560" i="12" s="1"/>
  <c r="Q47" i="24"/>
  <c r="AD434" i="12" s="1"/>
  <c r="Q46" i="24"/>
  <c r="AD212" i="12" s="1"/>
  <c r="Q45" i="24"/>
  <c r="AD449" i="12" s="1"/>
  <c r="Q44" i="24"/>
  <c r="AD615" i="12" s="1"/>
  <c r="Q43" i="24"/>
  <c r="AD357" i="12" s="1"/>
  <c r="Q42" i="24"/>
  <c r="AD409" i="12" s="1"/>
  <c r="Q41" i="24"/>
  <c r="AD411" i="12" s="1"/>
  <c r="Q40" i="24"/>
  <c r="AD509" i="12" s="1"/>
  <c r="Q39" i="24"/>
  <c r="AD563" i="12" s="1"/>
  <c r="Q82" i="23"/>
  <c r="AD515" i="12" s="1"/>
  <c r="Q81" i="23"/>
  <c r="AD591" i="12" s="1"/>
  <c r="Q80" i="23"/>
  <c r="AD284" i="12" s="1"/>
  <c r="Q79" i="23"/>
  <c r="AD462" i="12" s="1"/>
  <c r="Q78" i="23"/>
  <c r="AD192" i="12" s="1"/>
  <c r="Q77" i="23"/>
  <c r="AD205" i="12" s="1"/>
  <c r="Q76" i="23"/>
  <c r="AD191" i="12" s="1"/>
  <c r="Q75" i="23"/>
  <c r="AD288" i="12" s="1"/>
  <c r="Q74" i="23"/>
  <c r="AD459" i="12" s="1"/>
  <c r="Q73" i="23"/>
  <c r="AD454" i="12" s="1"/>
  <c r="Q72" i="23"/>
  <c r="AD372" i="12" s="1"/>
  <c r="Q71" i="23"/>
  <c r="AD527" i="12" s="1"/>
  <c r="Q70" i="23"/>
  <c r="AD588" i="12" s="1"/>
  <c r="Q69" i="23"/>
  <c r="AD587" i="12" s="1"/>
  <c r="Q68" i="23"/>
  <c r="AD584" i="12" s="1"/>
  <c r="Q67" i="23"/>
  <c r="AD593" i="12" s="1"/>
  <c r="Q66" i="23"/>
  <c r="AD592" i="12" s="1"/>
  <c r="Q65" i="23"/>
  <c r="AD589" i="12" s="1"/>
  <c r="Q64" i="23"/>
  <c r="AD590" i="12" s="1"/>
  <c r="Q63" i="23"/>
  <c r="AD496" i="12" s="1"/>
  <c r="Q62" i="23"/>
  <c r="AD530" i="12" s="1"/>
  <c r="Q61" i="23"/>
  <c r="AD583" i="12" s="1"/>
  <c r="Q60" i="23"/>
  <c r="AD586" i="12" s="1"/>
  <c r="Q59" i="23"/>
  <c r="AD317" i="12" s="1"/>
  <c r="Q58" i="23"/>
  <c r="AD447" i="12" s="1"/>
  <c r="Q57" i="23"/>
  <c r="AD487" i="12" s="1"/>
  <c r="Q56" i="23"/>
  <c r="AD279" i="12" s="1"/>
  <c r="Q55" i="23"/>
  <c r="AD540" i="12" s="1"/>
  <c r="Q54" i="23"/>
  <c r="AD204" i="12" s="1"/>
  <c r="Q53" i="23"/>
  <c r="AD539" i="12" s="1"/>
  <c r="Q52" i="23"/>
  <c r="AD377" i="12" s="1"/>
  <c r="Q51" i="23"/>
  <c r="AD529" i="12" s="1"/>
  <c r="Q50" i="23"/>
  <c r="AD197" i="12" s="1"/>
  <c r="Q49" i="23"/>
  <c r="AD307" i="12" s="1"/>
  <c r="Q48" i="23"/>
  <c r="AD234" i="12" s="1"/>
  <c r="Q47" i="23"/>
  <c r="AD475" i="12" s="1"/>
  <c r="Q46" i="23"/>
  <c r="AD237" i="12" s="1"/>
  <c r="Q45" i="23"/>
  <c r="AD226" i="12" s="1"/>
  <c r="Q44" i="23"/>
  <c r="AD375" i="12" s="1"/>
  <c r="Q43" i="23"/>
  <c r="AD304" i="12" s="1"/>
  <c r="Q42" i="23"/>
  <c r="AD318" i="12" s="1"/>
  <c r="Q41" i="23"/>
  <c r="AD532" i="12" s="1"/>
  <c r="Q40" i="23"/>
  <c r="AD581" i="12" s="1"/>
  <c r="Q39" i="23"/>
  <c r="AD431" i="12" s="1"/>
  <c r="Q38" i="23"/>
  <c r="AD479" i="12" s="1"/>
  <c r="Q37" i="23"/>
  <c r="AD585" i="12" s="1"/>
  <c r="Q36" i="23"/>
  <c r="AD582" i="12" s="1"/>
  <c r="Q35" i="23"/>
  <c r="AD446" i="12" s="1"/>
  <c r="Q34" i="23"/>
  <c r="AD580" i="12" s="1"/>
  <c r="Q33" i="23"/>
  <c r="AD469" i="12" s="1"/>
  <c r="Q32" i="23"/>
  <c r="AD440" i="12" s="1"/>
  <c r="Q31" i="23"/>
  <c r="AD477" i="12" s="1"/>
  <c r="Q30" i="23"/>
  <c r="AD430" i="12" s="1"/>
  <c r="Q29" i="23"/>
  <c r="AD218" i="12" s="1"/>
  <c r="S34" i="18"/>
  <c r="S35" i="18"/>
  <c r="S36" i="18"/>
  <c r="S37" i="18"/>
  <c r="S38" i="18"/>
  <c r="S39" i="18"/>
  <c r="S40" i="18"/>
  <c r="S41" i="18"/>
  <c r="S42" i="18"/>
  <c r="S43" i="18"/>
  <c r="S44" i="18"/>
  <c r="S45" i="18"/>
  <c r="S46" i="18"/>
  <c r="S47" i="18"/>
  <c r="S48" i="18"/>
  <c r="S49" i="18"/>
  <c r="S50" i="18"/>
  <c r="S51" i="18"/>
  <c r="S52" i="18"/>
  <c r="S53" i="18"/>
  <c r="S54" i="18"/>
  <c r="S55" i="18"/>
  <c r="S56" i="18"/>
  <c r="S57" i="18"/>
  <c r="S58" i="18"/>
  <c r="S59" i="18"/>
  <c r="S60" i="18"/>
  <c r="S61" i="18"/>
  <c r="S62" i="18"/>
  <c r="S63" i="18"/>
  <c r="S64" i="18"/>
  <c r="S65" i="18"/>
  <c r="S66" i="18"/>
  <c r="S67" i="18"/>
  <c r="S68" i="18"/>
  <c r="S69" i="18"/>
  <c r="S70" i="18"/>
  <c r="S71" i="18"/>
  <c r="S72" i="18"/>
  <c r="S73" i="18"/>
  <c r="S74" i="18"/>
  <c r="S75" i="18"/>
  <c r="S76" i="18"/>
  <c r="S77" i="18"/>
  <c r="S78" i="18"/>
  <c r="S79" i="18"/>
  <c r="S80" i="18"/>
  <c r="S81" i="18"/>
  <c r="S82" i="18"/>
  <c r="S83" i="18"/>
  <c r="S84" i="18"/>
  <c r="S85" i="18"/>
  <c r="S86" i="18"/>
  <c r="S87" i="18"/>
  <c r="S88" i="18"/>
  <c r="AD544" i="12" s="1"/>
  <c r="S89" i="18"/>
  <c r="S90" i="18"/>
  <c r="S91" i="18"/>
  <c r="S92" i="18"/>
  <c r="S93" i="18"/>
  <c r="S94" i="18"/>
  <c r="S95" i="18"/>
  <c r="S96" i="18"/>
  <c r="S97" i="18"/>
  <c r="AD645" i="12" s="1"/>
  <c r="S98" i="18"/>
  <c r="S99" i="18"/>
  <c r="S100" i="18"/>
  <c r="S101" i="18"/>
  <c r="S102" i="18"/>
  <c r="S103" i="18"/>
  <c r="S104" i="18"/>
  <c r="S105" i="18"/>
  <c r="S33" i="18"/>
  <c r="D106" i="18"/>
  <c r="N106" i="18"/>
  <c r="M106" i="18"/>
  <c r="L106" i="18"/>
  <c r="I106" i="18"/>
  <c r="H106" i="18"/>
  <c r="G106" i="18"/>
  <c r="F106" i="18"/>
  <c r="E106" i="18"/>
  <c r="AH211" i="12"/>
  <c r="AH198" i="12"/>
  <c r="AH327" i="12"/>
  <c r="AH417" i="12"/>
  <c r="AH514" i="12"/>
  <c r="AH265" i="12"/>
  <c r="AH184" i="12"/>
  <c r="AH250" i="12"/>
  <c r="AH186" i="12"/>
  <c r="AH322" i="12"/>
  <c r="AH213" i="12"/>
  <c r="AH247" i="12"/>
  <c r="AH182" i="12"/>
  <c r="AH181" i="12"/>
  <c r="AH195" i="12"/>
  <c r="AH289" i="12"/>
  <c r="AH232" i="12"/>
  <c r="AH201" i="12"/>
  <c r="AH293" i="12"/>
  <c r="AH358" i="12"/>
  <c r="AH187" i="12"/>
  <c r="AH188" i="12"/>
  <c r="AH374" i="12"/>
  <c r="AH273" i="12"/>
  <c r="AH199" i="12"/>
  <c r="AH222" i="12"/>
  <c r="AH207" i="12"/>
  <c r="AH202" i="12"/>
  <c r="AH194" i="12"/>
  <c r="AH266" i="12"/>
  <c r="AH196" i="12"/>
  <c r="AH302" i="12"/>
  <c r="AH356" i="12"/>
  <c r="AH367" i="12"/>
  <c r="AH579" i="12"/>
  <c r="AH578" i="12"/>
  <c r="AH471" i="12"/>
  <c r="AH453" i="12"/>
  <c r="AH210" i="12"/>
  <c r="AH218" i="12"/>
  <c r="AH430" i="12"/>
  <c r="AH477" i="12"/>
  <c r="AH440" i="12"/>
  <c r="AH469" i="12"/>
  <c r="AH580" i="12"/>
  <c r="AH446" i="12"/>
  <c r="AH582" i="12"/>
  <c r="AH585" i="12"/>
  <c r="AH479" i="12"/>
  <c r="AH431" i="12"/>
  <c r="AH581" i="12"/>
  <c r="AH532" i="12"/>
  <c r="AH318" i="12"/>
  <c r="AH304" i="12"/>
  <c r="AH375" i="12"/>
  <c r="AH226" i="12"/>
  <c r="AH237" i="12"/>
  <c r="AH475" i="12"/>
  <c r="AH234" i="12"/>
  <c r="AH307" i="12"/>
  <c r="AH197" i="12"/>
  <c r="AH529" i="12"/>
  <c r="AH377" i="12"/>
  <c r="AH539" i="12"/>
  <c r="AH204" i="12"/>
  <c r="AH540" i="12"/>
  <c r="AH279" i="12"/>
  <c r="AH487" i="12"/>
  <c r="AH447" i="12"/>
  <c r="AH317" i="12"/>
  <c r="AH586" i="12"/>
  <c r="AH583" i="12"/>
  <c r="AH530" i="12"/>
  <c r="AH496" i="12"/>
  <c r="AH590" i="12"/>
  <c r="AH589" i="12"/>
  <c r="AH592" i="12"/>
  <c r="AH593" i="12"/>
  <c r="AH584" i="12"/>
  <c r="AH587" i="12"/>
  <c r="AH588" i="12"/>
  <c r="AH527" i="12"/>
  <c r="AH372" i="12"/>
  <c r="AH454" i="12"/>
  <c r="AH459" i="12"/>
  <c r="AH288" i="12"/>
  <c r="AH191" i="12"/>
  <c r="AH205" i="12"/>
  <c r="AH192" i="12"/>
  <c r="AH462" i="12"/>
  <c r="AH284" i="12"/>
  <c r="AH591" i="12"/>
  <c r="AH515" i="12"/>
  <c r="AH563" i="12"/>
  <c r="AH509" i="12"/>
  <c r="AH411" i="12"/>
  <c r="AH409" i="12"/>
  <c r="AH357" i="12"/>
  <c r="AH615" i="12"/>
  <c r="AH449" i="12"/>
  <c r="AH212" i="12"/>
  <c r="AH434" i="12"/>
  <c r="AH560" i="12"/>
  <c r="AH491" i="12"/>
  <c r="AH271" i="12"/>
  <c r="AH541" i="12"/>
  <c r="AH558" i="12"/>
  <c r="AH559" i="12"/>
  <c r="AH203" i="12"/>
  <c r="AH512" i="12"/>
  <c r="AH364" i="12"/>
  <c r="AH424" i="12"/>
  <c r="AH435" i="12"/>
  <c r="AH252" i="12"/>
  <c r="AH230" i="12"/>
  <c r="AH507" i="12"/>
  <c r="AH456" i="12"/>
  <c r="AH200" i="12"/>
  <c r="AH219" i="12"/>
  <c r="AH254" i="12"/>
  <c r="AH597" i="12"/>
  <c r="AH598" i="12"/>
  <c r="AH609" i="12"/>
  <c r="AH610" i="12"/>
  <c r="AH233" i="12"/>
  <c r="AH607" i="12"/>
  <c r="AH601" i="12"/>
  <c r="AH614" i="12"/>
  <c r="AH562" i="12"/>
  <c r="AH554" i="12"/>
  <c r="AH398" i="12"/>
  <c r="AH604" i="12"/>
  <c r="AH602" i="12"/>
  <c r="AH613" i="12"/>
  <c r="AH595" i="12"/>
  <c r="AH570" i="12"/>
  <c r="AH603" i="12"/>
  <c r="AH561" i="12"/>
  <c r="AH379" i="12"/>
  <c r="AH568" i="12"/>
  <c r="AH567" i="12"/>
  <c r="AH566" i="12"/>
  <c r="AH569" i="12"/>
  <c r="AH596" i="12"/>
  <c r="AH565" i="12"/>
  <c r="AH594" i="12"/>
  <c r="AH564" i="12"/>
  <c r="AH557" i="12"/>
  <c r="AH606" i="12"/>
  <c r="AH616" i="12"/>
  <c r="AH611" i="12"/>
  <c r="AH605" i="12"/>
  <c r="AH617" i="12"/>
  <c r="AH545" i="12"/>
  <c r="AH608" i="12"/>
  <c r="AH612" i="12"/>
  <c r="AH436" i="12"/>
  <c r="AH499" i="12"/>
  <c r="AH501" i="12"/>
  <c r="AH556" i="12"/>
  <c r="AH599" i="12"/>
  <c r="AH600" i="12"/>
  <c r="AH378" i="12"/>
  <c r="AH632" i="12"/>
  <c r="AH619" i="12"/>
  <c r="AH546" i="12"/>
  <c r="AH376" i="12"/>
  <c r="AH618" i="12"/>
  <c r="AH634" i="12"/>
  <c r="AH542" i="12"/>
  <c r="AH623" i="12"/>
  <c r="AH636" i="12"/>
  <c r="AH401" i="12"/>
  <c r="AH390" i="12"/>
  <c r="AH625" i="12"/>
  <c r="AH620" i="12"/>
  <c r="AH633" i="12"/>
  <c r="AH448" i="12"/>
  <c r="AH441" i="12"/>
  <c r="AH624" i="12"/>
  <c r="AH283" i="12"/>
  <c r="AH221" i="12"/>
  <c r="AH621" i="12"/>
  <c r="AH635" i="12"/>
  <c r="AH465" i="12"/>
  <c r="AH343" i="12"/>
  <c r="AH309" i="12"/>
  <c r="AH224" i="12"/>
  <c r="AH444" i="12"/>
  <c r="AH344" i="12"/>
  <c r="AH190" i="12"/>
  <c r="AH323" i="12"/>
  <c r="AH524" i="12"/>
  <c r="AH240" i="12"/>
  <c r="AH414" i="12"/>
  <c r="AH432" i="12"/>
  <c r="AH423" i="12"/>
  <c r="AH629" i="12"/>
  <c r="AH421" i="12"/>
  <c r="AH630" i="12"/>
  <c r="AH490" i="12"/>
  <c r="AH628" i="12"/>
  <c r="AH428" i="12"/>
  <c r="AH407" i="12"/>
  <c r="AH626" i="12"/>
  <c r="AH631" i="12"/>
  <c r="AH510" i="12"/>
  <c r="AH502" i="12"/>
  <c r="AH520" i="12"/>
  <c r="AH397" i="12"/>
  <c r="AH535" i="12"/>
  <c r="AH437" i="12"/>
  <c r="AH461" i="12"/>
  <c r="AH531" i="12"/>
  <c r="AH627" i="12"/>
  <c r="AH426" i="12"/>
  <c r="AH314" i="12"/>
  <c r="AH385" i="12"/>
  <c r="AH513" i="12"/>
  <c r="AH526" i="12"/>
  <c r="AH498" i="12"/>
  <c r="AH249" i="12"/>
  <c r="AH259" i="12"/>
  <c r="AH522" i="12"/>
  <c r="AH282" i="12"/>
  <c r="AH518" i="12"/>
  <c r="AH523" i="12"/>
  <c r="AH519" i="12"/>
  <c r="AH500" i="12"/>
  <c r="AH311" i="12"/>
  <c r="AH528" i="12"/>
  <c r="AH468" i="12"/>
  <c r="AH386" i="12"/>
  <c r="AH340" i="12"/>
  <c r="AH384" i="12"/>
  <c r="AH268" i="12"/>
  <c r="AH239" i="12"/>
  <c r="AH285" i="12"/>
  <c r="AH622" i="12"/>
  <c r="AH346" i="12"/>
  <c r="AH298" i="12"/>
  <c r="AH381" i="12"/>
  <c r="AH300" i="12"/>
  <c r="AH326" i="12"/>
  <c r="AH301" i="12"/>
  <c r="AH336" i="12"/>
  <c r="AH466" i="12"/>
  <c r="AH338" i="12"/>
  <c r="AH517" i="12"/>
  <c r="AH443" i="12"/>
  <c r="AH366" i="12"/>
  <c r="AH355" i="12"/>
  <c r="AH272" i="12"/>
  <c r="AH261" i="12"/>
  <c r="AH248" i="12"/>
  <c r="AH276" i="12"/>
  <c r="AH287" i="12"/>
  <c r="AH244" i="12"/>
  <c r="AH451" i="12"/>
  <c r="AH299" i="12"/>
  <c r="AH242" i="12"/>
  <c r="AH460" i="12"/>
  <c r="AH280" i="12"/>
  <c r="AH229" i="12"/>
  <c r="AH576" i="12"/>
  <c r="AH295" i="12"/>
  <c r="AH216" i="12"/>
  <c r="AH231" i="12"/>
  <c r="AH388" i="12"/>
  <c r="AH342" i="12"/>
  <c r="AH352" i="12"/>
  <c r="AH354" i="12"/>
  <c r="AH353" i="12"/>
  <c r="AH345" i="12"/>
  <c r="AH577" i="12"/>
  <c r="AH292" i="12"/>
  <c r="AH445" i="12"/>
  <c r="AH325" i="12"/>
  <c r="AH362" i="12"/>
  <c r="AH406" i="12"/>
  <c r="AH185" i="12"/>
  <c r="AH506" i="12"/>
  <c r="AH639" i="12"/>
  <c r="AH572" i="12"/>
  <c r="AH574" i="12"/>
  <c r="AH638" i="12"/>
  <c r="AH493" i="12"/>
  <c r="AH640" i="12"/>
  <c r="AH473" i="12"/>
  <c r="AH193" i="12"/>
  <c r="AH214" i="12"/>
  <c r="AH267" i="12"/>
  <c r="AH206" i="12"/>
  <c r="AH320" i="12"/>
  <c r="AH429" i="12"/>
  <c r="AH394" i="12"/>
  <c r="AH341" i="12"/>
  <c r="AH575" i="12"/>
  <c r="AH312" i="12"/>
  <c r="AH637" i="12"/>
  <c r="AH413" i="12"/>
  <c r="AH438" i="12"/>
  <c r="AH220" i="12"/>
  <c r="AH290" i="12"/>
  <c r="AH547" i="12"/>
  <c r="AH439" i="12"/>
  <c r="AH260" i="12"/>
  <c r="AH457" i="12"/>
  <c r="AH470" i="12"/>
  <c r="AH418" i="12"/>
  <c r="AH396" i="12"/>
  <c r="AH319" i="12"/>
  <c r="AH303" i="12"/>
  <c r="AH305" i="12"/>
  <c r="AH208" i="12"/>
  <c r="AH349" i="12"/>
  <c r="AH463" i="12"/>
  <c r="AH253" i="12"/>
  <c r="AH641" i="12"/>
  <c r="AH425" i="12"/>
  <c r="AH351" i="12"/>
  <c r="AH350" i="12"/>
  <c r="AH277" i="12"/>
  <c r="AH228" i="12"/>
  <c r="AH536" i="12"/>
  <c r="AH482" i="12"/>
  <c r="AH321" i="12"/>
  <c r="AH241" i="12"/>
  <c r="AH369" i="12"/>
  <c r="AH368" i="12"/>
  <c r="AH389" i="12"/>
  <c r="AH548" i="12"/>
  <c r="AH269" i="12"/>
  <c r="AH335" i="12"/>
  <c r="AH472" i="12"/>
  <c r="AH476" i="12"/>
  <c r="AH291" i="12"/>
  <c r="AH333" i="12"/>
  <c r="AH573" i="12"/>
  <c r="AH332" i="12"/>
  <c r="AH331" i="12"/>
  <c r="AH227" i="12"/>
  <c r="AH209" i="12"/>
  <c r="AH402" i="12"/>
  <c r="AH478" i="12"/>
  <c r="AH405" i="12"/>
  <c r="AH263" i="12"/>
  <c r="AH308" i="12"/>
  <c r="AH324" i="12"/>
  <c r="AH488" i="12"/>
  <c r="AH316" i="12"/>
  <c r="AH347" i="12"/>
  <c r="AH339" i="12"/>
  <c r="AH489" i="12"/>
  <c r="AH450" i="12"/>
  <c r="AH452" i="12"/>
  <c r="AH642" i="12"/>
  <c r="AH543" i="12"/>
  <c r="AH474" i="12"/>
  <c r="AH294" i="12"/>
  <c r="AH404" i="12"/>
  <c r="AH485" i="12"/>
  <c r="AH245" i="12"/>
  <c r="AH281" i="12"/>
  <c r="AH371" i="12"/>
  <c r="AH643" i="12"/>
  <c r="AH183" i="12"/>
  <c r="AH380" i="12"/>
  <c r="AH217" i="12"/>
  <c r="AH360" i="12"/>
  <c r="AH403" i="12"/>
  <c r="AH365" i="12"/>
  <c r="AH537" i="12"/>
  <c r="AH649" i="12"/>
  <c r="AH497" i="12"/>
  <c r="AH334" i="12"/>
  <c r="AH651" i="12"/>
  <c r="AH337" i="12"/>
  <c r="AH652" i="12"/>
  <c r="AH504" i="12"/>
  <c r="AH363" i="12"/>
  <c r="AH251" i="12"/>
  <c r="AH264" i="12"/>
  <c r="AH505" i="12"/>
  <c r="AH511" i="12"/>
  <c r="AH516" i="12"/>
  <c r="AH480" i="12"/>
  <c r="AH538" i="12"/>
  <c r="AH236" i="12"/>
  <c r="AH521" i="12"/>
  <c r="AH508" i="12"/>
  <c r="AH525" i="12"/>
  <c r="AH387" i="12"/>
  <c r="AH503" i="12"/>
  <c r="AH373" i="12"/>
  <c r="AH262" i="12"/>
  <c r="AH442" i="12"/>
  <c r="AH225" i="12"/>
  <c r="AH313" i="12"/>
  <c r="AH416" i="12"/>
  <c r="AH555" i="12"/>
  <c r="AH328" i="12"/>
  <c r="AH467" i="12"/>
  <c r="AH189" i="12"/>
  <c r="AH484" i="12"/>
  <c r="AH306" i="12"/>
  <c r="AH644" i="12"/>
  <c r="AH359" i="12"/>
  <c r="AH296" i="12"/>
  <c r="AH646" i="12"/>
  <c r="AH408" i="12"/>
  <c r="AH648" i="12"/>
  <c r="AH571" i="12"/>
  <c r="AH391" i="12"/>
  <c r="AH647" i="12"/>
  <c r="AH348" i="12"/>
  <c r="AH544" i="12"/>
  <c r="AH495" i="12"/>
  <c r="AH653" i="12"/>
  <c r="AH481" i="12"/>
  <c r="AH256" i="12"/>
  <c r="AH415" i="12"/>
  <c r="AH483" i="12"/>
  <c r="AH270" i="12"/>
  <c r="AH420" i="12"/>
  <c r="AH645" i="12"/>
  <c r="AH410" i="12"/>
  <c r="AH433" i="12"/>
  <c r="AH392" i="12"/>
  <c r="AH422" i="12"/>
  <c r="AH650" i="12"/>
  <c r="AH400" i="12"/>
  <c r="AH419" i="12"/>
  <c r="AH492" i="12"/>
  <c r="AH656" i="12"/>
  <c r="AH534" i="12"/>
  <c r="AH395" i="12"/>
  <c r="AH286" i="12"/>
  <c r="AH658" i="12"/>
  <c r="AH552" i="12"/>
  <c r="AH494" i="12"/>
  <c r="AH533" i="12"/>
  <c r="AH399" i="12"/>
  <c r="AH297" i="12"/>
  <c r="AH258" i="12"/>
  <c r="AH383" i="12"/>
  <c r="AH549" i="12"/>
  <c r="AH235" i="12"/>
  <c r="AH553" i="12"/>
  <c r="AH412" i="12"/>
  <c r="AH278" i="12"/>
  <c r="AH654" i="12"/>
  <c r="AH486" i="12"/>
  <c r="AH361" i="12"/>
  <c r="AH382" i="12"/>
  <c r="AH257" i="12"/>
  <c r="AH274" i="12"/>
  <c r="AH330" i="12"/>
  <c r="AH655" i="12"/>
  <c r="AH551" i="12"/>
  <c r="AH315" i="12"/>
  <c r="AH464" i="12"/>
  <c r="AH657" i="12"/>
  <c r="AH550" i="12"/>
  <c r="AH393" i="12"/>
  <c r="AH370" i="12"/>
  <c r="AH255" i="12"/>
  <c r="AH275" i="12"/>
  <c r="AH215" i="12"/>
  <c r="AH223" i="12"/>
  <c r="AH238" i="12"/>
  <c r="AH329" i="12"/>
  <c r="AH427" i="12"/>
  <c r="AH458" i="12"/>
  <c r="AH310" i="12"/>
  <c r="AH246" i="12"/>
  <c r="AH455" i="12"/>
  <c r="AB275" i="12"/>
  <c r="AB215" i="12"/>
  <c r="AB223" i="12"/>
  <c r="AC223" i="12" s="1"/>
  <c r="AB238" i="12"/>
  <c r="AB329" i="12"/>
  <c r="AB427" i="12"/>
  <c r="AB458" i="12"/>
  <c r="AC458" i="12" s="1"/>
  <c r="AB310" i="12"/>
  <c r="AB246" i="12"/>
  <c r="AC246" i="12" s="1"/>
  <c r="AB455" i="12"/>
  <c r="AB211" i="12"/>
  <c r="AB198" i="12"/>
  <c r="AC198" i="12" s="1"/>
  <c r="AB327" i="12"/>
  <c r="AC327" i="12" s="1"/>
  <c r="AB417" i="12"/>
  <c r="AC417" i="12" s="1"/>
  <c r="AB514" i="12"/>
  <c r="AB265" i="12"/>
  <c r="AB184" i="12"/>
  <c r="AC184" i="12" s="1"/>
  <c r="AB250" i="12"/>
  <c r="AB186" i="12"/>
  <c r="AC186" i="12" s="1"/>
  <c r="AB322" i="12"/>
  <c r="AB213" i="12"/>
  <c r="AB247" i="12"/>
  <c r="AC247" i="12" s="1"/>
  <c r="AB182" i="12"/>
  <c r="AC182" i="12" s="1"/>
  <c r="AB181" i="12"/>
  <c r="AF181" i="12" s="1"/>
  <c r="AB195" i="12"/>
  <c r="AC195" i="12" s="1"/>
  <c r="AB289" i="12"/>
  <c r="AB232" i="12"/>
  <c r="AC232" i="12" s="1"/>
  <c r="AB201" i="12"/>
  <c r="AB293" i="12"/>
  <c r="AC293" i="12" s="1"/>
  <c r="AB358" i="12"/>
  <c r="AB187" i="12"/>
  <c r="AC187" i="12" s="1"/>
  <c r="AB188" i="12"/>
  <c r="AB374" i="12"/>
  <c r="AC374" i="12" s="1"/>
  <c r="AB273" i="12"/>
  <c r="AB199" i="12"/>
  <c r="AB222" i="12"/>
  <c r="AC222" i="12" s="1"/>
  <c r="AB207" i="12"/>
  <c r="AB202" i="12"/>
  <c r="AB194" i="12"/>
  <c r="AB266" i="12"/>
  <c r="AC266" i="12" s="1"/>
  <c r="AB196" i="12"/>
  <c r="AC196" i="12" s="1"/>
  <c r="AB302" i="12"/>
  <c r="AB356" i="12"/>
  <c r="AB367" i="12"/>
  <c r="AC367" i="12" s="1"/>
  <c r="AB579" i="12"/>
  <c r="AB578" i="12"/>
  <c r="AC578" i="12" s="1"/>
  <c r="AB471" i="12"/>
  <c r="AB453" i="12"/>
  <c r="AB210" i="12"/>
  <c r="AC210" i="12" s="1"/>
  <c r="AB218" i="12"/>
  <c r="AB430" i="12"/>
  <c r="AC430" i="12" s="1"/>
  <c r="AB477" i="12"/>
  <c r="AC477" i="12" s="1"/>
  <c r="AB440" i="12"/>
  <c r="AB469" i="12"/>
  <c r="AB580" i="12"/>
  <c r="AC580" i="12" s="1"/>
  <c r="AB446" i="12"/>
  <c r="AC446" i="12" s="1"/>
  <c r="AB582" i="12"/>
  <c r="AC582" i="12" s="1"/>
  <c r="AB585" i="12"/>
  <c r="AB479" i="12"/>
  <c r="AC479" i="12" s="1"/>
  <c r="AB431" i="12"/>
  <c r="AB581" i="12"/>
  <c r="AB532" i="12"/>
  <c r="AC532" i="12" s="1"/>
  <c r="AB318" i="12"/>
  <c r="AC318" i="12" s="1"/>
  <c r="AB304" i="12"/>
  <c r="AC304" i="12" s="1"/>
  <c r="AB375" i="12"/>
  <c r="AC375" i="12" s="1"/>
  <c r="AB226" i="12"/>
  <c r="AB237" i="12"/>
  <c r="AB475" i="12"/>
  <c r="AC475" i="12" s="1"/>
  <c r="AB234" i="12"/>
  <c r="AC234" i="12" s="1"/>
  <c r="AB307" i="12"/>
  <c r="AB197" i="12"/>
  <c r="AB529" i="12"/>
  <c r="AC529" i="12" s="1"/>
  <c r="AB377" i="12"/>
  <c r="AC377" i="12" s="1"/>
  <c r="AB539" i="12"/>
  <c r="AB204" i="12"/>
  <c r="AC204" i="12" s="1"/>
  <c r="AB540" i="12"/>
  <c r="AC540" i="12" s="1"/>
  <c r="AB279" i="12"/>
  <c r="AC279" i="12" s="1"/>
  <c r="AB487" i="12"/>
  <c r="AC487" i="12" s="1"/>
  <c r="AB447" i="12"/>
  <c r="AC447" i="12" s="1"/>
  <c r="AB317" i="12"/>
  <c r="AB586" i="12"/>
  <c r="AC586" i="12" s="1"/>
  <c r="AB583" i="12"/>
  <c r="AB530" i="12"/>
  <c r="AC530" i="12" s="1"/>
  <c r="AB496" i="12"/>
  <c r="AC496" i="12" s="1"/>
  <c r="AB590" i="12"/>
  <c r="AB589" i="12"/>
  <c r="AC589" i="12" s="1"/>
  <c r="AB592" i="12"/>
  <c r="AC592" i="12" s="1"/>
  <c r="AB593" i="12"/>
  <c r="AC593" i="12" s="1"/>
  <c r="AB584" i="12"/>
  <c r="AC584" i="12" s="1"/>
  <c r="AB587" i="12"/>
  <c r="AB588" i="12"/>
  <c r="AB527" i="12"/>
  <c r="AC527" i="12" s="1"/>
  <c r="AB372" i="12"/>
  <c r="AB454" i="12"/>
  <c r="AC454" i="12" s="1"/>
  <c r="AB459" i="12"/>
  <c r="AB288" i="12"/>
  <c r="AC288" i="12" s="1"/>
  <c r="AB191" i="12"/>
  <c r="AB205" i="12"/>
  <c r="AB192" i="12"/>
  <c r="AC192" i="12" s="1"/>
  <c r="AB462" i="12"/>
  <c r="AC462" i="12" s="1"/>
  <c r="AB284" i="12"/>
  <c r="AB591" i="12"/>
  <c r="AB515" i="12"/>
  <c r="AC515" i="12" s="1"/>
  <c r="AB563" i="12"/>
  <c r="AC563" i="12" s="1"/>
  <c r="AB509" i="12"/>
  <c r="AC509" i="12" s="1"/>
  <c r="AB411" i="12"/>
  <c r="AB409" i="12"/>
  <c r="AB357" i="12"/>
  <c r="AB615" i="12"/>
  <c r="AB449" i="12"/>
  <c r="AC449" i="12" s="1"/>
  <c r="AB212" i="12"/>
  <c r="AC212" i="12" s="1"/>
  <c r="AB434" i="12"/>
  <c r="AC434" i="12" s="1"/>
  <c r="AB560" i="12"/>
  <c r="AC560" i="12" s="1"/>
  <c r="AB491" i="12"/>
  <c r="AB271" i="12"/>
  <c r="AB541" i="12"/>
  <c r="AC541" i="12" s="1"/>
  <c r="AB558" i="12"/>
  <c r="AC558" i="12" s="1"/>
  <c r="AB559" i="12"/>
  <c r="AB203" i="12"/>
  <c r="AB512" i="12"/>
  <c r="AC512" i="12" s="1"/>
  <c r="AB364" i="12"/>
  <c r="AB424" i="12"/>
  <c r="AB435" i="12"/>
  <c r="AC435" i="12" s="1"/>
  <c r="AB252" i="12"/>
  <c r="AB230" i="12"/>
  <c r="AB507" i="12"/>
  <c r="AC507" i="12" s="1"/>
  <c r="AB456" i="12"/>
  <c r="AB200" i="12"/>
  <c r="AB219" i="12"/>
  <c r="AC219" i="12" s="1"/>
  <c r="AB254" i="12"/>
  <c r="AB597" i="12"/>
  <c r="AB598" i="12"/>
  <c r="AC598" i="12" s="1"/>
  <c r="AB609" i="12"/>
  <c r="AB610" i="12"/>
  <c r="AC610" i="12" s="1"/>
  <c r="AB233" i="12"/>
  <c r="AB607" i="12"/>
  <c r="AC607" i="12" s="1"/>
  <c r="AB601" i="12"/>
  <c r="AC601" i="12" s="1"/>
  <c r="AB614" i="12"/>
  <c r="AB562" i="12"/>
  <c r="AB554" i="12"/>
  <c r="AB398" i="12"/>
  <c r="AB604" i="12"/>
  <c r="AC604" i="12" s="1"/>
  <c r="AB602" i="12"/>
  <c r="AB613" i="12"/>
  <c r="AB595" i="12"/>
  <c r="AB570" i="12"/>
  <c r="AB603" i="12"/>
  <c r="AC603" i="12" s="1"/>
  <c r="AB561" i="12"/>
  <c r="AC561" i="12" s="1"/>
  <c r="AB379" i="12"/>
  <c r="AB568" i="12"/>
  <c r="AC568" i="12" s="1"/>
  <c r="AB567" i="12"/>
  <c r="AB566" i="12"/>
  <c r="AC566" i="12" s="1"/>
  <c r="AB569" i="12"/>
  <c r="AC569" i="12" s="1"/>
  <c r="AB596" i="12"/>
  <c r="AB565" i="12"/>
  <c r="AC565" i="12" s="1"/>
  <c r="AB594" i="12"/>
  <c r="AB564" i="12"/>
  <c r="AB557" i="12"/>
  <c r="AC557" i="12" s="1"/>
  <c r="AB606" i="12"/>
  <c r="AC606" i="12" s="1"/>
  <c r="AB616" i="12"/>
  <c r="AB611" i="12"/>
  <c r="AC611" i="12" s="1"/>
  <c r="AB605" i="12"/>
  <c r="AB617" i="12"/>
  <c r="AB545" i="12"/>
  <c r="AC545" i="12" s="1"/>
  <c r="AB608" i="12"/>
  <c r="AB612" i="12"/>
  <c r="AB436" i="12"/>
  <c r="AC436" i="12" s="1"/>
  <c r="AB499" i="12"/>
  <c r="AC499" i="12" s="1"/>
  <c r="AB501" i="12"/>
  <c r="AC501" i="12" s="1"/>
  <c r="AB556" i="12"/>
  <c r="AB599" i="12"/>
  <c r="AB600" i="12"/>
  <c r="AC600" i="12" s="1"/>
  <c r="AB378" i="12"/>
  <c r="AB632" i="12"/>
  <c r="AC632" i="12" s="1"/>
  <c r="AB619" i="12"/>
  <c r="AB546" i="12"/>
  <c r="AC546" i="12" s="1"/>
  <c r="AB376" i="12"/>
  <c r="AC376" i="12" s="1"/>
  <c r="AB618" i="12"/>
  <c r="AB634" i="12"/>
  <c r="AB542" i="12"/>
  <c r="AC542" i="12" s="1"/>
  <c r="AB623" i="12"/>
  <c r="AC623" i="12" s="1"/>
  <c r="AB636" i="12"/>
  <c r="AB401" i="12"/>
  <c r="AC401" i="12" s="1"/>
  <c r="AB390" i="12"/>
  <c r="AC390" i="12" s="1"/>
  <c r="AB625" i="12"/>
  <c r="AC625" i="12" s="1"/>
  <c r="AB620" i="12"/>
  <c r="AB633" i="12"/>
  <c r="AB448" i="12"/>
  <c r="AB441" i="12"/>
  <c r="AB624" i="12"/>
  <c r="AC624" i="12" s="1"/>
  <c r="AB283" i="12"/>
  <c r="AC283" i="12" s="1"/>
  <c r="AB221" i="12"/>
  <c r="AB621" i="12"/>
  <c r="AC621" i="12" s="1"/>
  <c r="AB635" i="12"/>
  <c r="AB465" i="12"/>
  <c r="AB343" i="12"/>
  <c r="AC343" i="12" s="1"/>
  <c r="AB309" i="12"/>
  <c r="AB224" i="12"/>
  <c r="AB444" i="12"/>
  <c r="AB344" i="12"/>
  <c r="AC344" i="12" s="1"/>
  <c r="AB190" i="12"/>
  <c r="AC190" i="12" s="1"/>
  <c r="AB323" i="12"/>
  <c r="AB524" i="12"/>
  <c r="AC524" i="12" s="1"/>
  <c r="AB240" i="12"/>
  <c r="AC240" i="12" s="1"/>
  <c r="AB414" i="12"/>
  <c r="AB432" i="12"/>
  <c r="AC432" i="12" s="1"/>
  <c r="AB423" i="12"/>
  <c r="AC423" i="12" s="1"/>
  <c r="AB629" i="12"/>
  <c r="AB421" i="12"/>
  <c r="AC421" i="12" s="1"/>
  <c r="AB630" i="12"/>
  <c r="AB490" i="12"/>
  <c r="AB628" i="12"/>
  <c r="AC628" i="12" s="1"/>
  <c r="AB428" i="12"/>
  <c r="AB407" i="12"/>
  <c r="AC407" i="12" s="1"/>
  <c r="AB626" i="12"/>
  <c r="AB631" i="12"/>
  <c r="AC631" i="12" s="1"/>
  <c r="AB510" i="12"/>
  <c r="AC510" i="12" s="1"/>
  <c r="AB502" i="12"/>
  <c r="AB520" i="12"/>
  <c r="AC520" i="12" s="1"/>
  <c r="AB397" i="12"/>
  <c r="AC397" i="12" s="1"/>
  <c r="AB535" i="12"/>
  <c r="AB437" i="12"/>
  <c r="AC437" i="12" s="1"/>
  <c r="AB461" i="12"/>
  <c r="AB531" i="12"/>
  <c r="AB627" i="12"/>
  <c r="AC627" i="12" s="1"/>
  <c r="AB426" i="12"/>
  <c r="AB314" i="12"/>
  <c r="AC314" i="12" s="1"/>
  <c r="AB385" i="12"/>
  <c r="AC385" i="12" s="1"/>
  <c r="AB513" i="12"/>
  <c r="AC513" i="12" s="1"/>
  <c r="AB526" i="12"/>
  <c r="AB498" i="12"/>
  <c r="AC498" i="12" s="1"/>
  <c r="AB249" i="12"/>
  <c r="AC249" i="12" s="1"/>
  <c r="AB259" i="12"/>
  <c r="AB522" i="12"/>
  <c r="AB282" i="12"/>
  <c r="AC282" i="12" s="1"/>
  <c r="AB518" i="12"/>
  <c r="AB523" i="12"/>
  <c r="AB519" i="12"/>
  <c r="AC519" i="12" s="1"/>
  <c r="AB500" i="12"/>
  <c r="AB311" i="12"/>
  <c r="AC311" i="12" s="1"/>
  <c r="AB528" i="12"/>
  <c r="AC528" i="12" s="1"/>
  <c r="AB468" i="12"/>
  <c r="AB386" i="12"/>
  <c r="AB340" i="12"/>
  <c r="AC340" i="12" s="1"/>
  <c r="AB384" i="12"/>
  <c r="AB268" i="12"/>
  <c r="AB239" i="12"/>
  <c r="AC239" i="12" s="1"/>
  <c r="AB285" i="12"/>
  <c r="AC285" i="12" s="1"/>
  <c r="AB622" i="12"/>
  <c r="AC622" i="12" s="1"/>
  <c r="AB346" i="12"/>
  <c r="AB298" i="12"/>
  <c r="AC298" i="12" s="1"/>
  <c r="AB381" i="12"/>
  <c r="AB300" i="12"/>
  <c r="AC300" i="12" s="1"/>
  <c r="AB326" i="12"/>
  <c r="AC326" i="12" s="1"/>
  <c r="AB301" i="12"/>
  <c r="AB336" i="12"/>
  <c r="AC336" i="12" s="1"/>
  <c r="AB466" i="12"/>
  <c r="AC466" i="12" s="1"/>
  <c r="AB338" i="12"/>
  <c r="AB517" i="12"/>
  <c r="AC517" i="12" s="1"/>
  <c r="AB443" i="12"/>
  <c r="AC443" i="12" s="1"/>
  <c r="AB366" i="12"/>
  <c r="AB355" i="12"/>
  <c r="AC355" i="12" s="1"/>
  <c r="AB272" i="12"/>
  <c r="AB261" i="12"/>
  <c r="AC261" i="12" s="1"/>
  <c r="AB248" i="12"/>
  <c r="AC248" i="12" s="1"/>
  <c r="AB276" i="12"/>
  <c r="AB287" i="12"/>
  <c r="AB244" i="12"/>
  <c r="AB451" i="12"/>
  <c r="AB299" i="12"/>
  <c r="AC299" i="12" s="1"/>
  <c r="AB242" i="12"/>
  <c r="AC242" i="12" s="1"/>
  <c r="AB460" i="12"/>
  <c r="AB280" i="12"/>
  <c r="AC280" i="12" s="1"/>
  <c r="AB229" i="12"/>
  <c r="AB576" i="12"/>
  <c r="AC576" i="12" s="1"/>
  <c r="AB295" i="12"/>
  <c r="AC295" i="12" s="1"/>
  <c r="AB216" i="12"/>
  <c r="AB231" i="12"/>
  <c r="AC231" i="12" s="1"/>
  <c r="AB388" i="12"/>
  <c r="AB342" i="12"/>
  <c r="AC342" i="12" s="1"/>
  <c r="AB352" i="12"/>
  <c r="AC352" i="12" s="1"/>
  <c r="AB354" i="12"/>
  <c r="AB353" i="12"/>
  <c r="AB345" i="12"/>
  <c r="AB577" i="12"/>
  <c r="AB292" i="12"/>
  <c r="AC292" i="12" s="1"/>
  <c r="AB445" i="12"/>
  <c r="AC445" i="12" s="1"/>
  <c r="AB325" i="12"/>
  <c r="AB362" i="12"/>
  <c r="AC362" i="12" s="1"/>
  <c r="AB406" i="12"/>
  <c r="AB185" i="12"/>
  <c r="AB506" i="12"/>
  <c r="AC506" i="12" s="1"/>
  <c r="AB639" i="12"/>
  <c r="AB572" i="12"/>
  <c r="AB574" i="12"/>
  <c r="AB638" i="12"/>
  <c r="AC638" i="12" s="1"/>
  <c r="AB493" i="12"/>
  <c r="AC493" i="12" s="1"/>
  <c r="AB640" i="12"/>
  <c r="AB473" i="12"/>
  <c r="AB193" i="12"/>
  <c r="AC193" i="12" s="1"/>
  <c r="AB214" i="12"/>
  <c r="AC214" i="12" s="1"/>
  <c r="AB267" i="12"/>
  <c r="AC267" i="12" s="1"/>
  <c r="AB206" i="12"/>
  <c r="AB320" i="12"/>
  <c r="AB429" i="12"/>
  <c r="AC429" i="12" s="1"/>
  <c r="AB394" i="12"/>
  <c r="AB341" i="12"/>
  <c r="AC341" i="12" s="1"/>
  <c r="AB575" i="12"/>
  <c r="AC575" i="12" s="1"/>
  <c r="AB312" i="12"/>
  <c r="AB637" i="12"/>
  <c r="AB413" i="12"/>
  <c r="AC413" i="12" s="1"/>
  <c r="AB438" i="12"/>
  <c r="AC438" i="12" s="1"/>
  <c r="AB220" i="12"/>
  <c r="AC220" i="12" s="1"/>
  <c r="AB290" i="12"/>
  <c r="AB547" i="12"/>
  <c r="AC547" i="12" s="1"/>
  <c r="AB439" i="12"/>
  <c r="AC439" i="12" s="1"/>
  <c r="AB260" i="12"/>
  <c r="AC260" i="12" s="1"/>
  <c r="AB457" i="12"/>
  <c r="AC457" i="12" s="1"/>
  <c r="AB470" i="12"/>
  <c r="AC470" i="12" s="1"/>
  <c r="AB418" i="12"/>
  <c r="AC418" i="12" s="1"/>
  <c r="AB396" i="12"/>
  <c r="AC396" i="12" s="1"/>
  <c r="AB319" i="12"/>
  <c r="AB303" i="12"/>
  <c r="AB305" i="12"/>
  <c r="AC305" i="12" s="1"/>
  <c r="AB208" i="12"/>
  <c r="AB349" i="12"/>
  <c r="AB463" i="12"/>
  <c r="AC463" i="12" s="1"/>
  <c r="AB253" i="12"/>
  <c r="AC253" i="12" s="1"/>
  <c r="AB641" i="12"/>
  <c r="AC641" i="12" s="1"/>
  <c r="AB425" i="12"/>
  <c r="AB351" i="12"/>
  <c r="AC351" i="12" s="1"/>
  <c r="AB350" i="12"/>
  <c r="AB277" i="12"/>
  <c r="AC277" i="12" s="1"/>
  <c r="AB228" i="12"/>
  <c r="AC228" i="12" s="1"/>
  <c r="AB536" i="12"/>
  <c r="AC536" i="12" s="1"/>
  <c r="AB482" i="12"/>
  <c r="AB321" i="12"/>
  <c r="AC321" i="12" s="1"/>
  <c r="AB241" i="12"/>
  <c r="AB369" i="12"/>
  <c r="AC369" i="12" s="1"/>
  <c r="AB368" i="12"/>
  <c r="AC368" i="12" s="1"/>
  <c r="AB389" i="12"/>
  <c r="AB548" i="12"/>
  <c r="AC548" i="12" s="1"/>
  <c r="AB269" i="12"/>
  <c r="AB335" i="12"/>
  <c r="AC335" i="12" s="1"/>
  <c r="AB472" i="12"/>
  <c r="AC472" i="12" s="1"/>
  <c r="AB476" i="12"/>
  <c r="AB291" i="12"/>
  <c r="AB333" i="12"/>
  <c r="AC333" i="12" s="1"/>
  <c r="AB573" i="12"/>
  <c r="AC573" i="12" s="1"/>
  <c r="AB332" i="12"/>
  <c r="AC332" i="12" s="1"/>
  <c r="AB331" i="12"/>
  <c r="AB227" i="12"/>
  <c r="AB209" i="12"/>
  <c r="AB402" i="12"/>
  <c r="AB478" i="12"/>
  <c r="AC478" i="12" s="1"/>
  <c r="AB405" i="12"/>
  <c r="AC405" i="12" s="1"/>
  <c r="AB263" i="12"/>
  <c r="AB308" i="12"/>
  <c r="AB324" i="12"/>
  <c r="AC324" i="12" s="1"/>
  <c r="AB488" i="12"/>
  <c r="AC488" i="12" s="1"/>
  <c r="AB316" i="12"/>
  <c r="AC316" i="12" s="1"/>
  <c r="AB347" i="12"/>
  <c r="AB339" i="12"/>
  <c r="AB489" i="12"/>
  <c r="AB450" i="12"/>
  <c r="AC450" i="12" s="1"/>
  <c r="AB452" i="12"/>
  <c r="AC452" i="12" s="1"/>
  <c r="AB642" i="12"/>
  <c r="AB543" i="12"/>
  <c r="AB474" i="12"/>
  <c r="AC474" i="12" s="1"/>
  <c r="AB294" i="12"/>
  <c r="AB404" i="12"/>
  <c r="AB485" i="12"/>
  <c r="AC485" i="12" s="1"/>
  <c r="AB245" i="12"/>
  <c r="AB281" i="12"/>
  <c r="AB371" i="12"/>
  <c r="AB643" i="12"/>
  <c r="AC643" i="12" s="1"/>
  <c r="AB183" i="12"/>
  <c r="AC183" i="12" s="1"/>
  <c r="AB380" i="12"/>
  <c r="AB217" i="12"/>
  <c r="AC217" i="12" s="1"/>
  <c r="AB360" i="12"/>
  <c r="AB403" i="12"/>
  <c r="AB365" i="12"/>
  <c r="AC365" i="12" s="1"/>
  <c r="AB537" i="12"/>
  <c r="AB649" i="12"/>
  <c r="AC649" i="12" s="1"/>
  <c r="AB497" i="12"/>
  <c r="AC497" i="12" s="1"/>
  <c r="AB334" i="12"/>
  <c r="AB651" i="12"/>
  <c r="AB337" i="12"/>
  <c r="AC337" i="12" s="1"/>
  <c r="AB652" i="12"/>
  <c r="AC652" i="12" s="1"/>
  <c r="AB504" i="12"/>
  <c r="AC504" i="12" s="1"/>
  <c r="AB363" i="12"/>
  <c r="AB251" i="12"/>
  <c r="AC251" i="12" s="1"/>
  <c r="AB264" i="12"/>
  <c r="AC264" i="12" s="1"/>
  <c r="AB505" i="12"/>
  <c r="AB511" i="12"/>
  <c r="AB516" i="12"/>
  <c r="AB480" i="12"/>
  <c r="AC480" i="12" s="1"/>
  <c r="AB538" i="12"/>
  <c r="AC538" i="12" s="1"/>
  <c r="AB236" i="12"/>
  <c r="AB521" i="12"/>
  <c r="AB508" i="12"/>
  <c r="AC508" i="12" s="1"/>
  <c r="AB525" i="12"/>
  <c r="AB387" i="12"/>
  <c r="AC387" i="12" s="1"/>
  <c r="AB503" i="12"/>
  <c r="AC503" i="12" s="1"/>
  <c r="AB373" i="12"/>
  <c r="AC373" i="12" s="1"/>
  <c r="AB262" i="12"/>
  <c r="AB442" i="12"/>
  <c r="AC442" i="12" s="1"/>
  <c r="AB225" i="12"/>
  <c r="AC225" i="12" s="1"/>
  <c r="AB313" i="12"/>
  <c r="AC313" i="12" s="1"/>
  <c r="AB416" i="12"/>
  <c r="AB555" i="12"/>
  <c r="AB328" i="12"/>
  <c r="AC328" i="12" s="1"/>
  <c r="AB467" i="12"/>
  <c r="AB189" i="12"/>
  <c r="AC189" i="12" s="1"/>
  <c r="AB484" i="12"/>
  <c r="AC484" i="12" s="1"/>
  <c r="AB306" i="12"/>
  <c r="AB644" i="12"/>
  <c r="AC644" i="12" s="1"/>
  <c r="AB359" i="12"/>
  <c r="AB296" i="12"/>
  <c r="AC296" i="12" s="1"/>
  <c r="AB646" i="12"/>
  <c r="AC646" i="12" s="1"/>
  <c r="AB408" i="12"/>
  <c r="AB648" i="12"/>
  <c r="AB571" i="12"/>
  <c r="AB391" i="12"/>
  <c r="AC391" i="12" s="1"/>
  <c r="AB647" i="12"/>
  <c r="AB348" i="12"/>
  <c r="AB544" i="12"/>
  <c r="AC544" i="12" s="1"/>
  <c r="AB495" i="12"/>
  <c r="AC495" i="12" s="1"/>
  <c r="AB653" i="12"/>
  <c r="AC653" i="12" s="1"/>
  <c r="AB481" i="12"/>
  <c r="AC481" i="12" s="1"/>
  <c r="AB256" i="12"/>
  <c r="AB415" i="12"/>
  <c r="AB483" i="12"/>
  <c r="AC483" i="12" s="1"/>
  <c r="AB270" i="12"/>
  <c r="AB420" i="12"/>
  <c r="AC420" i="12" s="1"/>
  <c r="AB645" i="12"/>
  <c r="AC645" i="12" s="1"/>
  <c r="AB410" i="12"/>
  <c r="AB433" i="12"/>
  <c r="AC433" i="12" s="1"/>
  <c r="AB392" i="12"/>
  <c r="AC392" i="12" s="1"/>
  <c r="AB422" i="12"/>
  <c r="AC422" i="12" s="1"/>
  <c r="AB650" i="12"/>
  <c r="AC650" i="12" s="1"/>
  <c r="AB400" i="12"/>
  <c r="AB419" i="12"/>
  <c r="AB492" i="12"/>
  <c r="AB656" i="12"/>
  <c r="AB534" i="12"/>
  <c r="AC534" i="12" s="1"/>
  <c r="AB395" i="12"/>
  <c r="AB286" i="12"/>
  <c r="AC286" i="12" s="1"/>
  <c r="AB658" i="12"/>
  <c r="AC658" i="12" s="1"/>
  <c r="AB552" i="12"/>
  <c r="AB494" i="12"/>
  <c r="AC494" i="12" s="1"/>
  <c r="AB533" i="12"/>
  <c r="AC533" i="12" s="1"/>
  <c r="AB399" i="12"/>
  <c r="AB297" i="12"/>
  <c r="AB258" i="12"/>
  <c r="AB383" i="12"/>
  <c r="AC383" i="12" s="1"/>
  <c r="AB549" i="12"/>
  <c r="AC549" i="12" s="1"/>
  <c r="AB235" i="12"/>
  <c r="AB553" i="12"/>
  <c r="AC553" i="12" s="1"/>
  <c r="AB412" i="12"/>
  <c r="AC412" i="12" s="1"/>
  <c r="AB278" i="12"/>
  <c r="AB654" i="12"/>
  <c r="AC654" i="12" s="1"/>
  <c r="AB486" i="12"/>
  <c r="AC486" i="12" s="1"/>
  <c r="AB361" i="12"/>
  <c r="AC361" i="12" s="1"/>
  <c r="AB382" i="12"/>
  <c r="AC382" i="12" s="1"/>
  <c r="AB257" i="12"/>
  <c r="AB274" i="12"/>
  <c r="AB330" i="12"/>
  <c r="AC330" i="12" s="1"/>
  <c r="AB655" i="12"/>
  <c r="AB551" i="12"/>
  <c r="AC551" i="12" s="1"/>
  <c r="AB315" i="12"/>
  <c r="AB464" i="12"/>
  <c r="AC464" i="12" s="1"/>
  <c r="AB657" i="12"/>
  <c r="AC657" i="12" s="1"/>
  <c r="AB550" i="12"/>
  <c r="AB393" i="12"/>
  <c r="AB370" i="12"/>
  <c r="AC370" i="12" s="1"/>
  <c r="AB255" i="12"/>
  <c r="AB18" i="12"/>
  <c r="AC18" i="12" s="1"/>
  <c r="N180" i="12"/>
  <c r="H29" i="18"/>
  <c r="I29" i="18"/>
  <c r="AB83" i="12"/>
  <c r="AC83" i="12" s="1"/>
  <c r="K32" i="12"/>
  <c r="AH32" i="12" s="1"/>
  <c r="AF62" i="18"/>
  <c r="I180" i="12"/>
  <c r="K15" i="12"/>
  <c r="AB15" i="12" s="1"/>
  <c r="AC15" i="12" s="1"/>
  <c r="E24" i="28"/>
  <c r="L24" i="28"/>
  <c r="K24" i="28"/>
  <c r="J24" i="28"/>
  <c r="I24" i="28"/>
  <c r="H24" i="28"/>
  <c r="G24" i="28"/>
  <c r="F24" i="28"/>
  <c r="D24" i="28"/>
  <c r="N23" i="27"/>
  <c r="M23" i="27"/>
  <c r="L23" i="27"/>
  <c r="J23" i="27"/>
  <c r="I23" i="27"/>
  <c r="H23" i="27"/>
  <c r="G23" i="27"/>
  <c r="F23" i="27"/>
  <c r="E23" i="27"/>
  <c r="D23" i="27"/>
  <c r="N16" i="26"/>
  <c r="M16" i="26"/>
  <c r="L16" i="26"/>
  <c r="K16" i="26"/>
  <c r="J16" i="26"/>
  <c r="I16" i="26"/>
  <c r="H16" i="26"/>
  <c r="G16" i="26"/>
  <c r="F16" i="26"/>
  <c r="E16" i="26"/>
  <c r="D16" i="26"/>
  <c r="S6" i="26"/>
  <c r="L25" i="25"/>
  <c r="K25" i="25"/>
  <c r="I25" i="25"/>
  <c r="H25" i="25"/>
  <c r="G25" i="25"/>
  <c r="F25" i="25"/>
  <c r="E25" i="25"/>
  <c r="D25" i="25"/>
  <c r="AD56" i="12"/>
  <c r="AD89" i="12"/>
  <c r="AD58" i="12"/>
  <c r="AD4" i="12"/>
  <c r="AD101" i="12"/>
  <c r="AD102" i="12"/>
  <c r="AD125" i="12"/>
  <c r="AD68" i="12"/>
  <c r="AD169" i="12"/>
  <c r="AD86" i="12"/>
  <c r="AD55" i="12"/>
  <c r="AD135" i="12"/>
  <c r="AD74" i="12"/>
  <c r="AD111" i="12"/>
  <c r="AD46" i="12"/>
  <c r="AD145" i="12"/>
  <c r="AD43" i="12"/>
  <c r="AD133" i="12"/>
  <c r="AD172" i="12"/>
  <c r="N34" i="24"/>
  <c r="M34" i="24"/>
  <c r="L34" i="24"/>
  <c r="K34" i="24"/>
  <c r="J34" i="24"/>
  <c r="I34" i="24"/>
  <c r="H34" i="24"/>
  <c r="G34" i="24"/>
  <c r="F34" i="24"/>
  <c r="E34" i="24"/>
  <c r="D34" i="24"/>
  <c r="AD163" i="12"/>
  <c r="AD124" i="12"/>
  <c r="AD132" i="12"/>
  <c r="AD142" i="12"/>
  <c r="AD161" i="12"/>
  <c r="AD70" i="12"/>
  <c r="AD118" i="12"/>
  <c r="AD138" i="12"/>
  <c r="AD106" i="12"/>
  <c r="AD165" i="12"/>
  <c r="AD146" i="12"/>
  <c r="AD136" i="12"/>
  <c r="AD149" i="12"/>
  <c r="AD154" i="12"/>
  <c r="AD174" i="12"/>
  <c r="AD152" i="12"/>
  <c r="AD92" i="12"/>
  <c r="AD162" i="12"/>
  <c r="AD156" i="12"/>
  <c r="AD61" i="12"/>
  <c r="AD177" i="12"/>
  <c r="AD59" i="12"/>
  <c r="AD153" i="12"/>
  <c r="AD75" i="12"/>
  <c r="AD45" i="12"/>
  <c r="AD112" i="12"/>
  <c r="AD157" i="12"/>
  <c r="AD85" i="12"/>
  <c r="AD41" i="12"/>
  <c r="AD168" i="12"/>
  <c r="AD155" i="12"/>
  <c r="Q20" i="23"/>
  <c r="Q18" i="23"/>
  <c r="Q17" i="23"/>
  <c r="Q16" i="23"/>
  <c r="Q15" i="23"/>
  <c r="Q3" i="23"/>
  <c r="M30" i="22"/>
  <c r="L30" i="22"/>
  <c r="K30" i="22"/>
  <c r="J30" i="22"/>
  <c r="I30" i="22"/>
  <c r="H30" i="22"/>
  <c r="G30" i="22"/>
  <c r="F30" i="22"/>
  <c r="E30" i="22"/>
  <c r="D30" i="22"/>
  <c r="AB3" i="12"/>
  <c r="AH13" i="12"/>
  <c r="AH112" i="12"/>
  <c r="AH65" i="12"/>
  <c r="AH167" i="12"/>
  <c r="AH68" i="12"/>
  <c r="AH38" i="12"/>
  <c r="AH44" i="12"/>
  <c r="AH111" i="12"/>
  <c r="AH20" i="12"/>
  <c r="AH4" i="12"/>
  <c r="AH179" i="12"/>
  <c r="AH46" i="12"/>
  <c r="AH161" i="12"/>
  <c r="AH27" i="12"/>
  <c r="AH143" i="12"/>
  <c r="AH51" i="12"/>
  <c r="AH91" i="12"/>
  <c r="AH49" i="12"/>
  <c r="AH52" i="12"/>
  <c r="AH22" i="12"/>
  <c r="AH95" i="12"/>
  <c r="AH121" i="12"/>
  <c r="AH125" i="12"/>
  <c r="AH157" i="12"/>
  <c r="AH8" i="12"/>
  <c r="AH30" i="12"/>
  <c r="AH82" i="12"/>
  <c r="AH159" i="12"/>
  <c r="AH116" i="12"/>
  <c r="AH71" i="12"/>
  <c r="AH87" i="12"/>
  <c r="AH169" i="12"/>
  <c r="AH35" i="12"/>
  <c r="AH105" i="12"/>
  <c r="AH66" i="12"/>
  <c r="AH9" i="12"/>
  <c r="AH122" i="12"/>
  <c r="AH50" i="12"/>
  <c r="AH107" i="12"/>
  <c r="AH178" i="12"/>
  <c r="AH72" i="12"/>
  <c r="AH138" i="12"/>
  <c r="AH155" i="12"/>
  <c r="AH74" i="12"/>
  <c r="AH176" i="12"/>
  <c r="AH64" i="12"/>
  <c r="AH26" i="12"/>
  <c r="AH36" i="12"/>
  <c r="AH106" i="12"/>
  <c r="AH12" i="12"/>
  <c r="AH129" i="12"/>
  <c r="AH175" i="12"/>
  <c r="AH88" i="12"/>
  <c r="AH53" i="12"/>
  <c r="AH110" i="12"/>
  <c r="AH19" i="12"/>
  <c r="AH100" i="12"/>
  <c r="AH109" i="12"/>
  <c r="AH147" i="12"/>
  <c r="AH118" i="12"/>
  <c r="AH113" i="12"/>
  <c r="AH58" i="12"/>
  <c r="AH31" i="12"/>
  <c r="AH18" i="12"/>
  <c r="AH134" i="12"/>
  <c r="AH172" i="12"/>
  <c r="AH140" i="12"/>
  <c r="AH127" i="12"/>
  <c r="AH96" i="12"/>
  <c r="AH29" i="12"/>
  <c r="AH131" i="12"/>
  <c r="AH21" i="12"/>
  <c r="AH83" i="12"/>
  <c r="AH17" i="12"/>
  <c r="AH40" i="12"/>
  <c r="AH90" i="12"/>
  <c r="AH41" i="12"/>
  <c r="AH146" i="12"/>
  <c r="AH170" i="12"/>
  <c r="AH5" i="12"/>
  <c r="AH104" i="12"/>
  <c r="AH123" i="12"/>
  <c r="AH93" i="12"/>
  <c r="AH54" i="12"/>
  <c r="AH57" i="12"/>
  <c r="AH165" i="12"/>
  <c r="AH45" i="12"/>
  <c r="AH92" i="12"/>
  <c r="AH115" i="12"/>
  <c r="AH37" i="12"/>
  <c r="AH150" i="12"/>
  <c r="AH77" i="12"/>
  <c r="AH164" i="12"/>
  <c r="AH101" i="12"/>
  <c r="AH166" i="12"/>
  <c r="AH152" i="12"/>
  <c r="AH126" i="12"/>
  <c r="AH142" i="12"/>
  <c r="AH137" i="12"/>
  <c r="AH42" i="12"/>
  <c r="AH117" i="12"/>
  <c r="AH144" i="12"/>
  <c r="AH33" i="12"/>
  <c r="AH79" i="12"/>
  <c r="AH163" i="12"/>
  <c r="AH25" i="12"/>
  <c r="AH86" i="12"/>
  <c r="AH148" i="12"/>
  <c r="AH136" i="12"/>
  <c r="AH14" i="12"/>
  <c r="AH39" i="12"/>
  <c r="AH85" i="12"/>
  <c r="AH171" i="12"/>
  <c r="AH130" i="12"/>
  <c r="AH11" i="12"/>
  <c r="AH10" i="12"/>
  <c r="AH28" i="12"/>
  <c r="AH56" i="12"/>
  <c r="AH69" i="12"/>
  <c r="AH154" i="12"/>
  <c r="AH133" i="12"/>
  <c r="AH84" i="12"/>
  <c r="AH81" i="12"/>
  <c r="AH89" i="12"/>
  <c r="AH55" i="12"/>
  <c r="AH132" i="12"/>
  <c r="AH114" i="12"/>
  <c r="AH120" i="12"/>
  <c r="AH97" i="12"/>
  <c r="AH108" i="12"/>
  <c r="AH174" i="12"/>
  <c r="AH168" i="12"/>
  <c r="AH124" i="12"/>
  <c r="AH102" i="12"/>
  <c r="AH173" i="12"/>
  <c r="AH23" i="12"/>
  <c r="AH67" i="12"/>
  <c r="AH59" i="12"/>
  <c r="AH73" i="12"/>
  <c r="AH162" i="12"/>
  <c r="AH156" i="12"/>
  <c r="AH153" i="12"/>
  <c r="AH158" i="12"/>
  <c r="AH75" i="12"/>
  <c r="AH80" i="12"/>
  <c r="AH177" i="12"/>
  <c r="AH135" i="12"/>
  <c r="AH103" i="12"/>
  <c r="AH98" i="12"/>
  <c r="AH99" i="12"/>
  <c r="AH61" i="12"/>
  <c r="AH160" i="12"/>
  <c r="AH70" i="12"/>
  <c r="AH151" i="12"/>
  <c r="AH24" i="12"/>
  <c r="AH141" i="12"/>
  <c r="AH63" i="12"/>
  <c r="AH94" i="12"/>
  <c r="AH43" i="12"/>
  <c r="AH145" i="12"/>
  <c r="AH3" i="12"/>
  <c r="AH149" i="12"/>
  <c r="AH6" i="12"/>
  <c r="AH62" i="12"/>
  <c r="AH7" i="12"/>
  <c r="AH16" i="12"/>
  <c r="AH76" i="12"/>
  <c r="AH139" i="12"/>
  <c r="AH128" i="12"/>
  <c r="AH34" i="12"/>
  <c r="AH78" i="12"/>
  <c r="AH119" i="12"/>
  <c r="AH47" i="12"/>
  <c r="E29" i="18"/>
  <c r="F29" i="18"/>
  <c r="G29" i="18"/>
  <c r="J29" i="18"/>
  <c r="K29" i="18"/>
  <c r="L29" i="18"/>
  <c r="M29" i="18"/>
  <c r="N29" i="18"/>
  <c r="D29" i="18"/>
  <c r="AH48" i="12"/>
  <c r="R180" i="12"/>
  <c r="AB60" i="12"/>
  <c r="AC60" i="12" s="1"/>
  <c r="AH60" i="12"/>
  <c r="E18" i="32"/>
  <c r="U30" i="18" l="1"/>
  <c r="S16" i="26"/>
  <c r="U17" i="26" s="1"/>
  <c r="AF23" i="12"/>
  <c r="S12" i="23"/>
  <c r="Q108" i="24"/>
  <c r="S5" i="23"/>
  <c r="U4" i="26"/>
  <c r="AF129" i="12"/>
  <c r="AF41" i="12"/>
  <c r="AF58" i="12"/>
  <c r="U20" i="22"/>
  <c r="Q84" i="23"/>
  <c r="S17" i="23"/>
  <c r="AF88" i="12"/>
  <c r="AF10" i="12"/>
  <c r="S20" i="23"/>
  <c r="U3" i="26"/>
  <c r="S7" i="23"/>
  <c r="T76" i="27"/>
  <c r="U14" i="22"/>
  <c r="U13" i="22"/>
  <c r="U10" i="22"/>
  <c r="U3" i="22"/>
  <c r="S106" i="18"/>
  <c r="S18" i="23"/>
  <c r="AF85" i="12"/>
  <c r="S6" i="23"/>
  <c r="T30" i="22"/>
  <c r="U18" i="22"/>
  <c r="V7" i="27"/>
  <c r="S10" i="23"/>
  <c r="U21" i="22"/>
  <c r="U26" i="22"/>
  <c r="AF11" i="12"/>
  <c r="S15" i="23"/>
  <c r="S103" i="22"/>
  <c r="U10" i="28"/>
  <c r="S8" i="23"/>
  <c r="U28" i="22"/>
  <c r="U29" i="22"/>
  <c r="U25" i="22"/>
  <c r="Q34" i="24"/>
  <c r="U6" i="22"/>
  <c r="U24" i="22"/>
  <c r="S30" i="22"/>
  <c r="U9" i="22"/>
  <c r="AF57" i="12"/>
  <c r="AF20" i="12"/>
  <c r="AF79" i="12"/>
  <c r="AF133" i="12"/>
  <c r="AF125" i="12"/>
  <c r="AF179" i="12"/>
  <c r="AF52" i="12"/>
  <c r="AF39" i="12"/>
  <c r="AF50" i="12"/>
  <c r="AF24" i="12"/>
  <c r="AF255" i="12"/>
  <c r="AC255" i="12"/>
  <c r="AF655" i="12"/>
  <c r="AC655" i="12"/>
  <c r="AF278" i="12"/>
  <c r="AC278" i="12"/>
  <c r="AF399" i="12"/>
  <c r="AC399" i="12"/>
  <c r="AF656" i="12"/>
  <c r="AC656" i="12"/>
  <c r="AF410" i="12"/>
  <c r="AC410" i="12"/>
  <c r="AF647" i="12"/>
  <c r="AC647" i="12"/>
  <c r="AF408" i="12"/>
  <c r="AC408" i="12"/>
  <c r="AF467" i="12"/>
  <c r="AC467" i="12"/>
  <c r="AF403" i="12"/>
  <c r="AC403" i="12"/>
  <c r="AF245" i="12"/>
  <c r="AC245" i="12"/>
  <c r="AF263" i="12"/>
  <c r="AC263" i="12"/>
  <c r="AF209" i="12"/>
  <c r="AC209" i="12"/>
  <c r="AF389" i="12"/>
  <c r="AC389" i="12"/>
  <c r="AF208" i="12"/>
  <c r="AC208" i="12"/>
  <c r="AF312" i="12"/>
  <c r="AC312" i="12"/>
  <c r="AF639" i="12"/>
  <c r="AC639" i="12"/>
  <c r="AF577" i="12"/>
  <c r="AC577" i="12"/>
  <c r="AF216" i="12"/>
  <c r="AC216" i="12"/>
  <c r="AF451" i="12"/>
  <c r="AC451" i="12"/>
  <c r="AF366" i="12"/>
  <c r="AC366" i="12"/>
  <c r="AF384" i="12"/>
  <c r="AC384" i="12"/>
  <c r="AF523" i="12"/>
  <c r="AC523" i="12"/>
  <c r="AF259" i="12"/>
  <c r="AC259" i="12"/>
  <c r="AF535" i="12"/>
  <c r="AC535" i="12"/>
  <c r="AF428" i="12"/>
  <c r="AC428" i="12"/>
  <c r="AF414" i="12"/>
  <c r="AC414" i="12"/>
  <c r="AF309" i="12"/>
  <c r="AC309" i="12"/>
  <c r="AF441" i="12"/>
  <c r="AC441" i="12"/>
  <c r="AF378" i="12"/>
  <c r="AC378" i="12"/>
  <c r="AF608" i="12"/>
  <c r="AC608" i="12"/>
  <c r="AF564" i="12"/>
  <c r="AC564" i="12"/>
  <c r="AF379" i="12"/>
  <c r="AC379" i="12"/>
  <c r="AF595" i="12"/>
  <c r="AC595" i="12"/>
  <c r="AF398" i="12"/>
  <c r="AC398" i="12"/>
  <c r="AF609" i="12"/>
  <c r="AC609" i="12"/>
  <c r="AF230" i="12"/>
  <c r="AC230" i="12"/>
  <c r="AF364" i="12"/>
  <c r="AC364" i="12"/>
  <c r="AF615" i="12"/>
  <c r="AC615" i="12"/>
  <c r="AF284" i="12"/>
  <c r="AC284" i="12"/>
  <c r="AF191" i="12"/>
  <c r="AC191" i="12"/>
  <c r="AF372" i="12"/>
  <c r="AC372" i="12"/>
  <c r="AF590" i="12"/>
  <c r="AC590" i="12"/>
  <c r="AF581" i="12"/>
  <c r="AC581" i="12"/>
  <c r="AF440" i="12"/>
  <c r="AC440" i="12"/>
  <c r="AF579" i="12"/>
  <c r="AC579" i="12"/>
  <c r="AF207" i="12"/>
  <c r="AC207" i="12"/>
  <c r="AF213" i="12"/>
  <c r="AC213" i="12"/>
  <c r="AF329" i="12"/>
  <c r="AC329" i="12"/>
  <c r="AF275" i="12"/>
  <c r="AC275" i="12"/>
  <c r="AF257" i="12"/>
  <c r="AC257" i="12"/>
  <c r="AF235" i="12"/>
  <c r="AC235" i="12"/>
  <c r="AF552" i="12"/>
  <c r="AC552" i="12"/>
  <c r="AF348" i="12"/>
  <c r="AC348" i="12"/>
  <c r="AF359" i="12"/>
  <c r="AC359" i="12"/>
  <c r="AF416" i="12"/>
  <c r="AC416" i="12"/>
  <c r="AF380" i="12"/>
  <c r="AC380" i="12"/>
  <c r="AF294" i="12"/>
  <c r="AC294" i="12"/>
  <c r="AF347" i="12"/>
  <c r="AC347" i="12"/>
  <c r="AF476" i="12"/>
  <c r="AC476" i="12"/>
  <c r="AF241" i="12"/>
  <c r="AC241" i="12"/>
  <c r="AF425" i="12"/>
  <c r="AC425" i="12"/>
  <c r="AF319" i="12"/>
  <c r="AC319" i="12"/>
  <c r="AF637" i="12"/>
  <c r="AC637" i="12"/>
  <c r="AF394" i="12"/>
  <c r="AC394" i="12"/>
  <c r="AF640" i="12"/>
  <c r="AC640" i="12"/>
  <c r="AF229" i="12"/>
  <c r="AC229" i="12"/>
  <c r="AF276" i="12"/>
  <c r="AC276" i="12"/>
  <c r="AF268" i="12"/>
  <c r="AC268" i="12"/>
  <c r="AF468" i="12"/>
  <c r="AC468" i="12"/>
  <c r="AF522" i="12"/>
  <c r="AC522" i="12"/>
  <c r="AF502" i="12"/>
  <c r="AC502" i="12"/>
  <c r="AF224" i="12"/>
  <c r="AC224" i="12"/>
  <c r="AF636" i="12"/>
  <c r="AC636" i="12"/>
  <c r="AF618" i="12"/>
  <c r="AC618" i="12"/>
  <c r="AF556" i="12"/>
  <c r="AC556" i="12"/>
  <c r="AF570" i="12"/>
  <c r="AC570" i="12"/>
  <c r="AF559" i="12"/>
  <c r="AC559" i="12"/>
  <c r="AF491" i="12"/>
  <c r="AC491" i="12"/>
  <c r="AF411" i="12"/>
  <c r="AC411" i="12"/>
  <c r="AF583" i="12"/>
  <c r="AC583" i="12"/>
  <c r="AF539" i="12"/>
  <c r="AC539" i="12"/>
  <c r="AF469" i="12"/>
  <c r="AC469" i="12"/>
  <c r="AF302" i="12"/>
  <c r="AC302" i="12"/>
  <c r="AF273" i="12"/>
  <c r="AC273" i="12"/>
  <c r="AF358" i="12"/>
  <c r="AC358" i="12"/>
  <c r="AF250" i="12"/>
  <c r="AC250" i="12"/>
  <c r="AF455" i="12"/>
  <c r="AC455" i="12"/>
  <c r="AF215" i="12"/>
  <c r="AC215" i="12"/>
  <c r="AF492" i="12"/>
  <c r="AC492" i="12"/>
  <c r="AF415" i="12"/>
  <c r="AC415" i="12"/>
  <c r="AF306" i="12"/>
  <c r="AC306" i="12"/>
  <c r="AF521" i="12"/>
  <c r="AC521" i="12"/>
  <c r="AF516" i="12"/>
  <c r="AC516" i="12"/>
  <c r="AF360" i="12"/>
  <c r="AC360" i="12"/>
  <c r="AF543" i="12"/>
  <c r="AC543" i="12"/>
  <c r="AF489" i="12"/>
  <c r="AC489" i="12"/>
  <c r="AF227" i="12"/>
  <c r="AC227" i="12"/>
  <c r="AF482" i="12"/>
  <c r="AC482" i="12"/>
  <c r="AF350" i="12"/>
  <c r="AC350" i="12"/>
  <c r="AF320" i="12"/>
  <c r="AC320" i="12"/>
  <c r="AF325" i="12"/>
  <c r="AC325" i="12"/>
  <c r="AF345" i="12"/>
  <c r="AC345" i="12"/>
  <c r="AF460" i="12"/>
  <c r="AC460" i="12"/>
  <c r="AF244" i="12"/>
  <c r="AC244" i="12"/>
  <c r="AF381" i="12"/>
  <c r="AC381" i="12"/>
  <c r="AF518" i="12"/>
  <c r="AC518" i="12"/>
  <c r="AF531" i="12"/>
  <c r="AC531" i="12"/>
  <c r="AF629" i="12"/>
  <c r="AC629" i="12"/>
  <c r="AF221" i="12"/>
  <c r="AC221" i="12"/>
  <c r="AF448" i="12"/>
  <c r="AC448" i="12"/>
  <c r="AF616" i="12"/>
  <c r="AC616" i="12"/>
  <c r="AF594" i="12"/>
  <c r="AC594" i="12"/>
  <c r="AF613" i="12"/>
  <c r="AC613" i="12"/>
  <c r="AF554" i="12"/>
  <c r="AC554" i="12"/>
  <c r="AF200" i="12"/>
  <c r="AC200" i="12"/>
  <c r="AF252" i="12"/>
  <c r="AC252" i="12"/>
  <c r="AF357" i="12"/>
  <c r="AC357" i="12"/>
  <c r="AF317" i="12"/>
  <c r="AC317" i="12"/>
  <c r="AF431" i="12"/>
  <c r="AC431" i="12"/>
  <c r="AF201" i="12"/>
  <c r="AC201" i="12"/>
  <c r="AF265" i="12"/>
  <c r="AC265" i="12"/>
  <c r="AF238" i="12"/>
  <c r="AC238" i="12"/>
  <c r="AF550" i="12"/>
  <c r="AC550" i="12"/>
  <c r="AF297" i="12"/>
  <c r="AC297" i="12"/>
  <c r="AF400" i="12"/>
  <c r="AC400" i="12"/>
  <c r="AF270" i="12"/>
  <c r="AC270" i="12"/>
  <c r="AF648" i="12"/>
  <c r="AC648" i="12"/>
  <c r="AF262" i="12"/>
  <c r="AC262" i="12"/>
  <c r="AF525" i="12"/>
  <c r="AC525" i="12"/>
  <c r="AF505" i="12"/>
  <c r="AC505" i="12"/>
  <c r="AF334" i="12"/>
  <c r="AC334" i="12"/>
  <c r="AF281" i="12"/>
  <c r="AC281" i="12"/>
  <c r="AF308" i="12"/>
  <c r="AC308" i="12"/>
  <c r="AF402" i="12"/>
  <c r="AC402" i="12"/>
  <c r="AF349" i="12"/>
  <c r="AC349" i="12"/>
  <c r="AF290" i="12"/>
  <c r="AC290" i="12"/>
  <c r="AF572" i="12"/>
  <c r="AC572" i="12"/>
  <c r="AF406" i="12"/>
  <c r="AC406" i="12"/>
  <c r="AF354" i="12"/>
  <c r="AC354" i="12"/>
  <c r="AF338" i="12"/>
  <c r="AC338" i="12"/>
  <c r="AF346" i="12"/>
  <c r="AC346" i="12"/>
  <c r="AF526" i="12"/>
  <c r="AC526" i="12"/>
  <c r="AF426" i="12"/>
  <c r="AC426" i="12"/>
  <c r="AF630" i="12"/>
  <c r="AC630" i="12"/>
  <c r="AF323" i="12"/>
  <c r="AC323" i="12"/>
  <c r="AF635" i="12"/>
  <c r="AC635" i="12"/>
  <c r="AF620" i="12"/>
  <c r="AC620" i="12"/>
  <c r="AF612" i="12"/>
  <c r="AC612" i="12"/>
  <c r="AF605" i="12"/>
  <c r="AC605" i="12"/>
  <c r="AF596" i="12"/>
  <c r="AC596" i="12"/>
  <c r="AF614" i="12"/>
  <c r="AC614" i="12"/>
  <c r="AF254" i="12"/>
  <c r="AC254" i="12"/>
  <c r="AF424" i="12"/>
  <c r="AC424" i="12"/>
  <c r="AF591" i="12"/>
  <c r="AC591" i="12"/>
  <c r="AF205" i="12"/>
  <c r="AC205" i="12"/>
  <c r="AF587" i="12"/>
  <c r="AC587" i="12"/>
  <c r="AF307" i="12"/>
  <c r="AC307" i="12"/>
  <c r="AF226" i="12"/>
  <c r="AC226" i="12"/>
  <c r="AF585" i="12"/>
  <c r="AC585" i="12"/>
  <c r="AF218" i="12"/>
  <c r="AC218" i="12"/>
  <c r="AF202" i="12"/>
  <c r="AC202" i="12"/>
  <c r="AF289" i="12"/>
  <c r="AC289" i="12"/>
  <c r="AF427" i="12"/>
  <c r="AC427" i="12"/>
  <c r="AF453" i="12"/>
  <c r="AC453" i="12"/>
  <c r="AF188" i="12"/>
  <c r="AC188" i="12"/>
  <c r="AF322" i="12"/>
  <c r="AC322" i="12"/>
  <c r="AF310" i="12"/>
  <c r="AC310" i="12"/>
  <c r="AF393" i="12"/>
  <c r="AC393" i="12"/>
  <c r="AF315" i="12"/>
  <c r="AC315" i="12"/>
  <c r="AF274" i="12"/>
  <c r="AC274" i="12"/>
  <c r="AF258" i="12"/>
  <c r="AC258" i="12"/>
  <c r="AF395" i="12"/>
  <c r="AC395" i="12"/>
  <c r="AF419" i="12"/>
  <c r="AC419" i="12"/>
  <c r="AF256" i="12"/>
  <c r="AC256" i="12"/>
  <c r="AF571" i="12"/>
  <c r="AC571" i="12"/>
  <c r="AF555" i="12"/>
  <c r="AC555" i="12"/>
  <c r="AF236" i="12"/>
  <c r="AC236" i="12"/>
  <c r="AF511" i="12"/>
  <c r="AC511" i="12"/>
  <c r="AF363" i="12"/>
  <c r="AC363" i="12"/>
  <c r="AF651" i="12"/>
  <c r="AC651" i="12"/>
  <c r="AF537" i="12"/>
  <c r="AC537" i="12"/>
  <c r="AF371" i="12"/>
  <c r="AC371" i="12"/>
  <c r="AF404" i="12"/>
  <c r="AC404" i="12"/>
  <c r="AF642" i="12"/>
  <c r="AC642" i="12"/>
  <c r="AF339" i="12"/>
  <c r="AC339" i="12"/>
  <c r="AF331" i="12"/>
  <c r="AC331" i="12"/>
  <c r="AF291" i="12"/>
  <c r="AC291" i="12"/>
  <c r="AF269" i="12"/>
  <c r="AC269" i="12"/>
  <c r="AF303" i="12"/>
  <c r="AC303" i="12"/>
  <c r="AF206" i="12"/>
  <c r="AC206" i="12"/>
  <c r="AF473" i="12"/>
  <c r="AC473" i="12"/>
  <c r="AF574" i="12"/>
  <c r="AC574" i="12"/>
  <c r="AF185" i="12"/>
  <c r="AC185" i="12"/>
  <c r="AF353" i="12"/>
  <c r="AC353" i="12"/>
  <c r="AF388" i="12"/>
  <c r="AC388" i="12"/>
  <c r="AF287" i="12"/>
  <c r="AC287" i="12"/>
  <c r="AF272" i="12"/>
  <c r="AC272" i="12"/>
  <c r="AF301" i="12"/>
  <c r="AC301" i="12"/>
  <c r="AF386" i="12"/>
  <c r="AC386" i="12"/>
  <c r="AF500" i="12"/>
  <c r="AC500" i="12"/>
  <c r="AF461" i="12"/>
  <c r="AC461" i="12"/>
  <c r="AF626" i="12"/>
  <c r="AC626" i="12"/>
  <c r="AF490" i="12"/>
  <c r="AC490" i="12"/>
  <c r="AF444" i="12"/>
  <c r="AC444" i="12"/>
  <c r="AF465" i="12"/>
  <c r="AC465" i="12"/>
  <c r="AF633" i="12"/>
  <c r="AC633" i="12"/>
  <c r="AF634" i="12"/>
  <c r="AC634" i="12"/>
  <c r="AF619" i="12"/>
  <c r="AC619" i="12"/>
  <c r="AF599" i="12"/>
  <c r="AC599" i="12"/>
  <c r="AF617" i="12"/>
  <c r="AC617" i="12"/>
  <c r="AF567" i="12"/>
  <c r="AC567" i="12"/>
  <c r="AF602" i="12"/>
  <c r="AC602" i="12"/>
  <c r="AF562" i="12"/>
  <c r="AC562" i="12"/>
  <c r="AF233" i="12"/>
  <c r="AC233" i="12"/>
  <c r="AF597" i="12"/>
  <c r="AC597" i="12"/>
  <c r="AF456" i="12"/>
  <c r="AC456" i="12"/>
  <c r="AF203" i="12"/>
  <c r="AC203" i="12"/>
  <c r="AF271" i="12"/>
  <c r="AC271" i="12"/>
  <c r="AF409" i="12"/>
  <c r="AC409" i="12"/>
  <c r="AF459" i="12"/>
  <c r="AC459" i="12"/>
  <c r="AF588" i="12"/>
  <c r="AC588" i="12"/>
  <c r="AF197" i="12"/>
  <c r="AC197" i="12"/>
  <c r="AF237" i="12"/>
  <c r="AC237" i="12"/>
  <c r="AF471" i="12"/>
  <c r="AC471" i="12"/>
  <c r="AF356" i="12"/>
  <c r="AC356" i="12"/>
  <c r="AF194" i="12"/>
  <c r="AC194" i="12"/>
  <c r="AF199" i="12"/>
  <c r="AC199" i="12"/>
  <c r="AF514" i="12"/>
  <c r="AC514" i="12"/>
  <c r="AF211" i="12"/>
  <c r="AC211" i="12"/>
  <c r="AF72" i="12"/>
  <c r="AC72" i="12"/>
  <c r="AF145" i="12"/>
  <c r="AC145" i="12"/>
  <c r="AF124" i="12"/>
  <c r="AC124" i="12"/>
  <c r="AF130" i="12"/>
  <c r="AC130" i="12"/>
  <c r="AF26" i="12"/>
  <c r="AC26" i="12"/>
  <c r="AF151" i="12"/>
  <c r="AC151" i="12"/>
  <c r="AF29" i="12"/>
  <c r="AC29" i="12"/>
  <c r="AF149" i="12"/>
  <c r="AC149" i="12"/>
  <c r="AF78" i="12"/>
  <c r="AC78" i="12"/>
  <c r="AF49" i="12"/>
  <c r="AC49" i="12"/>
  <c r="AF107" i="12"/>
  <c r="AC107" i="12"/>
  <c r="AF174" i="12"/>
  <c r="AC174" i="12"/>
  <c r="AF147" i="12"/>
  <c r="AC147" i="12"/>
  <c r="AF40" i="12"/>
  <c r="AC40" i="12"/>
  <c r="AF102" i="12"/>
  <c r="AC102" i="12"/>
  <c r="AF55" i="12"/>
  <c r="AC55" i="12"/>
  <c r="AF109" i="12"/>
  <c r="AC109" i="12"/>
  <c r="AF19" i="12"/>
  <c r="AC19" i="12"/>
  <c r="AF12" i="12"/>
  <c r="AC12" i="12"/>
  <c r="AF66" i="12"/>
  <c r="AC66" i="12"/>
  <c r="AF168" i="12"/>
  <c r="AC168" i="12"/>
  <c r="AF3" i="12"/>
  <c r="AC3" i="12"/>
  <c r="AF171" i="12"/>
  <c r="AC171" i="12"/>
  <c r="AF114" i="12"/>
  <c r="AC114" i="12"/>
  <c r="AF132" i="12"/>
  <c r="AC132" i="12"/>
  <c r="AF128" i="12"/>
  <c r="AC128" i="12"/>
  <c r="AF64" i="12"/>
  <c r="AC64" i="12"/>
  <c r="AF90" i="12"/>
  <c r="AC90" i="12"/>
  <c r="AF89" i="12"/>
  <c r="AC89" i="12"/>
  <c r="AF108" i="12"/>
  <c r="AC108" i="12"/>
  <c r="AF27" i="12"/>
  <c r="AC27" i="12"/>
  <c r="AF158" i="12"/>
  <c r="AC158" i="12"/>
  <c r="AF63" i="12"/>
  <c r="AC63" i="12"/>
  <c r="AF37" i="12"/>
  <c r="AC37" i="12"/>
  <c r="AF97" i="12"/>
  <c r="AC97" i="12"/>
  <c r="AF136" i="12"/>
  <c r="AC136" i="12"/>
  <c r="AF157" i="12"/>
  <c r="AC157" i="12"/>
  <c r="AF22" i="12"/>
  <c r="AC22" i="12"/>
  <c r="AF126" i="12"/>
  <c r="AC126" i="12"/>
  <c r="AF36" i="12"/>
  <c r="AC36" i="12"/>
  <c r="AF80" i="12"/>
  <c r="AC80" i="12"/>
  <c r="AF112" i="12"/>
  <c r="AC112" i="12"/>
  <c r="AF173" i="12"/>
  <c r="AC173" i="12"/>
  <c r="AF74" i="12"/>
  <c r="AC74" i="12"/>
  <c r="AF47" i="12"/>
  <c r="AC47" i="12"/>
  <c r="AF137" i="12"/>
  <c r="AC137" i="12"/>
  <c r="AF167" i="12"/>
  <c r="AC167" i="12"/>
  <c r="AF118" i="12"/>
  <c r="AC118" i="12"/>
  <c r="AF94" i="12"/>
  <c r="AC94" i="12"/>
  <c r="AF82" i="12"/>
  <c r="AC82" i="12"/>
  <c r="AF96" i="12"/>
  <c r="AC96" i="12"/>
  <c r="AF42" i="12"/>
  <c r="AC42" i="12"/>
  <c r="AF14" i="12"/>
  <c r="AC14" i="12"/>
  <c r="AF56" i="12"/>
  <c r="AC56" i="12"/>
  <c r="AF35" i="12"/>
  <c r="AC35" i="12"/>
  <c r="AF101" i="12"/>
  <c r="AC101" i="12"/>
  <c r="AF163" i="12"/>
  <c r="AC163" i="12"/>
  <c r="AF165" i="12"/>
  <c r="AC165" i="12"/>
  <c r="AF105" i="12"/>
  <c r="AC105" i="12"/>
  <c r="AF25" i="12"/>
  <c r="AC25" i="12"/>
  <c r="AF95" i="12"/>
  <c r="AC95" i="12"/>
  <c r="AF98" i="12"/>
  <c r="AC98" i="12"/>
  <c r="AF110" i="12"/>
  <c r="AC110" i="12"/>
  <c r="AF93" i="12"/>
  <c r="AC93" i="12"/>
  <c r="AF106" i="12"/>
  <c r="AC106" i="12"/>
  <c r="AF175" i="12"/>
  <c r="AC175" i="12"/>
  <c r="AF31" i="12"/>
  <c r="AC31" i="12"/>
  <c r="AF28" i="12"/>
  <c r="AC28" i="12"/>
  <c r="AF87" i="12"/>
  <c r="AC87" i="12"/>
  <c r="AF138" i="12"/>
  <c r="AC138" i="12"/>
  <c r="AF44" i="12"/>
  <c r="AC44" i="12"/>
  <c r="AF77" i="12"/>
  <c r="AC77" i="12"/>
  <c r="AF65" i="12"/>
  <c r="AC65" i="12"/>
  <c r="AF75" i="12"/>
  <c r="AC75" i="12"/>
  <c r="AF131" i="12"/>
  <c r="AF103" i="12"/>
  <c r="AF83" i="12"/>
  <c r="AF135" i="12"/>
  <c r="AF92" i="12"/>
  <c r="AF73" i="12"/>
  <c r="AF120" i="12"/>
  <c r="V4" i="27"/>
  <c r="V18" i="27"/>
  <c r="V9" i="27"/>
  <c r="V16" i="27"/>
  <c r="AF84" i="12"/>
  <c r="AF116" i="12"/>
  <c r="AF53" i="12"/>
  <c r="AF38" i="12"/>
  <c r="AF341" i="12"/>
  <c r="AF547" i="12"/>
  <c r="S16" i="23"/>
  <c r="AH15" i="12"/>
  <c r="AB32" i="12"/>
  <c r="AC32" i="12" s="1"/>
  <c r="S83" i="28"/>
  <c r="S4" i="23"/>
  <c r="S11" i="23"/>
  <c r="S3" i="23"/>
  <c r="S22" i="23"/>
  <c r="Q21" i="23"/>
  <c r="U6" i="26"/>
  <c r="S55" i="26"/>
  <c r="U20" i="28"/>
  <c r="R21" i="23"/>
  <c r="AF177" i="12"/>
  <c r="AF517" i="12"/>
  <c r="AF204" i="12"/>
  <c r="AF530" i="12"/>
  <c r="AF327" i="12"/>
  <c r="S660" i="12"/>
  <c r="AF439" i="12"/>
  <c r="AF34" i="12"/>
  <c r="AF240" i="12"/>
  <c r="AF369" i="12"/>
  <c r="AF513" i="12"/>
  <c r="AF282" i="12"/>
  <c r="AF645" i="12"/>
  <c r="AF232" i="12"/>
  <c r="AF420" i="12"/>
  <c r="AF430" i="12"/>
  <c r="AF464" i="12"/>
  <c r="Q660" i="12"/>
  <c r="F14" i="32"/>
  <c r="F13" i="32" s="1"/>
  <c r="F19" i="32"/>
  <c r="F18" i="32" s="1"/>
  <c r="F24" i="32"/>
  <c r="F23" i="32" s="1"/>
  <c r="F28" i="32"/>
  <c r="F29" i="32"/>
  <c r="F7" i="32"/>
  <c r="W660" i="12"/>
  <c r="K180" i="12"/>
  <c r="K660" i="12" s="1"/>
  <c r="N660" i="12"/>
  <c r="AF277" i="12"/>
  <c r="AF520" i="12"/>
  <c r="AF296" i="12"/>
  <c r="AF545" i="12"/>
  <c r="O660" i="12"/>
  <c r="AF4" i="12"/>
  <c r="AF140" i="12"/>
  <c r="AF51" i="12"/>
  <c r="AF139" i="12"/>
  <c r="AF127" i="12"/>
  <c r="AF100" i="12"/>
  <c r="AF30" i="12"/>
  <c r="M660" i="12"/>
  <c r="P660" i="12"/>
  <c r="AF45" i="12"/>
  <c r="AF344" i="12"/>
  <c r="AF438" i="12"/>
  <c r="AF62" i="12"/>
  <c r="AF169" i="12"/>
  <c r="AF142" i="12"/>
  <c r="AF480" i="12"/>
  <c r="AF15" i="12"/>
  <c r="AF54" i="12"/>
  <c r="AF477" i="12"/>
  <c r="AF623" i="12"/>
  <c r="AF314" i="12"/>
  <c r="AF445" i="12"/>
  <c r="AF351" i="12"/>
  <c r="AF503" i="12"/>
  <c r="I660" i="12"/>
  <c r="AF239" i="12"/>
  <c r="AF143" i="12"/>
  <c r="AF479" i="12"/>
  <c r="AF288" i="12"/>
  <c r="AF565" i="12"/>
  <c r="AF328" i="12"/>
  <c r="AF412" i="12"/>
  <c r="AF178" i="12"/>
  <c r="AF6" i="12"/>
  <c r="AF304" i="12"/>
  <c r="AF46" i="12"/>
  <c r="J660" i="12"/>
  <c r="AF592" i="12"/>
  <c r="AF418" i="12"/>
  <c r="AF391" i="12"/>
  <c r="L660" i="12"/>
  <c r="AF159" i="12"/>
  <c r="AF234" i="12"/>
  <c r="AF212" i="12"/>
  <c r="AF214" i="12"/>
  <c r="AF652" i="12"/>
  <c r="AF373" i="12"/>
  <c r="AF495" i="12"/>
  <c r="AF61" i="12"/>
  <c r="AF336" i="12"/>
  <c r="Y660" i="12"/>
  <c r="AF122" i="12"/>
  <c r="AF86" i="12"/>
  <c r="AF436" i="12"/>
  <c r="AF7" i="12"/>
  <c r="AF59" i="12"/>
  <c r="AF111" i="12"/>
  <c r="AF81" i="12"/>
  <c r="AF91" i="12"/>
  <c r="AF9" i="12"/>
  <c r="AF187" i="12"/>
  <c r="AF546" i="12"/>
  <c r="AF231" i="12"/>
  <c r="AF450" i="12"/>
  <c r="AF225" i="12"/>
  <c r="AF653" i="12"/>
  <c r="T660" i="12"/>
  <c r="AF643" i="12"/>
  <c r="R660" i="12"/>
  <c r="AF155" i="12"/>
  <c r="AF113" i="12"/>
  <c r="AF5" i="12"/>
  <c r="AF279" i="12"/>
  <c r="AF385" i="12"/>
  <c r="AF251" i="12"/>
  <c r="Z660" i="12"/>
  <c r="AF593" i="12"/>
  <c r="AF285" i="12"/>
  <c r="AF335" i="12"/>
  <c r="AF434" i="12"/>
  <c r="AF311" i="12"/>
  <c r="AF361" i="12"/>
  <c r="AF293" i="12"/>
  <c r="AF266" i="12"/>
  <c r="AF318" i="12"/>
  <c r="AF529" i="12"/>
  <c r="AF558" i="12"/>
  <c r="AF598" i="12"/>
  <c r="AF401" i="12"/>
  <c r="AF300" i="12"/>
  <c r="AF242" i="12"/>
  <c r="AF575" i="12"/>
  <c r="AF260" i="12"/>
  <c r="AF463" i="12"/>
  <c r="AF573" i="12"/>
  <c r="AF488" i="12"/>
  <c r="AF649" i="12"/>
  <c r="AF607" i="12"/>
  <c r="AF631" i="12"/>
  <c r="AF283" i="12"/>
  <c r="AF249" i="12"/>
  <c r="AF342" i="12"/>
  <c r="AF286" i="12"/>
  <c r="AF390" i="12"/>
  <c r="AF638" i="12"/>
  <c r="AF470" i="12"/>
  <c r="AF253" i="12"/>
  <c r="AF337" i="12"/>
  <c r="AF499" i="12"/>
  <c r="AF566" i="12"/>
  <c r="AF417" i="12"/>
  <c r="AF563" i="12"/>
  <c r="AF446" i="12"/>
  <c r="AF512" i="12"/>
  <c r="AF561" i="12"/>
  <c r="AF628" i="12"/>
  <c r="AF261" i="12"/>
  <c r="AF422" i="12"/>
  <c r="AF383" i="12"/>
  <c r="AF17" i="12"/>
  <c r="AF99" i="12"/>
  <c r="AF69" i="12"/>
  <c r="AF68" i="12"/>
  <c r="AF119" i="12"/>
  <c r="AF123" i="12"/>
  <c r="AF172" i="12"/>
  <c r="AF48" i="12"/>
  <c r="AF115" i="12"/>
  <c r="AF134" i="12"/>
  <c r="AF176" i="12"/>
  <c r="AF654" i="12"/>
  <c r="AF433" i="12"/>
  <c r="AF610" i="12"/>
  <c r="AF449" i="12"/>
  <c r="AF292" i="12"/>
  <c r="AF355" i="12"/>
  <c r="AF519" i="12"/>
  <c r="AF557" i="12"/>
  <c r="AF624" i="12"/>
  <c r="AF370" i="12"/>
  <c r="AF397" i="12"/>
  <c r="AF343" i="12"/>
  <c r="AF527" i="12"/>
  <c r="AF475" i="12"/>
  <c r="AF604" i="12"/>
  <c r="AF432" i="12"/>
  <c r="AF538" i="12"/>
  <c r="AF534" i="12"/>
  <c r="AF387" i="12"/>
  <c r="AF217" i="12"/>
  <c r="AF576" i="12"/>
  <c r="AF298" i="12"/>
  <c r="AF435" i="12"/>
  <c r="AF223" i="12"/>
  <c r="AF247" i="12"/>
  <c r="AF578" i="12"/>
  <c r="AF365" i="12"/>
  <c r="AF551" i="12"/>
  <c r="AF533" i="12"/>
  <c r="AF485" i="12"/>
  <c r="AF340" i="12"/>
  <c r="AF541" i="12"/>
  <c r="AF437" i="12"/>
  <c r="AF481" i="12"/>
  <c r="AF494" i="12"/>
  <c r="AF544" i="12"/>
  <c r="AF18" i="12"/>
  <c r="AF198" i="12"/>
  <c r="AF540" i="12"/>
  <c r="AF496" i="12"/>
  <c r="AF192" i="12"/>
  <c r="AF568" i="12"/>
  <c r="AF443" i="12"/>
  <c r="AF295" i="12"/>
  <c r="AF368" i="12"/>
  <c r="AF478" i="12"/>
  <c r="AF484" i="12"/>
  <c r="AF392" i="12"/>
  <c r="AF580" i="12"/>
  <c r="AF532" i="12"/>
  <c r="AF462" i="12"/>
  <c r="AF606" i="12"/>
  <c r="AF542" i="12"/>
  <c r="AF413" i="12"/>
  <c r="AF457" i="12"/>
  <c r="AF405" i="12"/>
  <c r="AF222" i="12"/>
  <c r="AF632" i="12"/>
  <c r="AF524" i="12"/>
  <c r="AF326" i="12"/>
  <c r="AF506" i="12"/>
  <c r="AF553" i="12"/>
  <c r="AF189" i="12"/>
  <c r="AF504" i="12"/>
  <c r="AF452" i="12"/>
  <c r="AF507" i="12"/>
  <c r="AF267" i="12"/>
  <c r="AF646" i="12"/>
  <c r="AF333" i="12"/>
  <c r="AF305" i="12"/>
  <c r="AF600" i="12"/>
  <c r="AF407" i="12"/>
  <c r="AF603" i="12"/>
  <c r="AF186" i="12"/>
  <c r="AF367" i="12"/>
  <c r="AF487" i="12"/>
  <c r="AF589" i="12"/>
  <c r="AF454" i="12"/>
  <c r="AF299" i="12"/>
  <c r="AF193" i="12"/>
  <c r="AF228" i="12"/>
  <c r="AF548" i="12"/>
  <c r="AF332" i="12"/>
  <c r="AF330" i="12"/>
  <c r="AF486" i="12"/>
  <c r="AF442" i="12"/>
  <c r="AF324" i="12"/>
  <c r="AF536" i="12"/>
  <c r="AF498" i="12"/>
  <c r="AF423" i="12"/>
  <c r="AF515" i="12"/>
  <c r="AF447" i="12"/>
  <c r="AF182" i="12"/>
  <c r="AF458" i="12"/>
  <c r="AF156" i="12"/>
  <c r="AF153" i="12"/>
  <c r="AF148" i="12"/>
  <c r="AF146" i="12"/>
  <c r="AF144" i="12"/>
  <c r="AF162" i="12"/>
  <c r="AF104" i="12"/>
  <c r="AF70" i="12"/>
  <c r="AF60" i="12"/>
  <c r="AF8" i="12"/>
  <c r="AF154" i="12"/>
  <c r="AF43" i="12"/>
  <c r="AF13" i="12"/>
  <c r="AF33" i="12"/>
  <c r="AF160" i="12"/>
  <c r="AF164" i="12"/>
  <c r="AF150" i="12"/>
  <c r="AF121" i="12"/>
  <c r="AF76" i="12"/>
  <c r="AF141" i="12"/>
  <c r="AF16" i="12"/>
  <c r="AC181" i="12"/>
  <c r="AF71" i="12"/>
  <c r="AF152" i="12"/>
  <c r="AF117" i="12"/>
  <c r="AF67" i="12"/>
  <c r="AF166" i="12"/>
  <c r="AF21" i="12"/>
  <c r="AF161" i="12"/>
  <c r="AF246" i="12"/>
  <c r="AF184" i="12"/>
  <c r="AF195" i="12"/>
  <c r="AF374" i="12"/>
  <c r="AF196" i="12"/>
  <c r="AF210" i="12"/>
  <c r="AF582" i="12"/>
  <c r="AF375" i="12"/>
  <c r="AF377" i="12"/>
  <c r="AF586" i="12"/>
  <c r="AF584" i="12"/>
  <c r="AF509" i="12"/>
  <c r="AF560" i="12"/>
  <c r="AF219" i="12"/>
  <c r="AF601" i="12"/>
  <c r="AF569" i="12"/>
  <c r="AF611" i="12"/>
  <c r="AF501" i="12"/>
  <c r="AF376" i="12"/>
  <c r="AF625" i="12"/>
  <c r="AF621" i="12"/>
  <c r="AF190" i="12"/>
  <c r="AF421" i="12"/>
  <c r="AF510" i="12"/>
  <c r="AF627" i="12"/>
  <c r="AF528" i="12"/>
  <c r="AF622" i="12"/>
  <c r="AF466" i="12"/>
  <c r="AF248" i="12"/>
  <c r="AF280" i="12"/>
  <c r="AF352" i="12"/>
  <c r="AF362" i="12"/>
  <c r="AF493" i="12"/>
  <c r="AF429" i="12"/>
  <c r="AF220" i="12"/>
  <c r="AF396" i="12"/>
  <c r="AF641" i="12"/>
  <c r="AF321" i="12"/>
  <c r="AF472" i="12"/>
  <c r="AF316" i="12"/>
  <c r="AF474" i="12"/>
  <c r="AF183" i="12"/>
  <c r="AF497" i="12"/>
  <c r="AF264" i="12"/>
  <c r="AF508" i="12"/>
  <c r="AF313" i="12"/>
  <c r="AF644" i="12"/>
  <c r="AF483" i="12"/>
  <c r="AF650" i="12"/>
  <c r="AF658" i="12"/>
  <c r="AF549" i="12"/>
  <c r="AF382" i="12"/>
  <c r="AF657" i="12"/>
  <c r="AH243" i="12"/>
  <c r="AB243" i="12"/>
  <c r="AC243" i="12" s="1"/>
  <c r="AF170" i="12"/>
  <c r="AH2" i="12"/>
  <c r="U180" i="12"/>
  <c r="U660" i="12" s="1"/>
  <c r="D54" i="29" l="1"/>
  <c r="B43" i="29"/>
  <c r="S21" i="23"/>
  <c r="U16" i="26"/>
  <c r="U24" i="28"/>
  <c r="V23" i="27"/>
  <c r="U30" i="22"/>
  <c r="U31" i="22"/>
  <c r="AF32" i="12"/>
  <c r="F8" i="32"/>
  <c r="AF243" i="12"/>
  <c r="AF2" i="12"/>
  <c r="AC2" i="12"/>
  <c r="AB180" i="12"/>
  <c r="AB659" i="12" s="1"/>
  <c r="D34" i="32"/>
  <c r="D56" i="29" l="1"/>
  <c r="F54" i="29"/>
  <c r="G34" i="32"/>
  <c r="D33" i="3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tc={49F1A468-0581-4376-A3ED-A14F5876D14C}</author>
    <author>Angelica Melissa Carvajal Infante</author>
    <author>tc={308FDDB6-D90C-41F0-877F-BB710FC8140D}</author>
    <author>tc={3DDBD58F-65DD-4B75-9FF2-AE0CC909CFD0}</author>
    <author>tc={CBD50CD8-9782-4823-A3F8-F570134560A4}</author>
  </authors>
  <commentList>
    <comment ref="AE93" authorId="0" shapeId="0" xr:uid="{00000000-0006-0000-0000-000003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 certificado de fiducia ok</t>
      </text>
    </comment>
    <comment ref="S11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Angelica Melissa Carvajal Infante:</t>
        </r>
        <r>
          <rPr>
            <sz val="9"/>
            <color indexed="81"/>
            <rFont val="Tahoma"/>
            <family val="2"/>
          </rPr>
          <t xml:space="preserve">
Pendiente confirmación Fiducia</t>
        </r>
      </text>
    </comment>
    <comment ref="AE181" authorId="2" shapeId="0" xr:uid="{00000000-0006-0000-0000-000006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 pagos en fiducia que permiten el cumplimiento</t>
      </text>
    </comment>
    <comment ref="AE182" authorId="3" shapeId="0" xr:uid="{00000000-0006-0000-0000-000007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 certficado de fiducia ok</t>
      </text>
    </comment>
    <comment ref="AE216" authorId="4" shapeId="0" xr:uid="{00000000-0006-0000-0000-000008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Fiducia confirma ejecución superior al 70% del 1er desembolso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Melissa Carvajal</author>
  </authors>
  <commentList>
    <comment ref="N2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Melissa Carvajal:</t>
        </r>
        <r>
          <rPr>
            <sz val="9"/>
            <color indexed="81"/>
            <rFont val="Tahoma"/>
            <family val="2"/>
          </rPr>
          <t xml:space="preserve">
Notificación CDA de la liquidación anticipada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Melissa Carvajal</author>
  </authors>
  <commentList>
    <comment ref="C5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Melissa Carvajal:</t>
        </r>
        <r>
          <rPr>
            <sz val="9"/>
            <color indexed="81"/>
            <rFont val="Tahoma"/>
            <family val="2"/>
          </rPr>
          <t xml:space="preserve">
Alianza desistió de continuar después de la visita de inducción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Melissa Carvajal</author>
  </authors>
  <commentList>
    <comment ref="N2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Melissa Carvajal:</t>
        </r>
        <r>
          <rPr>
            <sz val="9"/>
            <color indexed="81"/>
            <rFont val="Tahoma"/>
            <family val="2"/>
          </rPr>
          <t xml:space="preserve">
En trámite de presentar al CDA la liqudiación anticipada</t>
        </r>
      </text>
    </comment>
  </commentList>
</comments>
</file>

<file path=xl/sharedStrings.xml><?xml version="1.0" encoding="utf-8"?>
<sst xmlns="http://schemas.openxmlformats.org/spreadsheetml/2006/main" count="6699" uniqueCount="1445">
  <si>
    <t>REGIONAL</t>
  </si>
  <si>
    <t>ALIANZA</t>
  </si>
  <si>
    <t>FASE</t>
  </si>
  <si>
    <t>No. CONVENIO MARD</t>
  </si>
  <si>
    <t>COD. FIDUCIARIO</t>
  </si>
  <si>
    <t>DEPARTAMENTO</t>
  </si>
  <si>
    <t xml:space="preserve">FECHA DE GIRO </t>
  </si>
  <si>
    <t>INCENTIVO MODULAR</t>
  </si>
  <si>
    <t>REINTEGRO DTN</t>
  </si>
  <si>
    <t>RECURSOS EJECUTADOS EN PAGOS</t>
  </si>
  <si>
    <t>EJECUCIÓN %</t>
  </si>
  <si>
    <t>MONITOREOS PAGOS</t>
  </si>
  <si>
    <t>VISITA SEGUNDO DESEMBOLSO</t>
  </si>
  <si>
    <t>SALDO SIN EJECUTAR</t>
  </si>
  <si>
    <t>OBSERVACIONES</t>
  </si>
  <si>
    <t>N° Meses Ejecución IM</t>
  </si>
  <si>
    <t>CARIBE 1</t>
  </si>
  <si>
    <t>ASOMUDEPAS</t>
  </si>
  <si>
    <t>I</t>
  </si>
  <si>
    <t>03-001-20</t>
  </si>
  <si>
    <t>BOLIVAR</t>
  </si>
  <si>
    <t>-</t>
  </si>
  <si>
    <t>LIQUIDADA</t>
  </si>
  <si>
    <t>CENTRAL</t>
  </si>
  <si>
    <t>ECOHORTALIZAS</t>
  </si>
  <si>
    <t>05-021-20</t>
  </si>
  <si>
    <t>BOYACA</t>
  </si>
  <si>
    <t>EN EJECUCIÓN</t>
  </si>
  <si>
    <t>PACIFICO</t>
  </si>
  <si>
    <t>ASOMOREROS</t>
  </si>
  <si>
    <t>01-002-20</t>
  </si>
  <si>
    <t>CAUCA</t>
  </si>
  <si>
    <t>AMAZONIA</t>
  </si>
  <si>
    <t>AGROALPUTUMAYO</t>
  </si>
  <si>
    <t>08-002-20</t>
  </si>
  <si>
    <t>PUTUMAYO</t>
  </si>
  <si>
    <t>ASAV</t>
  </si>
  <si>
    <t>08-003-20</t>
  </si>
  <si>
    <t>ASOMUVICA</t>
  </si>
  <si>
    <t>03-006-20</t>
  </si>
  <si>
    <t>ASOGASIB</t>
  </si>
  <si>
    <t>08-006-20</t>
  </si>
  <si>
    <t>ASOAGROPEL</t>
  </si>
  <si>
    <t>05-007-20</t>
  </si>
  <si>
    <t>CUNDINAMARCA</t>
  </si>
  <si>
    <t>SANAGROS</t>
  </si>
  <si>
    <t>08-005-20</t>
  </si>
  <si>
    <t>COMUCCOM</t>
  </si>
  <si>
    <t>08-009-20</t>
  </si>
  <si>
    <t>SANTANDERES</t>
  </si>
  <si>
    <t>ASOVIPLAYA</t>
  </si>
  <si>
    <t>06-005-20</t>
  </si>
  <si>
    <t>NORTE DE SANTANDER</t>
  </si>
  <si>
    <t>AJERV</t>
  </si>
  <si>
    <t>08-008-20</t>
  </si>
  <si>
    <t>EJE CAFETERO Y ANTIOQUIA</t>
  </si>
  <si>
    <t>AMMUCID</t>
  </si>
  <si>
    <t>02-008-20</t>
  </si>
  <si>
    <t>RISARALDA</t>
  </si>
  <si>
    <t>ASOMUSEPAZ</t>
  </si>
  <si>
    <t>08-011-20</t>
  </si>
  <si>
    <t>GUAVIARE</t>
  </si>
  <si>
    <t>PECES LA DORADA</t>
  </si>
  <si>
    <t>08-001-20</t>
  </si>
  <si>
    <t>ASOPEZ</t>
  </si>
  <si>
    <t>08-004-20</t>
  </si>
  <si>
    <t>ADIMCOL</t>
  </si>
  <si>
    <t>05-019-20</t>
  </si>
  <si>
    <t>TOLIMA</t>
  </si>
  <si>
    <t>ASOMUCHACHA</t>
  </si>
  <si>
    <t>02-020-20</t>
  </si>
  <si>
    <t>ANTIOQUIA</t>
  </si>
  <si>
    <t>ASOPLAD</t>
  </si>
  <si>
    <t>02-006-20</t>
  </si>
  <si>
    <t>APROPESCA</t>
  </si>
  <si>
    <t>01-005-20</t>
  </si>
  <si>
    <t>AGROPAUJIL</t>
  </si>
  <si>
    <t>08-015-20</t>
  </si>
  <si>
    <t>CAQUETA</t>
  </si>
  <si>
    <t>EL MANZANO</t>
  </si>
  <si>
    <t>01-023-20</t>
  </si>
  <si>
    <t>NARIÑO</t>
  </si>
  <si>
    <t>FUNGACAM</t>
  </si>
  <si>
    <t>03-016-20</t>
  </si>
  <si>
    <t>ATLANTICO</t>
  </si>
  <si>
    <t>ASOAGROMOT</t>
  </si>
  <si>
    <t>05-001-20</t>
  </si>
  <si>
    <t>ASPLABEL</t>
  </si>
  <si>
    <t>02-009-20</t>
  </si>
  <si>
    <t>CARIBE 2</t>
  </si>
  <si>
    <t>ANUC SINCE</t>
  </si>
  <si>
    <t>03-005-20</t>
  </si>
  <si>
    <t>SUCRE</t>
  </si>
  <si>
    <t>APAACEGUTOL</t>
  </si>
  <si>
    <t>05-022-20</t>
  </si>
  <si>
    <t>AMMUCAMP</t>
  </si>
  <si>
    <t>02-007-20</t>
  </si>
  <si>
    <t>AGRO-SANTUARIO</t>
  </si>
  <si>
    <t>05-011-20</t>
  </si>
  <si>
    <t>ASOGRAB</t>
  </si>
  <si>
    <t>02-019-20</t>
  </si>
  <si>
    <t>ASOHOFRUP</t>
  </si>
  <si>
    <t>05-020-20</t>
  </si>
  <si>
    <t>ASOPACAPEC</t>
  </si>
  <si>
    <t>03-021-20</t>
  </si>
  <si>
    <t>LLANOS Y ORINOQUIA</t>
  </si>
  <si>
    <t>ASOLECT</t>
  </si>
  <si>
    <t>07-017-20</t>
  </si>
  <si>
    <t>CASANARE</t>
  </si>
  <si>
    <t>ASOPROLET</t>
  </si>
  <si>
    <t>07-014-20</t>
  </si>
  <si>
    <t>FUNMUFROT</t>
  </si>
  <si>
    <t>01-007-20</t>
  </si>
  <si>
    <t>VALLE DEL CAUCA</t>
  </si>
  <si>
    <t>APITASA</t>
  </si>
  <si>
    <t>02-012-20</t>
  </si>
  <si>
    <t>ASMUCACD</t>
  </si>
  <si>
    <t>07-001-20</t>
  </si>
  <si>
    <t>META</t>
  </si>
  <si>
    <t>ASOPROAGROPAR</t>
  </si>
  <si>
    <t>02-026-20</t>
  </si>
  <si>
    <t>ASOEMPRENCA</t>
  </si>
  <si>
    <t>07-002-20</t>
  </si>
  <si>
    <t>ASOCAMC</t>
  </si>
  <si>
    <t>06-001-20</t>
  </si>
  <si>
    <t>SANTANDER</t>
  </si>
  <si>
    <t>ASOMUMA</t>
  </si>
  <si>
    <t>02-010-20</t>
  </si>
  <si>
    <t>CALDAS</t>
  </si>
  <si>
    <t>CRGT - COMITÉ GANADEROS TAME</t>
  </si>
  <si>
    <t>07-004-20</t>
  </si>
  <si>
    <t>ARAUCA</t>
  </si>
  <si>
    <t>ASPROPAPA TOTORO</t>
  </si>
  <si>
    <t>01-004-20</t>
  </si>
  <si>
    <t>FUNCOLAGRO</t>
  </si>
  <si>
    <t>02-013-20</t>
  </si>
  <si>
    <t>AGROUNION VEGONEZ</t>
  </si>
  <si>
    <t>05-015-20</t>
  </si>
  <si>
    <t>AROMA DE PAZ</t>
  </si>
  <si>
    <t>06-003-20</t>
  </si>
  <si>
    <t>ASOLESACA</t>
  </si>
  <si>
    <t>07-007-20</t>
  </si>
  <si>
    <t>ASOMUFRES</t>
  </si>
  <si>
    <t>05-012-20</t>
  </si>
  <si>
    <t>SKAMBRA</t>
  </si>
  <si>
    <t>03-015-20</t>
  </si>
  <si>
    <t>CORDOBA</t>
  </si>
  <si>
    <t>EL GUAMAL</t>
  </si>
  <si>
    <t>03-013-20</t>
  </si>
  <si>
    <t>ASPESCAR</t>
  </si>
  <si>
    <t>04-010-20</t>
  </si>
  <si>
    <t>LA GUAJIRA</t>
  </si>
  <si>
    <t>ASOMUJERES</t>
  </si>
  <si>
    <t>08-016-20</t>
  </si>
  <si>
    <t>ASLUBEL</t>
  </si>
  <si>
    <t>02-004-20</t>
  </si>
  <si>
    <t>ANUC</t>
  </si>
  <si>
    <t>04-014-20</t>
  </si>
  <si>
    <t>ASEGAVA</t>
  </si>
  <si>
    <t>07-018-20</t>
  </si>
  <si>
    <t>ASPANOR</t>
  </si>
  <si>
    <t>02-014-20</t>
  </si>
  <si>
    <t>AGROSILOS</t>
  </si>
  <si>
    <t>06-014-20</t>
  </si>
  <si>
    <t>FENACHO</t>
  </si>
  <si>
    <t>08-014-20</t>
  </si>
  <si>
    <t>ASOPROAGRO SARARE</t>
  </si>
  <si>
    <t>07-010-20</t>
  </si>
  <si>
    <t>ASOHORTICULTORAS</t>
  </si>
  <si>
    <t>05-005-20</t>
  </si>
  <si>
    <t>ASOPACO</t>
  </si>
  <si>
    <t>02-023-20</t>
  </si>
  <si>
    <t>ASOPESAGRO</t>
  </si>
  <si>
    <t>03-011-20</t>
  </si>
  <si>
    <t>ASOAPAZ</t>
  </si>
  <si>
    <t>01-008-20</t>
  </si>
  <si>
    <t>AGROMUJER</t>
  </si>
  <si>
    <t>02-005-20</t>
  </si>
  <si>
    <t>APEGROBA</t>
  </si>
  <si>
    <t>07-015-20</t>
  </si>
  <si>
    <t>PROCORD</t>
  </si>
  <si>
    <t>02-002-20</t>
  </si>
  <si>
    <t>QUINDIO</t>
  </si>
  <si>
    <t>OCCF</t>
  </si>
  <si>
    <t>02-021-20</t>
  </si>
  <si>
    <t>AGROPEZ ALBANIA</t>
  </si>
  <si>
    <t>08-010-20</t>
  </si>
  <si>
    <t>PECES DE SION</t>
  </si>
  <si>
    <t>03-024-20</t>
  </si>
  <si>
    <t>COOPROCAFES</t>
  </si>
  <si>
    <t>05-017-20</t>
  </si>
  <si>
    <t>HUILA</t>
  </si>
  <si>
    <t>AMERPOL</t>
  </si>
  <si>
    <t>03-017-20</t>
  </si>
  <si>
    <t>AMFIPAR</t>
  </si>
  <si>
    <t>01-021-20</t>
  </si>
  <si>
    <t>ASOPISCIRICO</t>
  </si>
  <si>
    <t>08-012-20</t>
  </si>
  <si>
    <t>ASOMUPEAUNISAL</t>
  </si>
  <si>
    <t>03-018-20</t>
  </si>
  <si>
    <t>ASOPIG</t>
  </si>
  <si>
    <t>08-007-20</t>
  </si>
  <si>
    <t>GUAINIA</t>
  </si>
  <si>
    <t>ASOPROMECOL</t>
  </si>
  <si>
    <t>05-016-20</t>
  </si>
  <si>
    <t>ASOCATARA</t>
  </si>
  <si>
    <t>07-012-20</t>
  </si>
  <si>
    <t>ASOPROCHOER</t>
  </si>
  <si>
    <t>02-015-20</t>
  </si>
  <si>
    <t>ASOAGROCORDILLERA</t>
  </si>
  <si>
    <t>02-024-20</t>
  </si>
  <si>
    <t>ASOPROPADI</t>
  </si>
  <si>
    <t>05-008-20</t>
  </si>
  <si>
    <t>ASPROFIL</t>
  </si>
  <si>
    <t>02-003-20</t>
  </si>
  <si>
    <t>ASOGANALP</t>
  </si>
  <si>
    <t>05-018-20</t>
  </si>
  <si>
    <t>NUEVA SANTA INES</t>
  </si>
  <si>
    <t>03-007-20</t>
  </si>
  <si>
    <t>SAN NICOLAS</t>
  </si>
  <si>
    <t>01-019-20</t>
  </si>
  <si>
    <t>ASOCOMIGAN</t>
  </si>
  <si>
    <t>08-013-20</t>
  </si>
  <si>
    <t>COOUMBIPAPA</t>
  </si>
  <si>
    <t>05-013-20</t>
  </si>
  <si>
    <t>APDPM</t>
  </si>
  <si>
    <t>04-005-20</t>
  </si>
  <si>
    <t>MAGDALENA</t>
  </si>
  <si>
    <t>ASPROCOMUNT</t>
  </si>
  <si>
    <t>06-010-20</t>
  </si>
  <si>
    <t>ASOPROREC</t>
  </si>
  <si>
    <t>07-019-20</t>
  </si>
  <si>
    <t>ASOPRODESPLA</t>
  </si>
  <si>
    <t>02-027-20</t>
  </si>
  <si>
    <t>ASOPROMAC - ASOPROMARULAC</t>
  </si>
  <si>
    <t>02-017-20</t>
  </si>
  <si>
    <t>ASOPPLAMUS</t>
  </si>
  <si>
    <t>01-024-20</t>
  </si>
  <si>
    <t>CHOCO</t>
  </si>
  <si>
    <t>APPAIAM</t>
  </si>
  <si>
    <t>08-020-20</t>
  </si>
  <si>
    <t>AMAZONAS</t>
  </si>
  <si>
    <t>ASOFRUTAS</t>
  </si>
  <si>
    <t>06-011-20</t>
  </si>
  <si>
    <t>ASOMURACO</t>
  </si>
  <si>
    <t>03-022-20</t>
  </si>
  <si>
    <t>ASOGANSAB</t>
  </si>
  <si>
    <t>04-018-20</t>
  </si>
  <si>
    <t>ASPROAGROPESQH</t>
  </si>
  <si>
    <t>01-016-20</t>
  </si>
  <si>
    <t>COOPROCOSAR LTDA</t>
  </si>
  <si>
    <t>06-009-20</t>
  </si>
  <si>
    <t>ASOMURET</t>
  </si>
  <si>
    <t>06-002-20</t>
  </si>
  <si>
    <t>ASOPANEL</t>
  </si>
  <si>
    <t>07-003-20</t>
  </si>
  <si>
    <t>APROFRUSA</t>
  </si>
  <si>
    <t>07-016-20</t>
  </si>
  <si>
    <t>AFRICOLMENAS</t>
  </si>
  <si>
    <t>02-018-20</t>
  </si>
  <si>
    <t>ASOPCARI</t>
  </si>
  <si>
    <t>07-006-20</t>
  </si>
  <si>
    <t>LOS ESPINELEROS</t>
  </si>
  <si>
    <t>01-026-20</t>
  </si>
  <si>
    <t>ASGROCALMO</t>
  </si>
  <si>
    <t>02-011-20</t>
  </si>
  <si>
    <t>ASOCITRICOS</t>
  </si>
  <si>
    <t>04-004-20</t>
  </si>
  <si>
    <t>CESAR</t>
  </si>
  <si>
    <t>ASOPYCA</t>
  </si>
  <si>
    <t>02-001-20</t>
  </si>
  <si>
    <t>ASOMEAG</t>
  </si>
  <si>
    <t>01-014-20</t>
  </si>
  <si>
    <t>ASPPE</t>
  </si>
  <si>
    <t>03-025-20</t>
  </si>
  <si>
    <t>ASAPAVBJ</t>
  </si>
  <si>
    <t>07-005-20</t>
  </si>
  <si>
    <t>COONOGALES</t>
  </si>
  <si>
    <t>01-010-20</t>
  </si>
  <si>
    <t>ASEDECO</t>
  </si>
  <si>
    <t>03-023-20</t>
  </si>
  <si>
    <t>ASOFACASJO - CHOCOCITO</t>
  </si>
  <si>
    <t>01-025-20</t>
  </si>
  <si>
    <t>PARAISO DE MUJER</t>
  </si>
  <si>
    <t>02-022-20</t>
  </si>
  <si>
    <t>ASOCIACION DEL CABILDO MENOR SAN ANTONIO</t>
  </si>
  <si>
    <t>03-012-20</t>
  </si>
  <si>
    <t>ASOAGROTCH</t>
  </si>
  <si>
    <t>01-012-20</t>
  </si>
  <si>
    <t>APEGANCABI</t>
  </si>
  <si>
    <t>01-006-20</t>
  </si>
  <si>
    <t>ASMUPGRAMI</t>
  </si>
  <si>
    <t>01-001-20</t>
  </si>
  <si>
    <t>ASMUCULPAZCA</t>
  </si>
  <si>
    <t>07-009-20</t>
  </si>
  <si>
    <t>APIMONGUATE</t>
  </si>
  <si>
    <t>06-013-20</t>
  </si>
  <si>
    <t>ASMUCALE</t>
  </si>
  <si>
    <t>07-013-20</t>
  </si>
  <si>
    <t>ASOMUJEREC</t>
  </si>
  <si>
    <t>07-021-20</t>
  </si>
  <si>
    <t>ASOCAMET</t>
  </si>
  <si>
    <t>07-008-20</t>
  </si>
  <si>
    <t>ASVAGROG</t>
  </si>
  <si>
    <t>06-012-20</t>
  </si>
  <si>
    <t>EL PEZ DORADO</t>
  </si>
  <si>
    <t>04-012-20</t>
  </si>
  <si>
    <t>SOMOS DEL MAR</t>
  </si>
  <si>
    <t>04-017-20</t>
  </si>
  <si>
    <t>APUCAM</t>
  </si>
  <si>
    <t>03-020-20</t>
  </si>
  <si>
    <t>ASOPROBRILLANTE</t>
  </si>
  <si>
    <t>04-019-20</t>
  </si>
  <si>
    <t>ECOMASPASO</t>
  </si>
  <si>
    <t>04-020-20</t>
  </si>
  <si>
    <t>ASOPAC</t>
  </si>
  <si>
    <t>07-020-20</t>
  </si>
  <si>
    <t>VICHADA</t>
  </si>
  <si>
    <t>LIQUIDACIÓN ANT.</t>
  </si>
  <si>
    <t>COOCAMPO</t>
  </si>
  <si>
    <t>05-003-20</t>
  </si>
  <si>
    <t>ASOPACON</t>
  </si>
  <si>
    <t>06-015-20</t>
  </si>
  <si>
    <t>ASMIPALMAR</t>
  </si>
  <si>
    <t>08-017-20</t>
  </si>
  <si>
    <t>VAUPES</t>
  </si>
  <si>
    <t>ASOPROPIÑALAU</t>
  </si>
  <si>
    <t>01-017-20</t>
  </si>
  <si>
    <t>FORJANDO FUTURO</t>
  </si>
  <si>
    <t>01-018-20</t>
  </si>
  <si>
    <t>ASOCAVELI</t>
  </si>
  <si>
    <t>04-015-20</t>
  </si>
  <si>
    <t>ASOPROAVICE</t>
  </si>
  <si>
    <t>04-001-20</t>
  </si>
  <si>
    <t>ASODESU</t>
  </si>
  <si>
    <t>04-008-20</t>
  </si>
  <si>
    <t>ASOCAÑA</t>
  </si>
  <si>
    <t>07-011-20</t>
  </si>
  <si>
    <t>ASOJOPAZ</t>
  </si>
  <si>
    <t>03-009-20</t>
  </si>
  <si>
    <t>ASOCUIVA</t>
  </si>
  <si>
    <t>03-004-20</t>
  </si>
  <si>
    <t>ASFRUHER</t>
  </si>
  <si>
    <t>05-014-20</t>
  </si>
  <si>
    <t>ASOPISCAGUAJ</t>
  </si>
  <si>
    <t>04-013-20</t>
  </si>
  <si>
    <t>NASAFRUT</t>
  </si>
  <si>
    <t>01-011-20</t>
  </si>
  <si>
    <t>ASOMUPROAGRORI</t>
  </si>
  <si>
    <t>04-007-20</t>
  </si>
  <si>
    <t>ASFRUHOBO</t>
  </si>
  <si>
    <t>05-004-20</t>
  </si>
  <si>
    <t>ASOPROCACAO</t>
  </si>
  <si>
    <t>08-018-20</t>
  </si>
  <si>
    <t>ECOFARMERS</t>
  </si>
  <si>
    <t>04-023-20</t>
  </si>
  <si>
    <t>SAN ANDRES, PROVIDENCIA Y SANTA CATALINA</t>
  </si>
  <si>
    <t>ASAGRAMPI</t>
  </si>
  <si>
    <t>01-009-20</t>
  </si>
  <si>
    <t>USOCHICAMOCHA</t>
  </si>
  <si>
    <t>05-002-20</t>
  </si>
  <si>
    <t>ASOCAMDEL</t>
  </si>
  <si>
    <t>03-010-20</t>
  </si>
  <si>
    <t>ANUAGRA</t>
  </si>
  <si>
    <t>03-019-20</t>
  </si>
  <si>
    <t>ASPROBALBOA</t>
  </si>
  <si>
    <t>01-003-20</t>
  </si>
  <si>
    <t>ASOPROAGRO</t>
  </si>
  <si>
    <t>04-024-20</t>
  </si>
  <si>
    <t>CANTON DE SAN PABLO</t>
  </si>
  <si>
    <t>01-022-20</t>
  </si>
  <si>
    <t>ASPROPHACAL</t>
  </si>
  <si>
    <t>02-016-20</t>
  </si>
  <si>
    <t>AMERO</t>
  </si>
  <si>
    <t>06-008-20</t>
  </si>
  <si>
    <t>ASPAPUY</t>
  </si>
  <si>
    <t>03-008-20</t>
  </si>
  <si>
    <t>ASOHORTICAS</t>
  </si>
  <si>
    <t>02-025-20</t>
  </si>
  <si>
    <t>ASOPRIACHIGUS</t>
  </si>
  <si>
    <t>05-006-20</t>
  </si>
  <si>
    <t>ASPROPLABAP</t>
  </si>
  <si>
    <t>05-010-20</t>
  </si>
  <si>
    <t>ASOPROLANA</t>
  </si>
  <si>
    <t>03-003-20</t>
  </si>
  <si>
    <t>INNOVACAMP</t>
  </si>
  <si>
    <t>03-027-20</t>
  </si>
  <si>
    <t>ASOMUTRADER</t>
  </si>
  <si>
    <t>06-004-20</t>
  </si>
  <si>
    <t>CERRO CHIFLON</t>
  </si>
  <si>
    <t>05-009-20</t>
  </si>
  <si>
    <t>NEW DAWN - NUEVO AMANECER</t>
  </si>
  <si>
    <t>04-022-20</t>
  </si>
  <si>
    <t>ASOPLADEIN</t>
  </si>
  <si>
    <t>03-014-20</t>
  </si>
  <si>
    <t>RAIZAL YOUTH</t>
  </si>
  <si>
    <t>04-021-20</t>
  </si>
  <si>
    <t>AMUSI</t>
  </si>
  <si>
    <t>03-002-20</t>
  </si>
  <si>
    <t>ASOMEPED</t>
  </si>
  <si>
    <t>08-019-20</t>
  </si>
  <si>
    <t>GREA</t>
  </si>
  <si>
    <t>04-025-20</t>
  </si>
  <si>
    <t>PORKBARANOA</t>
  </si>
  <si>
    <t>03-026-20</t>
  </si>
  <si>
    <t>ASOMUEM2020</t>
  </si>
  <si>
    <t>04-002-20</t>
  </si>
  <si>
    <t>EL CAMPAMENTO</t>
  </si>
  <si>
    <t>01-020-20</t>
  </si>
  <si>
    <t>ASOINAP</t>
  </si>
  <si>
    <t>01-013-20</t>
  </si>
  <si>
    <t>ASOVICOPAL</t>
  </si>
  <si>
    <t>01-015-20</t>
  </si>
  <si>
    <t>LA UNION DEL CAMPO</t>
  </si>
  <si>
    <t>04-003-20</t>
  </si>
  <si>
    <t>ASODELTOCO</t>
  </si>
  <si>
    <t>04-006-20</t>
  </si>
  <si>
    <t>ASOPAMURIMAJSA</t>
  </si>
  <si>
    <t>II</t>
  </si>
  <si>
    <t>08-039-21</t>
  </si>
  <si>
    <t>ASOMURG</t>
  </si>
  <si>
    <t>08-012-21</t>
  </si>
  <si>
    <t>CAMPOGUAVIARE</t>
  </si>
  <si>
    <t>08-041-21</t>
  </si>
  <si>
    <t>ASOCAMFLORES</t>
  </si>
  <si>
    <t>01-001-21</t>
  </si>
  <si>
    <t>ASPROMIEL</t>
  </si>
  <si>
    <t>01-003-21</t>
  </si>
  <si>
    <t>APRODESME</t>
  </si>
  <si>
    <t>01-006-21</t>
  </si>
  <si>
    <t>FRESAS LOMA</t>
  </si>
  <si>
    <t>01-008-21</t>
  </si>
  <si>
    <t>ASOCIACION LA PRADERA</t>
  </si>
  <si>
    <t>01-012-21</t>
  </si>
  <si>
    <t>ASOPACUY</t>
  </si>
  <si>
    <t>01-017-21</t>
  </si>
  <si>
    <t>ASOCIACION CRECER PARA EL CAMPO - ASOCRECEM</t>
  </si>
  <si>
    <t>01-018-21</t>
  </si>
  <si>
    <t>01-020-21</t>
  </si>
  <si>
    <t>ASPCAM</t>
  </si>
  <si>
    <t>01-024-21</t>
  </si>
  <si>
    <t>GUCOLAC</t>
  </si>
  <si>
    <t>01-036-21</t>
  </si>
  <si>
    <t>CORTEPAZ</t>
  </si>
  <si>
    <t>01-038-21</t>
  </si>
  <si>
    <t>ASOCIACIÓN EL BUEN DESARROLLO DE SAN ISIDRO</t>
  </si>
  <si>
    <t>01-042-21</t>
  </si>
  <si>
    <t>CHOCÓ</t>
  </si>
  <si>
    <t>COOPERATIVA MULTIACTIVA HÉROES DE MURRY</t>
  </si>
  <si>
    <t>01-045-21</t>
  </si>
  <si>
    <t>ASOMED</t>
  </si>
  <si>
    <t>01-065-21</t>
  </si>
  <si>
    <t>VALLE_DEL_CAUCA</t>
  </si>
  <si>
    <t>FUNDECAR</t>
  </si>
  <si>
    <t>01-067-21</t>
  </si>
  <si>
    <t>ASOMERGEN</t>
  </si>
  <si>
    <t>02-001-21</t>
  </si>
  <si>
    <t>QUINDÍO</t>
  </si>
  <si>
    <t>TERRITORIO NUESTRO</t>
  </si>
  <si>
    <t>02-005-21</t>
  </si>
  <si>
    <t>PROCAMSA</t>
  </si>
  <si>
    <t>02-007-21</t>
  </si>
  <si>
    <t>ASOPROGUASCAL</t>
  </si>
  <si>
    <t>02-008-21</t>
  </si>
  <si>
    <t>ASOHASSPEN</t>
  </si>
  <si>
    <t>02-010-21</t>
  </si>
  <si>
    <t>ASPROPASA</t>
  </si>
  <si>
    <t>02-011-21</t>
  </si>
  <si>
    <t>ASOAGROVIC</t>
  </si>
  <si>
    <t>02-012-21</t>
  </si>
  <si>
    <t>ASOVILACEL</t>
  </si>
  <si>
    <t>02-015-21</t>
  </si>
  <si>
    <t>ANMUCIM</t>
  </si>
  <si>
    <t>02-016-21</t>
  </si>
  <si>
    <t>AGROPECOL</t>
  </si>
  <si>
    <t>02-017-21</t>
  </si>
  <si>
    <t>CHOCORICO ACMR</t>
  </si>
  <si>
    <t>02-019-21</t>
  </si>
  <si>
    <t>ASOPACAS</t>
  </si>
  <si>
    <t>02-020-21</t>
  </si>
  <si>
    <t>ASOCAMAR</t>
  </si>
  <si>
    <t>02-021-21</t>
  </si>
  <si>
    <t>COOMERAGRO</t>
  </si>
  <si>
    <t>02-022-21</t>
  </si>
  <si>
    <t>CACAOQUÍN</t>
  </si>
  <si>
    <t>02-024-21</t>
  </si>
  <si>
    <t>ASOPRI</t>
  </si>
  <si>
    <t>02-025-21</t>
  </si>
  <si>
    <t>AROMAQUIN</t>
  </si>
  <si>
    <t>02-027-21</t>
  </si>
  <si>
    <t>ASOJOCA</t>
  </si>
  <si>
    <t>02-029-21</t>
  </si>
  <si>
    <t>ASOAPIVIC</t>
  </si>
  <si>
    <t>02-031-21</t>
  </si>
  <si>
    <t>ASOVICPI</t>
  </si>
  <si>
    <t>02-033-21</t>
  </si>
  <si>
    <t>APROAGUAN</t>
  </si>
  <si>
    <t>02-034-21</t>
  </si>
  <si>
    <t>ASDEPAN</t>
  </si>
  <si>
    <t>02-035-21</t>
  </si>
  <si>
    <t>AMESAA</t>
  </si>
  <si>
    <t>02-036-21</t>
  </si>
  <si>
    <t>ASOPROA</t>
  </si>
  <si>
    <t>02-037-21</t>
  </si>
  <si>
    <t xml:space="preserve">ASOBOSQUES   </t>
  </si>
  <si>
    <t>02-038-21</t>
  </si>
  <si>
    <t>ASOPROLECA</t>
  </si>
  <si>
    <t>02-039-21</t>
  </si>
  <si>
    <t>COOP ALAGRO</t>
  </si>
  <si>
    <t>02-040-21</t>
  </si>
  <si>
    <t xml:space="preserve">PLANTAMOS FUTURO </t>
  </si>
  <si>
    <t>02-041-21</t>
  </si>
  <si>
    <t>ASOPAMA</t>
  </si>
  <si>
    <t>02-042-21</t>
  </si>
  <si>
    <t>ASPABRIC</t>
  </si>
  <si>
    <t>02-043-21</t>
  </si>
  <si>
    <t>ASAPROL</t>
  </si>
  <si>
    <t>02-044-21</t>
  </si>
  <si>
    <t>ASOHASS NORTE</t>
  </si>
  <si>
    <t>02-045-21</t>
  </si>
  <si>
    <t>ASOPROGFU</t>
  </si>
  <si>
    <t>02-046-21</t>
  </si>
  <si>
    <t xml:space="preserve"> ASOCIACIÓN AGROPECUARIA TIERRA GRANDE</t>
  </si>
  <si>
    <t>02-047-21</t>
  </si>
  <si>
    <t>ASOGREPACA</t>
  </si>
  <si>
    <t>02-048-21</t>
  </si>
  <si>
    <t>ASOMORRITOS</t>
  </si>
  <si>
    <t>02-049-21</t>
  </si>
  <si>
    <t xml:space="preserve">AMII </t>
  </si>
  <si>
    <t>02-050-21</t>
  </si>
  <si>
    <t>ASOPAGROY</t>
  </si>
  <si>
    <t>02-051-21</t>
  </si>
  <si>
    <t>ASOCASAN C.A.</t>
  </si>
  <si>
    <t>02-052-21</t>
  </si>
  <si>
    <t>ASPHORTA-L</t>
  </si>
  <si>
    <t>02-053-21</t>
  </si>
  <si>
    <t>LA MARIELA PIJAO</t>
  </si>
  <si>
    <t>02-054-21</t>
  </si>
  <si>
    <t>ASOPROCCACIQUE</t>
  </si>
  <si>
    <t>02-055-21</t>
  </si>
  <si>
    <t>ASOCACAOTEROS TÁMESIS</t>
  </si>
  <si>
    <t>02-060-21</t>
  </si>
  <si>
    <t>ASITAPUR</t>
  </si>
  <si>
    <t>02-061-21</t>
  </si>
  <si>
    <t>ASOPROASA</t>
  </si>
  <si>
    <t>02-062-21</t>
  </si>
  <si>
    <t>ASOCANORA</t>
  </si>
  <si>
    <t>02-063-21</t>
  </si>
  <si>
    <t>02-064-21</t>
  </si>
  <si>
    <t>PROMOTORES AMBIENTALES</t>
  </si>
  <si>
    <t>03-001-21</t>
  </si>
  <si>
    <t>BOLÍVAR</t>
  </si>
  <si>
    <t>AMUVIDAS</t>
  </si>
  <si>
    <t>03-002-21</t>
  </si>
  <si>
    <t>ASOCIACIÓN DE MUJERES EMPRENDEDORAS DE CARACOLÍ - AMEC</t>
  </si>
  <si>
    <t>03-004-21</t>
  </si>
  <si>
    <t>ASOMUPPI</t>
  </si>
  <si>
    <t>03-007-21</t>
  </si>
  <si>
    <t>ASOAGROMULTISANJC</t>
  </si>
  <si>
    <t>03-008-21</t>
  </si>
  <si>
    <t>ASOPROAGROTRESCRUCES</t>
  </si>
  <si>
    <t>03-009-21</t>
  </si>
  <si>
    <t>ASOHONDA</t>
  </si>
  <si>
    <t>03-010-21</t>
  </si>
  <si>
    <t>ASPOAGRO</t>
  </si>
  <si>
    <t>03-012-21</t>
  </si>
  <si>
    <t>ÑAMEROS DE SAN JUAN</t>
  </si>
  <si>
    <t>03-013-21</t>
  </si>
  <si>
    <t>APROFPHOR</t>
  </si>
  <si>
    <t>03-014-21</t>
  </si>
  <si>
    <t>ASOAVIMA</t>
  </si>
  <si>
    <t>03-015-21</t>
  </si>
  <si>
    <t>ATLÁNTICO</t>
  </si>
  <si>
    <t>ASOCAMPSUR</t>
  </si>
  <si>
    <t>03-016-21</t>
  </si>
  <si>
    <t>ASOCAMPRA</t>
  </si>
  <si>
    <t>03-017-21</t>
  </si>
  <si>
    <t>COOPIMARES</t>
  </si>
  <si>
    <t>03-018-21</t>
  </si>
  <si>
    <t>ASOGANBAR</t>
  </si>
  <si>
    <t>03-019-21</t>
  </si>
  <si>
    <t>ASOJEMMA</t>
  </si>
  <si>
    <t>03-020-21</t>
  </si>
  <si>
    <t>ASOCALIMA</t>
  </si>
  <si>
    <t>03-025-21</t>
  </si>
  <si>
    <t>ASOMUCA</t>
  </si>
  <si>
    <t>03-028-21</t>
  </si>
  <si>
    <t>ASOCIACIÓN DE APICULTORES ALIANZA MANAURE</t>
  </si>
  <si>
    <t>03-030-21</t>
  </si>
  <si>
    <t>ASOPEGABOS</t>
  </si>
  <si>
    <t>03-031-21</t>
  </si>
  <si>
    <t>CORINTEGRAL</t>
  </si>
  <si>
    <t>03-032-21</t>
  </si>
  <si>
    <t>AGROPEMO</t>
  </si>
  <si>
    <t>03-033-21</t>
  </si>
  <si>
    <t>ASOFUACA</t>
  </si>
  <si>
    <t>03-035-21</t>
  </si>
  <si>
    <t>ASOANEI</t>
  </si>
  <si>
    <t>03-037-21</t>
  </si>
  <si>
    <t>ASOREAGRO</t>
  </si>
  <si>
    <t>04-001-21</t>
  </si>
  <si>
    <t>LA_GUAJIRA</t>
  </si>
  <si>
    <t>HUEVOS PARA LA VIDA</t>
  </si>
  <si>
    <t>04-002-21</t>
  </si>
  <si>
    <t>CODEGAF</t>
  </si>
  <si>
    <t>04-003-21</t>
  </si>
  <si>
    <t>ASOHURI</t>
  </si>
  <si>
    <t>04-005-21</t>
  </si>
  <si>
    <t>COPAFRODEMIN</t>
  </si>
  <si>
    <t>04-007-21</t>
  </si>
  <si>
    <t>ASOMUVICASARAL</t>
  </si>
  <si>
    <t>04-008-21</t>
  </si>
  <si>
    <t>ASPPP</t>
  </si>
  <si>
    <t>04-010-21</t>
  </si>
  <si>
    <t>ASMUCAVI</t>
  </si>
  <si>
    <t>04-011-21</t>
  </si>
  <si>
    <t>ASOPROANA</t>
  </si>
  <si>
    <t>04-012-21</t>
  </si>
  <si>
    <t>ASOMUAFRO</t>
  </si>
  <si>
    <t>04-014-21</t>
  </si>
  <si>
    <t>AGROPESMUP</t>
  </si>
  <si>
    <t>04-016-21</t>
  </si>
  <si>
    <t>CÓRDOBA</t>
  </si>
  <si>
    <t>ASOPORKLOCO</t>
  </si>
  <si>
    <t>04-019-21</t>
  </si>
  <si>
    <t>ASPRAVECOL</t>
  </si>
  <si>
    <t>04-020-21</t>
  </si>
  <si>
    <t>ASOGENDES</t>
  </si>
  <si>
    <t>04-021-21</t>
  </si>
  <si>
    <t>ASOPROMONI</t>
  </si>
  <si>
    <t>04-023-21</t>
  </si>
  <si>
    <t>ASALMAR</t>
  </si>
  <si>
    <t>04-024-21</t>
  </si>
  <si>
    <t>AAGROSAN</t>
  </si>
  <si>
    <t>04-025-21</t>
  </si>
  <si>
    <t>ASOAGROMIEL</t>
  </si>
  <si>
    <t>04-026-21</t>
  </si>
  <si>
    <t>ASODELICIA</t>
  </si>
  <si>
    <t>04-027-21</t>
  </si>
  <si>
    <t>SUPERATE</t>
  </si>
  <si>
    <t>04-030-21</t>
  </si>
  <si>
    <t>ASOPROREN2021</t>
  </si>
  <si>
    <t>04-031-21</t>
  </si>
  <si>
    <t>MUPROMAG</t>
  </si>
  <si>
    <t>04-033-21</t>
  </si>
  <si>
    <t>APROFLOR</t>
  </si>
  <si>
    <t>04-036-21</t>
  </si>
  <si>
    <t>ASCADEL</t>
  </si>
  <si>
    <t>04-039-21</t>
  </si>
  <si>
    <t>ASPHAS</t>
  </si>
  <si>
    <t>04-042-21</t>
  </si>
  <si>
    <t>ASOAGROCAMPTA</t>
  </si>
  <si>
    <t>04-048-21</t>
  </si>
  <si>
    <t>COOLCAN</t>
  </si>
  <si>
    <t>04-050-21</t>
  </si>
  <si>
    <t>ASOPRESAB</t>
  </si>
  <si>
    <t>04-054-21</t>
  </si>
  <si>
    <t>ASOFRIMAC</t>
  </si>
  <si>
    <t>05-001-21</t>
  </si>
  <si>
    <t>BOYACÁ</t>
  </si>
  <si>
    <t>APIA-NUBA</t>
  </si>
  <si>
    <t>05-002-21</t>
  </si>
  <si>
    <t>ASOFRUMORAS</t>
  </si>
  <si>
    <t>05-003-21</t>
  </si>
  <si>
    <t>ASAEGRAD</t>
  </si>
  <si>
    <t>05-007-21</t>
  </si>
  <si>
    <t>AUMUR</t>
  </si>
  <si>
    <t>05-011-21</t>
  </si>
  <si>
    <t>ASOTRASIL</t>
  </si>
  <si>
    <t>05-012-21</t>
  </si>
  <si>
    <t>ASOCIACIÓN MUJER RURAL TOCAIMA</t>
  </si>
  <si>
    <t>05-013-21</t>
  </si>
  <si>
    <t>AMEG</t>
  </si>
  <si>
    <t>05-015-21</t>
  </si>
  <si>
    <t>APROSPAB</t>
  </si>
  <si>
    <t>05-018-21</t>
  </si>
  <si>
    <t>ASOPG</t>
  </si>
  <si>
    <t>05-019-21</t>
  </si>
  <si>
    <t>ASOMUCASA</t>
  </si>
  <si>
    <t>05-022-21</t>
  </si>
  <si>
    <t>ASOAMERICAS</t>
  </si>
  <si>
    <t>05-030-21</t>
  </si>
  <si>
    <t>AMOYA</t>
  </si>
  <si>
    <t>05-033-21</t>
  </si>
  <si>
    <t>ASOLPONTEZUELAS</t>
  </si>
  <si>
    <t>05-039-21</t>
  </si>
  <si>
    <t xml:space="preserve">ASOCIACION EL CABLE  </t>
  </si>
  <si>
    <t>05-041-21</t>
  </si>
  <si>
    <t>COAGRONVALIA</t>
  </si>
  <si>
    <t>06-002-21</t>
  </si>
  <si>
    <t>NORTE_DE_SANTANDER</t>
  </si>
  <si>
    <t>ASPROGUAVATA</t>
  </si>
  <si>
    <t>06-003-21</t>
  </si>
  <si>
    <t>ASOPRAGAL</t>
  </si>
  <si>
    <t>06-005-21</t>
  </si>
  <si>
    <t>ASOPROCOCOA</t>
  </si>
  <si>
    <t>06-006-21</t>
  </si>
  <si>
    <t>ASOPROMAFRUC</t>
  </si>
  <si>
    <t>06-007-21</t>
  </si>
  <si>
    <t>ASOAPROCUR</t>
  </si>
  <si>
    <t>06-008-21</t>
  </si>
  <si>
    <t>APROASAN</t>
  </si>
  <si>
    <t>06-010-21</t>
  </si>
  <si>
    <t>ASOPROLAN</t>
  </si>
  <si>
    <t>06-011-21</t>
  </si>
  <si>
    <t>ASOESANLUIS</t>
  </si>
  <si>
    <t>06-012-21</t>
  </si>
  <si>
    <t>UNION EXPO AGRO</t>
  </si>
  <si>
    <t>06-013-21</t>
  </si>
  <si>
    <t>ASOMUCEFUC</t>
  </si>
  <si>
    <t>06-015-21</t>
  </si>
  <si>
    <t>PERMAPISAN</t>
  </si>
  <si>
    <t>06-016-21</t>
  </si>
  <si>
    <t>ASOPPROFRUCA</t>
  </si>
  <si>
    <t>06-018-21</t>
  </si>
  <si>
    <t>AGRAPA</t>
  </si>
  <si>
    <t>06-021-21</t>
  </si>
  <si>
    <t>ASOAGUACANOR</t>
  </si>
  <si>
    <t>06-023-21</t>
  </si>
  <si>
    <t>ASOMOCRI</t>
  </si>
  <si>
    <t>06-024-21</t>
  </si>
  <si>
    <t>FUINMUCAR</t>
  </si>
  <si>
    <t>06-026-21</t>
  </si>
  <si>
    <t>ASMUCACON</t>
  </si>
  <si>
    <t>06-028-21</t>
  </si>
  <si>
    <t>ASOMUCAO</t>
  </si>
  <si>
    <t>06-029-21</t>
  </si>
  <si>
    <t>ASOPRACON</t>
  </si>
  <si>
    <t>06-031-21</t>
  </si>
  <si>
    <t>ASOAGROPALCAT</t>
  </si>
  <si>
    <t>06-032-21</t>
  </si>
  <si>
    <t>ACST</t>
  </si>
  <si>
    <t>06-033-21</t>
  </si>
  <si>
    <t>ASOGANCRAVO</t>
  </si>
  <si>
    <t>07-001-21</t>
  </si>
  <si>
    <t>ASOVICPAT</t>
  </si>
  <si>
    <t>07-002-21</t>
  </si>
  <si>
    <t>KUAWA WORAJU</t>
  </si>
  <si>
    <t>07-003-21</t>
  </si>
  <si>
    <t>ASOAPORTAR</t>
  </si>
  <si>
    <t>07-004-21</t>
  </si>
  <si>
    <t>APROMARA</t>
  </si>
  <si>
    <t>07-006-21</t>
  </si>
  <si>
    <t>ASOGAFOR</t>
  </si>
  <si>
    <t>07-007-21</t>
  </si>
  <si>
    <t>FUNDACION LUZ Y ESPERANZA - FLE</t>
  </si>
  <si>
    <t>07-008-21</t>
  </si>
  <si>
    <t>ASOPESCARIA</t>
  </si>
  <si>
    <t>07-009-21</t>
  </si>
  <si>
    <t xml:space="preserve">ASOPAS </t>
  </si>
  <si>
    <t>07-010-21</t>
  </si>
  <si>
    <t>ASOMUAR</t>
  </si>
  <si>
    <t>07-012-21</t>
  </si>
  <si>
    <t>ASOPROMORSA</t>
  </si>
  <si>
    <t>07-015-21</t>
  </si>
  <si>
    <t>AGROMESACA</t>
  </si>
  <si>
    <t>07-016-21</t>
  </si>
  <si>
    <t>CPT</t>
  </si>
  <si>
    <t>07-017-21</t>
  </si>
  <si>
    <t>ASOMUJORPZA</t>
  </si>
  <si>
    <t>07-018-21</t>
  </si>
  <si>
    <t>ASOPROLAC</t>
  </si>
  <si>
    <t>07-019-21</t>
  </si>
  <si>
    <t>ANUGAN</t>
  </si>
  <si>
    <t>07-020-21</t>
  </si>
  <si>
    <t>AGRICOLA BUENAHORA</t>
  </si>
  <si>
    <t>07-021-21</t>
  </si>
  <si>
    <t>COGANTA</t>
  </si>
  <si>
    <t>07-022-21</t>
  </si>
  <si>
    <t>SALVACAMPO</t>
  </si>
  <si>
    <t>07-023-21</t>
  </si>
  <si>
    <t>ACAPIMOR</t>
  </si>
  <si>
    <t>07-024-21</t>
  </si>
  <si>
    <t>APICPAZ</t>
  </si>
  <si>
    <t>07-025-21</t>
  </si>
  <si>
    <t>APIYOPAL</t>
  </si>
  <si>
    <t>07-027-21</t>
  </si>
  <si>
    <t>ASOVIOR</t>
  </si>
  <si>
    <t>07-028-21</t>
  </si>
  <si>
    <t>ASOFCASAR</t>
  </si>
  <si>
    <t>07-029-21</t>
  </si>
  <si>
    <t>PROAGRO PSCW KUYUVI</t>
  </si>
  <si>
    <t>07-030-21</t>
  </si>
  <si>
    <t>APROSANCARLOS</t>
  </si>
  <si>
    <t>07-031-21</t>
  </si>
  <si>
    <t>COAGRANCC</t>
  </si>
  <si>
    <t>07-034-21</t>
  </si>
  <si>
    <t>ASOCAMPESINOS</t>
  </si>
  <si>
    <t>07-035-21</t>
  </si>
  <si>
    <t>AGROEMPO</t>
  </si>
  <si>
    <t>07-037-21</t>
  </si>
  <si>
    <t>ASMUC</t>
  </si>
  <si>
    <t>07-038-21</t>
  </si>
  <si>
    <t>AGROGAN</t>
  </si>
  <si>
    <t>07-041-21</t>
  </si>
  <si>
    <t>COOMULDG</t>
  </si>
  <si>
    <t>07-042-21</t>
  </si>
  <si>
    <t>ACAPRADIV</t>
  </si>
  <si>
    <t>07-045-21</t>
  </si>
  <si>
    <t>AGROSABANA</t>
  </si>
  <si>
    <t>07-047-21</t>
  </si>
  <si>
    <t>07-053-21</t>
  </si>
  <si>
    <t>ASOYUPGUZ</t>
  </si>
  <si>
    <t>08-001-21</t>
  </si>
  <si>
    <t>APROCOAGRO</t>
  </si>
  <si>
    <t>08-002-21</t>
  </si>
  <si>
    <t>ASOFRUMAYO</t>
  </si>
  <si>
    <t>08-003-21</t>
  </si>
  <si>
    <t>COOPERAGRO</t>
  </si>
  <si>
    <t>08-004-21</t>
  </si>
  <si>
    <t>CORPISCICOLA</t>
  </si>
  <si>
    <t>08-005-21</t>
  </si>
  <si>
    <t>ASOPLAMPG</t>
  </si>
  <si>
    <t>08-006-21</t>
  </si>
  <si>
    <t>ASOPIEP</t>
  </si>
  <si>
    <t>08-007-21</t>
  </si>
  <si>
    <t>ASOMAYO</t>
  </si>
  <si>
    <t>08-008-21</t>
  </si>
  <si>
    <t>ASOAGROP</t>
  </si>
  <si>
    <t>08-009-21</t>
  </si>
  <si>
    <t>ASPRAG</t>
  </si>
  <si>
    <t>08-010-21</t>
  </si>
  <si>
    <t>ASOCAMUCAMU</t>
  </si>
  <si>
    <t>08-011-21</t>
  </si>
  <si>
    <t>ASOAGROTRES-TEJAS</t>
  </si>
  <si>
    <t>08-014-21</t>
  </si>
  <si>
    <t>ASOPRODEM</t>
  </si>
  <si>
    <t>08-015-21</t>
  </si>
  <si>
    <t>CAQUETÁ</t>
  </si>
  <si>
    <t>ASOAPICAQ</t>
  </si>
  <si>
    <t>08-016-21</t>
  </si>
  <si>
    <t>AGROSEG</t>
  </si>
  <si>
    <t>08-017-21</t>
  </si>
  <si>
    <t>ASMUJIMA</t>
  </si>
  <si>
    <t>08-019-21</t>
  </si>
  <si>
    <t>ASOCUDIT</t>
  </si>
  <si>
    <t>08-021-21</t>
  </si>
  <si>
    <t>ACUIMOC</t>
  </si>
  <si>
    <t>08-022-21</t>
  </si>
  <si>
    <t>AGROCARTAGENA</t>
  </si>
  <si>
    <t>08-023-21</t>
  </si>
  <si>
    <t>COMITÉ DE CAUCHEROS DE SAN VICENTE DEL CAGUAN</t>
  </si>
  <si>
    <t>08-024-21</t>
  </si>
  <si>
    <t>ASOPOBECA</t>
  </si>
  <si>
    <t>08-025-21</t>
  </si>
  <si>
    <t>ASPROABELEN</t>
  </si>
  <si>
    <t>08-026-21</t>
  </si>
  <si>
    <t>ASOPROAPICS</t>
  </si>
  <si>
    <t>08-027-21</t>
  </si>
  <si>
    <t>ASOCIACION GRANJA ANDAQUI</t>
  </si>
  <si>
    <t>08-028-21</t>
  </si>
  <si>
    <t>ASOPISFRAGUA</t>
  </si>
  <si>
    <t>08-030-21</t>
  </si>
  <si>
    <t>AGROGALICIA</t>
  </si>
  <si>
    <t>08-031-21</t>
  </si>
  <si>
    <t>COOFRIMAYO</t>
  </si>
  <si>
    <t>08-032-21</t>
  </si>
  <si>
    <t>HALAMO</t>
  </si>
  <si>
    <t>08-033-21</t>
  </si>
  <si>
    <t>GUAINÍA</t>
  </si>
  <si>
    <t>ÑAMSIMAY</t>
  </si>
  <si>
    <t>08-035-21</t>
  </si>
  <si>
    <t>ASOCHON</t>
  </si>
  <si>
    <t>08-037-21</t>
  </si>
  <si>
    <t>ASOVALLE</t>
  </si>
  <si>
    <t>08-038-21</t>
  </si>
  <si>
    <t>ASOPROLVAL</t>
  </si>
  <si>
    <t>08-043-21</t>
  </si>
  <si>
    <t>ASOALICUSAN</t>
  </si>
  <si>
    <t>08-044-21</t>
  </si>
  <si>
    <t>ASOALICERDOS</t>
  </si>
  <si>
    <t>08-045-21</t>
  </si>
  <si>
    <t>ASOMUBO</t>
  </si>
  <si>
    <t>01-004-21</t>
  </si>
  <si>
    <t>ACP</t>
  </si>
  <si>
    <t>01-005-21</t>
  </si>
  <si>
    <t>ASOAGROAM</t>
  </si>
  <si>
    <t>01-007-21</t>
  </si>
  <si>
    <t>ASIGET</t>
  </si>
  <si>
    <t>01-009-21</t>
  </si>
  <si>
    <t>LACTEOS SANTA ROSA DE ILES</t>
  </si>
  <si>
    <t>01-010-21</t>
  </si>
  <si>
    <t>ANDINA DE CAMPESINOS DE POTOSI - AGROANDINA</t>
  </si>
  <si>
    <t>01-011-21</t>
  </si>
  <si>
    <t>ASPROLG</t>
  </si>
  <si>
    <t>01-013-21</t>
  </si>
  <si>
    <t>ANMUCIC</t>
  </si>
  <si>
    <t>01-014-21</t>
  </si>
  <si>
    <t>ASOMUSCUY</t>
  </si>
  <si>
    <t>01-015-21</t>
  </si>
  <si>
    <t>ASOFRESASBUESACO</t>
  </si>
  <si>
    <t>01-016-21</t>
  </si>
  <si>
    <t>ASOFORCA</t>
  </si>
  <si>
    <t>01-019-21</t>
  </si>
  <si>
    <t>AGROPROGRESO</t>
  </si>
  <si>
    <t>01-021-21</t>
  </si>
  <si>
    <t>MULTIAGRO</t>
  </si>
  <si>
    <t>01-022-21</t>
  </si>
  <si>
    <t>PLANTADORES DE PAZ</t>
  </si>
  <si>
    <t>01-023-21</t>
  </si>
  <si>
    <t>ASOINAPRO LOS ARRAYANES</t>
  </si>
  <si>
    <t>01-025-21</t>
  </si>
  <si>
    <t>ASOPESUNIDO</t>
  </si>
  <si>
    <t>01-026-21</t>
  </si>
  <si>
    <t>ASOPROMORA</t>
  </si>
  <si>
    <t>01-027-21</t>
  </si>
  <si>
    <t>EMPRENDEDORES DIVINA LUZ</t>
  </si>
  <si>
    <t>01-028-21</t>
  </si>
  <si>
    <t>ASOMERDCOD</t>
  </si>
  <si>
    <t>01-029-21</t>
  </si>
  <si>
    <t>ASOCIACIÓN RURAL DE PRODUCTORES DEL MUNICIPIO DE JURADÒ</t>
  </si>
  <si>
    <t>01-030-21</t>
  </si>
  <si>
    <t>ASOCAMPECHAGUI</t>
  </si>
  <si>
    <t>01-031-21</t>
  </si>
  <si>
    <t>ASOCOEMPRENDER</t>
  </si>
  <si>
    <t>01-032-21</t>
  </si>
  <si>
    <t>ASOCIACIÓN AGROPECUARIA LA FLORIDA</t>
  </si>
  <si>
    <t>01-033-21</t>
  </si>
  <si>
    <t>AGROPECUARIA PORVENIR CAMPESINO</t>
  </si>
  <si>
    <t>01-034-21</t>
  </si>
  <si>
    <t>ASOCIACIÓN AGROPECURIA DE MUJERES</t>
  </si>
  <si>
    <t>01-035-21</t>
  </si>
  <si>
    <t>ASOCOCAR</t>
  </si>
  <si>
    <t>01-037-21</t>
  </si>
  <si>
    <t>ASOCIACIÓN CERTEGUI</t>
  </si>
  <si>
    <t>01-039-21</t>
  </si>
  <si>
    <t>ASOCIACIÓN DE PRODUCTORES CAMPESINOS CERTEGUEÑOS</t>
  </si>
  <si>
    <t>01-040-21</t>
  </si>
  <si>
    <t>ASOAGRAB</t>
  </si>
  <si>
    <t>01-041-21</t>
  </si>
  <si>
    <t>AGROCAMPO EMPRENDER S.A.S</t>
  </si>
  <si>
    <t>01-043-21</t>
  </si>
  <si>
    <t>ASOCIACIÓN PEQUEÑOS PRODUCTORES BAGADO</t>
  </si>
  <si>
    <t>01-044-21</t>
  </si>
  <si>
    <t>AGROAGUILA</t>
  </si>
  <si>
    <t>01-046-21</t>
  </si>
  <si>
    <t>ALMITARA</t>
  </si>
  <si>
    <t>01-047-21</t>
  </si>
  <si>
    <t>ASOCIACIÓN DE PRODUCTORES AGROPECUARIA DEL MUNICIPIO DEL MEDIO ATRATO</t>
  </si>
  <si>
    <t>01-048-21</t>
  </si>
  <si>
    <t>APROHORFRUA</t>
  </si>
  <si>
    <t>01-049-21</t>
  </si>
  <si>
    <t>ASOCIACIÓN DIGNIDAD Y VIDA POBLACIÓN DESPLAZADA</t>
  </si>
  <si>
    <t>01-051-21</t>
  </si>
  <si>
    <t>ASOAGROPCIN</t>
  </si>
  <si>
    <t>01-052-21</t>
  </si>
  <si>
    <t>ASOMUEMPRA</t>
  </si>
  <si>
    <t>01-053-21</t>
  </si>
  <si>
    <t>ASOCIACIÓN DE PARA EL FORTALECIMIENTO DE LA PRODUCCIÓN PISCICOLA</t>
  </si>
  <si>
    <t>01-054-21</t>
  </si>
  <si>
    <t>ASINAGOSAN</t>
  </si>
  <si>
    <t>01-055-21</t>
  </si>
  <si>
    <t>ASOCRECER</t>
  </si>
  <si>
    <t>01-056-21</t>
  </si>
  <si>
    <t>ASODICAMTH</t>
  </si>
  <si>
    <t>01-057-21</t>
  </si>
  <si>
    <t>ASONUESPA</t>
  </si>
  <si>
    <t>01-058-21</t>
  </si>
  <si>
    <t>ASOPLAYBA</t>
  </si>
  <si>
    <t>01-059-21</t>
  </si>
  <si>
    <t>ASOTAP</t>
  </si>
  <si>
    <t>01-060-21</t>
  </si>
  <si>
    <t>AGROARTE</t>
  </si>
  <si>
    <t>01-061-21</t>
  </si>
  <si>
    <t>ASPROUVHA</t>
  </si>
  <si>
    <t>01-063-21</t>
  </si>
  <si>
    <t>ASOAVANZAR</t>
  </si>
  <si>
    <t>01-064-21</t>
  </si>
  <si>
    <t>RITCP - TRIUNFO CRISTAL PAEZ</t>
  </si>
  <si>
    <t>01-066-21</t>
  </si>
  <si>
    <t>COOPBASAN</t>
  </si>
  <si>
    <t>01-068-21</t>
  </si>
  <si>
    <t>ASOPROBUG</t>
  </si>
  <si>
    <t>01-069-21</t>
  </si>
  <si>
    <t>MERCOPAZ</t>
  </si>
  <si>
    <t>01-070-21</t>
  </si>
  <si>
    <t>ASOYOGE</t>
  </si>
  <si>
    <t>01-071-21</t>
  </si>
  <si>
    <t>ASOMAMOCUER</t>
  </si>
  <si>
    <t>01-073-21</t>
  </si>
  <si>
    <t>AGROQUIM</t>
  </si>
  <si>
    <t>02-002-21</t>
  </si>
  <si>
    <t>FRUVIT</t>
  </si>
  <si>
    <t>02-003-21</t>
  </si>
  <si>
    <t>ASOCAMPO</t>
  </si>
  <si>
    <t>02-004-21</t>
  </si>
  <si>
    <t>ASODEBEL</t>
  </si>
  <si>
    <t>02-006-21</t>
  </si>
  <si>
    <t>ASOEXPLAR</t>
  </si>
  <si>
    <t>02-009-21</t>
  </si>
  <si>
    <t>02-013-21</t>
  </si>
  <si>
    <t>ASOCAFE MANANTIAL</t>
  </si>
  <si>
    <t>02-014-21</t>
  </si>
  <si>
    <t>AGROCOEN</t>
  </si>
  <si>
    <t>02-018-21</t>
  </si>
  <si>
    <t>02-023-21</t>
  </si>
  <si>
    <t>ASOMURVI</t>
  </si>
  <si>
    <t>02-026-21</t>
  </si>
  <si>
    <t>APROLEHAN</t>
  </si>
  <si>
    <t>02-028-21</t>
  </si>
  <si>
    <t>ASDEGEQUIN</t>
  </si>
  <si>
    <t>02-030-21</t>
  </si>
  <si>
    <t>APIQUINDIO</t>
  </si>
  <si>
    <t>02-032-21</t>
  </si>
  <si>
    <t>ASORGEC</t>
  </si>
  <si>
    <t>02-056-21</t>
  </si>
  <si>
    <t>HASSFILANDIA</t>
  </si>
  <si>
    <t>02-057-21</t>
  </si>
  <si>
    <t>ASOAGRO - ARANZAZU</t>
  </si>
  <si>
    <t>02-058-21</t>
  </si>
  <si>
    <t>ASOFAGUA</t>
  </si>
  <si>
    <t>02-059-21</t>
  </si>
  <si>
    <t>ASMUGAN</t>
  </si>
  <si>
    <t>02-065-21</t>
  </si>
  <si>
    <t>COOPROGUASAN</t>
  </si>
  <si>
    <t>02-066-21</t>
  </si>
  <si>
    <t>PROAGUADAS</t>
  </si>
  <si>
    <t>02-067-21</t>
  </si>
  <si>
    <t>CORPASSQUIN</t>
  </si>
  <si>
    <t>02-068-21</t>
  </si>
  <si>
    <t>ASOPROMIXGUA</t>
  </si>
  <si>
    <t>03-003-21</t>
  </si>
  <si>
    <t>APÍCOLA LA SERRANIA</t>
  </si>
  <si>
    <t>03-006-21</t>
  </si>
  <si>
    <t>ASOAGROPLASAN</t>
  </si>
  <si>
    <t>03-011-21</t>
  </si>
  <si>
    <t>AFROPALMAR</t>
  </si>
  <si>
    <t>03-021-21</t>
  </si>
  <si>
    <t>ASOGUANBOSI</t>
  </si>
  <si>
    <t>03-022-21</t>
  </si>
  <si>
    <t>COOMUCAR</t>
  </si>
  <si>
    <t>03-023-21</t>
  </si>
  <si>
    <t>ASOACUILAS</t>
  </si>
  <si>
    <t>03-024-21</t>
  </si>
  <si>
    <t>ASMUDEVICSAR</t>
  </si>
  <si>
    <t>03-026-21</t>
  </si>
  <si>
    <t>ASOPORCAN</t>
  </si>
  <si>
    <t>03-027-21</t>
  </si>
  <si>
    <t>ASOIMCULT</t>
  </si>
  <si>
    <t>03-029-21</t>
  </si>
  <si>
    <t>ASOCOR</t>
  </si>
  <si>
    <t>03-036-21</t>
  </si>
  <si>
    <t>ASPRACES</t>
  </si>
  <si>
    <t>03-038-21</t>
  </si>
  <si>
    <t>03-039-21</t>
  </si>
  <si>
    <t>ASOPROAGROGAR</t>
  </si>
  <si>
    <t>03-040-21</t>
  </si>
  <si>
    <t>ASOPROPERIJA</t>
  </si>
  <si>
    <t>03-041-21</t>
  </si>
  <si>
    <t>ASMUCOSORURAL</t>
  </si>
  <si>
    <t>03-042-21</t>
  </si>
  <si>
    <t>RAIZAL FAMERS</t>
  </si>
  <si>
    <t>03-043-21</t>
  </si>
  <si>
    <t>SAN ANDRÉS PROVIDENCIA Y SANTA CATALINA</t>
  </si>
  <si>
    <t>CANE ROOTS ASOCIATION</t>
  </si>
  <si>
    <t>03-044-21</t>
  </si>
  <si>
    <t>ASOMUSACEAS</t>
  </si>
  <si>
    <t>03-045-21</t>
  </si>
  <si>
    <t>ASOPEMELEC</t>
  </si>
  <si>
    <t>03-046-21</t>
  </si>
  <si>
    <t>ASOMUPIASAG</t>
  </si>
  <si>
    <t>03-049-21</t>
  </si>
  <si>
    <t>03-050-21</t>
  </si>
  <si>
    <t>03-051-21</t>
  </si>
  <si>
    <t>PROFUTAL EAT</t>
  </si>
  <si>
    <t>03-052-21</t>
  </si>
  <si>
    <t>ASOCOSTERA</t>
  </si>
  <si>
    <t>03-053-21</t>
  </si>
  <si>
    <t>ASOGAPOL</t>
  </si>
  <si>
    <t>03-054-21</t>
  </si>
  <si>
    <t>03-055-21</t>
  </si>
  <si>
    <t>03-056-21</t>
  </si>
  <si>
    <t>ASOACOR</t>
  </si>
  <si>
    <t>04-004-21</t>
  </si>
  <si>
    <t>ASOPROCA</t>
  </si>
  <si>
    <t>04-006-21</t>
  </si>
  <si>
    <t>AJOCAMPESPUN</t>
  </si>
  <si>
    <t>04-009-21</t>
  </si>
  <si>
    <t>ASAGAPEG</t>
  </si>
  <si>
    <t>04-013-21</t>
  </si>
  <si>
    <t>CABILDO INDIGENA MONTEGRANDE</t>
  </si>
  <si>
    <t>04-015-21</t>
  </si>
  <si>
    <t>ASOVICAMPRO</t>
  </si>
  <si>
    <t>04-017-21</t>
  </si>
  <si>
    <t>ASPROAPIBI</t>
  </si>
  <si>
    <t>04-018-21</t>
  </si>
  <si>
    <t>ASPROCABS</t>
  </si>
  <si>
    <t>04-022-21</t>
  </si>
  <si>
    <t>ASAPC</t>
  </si>
  <si>
    <t>04-028-21</t>
  </si>
  <si>
    <t>ASOPROAPEC</t>
  </si>
  <si>
    <t>04-029-21</t>
  </si>
  <si>
    <t>COMFORTUNA</t>
  </si>
  <si>
    <t>04-032-21</t>
  </si>
  <si>
    <t>ANUC CHIBOLO</t>
  </si>
  <si>
    <t>04-034-21</t>
  </si>
  <si>
    <t>ASPROPESCA</t>
  </si>
  <si>
    <t>04-035-21</t>
  </si>
  <si>
    <t>ASOJUVENTUD</t>
  </si>
  <si>
    <t>04-037-21</t>
  </si>
  <si>
    <t>GANASAN</t>
  </si>
  <si>
    <t>04-038-21</t>
  </si>
  <si>
    <t>ASUCVICONT</t>
  </si>
  <si>
    <t>04-040-21</t>
  </si>
  <si>
    <t>ASPARCOL</t>
  </si>
  <si>
    <t>04-041-21</t>
  </si>
  <si>
    <t>ASOPORCIR</t>
  </si>
  <si>
    <t>04-043-21</t>
  </si>
  <si>
    <t>APROPESCAM</t>
  </si>
  <si>
    <t>04-044-21</t>
  </si>
  <si>
    <t>ASOPOAMOL</t>
  </si>
  <si>
    <t>04-045-21</t>
  </si>
  <si>
    <t>ASOGAPAZ</t>
  </si>
  <si>
    <t>04-046-21</t>
  </si>
  <si>
    <t>ASOPEGABAL</t>
  </si>
  <si>
    <t>04-047-21</t>
  </si>
  <si>
    <t>ASOCIACIÓN AGROPECUARIA ESPERANZA VERDE</t>
  </si>
  <si>
    <t>04-049-21</t>
  </si>
  <si>
    <t>ASOPRODEMETRIAS</t>
  </si>
  <si>
    <t>04-051-21</t>
  </si>
  <si>
    <t>ASOGARZAL</t>
  </si>
  <si>
    <t>04-052-21</t>
  </si>
  <si>
    <t>APROASA</t>
  </si>
  <si>
    <t>04-053-21</t>
  </si>
  <si>
    <t>PANELIKIDA</t>
  </si>
  <si>
    <t>04-055-21</t>
  </si>
  <si>
    <t>FORVIPAZ</t>
  </si>
  <si>
    <t>04-056-21</t>
  </si>
  <si>
    <t>ASOGACORO</t>
  </si>
  <si>
    <t>04-057-21</t>
  </si>
  <si>
    <t>ASOMAGAM</t>
  </si>
  <si>
    <t>04-058-21</t>
  </si>
  <si>
    <t>ASOCAMYAI</t>
  </si>
  <si>
    <t>04-059-21</t>
  </si>
  <si>
    <t>OMAAT</t>
  </si>
  <si>
    <t>04-060-21</t>
  </si>
  <si>
    <t>ASOINDUCOSTA</t>
  </si>
  <si>
    <t>04-061-21</t>
  </si>
  <si>
    <t>ASUPROGAL</t>
  </si>
  <si>
    <t>04-062-21</t>
  </si>
  <si>
    <t>APROYUCA</t>
  </si>
  <si>
    <t>04-063-21</t>
  </si>
  <si>
    <t>ASOPEGZOMN</t>
  </si>
  <si>
    <t>04-064-21</t>
  </si>
  <si>
    <t>ASOGACER</t>
  </si>
  <si>
    <t>04-065-21</t>
  </si>
  <si>
    <t>ASOMASIMAI</t>
  </si>
  <si>
    <t>04-066-21</t>
  </si>
  <si>
    <t>ANUC CIENAGA</t>
  </si>
  <si>
    <t>04-067-21</t>
  </si>
  <si>
    <t>ASOGOLERO</t>
  </si>
  <si>
    <t>04-068-21</t>
  </si>
  <si>
    <t>COPROHICACAO</t>
  </si>
  <si>
    <t>05-004-21</t>
  </si>
  <si>
    <t>ASOPAL</t>
  </si>
  <si>
    <t>05-005-21</t>
  </si>
  <si>
    <t>APISUR</t>
  </si>
  <si>
    <t>05-006-21</t>
  </si>
  <si>
    <t>COAGROANDES</t>
  </si>
  <si>
    <t>05-008-21</t>
  </si>
  <si>
    <t>ASOAMUR</t>
  </si>
  <si>
    <t>05-009-21</t>
  </si>
  <si>
    <t>TIERRA JOVEN</t>
  </si>
  <si>
    <t>05-010-21</t>
  </si>
  <si>
    <t>RESGUARDO INDÍGENA OLIRCO</t>
  </si>
  <si>
    <t>05-014-21</t>
  </si>
  <si>
    <t>COOPAGROBET</t>
  </si>
  <si>
    <t>05-016-21</t>
  </si>
  <si>
    <t>ASOGAPRADO</t>
  </si>
  <si>
    <t>05-017-21</t>
  </si>
  <si>
    <t>FORJADORES DE PAZ</t>
  </si>
  <si>
    <t>05-020-21</t>
  </si>
  <si>
    <t>ASOLANDES</t>
  </si>
  <si>
    <t>05-021-21</t>
  </si>
  <si>
    <t>RESGUARDO VUELTA DEL RIO</t>
  </si>
  <si>
    <t>05-023-21</t>
  </si>
  <si>
    <t>APAMAP</t>
  </si>
  <si>
    <t>05-024-21</t>
  </si>
  <si>
    <t>ASOOVICAP</t>
  </si>
  <si>
    <t>05-025-21</t>
  </si>
  <si>
    <t>APROCMU</t>
  </si>
  <si>
    <t>05-026-21</t>
  </si>
  <si>
    <t>COOMPLAC</t>
  </si>
  <si>
    <t>05-027-21</t>
  </si>
  <si>
    <t>CACAOFRESTOL</t>
  </si>
  <si>
    <t>05-028-21</t>
  </si>
  <si>
    <t>CAPN</t>
  </si>
  <si>
    <t>05-029-21</t>
  </si>
  <si>
    <t>ASOPROCHILI</t>
  </si>
  <si>
    <t>05-031-21</t>
  </si>
  <si>
    <t>AGROCHAC</t>
  </si>
  <si>
    <t>05-032-21</t>
  </si>
  <si>
    <t>COOPREVERDECER</t>
  </si>
  <si>
    <t>05-034-21</t>
  </si>
  <si>
    <t>COOPMULPROQUIRA</t>
  </si>
  <si>
    <t>05-035-21</t>
  </si>
  <si>
    <t>ASOPMAGAR</t>
  </si>
  <si>
    <t>05-036-21</t>
  </si>
  <si>
    <t>COOFRUTUN</t>
  </si>
  <si>
    <t>05-037-21</t>
  </si>
  <si>
    <t>ASOFRIG</t>
  </si>
  <si>
    <t>05-038-21</t>
  </si>
  <si>
    <t>RESGUARDO INDÍGENA EL VERGEL</t>
  </si>
  <si>
    <t>05-040-21</t>
  </si>
  <si>
    <t>ASPROBIT</t>
  </si>
  <si>
    <t>05-042-21</t>
  </si>
  <si>
    <t>ASOATE</t>
  </si>
  <si>
    <t>05-043-21</t>
  </si>
  <si>
    <t>ASOMUJERES.PRO</t>
  </si>
  <si>
    <t>05-044-21</t>
  </si>
  <si>
    <t>ASAGUACA</t>
  </si>
  <si>
    <t>05-045-21</t>
  </si>
  <si>
    <t xml:space="preserve">GRUPO ASOCIATIVO DE TRABAJO LA PAZ DEL PESCADOR </t>
  </si>
  <si>
    <t>05-046-21</t>
  </si>
  <si>
    <t>ASALGRPO</t>
  </si>
  <si>
    <t>05-047-21</t>
  </si>
  <si>
    <t>ASOCIACIÓN AGROPECUARIA LA GRANJA MISAK</t>
  </si>
  <si>
    <t>05-048-21</t>
  </si>
  <si>
    <t>COOCENTRAL</t>
  </si>
  <si>
    <t>05-049-21</t>
  </si>
  <si>
    <t>ASOEMSAI</t>
  </si>
  <si>
    <t>05-051-21</t>
  </si>
  <si>
    <t>ASOAGUACAPLAT</t>
  </si>
  <si>
    <t>05-052-21</t>
  </si>
  <si>
    <t>ASOGASUAZA</t>
  </si>
  <si>
    <t>05-053-21</t>
  </si>
  <si>
    <t>RESGUARDO INDÍGENA ÍQUIRA RIONEGRO</t>
  </si>
  <si>
    <t>05-054-21</t>
  </si>
  <si>
    <t>COORAICES</t>
  </si>
  <si>
    <t>05-055-21</t>
  </si>
  <si>
    <t>APISURCO</t>
  </si>
  <si>
    <t>05-056-21</t>
  </si>
  <si>
    <t>AGROSANIB</t>
  </si>
  <si>
    <t>05-057-21</t>
  </si>
  <si>
    <t>APASAN</t>
  </si>
  <si>
    <t>05-058-21</t>
  </si>
  <si>
    <t>ASPRASAR</t>
  </si>
  <si>
    <t>05-059-21</t>
  </si>
  <si>
    <t>ASOMUJERCAFÉ</t>
  </si>
  <si>
    <t>05-060-21</t>
  </si>
  <si>
    <t>ASDEPLATANO</t>
  </si>
  <si>
    <t>05-061-21</t>
  </si>
  <si>
    <t>ASOPROPAZ</t>
  </si>
  <si>
    <t>05-062-21</t>
  </si>
  <si>
    <t>ASOGANACHI</t>
  </si>
  <si>
    <t>05-063-21</t>
  </si>
  <si>
    <t>COOPSERAGRO</t>
  </si>
  <si>
    <t>05-064-21</t>
  </si>
  <si>
    <t xml:space="preserve">FUNDACIÓN POLICARPA SALAVARRIETA POR LA PAZ Y NO REPETICIÓN </t>
  </si>
  <si>
    <t>05-065-21</t>
  </si>
  <si>
    <t>ASOADECER</t>
  </si>
  <si>
    <t>05-066-21</t>
  </si>
  <si>
    <t>ASOSABALECHE</t>
  </si>
  <si>
    <t>05-067-21</t>
  </si>
  <si>
    <t>ASOGACHIA</t>
  </si>
  <si>
    <t>05-068-21</t>
  </si>
  <si>
    <t>ANUC BERBEO</t>
  </si>
  <si>
    <t>05-069-21</t>
  </si>
  <si>
    <t>SAT</t>
  </si>
  <si>
    <t>05-070-21</t>
  </si>
  <si>
    <t>PROLEAG</t>
  </si>
  <si>
    <t>05-071-21</t>
  </si>
  <si>
    <t>ASOGAMU</t>
  </si>
  <si>
    <t>05-072-21</t>
  </si>
  <si>
    <t>ASOPROPLATANO</t>
  </si>
  <si>
    <t>05-073-21</t>
  </si>
  <si>
    <t>ASOLECHEROS</t>
  </si>
  <si>
    <t>05-077-21</t>
  </si>
  <si>
    <t>ASOAPICAFÉ</t>
  </si>
  <si>
    <t>05-078-21</t>
  </si>
  <si>
    <t>ASOGANACÓN</t>
  </si>
  <si>
    <t>06-001-21</t>
  </si>
  <si>
    <t>AMPROCOM</t>
  </si>
  <si>
    <t>06-004-21</t>
  </si>
  <si>
    <t>ASOMUCAP</t>
  </si>
  <si>
    <t>06-009-21</t>
  </si>
  <si>
    <t>ASOMEA</t>
  </si>
  <si>
    <t>06-014-21</t>
  </si>
  <si>
    <t>AGROVIVE</t>
  </si>
  <si>
    <t>06-017-21</t>
  </si>
  <si>
    <t>AFRUCAR</t>
  </si>
  <si>
    <t>06-020-21</t>
  </si>
  <si>
    <t>APRIMUJER</t>
  </si>
  <si>
    <t>06-025-21</t>
  </si>
  <si>
    <t>ASOCAP</t>
  </si>
  <si>
    <t>06-027-21</t>
  </si>
  <si>
    <t>ASOMUR</t>
  </si>
  <si>
    <t>06-030-21</t>
  </si>
  <si>
    <t>ASOPROAGRAR</t>
  </si>
  <si>
    <t>07-005-21</t>
  </si>
  <si>
    <t>COGAMANI</t>
  </si>
  <si>
    <t>07-013-21</t>
  </si>
  <si>
    <t>ASOCACUMANI</t>
  </si>
  <si>
    <t>07-014-21</t>
  </si>
  <si>
    <t>ASOMUCASS</t>
  </si>
  <si>
    <t>07-026-21</t>
  </si>
  <si>
    <t>APROLPAZ</t>
  </si>
  <si>
    <t>07-032-21</t>
  </si>
  <si>
    <t xml:space="preserve">ASOAGROAMA </t>
  </si>
  <si>
    <t>07-033-21</t>
  </si>
  <si>
    <t>AFRO NUEVO VIVIR</t>
  </si>
  <si>
    <t>07-036-21</t>
  </si>
  <si>
    <t>ASPROINCO</t>
  </si>
  <si>
    <t>07-039-21</t>
  </si>
  <si>
    <t>AGROSARDI</t>
  </si>
  <si>
    <t>07-040-21</t>
  </si>
  <si>
    <t>ASOMUCAPI</t>
  </si>
  <si>
    <t>07-043-21</t>
  </si>
  <si>
    <t>ASOVISAN</t>
  </si>
  <si>
    <t>07-044-21</t>
  </si>
  <si>
    <t>ASOPISAM</t>
  </si>
  <si>
    <t>07-046-21</t>
  </si>
  <si>
    <t>ASPROMERCAR</t>
  </si>
  <si>
    <t>07-048-21</t>
  </si>
  <si>
    <t>AMECSAR</t>
  </si>
  <si>
    <t>07-049-21</t>
  </si>
  <si>
    <t>ASPROALE</t>
  </si>
  <si>
    <t>07-050-21</t>
  </si>
  <si>
    <t>APROCOLEDA</t>
  </si>
  <si>
    <t>07-051-21</t>
  </si>
  <si>
    <t>APROCACAO</t>
  </si>
  <si>
    <t>07-052-21</t>
  </si>
  <si>
    <t>ASOAGROGUAPAYA</t>
  </si>
  <si>
    <t>07-054-21</t>
  </si>
  <si>
    <t>ASOPROTRIUNFO</t>
  </si>
  <si>
    <t>08-013-21</t>
  </si>
  <si>
    <t>ASPRODECA</t>
  </si>
  <si>
    <t>08-018-21</t>
  </si>
  <si>
    <t>ASVIDEVER</t>
  </si>
  <si>
    <t>08-020-21</t>
  </si>
  <si>
    <t>ASOES</t>
  </si>
  <si>
    <t>08-029-21</t>
  </si>
  <si>
    <t>ASOJICCA</t>
  </si>
  <si>
    <t>08-034-21</t>
  </si>
  <si>
    <t>ASOMEGUA</t>
  </si>
  <si>
    <t>08-036-21</t>
  </si>
  <si>
    <t>AMITLI</t>
  </si>
  <si>
    <t>08-040-21</t>
  </si>
  <si>
    <t>VAUPÉS</t>
  </si>
  <si>
    <t>ASOJIOBA</t>
  </si>
  <si>
    <t>08-042-21</t>
  </si>
  <si>
    <t>AMCAB</t>
  </si>
  <si>
    <t>08-046-21</t>
  </si>
  <si>
    <t>KWESH</t>
  </si>
  <si>
    <t>01-002-21</t>
  </si>
  <si>
    <t>PANILECEM</t>
  </si>
  <si>
    <t>01-050-21</t>
  </si>
  <si>
    <t xml:space="preserve">CREANDO SEMILLAS DE ESPERANZA </t>
  </si>
  <si>
    <t>01-062-21</t>
  </si>
  <si>
    <t>ASOCIACIÓN AGROPECUARIA NEIRA SANTA ANA</t>
  </si>
  <si>
    <t>01-072-21</t>
  </si>
  <si>
    <t>ASOGABALLE</t>
  </si>
  <si>
    <t>03-005-21</t>
  </si>
  <si>
    <t xml:space="preserve"> FAMERS ASSOCIATION - SAIFA</t>
  </si>
  <si>
    <t>03-048-21</t>
  </si>
  <si>
    <t>ASOBANARCOOP</t>
  </si>
  <si>
    <t>04-069-21</t>
  </si>
  <si>
    <t>COOMULTIPROSEAGRO</t>
  </si>
  <si>
    <t>05-050-21</t>
  </si>
  <si>
    <t>ASOALTAUVA</t>
  </si>
  <si>
    <t>05-074-21</t>
  </si>
  <si>
    <t>ASOPROUVAR</t>
  </si>
  <si>
    <t>05-075-21</t>
  </si>
  <si>
    <t>COAGROGUAVIO</t>
  </si>
  <si>
    <t>05-076-21</t>
  </si>
  <si>
    <t>ASMURP</t>
  </si>
  <si>
    <t>06-022-21</t>
  </si>
  <si>
    <t>ASOARTEPANELA</t>
  </si>
  <si>
    <t>08-047-21</t>
  </si>
  <si>
    <t>ASVERESAI</t>
  </si>
  <si>
    <t>03-047-21</t>
  </si>
  <si>
    <t>AMOR A MI TIERRA</t>
  </si>
  <si>
    <t>ASOPRONIS</t>
  </si>
  <si>
    <t>AATCAMU</t>
  </si>
  <si>
    <t>08-048-21</t>
  </si>
  <si>
    <t>MONITOREOS FASE I</t>
  </si>
  <si>
    <t>TOTAL</t>
  </si>
  <si>
    <t>PACÍFICO</t>
  </si>
  <si>
    <t>Total x Mes</t>
  </si>
  <si>
    <t>MONITOREOS FASE II</t>
  </si>
  <si>
    <t xml:space="preserve">Equipo BASE </t>
  </si>
  <si>
    <t>OK</t>
  </si>
  <si>
    <t>Eje Cafetero y Antioquia</t>
  </si>
  <si>
    <t>NEW DAWN</t>
  </si>
  <si>
    <t>06-019-21</t>
  </si>
  <si>
    <t>ASOGASU</t>
  </si>
  <si>
    <t>CRGT</t>
  </si>
  <si>
    <t>Revisar</t>
  </si>
  <si>
    <t>FASE II</t>
  </si>
  <si>
    <t>Etiquetas de fila</t>
  </si>
  <si>
    <t>Promedio de EJECUCIÓN %</t>
  </si>
  <si>
    <t>Suma de RECURSOS EJECUTADOS EN PAGOS</t>
  </si>
  <si>
    <t>Cuenta de ALIANZA</t>
  </si>
  <si>
    <t>Total general</t>
  </si>
  <si>
    <t>FASE I</t>
  </si>
  <si>
    <t>Liquidadas</t>
  </si>
  <si>
    <t>MONITOREOS PENDIENTES POR COBRAR</t>
  </si>
  <si>
    <t>MES TERMINACIÓN</t>
  </si>
  <si>
    <t>ASOPROMAC</t>
  </si>
  <si>
    <t>N/A</t>
  </si>
  <si>
    <t>REGIONAL AMAZONIA</t>
  </si>
  <si>
    <t>ALIANZAS</t>
  </si>
  <si>
    <t>(IM)</t>
  </si>
  <si>
    <t>EJECUTADO</t>
  </si>
  <si>
    <t>SIN EJECUTAR</t>
  </si>
  <si>
    <t>TOTALES</t>
  </si>
  <si>
    <t>REGIONAL CARIBE 1</t>
  </si>
  <si>
    <t>REGIONAL CARIBE 2</t>
  </si>
  <si>
    <t>REGIONAL CENTRAL</t>
  </si>
  <si>
    <t>REGIONAL EJE CAFETERO</t>
  </si>
  <si>
    <t xml:space="preserve">REGIONAL LLANOS </t>
  </si>
  <si>
    <t>REGIONAL PACIFICO</t>
  </si>
  <si>
    <t>REGIONAL SANTANDERES</t>
  </si>
  <si>
    <t>03-034-21</t>
  </si>
  <si>
    <t>ASOCULMAIZPEL</t>
  </si>
  <si>
    <t>03-058-21</t>
  </si>
  <si>
    <t>03-057-21</t>
  </si>
  <si>
    <t>TOTAL 2020</t>
  </si>
  <si>
    <t>ACUMULADO ALIANZA</t>
  </si>
  <si>
    <t>TOTAL 2022</t>
  </si>
  <si>
    <t>ASOCIACIÓN AGROPECUARIA TIERRA GRANDE</t>
  </si>
  <si>
    <t>PENDIENTE</t>
  </si>
  <si>
    <t>Suma de SALDO SIN EJECUTAR</t>
  </si>
  <si>
    <t>VILLANORTE SAT</t>
  </si>
  <si>
    <t>TOTAL 2021</t>
  </si>
  <si>
    <t>FAMERS ASSOCIATION - SAIFA</t>
  </si>
  <si>
    <t>AMEC</t>
  </si>
  <si>
    <t>ANUC ZONA BANANERA</t>
  </si>
  <si>
    <t>EN EJECUCIÓN FASE I</t>
  </si>
  <si>
    <t>EN EJECUCIÓN FASE II</t>
  </si>
  <si>
    <t>% EJECUTADO</t>
  </si>
  <si>
    <t>LIQUIDACIÓN ANT. FASE I</t>
  </si>
  <si>
    <t>Regional</t>
  </si>
  <si>
    <t>Alianzas FASE I</t>
  </si>
  <si>
    <t>Alianzas FASE II</t>
  </si>
  <si>
    <t>POA 2021</t>
  </si>
  <si>
    <t>POA 2022</t>
  </si>
  <si>
    <t>TOTAL REGIONAL</t>
  </si>
  <si>
    <t>ASOINAGROSAN</t>
  </si>
  <si>
    <t>ASOCIACIÓN EL BUEN DESARROLLO DE SAN ISIDRO - ABDS</t>
  </si>
  <si>
    <t>PLANTADORES DE PAZ - ASOCPAZ</t>
  </si>
  <si>
    <t>Monitoreos FASE II POA 2021</t>
  </si>
  <si>
    <t>Monitoreos FASE I POA 2022</t>
  </si>
  <si>
    <t>Monitoreos FASE I POA 2021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</si>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</sst>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$&quot;\ #,##0.00;[Red]\-&quot;$&quot;\ #,##0.00"/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\ #,##0.00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_-&quot;XDR&quot;* #,##0.00_-;\-&quot;XDR&quot;* #,##0.00_-;_-&quot;XDR&quot;* &quot;-&quot;??_-;_-@_-"/>
    <numFmt numFmtId="170" formatCode="[$$-240A]\ #,##0"/>
    <numFmt numFmtId="171" formatCode="&quot;$&quot;\ #,##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7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8"/>
      <color theme="3"/>
      <name val="Calibri Light"/>
      <family val="2"/>
      <scheme val="maj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rgb="FF0070C0"/>
      <name val="Arial Narrow"/>
      <family val="2"/>
    </font>
    <font>
      <b/>
      <sz val="11"/>
      <color rgb="FF00B050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 Narrow"/>
      <family val="2"/>
    </font>
    <font>
      <sz val="11"/>
      <color rgb="FF000000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7" tint="0.799981688894314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38FC7"/>
        <bgColor indexed="64"/>
      </patternFill>
    </fill>
    <fill>
      <patternFill patternType="solid">
        <fgColor rgb="FFE38FC7"/>
        <bgColor theme="7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33CCFF"/>
        <bgColor theme="7"/>
      </patternFill>
    </fill>
    <fill>
      <patternFill patternType="solid">
        <fgColor rgb="FFFF00FF"/>
        <bgColor theme="7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7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FF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theme="7" tint="0.39997558519241921"/>
      </right>
      <top style="medium">
        <color indexed="64"/>
      </top>
      <bottom/>
      <diagonal/>
    </border>
    <border>
      <left style="thin">
        <color indexed="64"/>
      </left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7" tint="0.39997558519241921"/>
      </bottom>
      <diagonal/>
    </border>
    <border>
      <left style="thin">
        <color indexed="64"/>
      </left>
      <right/>
      <top style="thin">
        <color theme="7" tint="0.39997558519241921"/>
      </top>
      <bottom/>
      <diagonal/>
    </border>
    <border>
      <left style="thin">
        <color indexed="64"/>
      </left>
      <right/>
      <top/>
      <bottom style="thin">
        <color theme="7" tint="0.39997558519241921"/>
      </bottom>
      <diagonal/>
    </border>
  </borders>
  <cellStyleXfs count="81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7" fillId="0" borderId="0"/>
    <xf numFmtId="41" fontId="1" fillId="0" borderId="0" applyFont="0" applyFill="0" applyBorder="0" applyAlignment="0" applyProtection="0"/>
    <xf numFmtId="0" fontId="9" fillId="0" borderId="17" applyNumberFormat="0" applyFill="0" applyAlignment="0" applyProtection="0"/>
    <xf numFmtId="0" fontId="10" fillId="0" borderId="18" applyNumberFormat="0" applyFill="0" applyAlignment="0" applyProtection="0"/>
    <xf numFmtId="0" fontId="11" fillId="0" borderId="19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20" applyNumberFormat="0" applyAlignment="0" applyProtection="0"/>
    <xf numFmtId="0" fontId="16" fillId="11" borderId="21" applyNumberFormat="0" applyAlignment="0" applyProtection="0"/>
    <xf numFmtId="0" fontId="17" fillId="11" borderId="20" applyNumberFormat="0" applyAlignment="0" applyProtection="0"/>
    <xf numFmtId="0" fontId="18" fillId="0" borderId="22" applyNumberFormat="0" applyFill="0" applyAlignment="0" applyProtection="0"/>
    <xf numFmtId="0" fontId="6" fillId="12" borderId="23" applyNumberFormat="0" applyAlignment="0" applyProtection="0"/>
    <xf numFmtId="0" fontId="4" fillId="0" borderId="0" applyNumberFormat="0" applyFill="0" applyBorder="0" applyAlignment="0" applyProtection="0"/>
    <xf numFmtId="0" fontId="1" fillId="13" borderId="24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25" applyNumberFormat="0" applyFill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0" fillId="37" borderId="0" applyNumberFormat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17" fontId="6" fillId="3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/>
    <xf numFmtId="0" fontId="3" fillId="5" borderId="3" xfId="0" applyFont="1" applyFill="1" applyBorder="1" applyAlignment="1">
      <alignment horizontal="center" wrapText="1"/>
    </xf>
    <xf numFmtId="1" fontId="3" fillId="5" borderId="3" xfId="0" applyNumberFormat="1" applyFont="1" applyFill="1" applyBorder="1" applyAlignment="1">
      <alignment horizontal="center"/>
    </xf>
    <xf numFmtId="166" fontId="0" fillId="0" borderId="14" xfId="0" applyNumberFormat="1" applyBorder="1"/>
    <xf numFmtId="166" fontId="2" fillId="4" borderId="14" xfId="0" applyNumberFormat="1" applyFont="1" applyFill="1" applyBorder="1"/>
    <xf numFmtId="9" fontId="2" fillId="4" borderId="1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4" fillId="0" borderId="11" xfId="0" applyFont="1" applyBorder="1"/>
    <xf numFmtId="0" fontId="25" fillId="0" borderId="11" xfId="0" applyFont="1" applyBorder="1"/>
    <xf numFmtId="0" fontId="24" fillId="2" borderId="11" xfId="0" applyFont="1" applyFill="1" applyBorder="1"/>
    <xf numFmtId="0" fontId="24" fillId="0" borderId="11" xfId="0" applyFont="1" applyBorder="1" applyAlignment="1">
      <alignment horizontal="left"/>
    </xf>
    <xf numFmtId="0" fontId="24" fillId="2" borderId="11" xfId="0" applyFont="1" applyFill="1" applyBorder="1" applyAlignment="1">
      <alignment horizontal="left"/>
    </xf>
    <xf numFmtId="0" fontId="23" fillId="2" borderId="10" xfId="0" applyFont="1" applyFill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2" borderId="10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3" fillId="2" borderId="3" xfId="0" applyFont="1" applyFill="1" applyBorder="1" applyAlignment="1">
      <alignment horizontal="center"/>
    </xf>
    <xf numFmtId="0" fontId="23" fillId="2" borderId="3" xfId="0" applyFont="1" applyFill="1" applyBorder="1" applyAlignment="1">
      <alignment horizontal="center" vertical="center"/>
    </xf>
    <xf numFmtId="14" fontId="24" fillId="0" borderId="4" xfId="0" applyNumberFormat="1" applyFont="1" applyBorder="1"/>
    <xf numFmtId="14" fontId="24" fillId="0" borderId="3" xfId="0" applyNumberFormat="1" applyFont="1" applyBorder="1"/>
    <xf numFmtId="0" fontId="25" fillId="0" borderId="11" xfId="0" applyFont="1" applyBorder="1" applyAlignment="1">
      <alignment horizontal="left"/>
    </xf>
    <xf numFmtId="0" fontId="6" fillId="3" borderId="16" xfId="0" applyFont="1" applyFill="1" applyBorder="1" applyAlignment="1">
      <alignment horizontal="center" vertical="center" wrapText="1"/>
    </xf>
    <xf numFmtId="14" fontId="6" fillId="3" borderId="27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24" fillId="0" borderId="9" xfId="0" applyFont="1" applyBorder="1" applyAlignment="1">
      <alignment horizontal="left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17" fontId="6" fillId="3" borderId="6" xfId="0" applyNumberFormat="1" applyFont="1" applyFill="1" applyBorder="1" applyAlignment="1">
      <alignment horizontal="center" vertical="center"/>
    </xf>
    <xf numFmtId="17" fontId="6" fillId="3" borderId="7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6" fontId="0" fillId="0" borderId="10" xfId="0" applyNumberFormat="1" applyBorder="1"/>
    <xf numFmtId="166" fontId="0" fillId="0" borderId="3" xfId="0" applyNumberFormat="1" applyBorder="1"/>
    <xf numFmtId="166" fontId="0" fillId="0" borderId="11" xfId="0" applyNumberFormat="1" applyBorder="1"/>
    <xf numFmtId="166" fontId="0" fillId="0" borderId="28" xfId="0" applyNumberFormat="1" applyBorder="1"/>
    <xf numFmtId="166" fontId="0" fillId="0" borderId="29" xfId="0" applyNumberFormat="1" applyBorder="1"/>
    <xf numFmtId="166" fontId="0" fillId="0" borderId="30" xfId="0" applyNumberFormat="1" applyBorder="1"/>
    <xf numFmtId="3" fontId="0" fillId="0" borderId="0" xfId="0" applyNumberFormat="1"/>
    <xf numFmtId="0" fontId="0" fillId="0" borderId="0" xfId="0" applyAlignment="1">
      <alignment horizontal="center" vertical="center" wrapText="1"/>
    </xf>
    <xf numFmtId="166" fontId="2" fillId="2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66" fontId="2" fillId="2" borderId="28" xfId="0" applyNumberFormat="1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170" fontId="24" fillId="38" borderId="3" xfId="0" applyNumberFormat="1" applyFont="1" applyFill="1" applyBorder="1"/>
    <xf numFmtId="170" fontId="24" fillId="38" borderId="3" xfId="0" applyNumberFormat="1" applyFont="1" applyFill="1" applyBorder="1" applyAlignment="1">
      <alignment horizontal="right"/>
    </xf>
    <xf numFmtId="14" fontId="24" fillId="0" borderId="12" xfId="0" applyNumberFormat="1" applyFont="1" applyBorder="1"/>
    <xf numFmtId="170" fontId="24" fillId="38" borderId="11" xfId="0" applyNumberFormat="1" applyFont="1" applyFill="1" applyBorder="1"/>
    <xf numFmtId="166" fontId="0" fillId="0" borderId="8" xfId="0" applyNumberFormat="1" applyBorder="1"/>
    <xf numFmtId="166" fontId="0" fillId="0" borderId="4" xfId="0" applyNumberFormat="1" applyBorder="1"/>
    <xf numFmtId="166" fontId="0" fillId="0" borderId="9" xfId="0" applyNumberFormat="1" applyBorder="1"/>
    <xf numFmtId="17" fontId="6" fillId="3" borderId="5" xfId="0" applyNumberFormat="1" applyFont="1" applyFill="1" applyBorder="1" applyAlignment="1">
      <alignment horizontal="center" vertical="center"/>
    </xf>
    <xf numFmtId="0" fontId="23" fillId="39" borderId="12" xfId="0" applyFont="1" applyFill="1" applyBorder="1" applyAlignment="1">
      <alignment horizontal="center"/>
    </xf>
    <xf numFmtId="0" fontId="24" fillId="39" borderId="11" xfId="0" applyFont="1" applyFill="1" applyBorder="1"/>
    <xf numFmtId="0" fontId="23" fillId="39" borderId="10" xfId="0" applyFont="1" applyFill="1" applyBorder="1" applyAlignment="1">
      <alignment horizontal="center"/>
    </xf>
    <xf numFmtId="0" fontId="23" fillId="39" borderId="3" xfId="0" applyFont="1" applyFill="1" applyBorder="1" applyAlignment="1">
      <alignment horizontal="center"/>
    </xf>
    <xf numFmtId="14" fontId="24" fillId="39" borderId="3" xfId="0" applyNumberFormat="1" applyFont="1" applyFill="1" applyBorder="1"/>
    <xf numFmtId="170" fontId="24" fillId="39" borderId="3" xfId="0" applyNumberFormat="1" applyFont="1" applyFill="1" applyBorder="1"/>
    <xf numFmtId="166" fontId="0" fillId="39" borderId="10" xfId="0" applyNumberFormat="1" applyFill="1" applyBorder="1"/>
    <xf numFmtId="166" fontId="0" fillId="39" borderId="3" xfId="0" applyNumberFormat="1" applyFill="1" applyBorder="1"/>
    <xf numFmtId="166" fontId="0" fillId="39" borderId="11" xfId="0" applyNumberFormat="1" applyFill="1" applyBorder="1"/>
    <xf numFmtId="166" fontId="0" fillId="39" borderId="14" xfId="0" applyNumberFormat="1" applyFill="1" applyBorder="1"/>
    <xf numFmtId="166" fontId="2" fillId="39" borderId="10" xfId="0" applyNumberFormat="1" applyFont="1" applyFill="1" applyBorder="1" applyAlignment="1">
      <alignment horizontal="center"/>
    </xf>
    <xf numFmtId="0" fontId="0" fillId="39" borderId="11" xfId="0" applyFill="1" applyBorder="1" applyAlignment="1">
      <alignment horizontal="center"/>
    </xf>
    <xf numFmtId="1" fontId="0" fillId="0" borderId="0" xfId="0" applyNumberFormat="1"/>
    <xf numFmtId="0" fontId="0" fillId="0" borderId="0" xfId="0" applyAlignment="1">
      <alignment horizontal="left"/>
    </xf>
    <xf numFmtId="0" fontId="24" fillId="0" borderId="9" xfId="0" applyFont="1" applyBorder="1"/>
    <xf numFmtId="0" fontId="23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39" borderId="3" xfId="0" applyFill="1" applyBorder="1" applyAlignment="1">
      <alignment horizontal="center" vertical="center" wrapText="1"/>
    </xf>
    <xf numFmtId="0" fontId="2" fillId="39" borderId="3" xfId="0" applyFont="1" applyFill="1" applyBorder="1" applyAlignment="1">
      <alignment horizontal="center"/>
    </xf>
    <xf numFmtId="170" fontId="4" fillId="0" borderId="0" xfId="0" applyNumberFormat="1" applyFont="1"/>
    <xf numFmtId="9" fontId="4" fillId="0" borderId="0" xfId="0" applyNumberFormat="1" applyFont="1"/>
    <xf numFmtId="0" fontId="6" fillId="3" borderId="1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right" vertical="center" wrapText="1"/>
    </xf>
    <xf numFmtId="170" fontId="0" fillId="0" borderId="0" xfId="0" applyNumberFormat="1" applyAlignment="1">
      <alignment horizontal="right"/>
    </xf>
    <xf numFmtId="1" fontId="3" fillId="5" borderId="12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71" fontId="0" fillId="0" borderId="0" xfId="0" applyNumberFormat="1"/>
    <xf numFmtId="0" fontId="0" fillId="0" borderId="3" xfId="0" applyBorder="1"/>
    <xf numFmtId="171" fontId="0" fillId="0" borderId="3" xfId="0" applyNumberFormat="1" applyBorder="1"/>
    <xf numFmtId="0" fontId="2" fillId="42" borderId="3" xfId="0" applyFont="1" applyFill="1" applyBorder="1" applyAlignment="1">
      <alignment horizontal="left"/>
    </xf>
    <xf numFmtId="0" fontId="2" fillId="42" borderId="3" xfId="0" applyFont="1" applyFill="1" applyBorder="1" applyAlignment="1">
      <alignment horizontal="center"/>
    </xf>
    <xf numFmtId="0" fontId="2" fillId="0" borderId="3" xfId="0" applyFont="1" applyBorder="1"/>
    <xf numFmtId="171" fontId="2" fillId="0" borderId="3" xfId="0" applyNumberFormat="1" applyFont="1" applyBorder="1"/>
    <xf numFmtId="0" fontId="3" fillId="0" borderId="0" xfId="0" applyFont="1" applyAlignment="1">
      <alignment horizontal="center" wrapText="1"/>
    </xf>
    <xf numFmtId="1" fontId="3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4" fillId="0" borderId="12" xfId="0" applyFont="1" applyBorder="1"/>
    <xf numFmtId="0" fontId="26" fillId="2" borderId="10" xfId="0" applyFont="1" applyFill="1" applyBorder="1" applyAlignment="1">
      <alignment horizontal="center" vertical="center"/>
    </xf>
    <xf numFmtId="0" fontId="26" fillId="2" borderId="10" xfId="0" applyFont="1" applyFill="1" applyBorder="1" applyAlignment="1">
      <alignment horizont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/>
    </xf>
    <xf numFmtId="0" fontId="26" fillId="39" borderId="10" xfId="0" applyFont="1" applyFill="1" applyBorder="1" applyAlignment="1">
      <alignment horizontal="center"/>
    </xf>
    <xf numFmtId="0" fontId="27" fillId="2" borderId="10" xfId="0" applyFont="1" applyFill="1" applyBorder="1" applyAlignment="1">
      <alignment horizontal="center" vertical="center"/>
    </xf>
    <xf numFmtId="0" fontId="29" fillId="0" borderId="11" xfId="0" applyFont="1" applyBorder="1"/>
    <xf numFmtId="0" fontId="30" fillId="0" borderId="3" xfId="0" applyFont="1" applyBorder="1" applyAlignment="1">
      <alignment horizontal="center"/>
    </xf>
    <xf numFmtId="0" fontId="28" fillId="2" borderId="10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4" fillId="0" borderId="12" xfId="0" applyFont="1" applyBorder="1" applyAlignment="1">
      <alignment horizontal="left"/>
    </xf>
    <xf numFmtId="0" fontId="24" fillId="2" borderId="12" xfId="0" applyFont="1" applyFill="1" applyBorder="1"/>
    <xf numFmtId="17" fontId="0" fillId="0" borderId="3" xfId="0" applyNumberFormat="1" applyBorder="1"/>
    <xf numFmtId="0" fontId="6" fillId="44" borderId="2" xfId="0" applyFont="1" applyFill="1" applyBorder="1" applyAlignment="1">
      <alignment horizontal="center" vertical="center" wrapText="1"/>
    </xf>
    <xf numFmtId="0" fontId="24" fillId="0" borderId="13" xfId="0" applyFont="1" applyBorder="1"/>
    <xf numFmtId="0" fontId="25" fillId="0" borderId="12" xfId="0" applyFont="1" applyBorder="1"/>
    <xf numFmtId="0" fontId="25" fillId="0" borderId="12" xfId="0" applyFont="1" applyBorder="1" applyAlignment="1">
      <alignment horizontal="left"/>
    </xf>
    <xf numFmtId="0" fontId="24" fillId="2" borderId="12" xfId="0" applyFont="1" applyFill="1" applyBorder="1" applyAlignment="1">
      <alignment horizontal="left"/>
    </xf>
    <xf numFmtId="0" fontId="24" fillId="39" borderId="12" xfId="0" applyFont="1" applyFill="1" applyBorder="1"/>
    <xf numFmtId="0" fontId="6" fillId="3" borderId="33" xfId="0" applyFont="1" applyFill="1" applyBorder="1" applyAlignment="1">
      <alignment horizontal="center" vertical="center" wrapText="1"/>
    </xf>
    <xf numFmtId="0" fontId="24" fillId="39" borderId="3" xfId="0" applyFont="1" applyFill="1" applyBorder="1" applyAlignment="1">
      <alignment horizontal="right"/>
    </xf>
    <xf numFmtId="0" fontId="24" fillId="39" borderId="3" xfId="0" applyFont="1" applyFill="1" applyBorder="1" applyAlignment="1">
      <alignment horizontal="center"/>
    </xf>
    <xf numFmtId="9" fontId="2" fillId="4" borderId="8" xfId="0" applyNumberFormat="1" applyFont="1" applyFill="1" applyBorder="1" applyAlignment="1">
      <alignment horizontal="center"/>
    </xf>
    <xf numFmtId="9" fontId="2" fillId="45" borderId="15" xfId="0" applyNumberFormat="1" applyFont="1" applyFill="1" applyBorder="1" applyAlignment="1">
      <alignment horizontal="center"/>
    </xf>
    <xf numFmtId="0" fontId="23" fillId="0" borderId="13" xfId="0" applyFont="1" applyBorder="1" applyAlignment="1">
      <alignment horizontal="center"/>
    </xf>
    <xf numFmtId="4" fontId="0" fillId="0" borderId="0" xfId="0" applyNumberFormat="1"/>
    <xf numFmtId="170" fontId="25" fillId="38" borderId="3" xfId="0" applyNumberFormat="1" applyFont="1" applyFill="1" applyBorder="1"/>
    <xf numFmtId="0" fontId="23" fillId="0" borderId="37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23" fillId="0" borderId="38" xfId="0" applyFont="1" applyBorder="1" applyAlignment="1">
      <alignment horizontal="center" vertical="center"/>
    </xf>
    <xf numFmtId="0" fontId="24" fillId="0" borderId="30" xfId="0" applyFont="1" applyBorder="1"/>
    <xf numFmtId="0" fontId="27" fillId="2" borderId="28" xfId="0" applyFont="1" applyFill="1" applyBorder="1" applyAlignment="1">
      <alignment horizontal="center" vertical="center"/>
    </xf>
    <xf numFmtId="14" fontId="24" fillId="0" borderId="29" xfId="0" applyNumberFormat="1" applyFont="1" applyBorder="1"/>
    <xf numFmtId="166" fontId="0" fillId="0" borderId="40" xfId="0" applyNumberFormat="1" applyBorder="1"/>
    <xf numFmtId="166" fontId="2" fillId="4" borderId="40" xfId="0" applyNumberFormat="1" applyFont="1" applyFill="1" applyBorder="1"/>
    <xf numFmtId="0" fontId="24" fillId="0" borderId="32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39" borderId="43" xfId="0" applyFont="1" applyFill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3" fillId="0" borderId="37" xfId="0" applyFont="1" applyBorder="1" applyAlignment="1">
      <alignment horizontal="center"/>
    </xf>
    <xf numFmtId="0" fontId="23" fillId="2" borderId="37" xfId="0" applyFont="1" applyFill="1" applyBorder="1" applyAlignment="1">
      <alignment horizontal="center" vertical="center"/>
    </xf>
    <xf numFmtId="0" fontId="23" fillId="39" borderId="37" xfId="0" applyFont="1" applyFill="1" applyBorder="1" applyAlignment="1">
      <alignment horizontal="center"/>
    </xf>
    <xf numFmtId="0" fontId="23" fillId="39" borderId="37" xfId="0" applyFont="1" applyFill="1" applyBorder="1" applyAlignment="1">
      <alignment horizontal="center" vertical="center"/>
    </xf>
    <xf numFmtId="0" fontId="24" fillId="39" borderId="32" xfId="0" applyFont="1" applyFill="1" applyBorder="1" applyAlignment="1">
      <alignment horizontal="center"/>
    </xf>
    <xf numFmtId="0" fontId="26" fillId="39" borderId="10" xfId="0" applyFont="1" applyFill="1" applyBorder="1" applyAlignment="1">
      <alignment horizontal="center" vertical="center"/>
    </xf>
    <xf numFmtId="0" fontId="23" fillId="39" borderId="3" xfId="0" applyFont="1" applyFill="1" applyBorder="1" applyAlignment="1">
      <alignment horizontal="center" vertical="center"/>
    </xf>
    <xf numFmtId="0" fontId="23" fillId="39" borderId="10" xfId="0" applyFont="1" applyFill="1" applyBorder="1" applyAlignment="1">
      <alignment horizontal="center" vertical="center"/>
    </xf>
    <xf numFmtId="0" fontId="0" fillId="39" borderId="4" xfId="0" applyFill="1" applyBorder="1" applyAlignment="1">
      <alignment horizontal="center" vertical="center" wrapText="1"/>
    </xf>
    <xf numFmtId="0" fontId="23" fillId="39" borderId="12" xfId="0" applyFont="1" applyFill="1" applyBorder="1" applyAlignment="1">
      <alignment horizontal="center" vertical="center"/>
    </xf>
    <xf numFmtId="0" fontId="24" fillId="39" borderId="11" xfId="0" applyFont="1" applyFill="1" applyBorder="1" applyAlignment="1">
      <alignment horizontal="left"/>
    </xf>
    <xf numFmtId="170" fontId="24" fillId="39" borderId="3" xfId="0" applyNumberFormat="1" applyFont="1" applyFill="1" applyBorder="1" applyAlignment="1">
      <alignment horizontal="right"/>
    </xf>
    <xf numFmtId="0" fontId="5" fillId="39" borderId="3" xfId="0" applyFont="1" applyFill="1" applyBorder="1" applyAlignment="1">
      <alignment horizontal="center" vertical="center" wrapText="1"/>
    </xf>
    <xf numFmtId="0" fontId="4" fillId="39" borderId="3" xfId="0" applyFont="1" applyFill="1" applyBorder="1" applyAlignment="1">
      <alignment horizontal="center" vertical="center" wrapText="1"/>
    </xf>
    <xf numFmtId="0" fontId="6" fillId="0" borderId="0" xfId="0" applyFont="1"/>
    <xf numFmtId="17" fontId="0" fillId="0" borderId="3" xfId="0" applyNumberFormat="1" applyBorder="1" applyAlignment="1">
      <alignment horizontal="center"/>
    </xf>
    <xf numFmtId="170" fontId="0" fillId="0" borderId="3" xfId="0" applyNumberFormat="1" applyBorder="1" applyAlignment="1">
      <alignment horizontal="center"/>
    </xf>
    <xf numFmtId="0" fontId="0" fillId="2" borderId="0" xfId="0" applyFill="1"/>
    <xf numFmtId="0" fontId="2" fillId="47" borderId="0" xfId="0" applyFont="1" applyFill="1"/>
    <xf numFmtId="17" fontId="6" fillId="3" borderId="1" xfId="0" applyNumberFormat="1" applyFont="1" applyFill="1" applyBorder="1" applyAlignment="1">
      <alignment horizontal="center" vertical="center" wrapText="1"/>
    </xf>
    <xf numFmtId="166" fontId="0" fillId="39" borderId="4" xfId="0" applyNumberFormat="1" applyFill="1" applyBorder="1"/>
    <xf numFmtId="0" fontId="2" fillId="47" borderId="0" xfId="0" applyFont="1" applyFill="1" applyAlignment="1">
      <alignment horizontal="center" vertical="center" wrapText="1"/>
    </xf>
    <xf numFmtId="0" fontId="23" fillId="48" borderId="0" xfId="0" applyFont="1" applyFill="1" applyAlignment="1">
      <alignment horizontal="center" vertical="center"/>
    </xf>
    <xf numFmtId="0" fontId="24" fillId="48" borderId="0" xfId="0" applyFont="1" applyFill="1" applyAlignment="1">
      <alignment horizontal="left"/>
    </xf>
    <xf numFmtId="0" fontId="26" fillId="48" borderId="0" xfId="0" applyFont="1" applyFill="1" applyAlignment="1">
      <alignment horizontal="center" vertical="center"/>
    </xf>
    <xf numFmtId="14" fontId="24" fillId="48" borderId="0" xfId="0" applyNumberFormat="1" applyFont="1" applyFill="1"/>
    <xf numFmtId="170" fontId="24" fillId="48" borderId="0" xfId="0" applyNumberFormat="1" applyFont="1" applyFill="1" applyAlignment="1">
      <alignment horizontal="right"/>
    </xf>
    <xf numFmtId="9" fontId="0" fillId="0" borderId="0" xfId="0" applyNumberFormat="1"/>
    <xf numFmtId="170" fontId="0" fillId="0" borderId="0" xfId="0" applyNumberFormat="1" applyAlignment="1">
      <alignment horizontal="center"/>
    </xf>
    <xf numFmtId="0" fontId="33" fillId="39" borderId="47" xfId="0" applyFont="1" applyFill="1" applyBorder="1" applyAlignment="1">
      <alignment horizontal="center"/>
    </xf>
    <xf numFmtId="0" fontId="33" fillId="0" borderId="47" xfId="0" applyFont="1" applyBorder="1" applyAlignment="1">
      <alignment horizontal="center"/>
    </xf>
    <xf numFmtId="0" fontId="0" fillId="41" borderId="0" xfId="0" applyFill="1" applyAlignment="1">
      <alignment horizontal="center"/>
    </xf>
    <xf numFmtId="0" fontId="0" fillId="41" borderId="0" xfId="0" applyFill="1"/>
    <xf numFmtId="166" fontId="2" fillId="41" borderId="8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 indent="1"/>
    </xf>
    <xf numFmtId="170" fontId="0" fillId="0" borderId="0" xfId="0" applyNumberFormat="1"/>
    <xf numFmtId="0" fontId="6" fillId="50" borderId="0" xfId="0" applyFont="1" applyFill="1"/>
    <xf numFmtId="0" fontId="2" fillId="0" borderId="0" xfId="0" applyFont="1" applyAlignment="1">
      <alignment horizontal="left"/>
    </xf>
    <xf numFmtId="0" fontId="23" fillId="0" borderId="29" xfId="0" applyFont="1" applyBorder="1" applyAlignment="1">
      <alignment horizontal="center"/>
    </xf>
    <xf numFmtId="166" fontId="0" fillId="0" borderId="0" xfId="0" applyNumberFormat="1"/>
    <xf numFmtId="166" fontId="2" fillId="2" borderId="8" xfId="0" applyNumberFormat="1" applyFont="1" applyFill="1" applyBorder="1" applyAlignment="1">
      <alignment horizontal="center"/>
    </xf>
    <xf numFmtId="0" fontId="0" fillId="0" borderId="46" xfId="0" applyBorder="1" applyAlignment="1">
      <alignment horizontal="center" vertical="center" wrapText="1"/>
    </xf>
    <xf numFmtId="0" fontId="0" fillId="39" borderId="0" xfId="0" applyFill="1" applyAlignment="1">
      <alignment horizontal="center" vertical="center" wrapText="1"/>
    </xf>
    <xf numFmtId="1" fontId="2" fillId="0" borderId="27" xfId="0" applyNumberFormat="1" applyFont="1" applyBorder="1" applyAlignment="1">
      <alignment horizontal="center"/>
    </xf>
    <xf numFmtId="1" fontId="3" fillId="5" borderId="0" xfId="0" applyNumberFormat="1" applyFont="1" applyFill="1" applyAlignment="1">
      <alignment horizontal="center"/>
    </xf>
    <xf numFmtId="1" fontId="3" fillId="52" borderId="3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0" fillId="50" borderId="0" xfId="0" applyFont="1" applyFill="1" applyAlignment="1">
      <alignment horizontal="left"/>
    </xf>
    <xf numFmtId="9" fontId="20" fillId="50" borderId="0" xfId="0" applyNumberFormat="1" applyFont="1" applyFill="1"/>
    <xf numFmtId="170" fontId="20" fillId="50" borderId="0" xfId="0" applyNumberFormat="1" applyFont="1" applyFill="1"/>
    <xf numFmtId="0" fontId="20" fillId="50" borderId="0" xfId="0" applyFont="1" applyFill="1"/>
    <xf numFmtId="0" fontId="6" fillId="43" borderId="0" xfId="0" applyFont="1" applyFill="1" applyAlignment="1">
      <alignment horizontal="center"/>
    </xf>
    <xf numFmtId="17" fontId="6" fillId="3" borderId="0" xfId="0" applyNumberFormat="1" applyFont="1" applyFill="1" applyAlignment="1">
      <alignment horizontal="center" vertical="center" wrapText="1"/>
    </xf>
    <xf numFmtId="0" fontId="2" fillId="41" borderId="13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41" borderId="12" xfId="0" applyFont="1" applyFill="1" applyBorder="1" applyAlignment="1">
      <alignment horizontal="center"/>
    </xf>
    <xf numFmtId="0" fontId="2" fillId="39" borderId="12" xfId="0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17" fontId="6" fillId="3" borderId="49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5" borderId="34" xfId="0" applyFont="1" applyFill="1" applyBorder="1" applyAlignment="1">
      <alignment horizontal="center"/>
    </xf>
    <xf numFmtId="0" fontId="2" fillId="5" borderId="44" xfId="0" applyFont="1" applyFill="1" applyBorder="1" applyAlignment="1">
      <alignment horizontal="center"/>
    </xf>
    <xf numFmtId="0" fontId="2" fillId="5" borderId="50" xfId="0" applyFont="1" applyFill="1" applyBorder="1" applyAlignment="1">
      <alignment horizontal="center"/>
    </xf>
    <xf numFmtId="17" fontId="6" fillId="3" borderId="51" xfId="0" applyNumberFormat="1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/>
    </xf>
    <xf numFmtId="1" fontId="3" fillId="5" borderId="16" xfId="0" applyNumberFormat="1" applyFont="1" applyFill="1" applyBorder="1" applyAlignment="1">
      <alignment horizontal="center"/>
    </xf>
    <xf numFmtId="17" fontId="6" fillId="3" borderId="53" xfId="0" applyNumberFormat="1" applyFont="1" applyFill="1" applyBorder="1" applyAlignment="1">
      <alignment horizontal="center" vertical="center" wrapText="1"/>
    </xf>
    <xf numFmtId="0" fontId="2" fillId="39" borderId="44" xfId="0" applyFont="1" applyFill="1" applyBorder="1" applyAlignment="1">
      <alignment horizontal="center"/>
    </xf>
    <xf numFmtId="0" fontId="2" fillId="5" borderId="54" xfId="0" applyFont="1" applyFill="1" applyBorder="1" applyAlignment="1">
      <alignment horizontal="center"/>
    </xf>
    <xf numFmtId="0" fontId="33" fillId="39" borderId="10" xfId="0" applyFont="1" applyFill="1" applyBorder="1" applyAlignment="1">
      <alignment horizontal="center"/>
    </xf>
    <xf numFmtId="0" fontId="5" fillId="39" borderId="4" xfId="0" applyFont="1" applyFill="1" applyBorder="1" applyAlignment="1">
      <alignment horizontal="center" vertical="center" wrapText="1"/>
    </xf>
    <xf numFmtId="0" fontId="25" fillId="39" borderId="11" xfId="0" applyFont="1" applyFill="1" applyBorder="1"/>
    <xf numFmtId="0" fontId="3" fillId="39" borderId="3" xfId="0" applyFont="1" applyFill="1" applyBorder="1" applyAlignment="1">
      <alignment horizontal="center"/>
    </xf>
    <xf numFmtId="0" fontId="0" fillId="41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" fontId="0" fillId="0" borderId="0" xfId="0" applyNumberFormat="1" applyAlignment="1">
      <alignment horizontal="center"/>
    </xf>
    <xf numFmtId="17" fontId="6" fillId="3" borderId="12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7" fontId="6" fillId="3" borderId="1" xfId="0" applyNumberFormat="1" applyFont="1" applyFill="1" applyBorder="1" applyAlignment="1">
      <alignment horizontal="center" vertical="center"/>
    </xf>
    <xf numFmtId="17" fontId="6" fillId="3" borderId="55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4" fillId="0" borderId="41" xfId="0" applyFont="1" applyBorder="1"/>
    <xf numFmtId="0" fontId="0" fillId="0" borderId="4" xfId="0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41" borderId="0" xfId="0" applyFon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39" borderId="12" xfId="0" applyFill="1" applyBorder="1" applyAlignment="1">
      <alignment horizontal="center" vertical="center" wrapText="1"/>
    </xf>
    <xf numFmtId="0" fontId="0" fillId="39" borderId="12" xfId="0" applyFill="1" applyBorder="1"/>
    <xf numFmtId="170" fontId="24" fillId="39" borderId="11" xfId="0" applyNumberFormat="1" applyFont="1" applyFill="1" applyBorder="1" applyAlignment="1">
      <alignment horizontal="right"/>
    </xf>
    <xf numFmtId="0" fontId="23" fillId="0" borderId="31" xfId="0" applyFont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/>
    </xf>
    <xf numFmtId="0" fontId="24" fillId="0" borderId="56" xfId="0" applyFont="1" applyBorder="1" applyAlignment="1">
      <alignment horizontal="center"/>
    </xf>
    <xf numFmtId="0" fontId="23" fillId="2" borderId="4" xfId="0" applyFont="1" applyFill="1" applyBorder="1" applyAlignment="1">
      <alignment horizontal="center" vertical="center"/>
    </xf>
    <xf numFmtId="0" fontId="24" fillId="0" borderId="36" xfId="0" applyFont="1" applyBorder="1" applyAlignment="1">
      <alignment horizontal="center"/>
    </xf>
    <xf numFmtId="0" fontId="33" fillId="0" borderId="60" xfId="0" applyFont="1" applyBorder="1" applyAlignment="1">
      <alignment horizontal="center"/>
    </xf>
    <xf numFmtId="14" fontId="24" fillId="0" borderId="48" xfId="0" applyNumberFormat="1" applyFont="1" applyBorder="1"/>
    <xf numFmtId="170" fontId="24" fillId="38" borderId="48" xfId="0" applyNumberFormat="1" applyFont="1" applyFill="1" applyBorder="1"/>
    <xf numFmtId="166" fontId="0" fillId="0" borderId="42" xfId="0" applyNumberFormat="1" applyBorder="1"/>
    <xf numFmtId="166" fontId="0" fillId="0" borderId="48" xfId="0" applyNumberFormat="1" applyBorder="1"/>
    <xf numFmtId="166" fontId="0" fillId="0" borderId="41" xfId="0" applyNumberFormat="1" applyBorder="1"/>
    <xf numFmtId="166" fontId="0" fillId="0" borderId="53" xfId="0" applyNumberFormat="1" applyBorder="1"/>
    <xf numFmtId="166" fontId="2" fillId="2" borderId="42" xfId="0" applyNumberFormat="1" applyFont="1" applyFill="1" applyBorder="1" applyAlignment="1">
      <alignment horizontal="center"/>
    </xf>
    <xf numFmtId="166" fontId="0" fillId="0" borderId="61" xfId="0" applyNumberFormat="1" applyBorder="1"/>
    <xf numFmtId="0" fontId="23" fillId="39" borderId="15" xfId="0" applyFont="1" applyFill="1" applyBorder="1" applyAlignment="1">
      <alignment horizontal="center" vertical="center"/>
    </xf>
    <xf numFmtId="0" fontId="24" fillId="39" borderId="45" xfId="0" applyFont="1" applyFill="1" applyBorder="1"/>
    <xf numFmtId="0" fontId="26" fillId="39" borderId="59" xfId="0" applyFont="1" applyFill="1" applyBorder="1" applyAlignment="1">
      <alignment horizontal="center" vertical="center"/>
    </xf>
    <xf numFmtId="0" fontId="23" fillId="39" borderId="46" xfId="0" applyFont="1" applyFill="1" applyBorder="1" applyAlignment="1">
      <alignment horizontal="center" vertical="center"/>
    </xf>
    <xf numFmtId="14" fontId="24" fillId="39" borderId="46" xfId="0" applyNumberFormat="1" applyFont="1" applyFill="1" applyBorder="1"/>
    <xf numFmtId="170" fontId="24" fillId="39" borderId="46" xfId="0" applyNumberFormat="1" applyFont="1" applyFill="1" applyBorder="1"/>
    <xf numFmtId="166" fontId="0" fillId="39" borderId="59" xfId="0" applyNumberFormat="1" applyFill="1" applyBorder="1"/>
    <xf numFmtId="166" fontId="0" fillId="39" borderId="46" xfId="0" applyNumberFormat="1" applyFill="1" applyBorder="1"/>
    <xf numFmtId="166" fontId="0" fillId="39" borderId="45" xfId="0" applyNumberFormat="1" applyFill="1" applyBorder="1"/>
    <xf numFmtId="166" fontId="2" fillId="39" borderId="59" xfId="0" applyNumberFormat="1" applyFont="1" applyFill="1" applyBorder="1" applyAlignment="1">
      <alignment horizontal="center"/>
    </xf>
    <xf numFmtId="166" fontId="0" fillId="39" borderId="15" xfId="0" applyNumberFormat="1" applyFill="1" applyBorder="1"/>
    <xf numFmtId="0" fontId="24" fillId="39" borderId="54" xfId="0" applyFont="1" applyFill="1" applyBorder="1" applyAlignment="1">
      <alignment horizontal="center"/>
    </xf>
    <xf numFmtId="0" fontId="33" fillId="39" borderId="26" xfId="0" applyFont="1" applyFill="1" applyBorder="1" applyAlignment="1">
      <alignment horizontal="center"/>
    </xf>
    <xf numFmtId="0" fontId="0" fillId="39" borderId="58" xfId="0" applyFill="1" applyBorder="1" applyAlignment="1">
      <alignment horizontal="center"/>
    </xf>
    <xf numFmtId="0" fontId="23" fillId="48" borderId="16" xfId="0" applyFont="1" applyFill="1" applyBorder="1" applyAlignment="1">
      <alignment horizontal="center" vertical="center"/>
    </xf>
    <xf numFmtId="0" fontId="24" fillId="48" borderId="2" xfId="0" applyFont="1" applyFill="1" applyBorder="1" applyAlignment="1">
      <alignment horizontal="left"/>
    </xf>
    <xf numFmtId="0" fontId="26" fillId="48" borderId="2" xfId="0" applyFont="1" applyFill="1" applyBorder="1" applyAlignment="1">
      <alignment horizontal="center" vertical="center"/>
    </xf>
    <xf numFmtId="0" fontId="23" fillId="48" borderId="2" xfId="0" applyFont="1" applyFill="1" applyBorder="1" applyAlignment="1">
      <alignment horizontal="center" vertical="center"/>
    </xf>
    <xf numFmtId="14" fontId="24" fillId="48" borderId="2" xfId="0" applyNumberFormat="1" applyFont="1" applyFill="1" applyBorder="1"/>
    <xf numFmtId="170" fontId="24" fillId="48" borderId="2" xfId="0" applyNumberFormat="1" applyFont="1" applyFill="1" applyBorder="1" applyAlignment="1">
      <alignment horizontal="right"/>
    </xf>
    <xf numFmtId="166" fontId="2" fillId="48" borderId="5" xfId="0" applyNumberFormat="1" applyFont="1" applyFill="1" applyBorder="1"/>
    <xf numFmtId="166" fontId="0" fillId="48" borderId="1" xfId="0" applyNumberFormat="1" applyFill="1" applyBorder="1"/>
    <xf numFmtId="166" fontId="2" fillId="49" borderId="1" xfId="0" applyNumberFormat="1" applyFont="1" applyFill="1" applyBorder="1"/>
    <xf numFmtId="166" fontId="2" fillId="48" borderId="2" xfId="0" applyNumberFormat="1" applyFont="1" applyFill="1" applyBorder="1" applyAlignment="1">
      <alignment horizontal="center"/>
    </xf>
    <xf numFmtId="0" fontId="0" fillId="48" borderId="7" xfId="0" applyFill="1" applyBorder="1" applyAlignment="1">
      <alignment horizontal="center"/>
    </xf>
    <xf numFmtId="170" fontId="2" fillId="0" borderId="62" xfId="0" applyNumberFormat="1" applyFont="1" applyBorder="1"/>
    <xf numFmtId="0" fontId="0" fillId="48" borderId="3" xfId="0" applyFill="1" applyBorder="1" applyAlignment="1">
      <alignment horizontal="center" vertical="center" wrapText="1"/>
    </xf>
    <xf numFmtId="0" fontId="5" fillId="39" borderId="12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166" fontId="2" fillId="4" borderId="57" xfId="0" applyNumberFormat="1" applyFont="1" applyFill="1" applyBorder="1"/>
    <xf numFmtId="166" fontId="2" fillId="40" borderId="15" xfId="0" applyNumberFormat="1" applyFont="1" applyFill="1" applyBorder="1"/>
    <xf numFmtId="166" fontId="2" fillId="4" borderId="15" xfId="0" applyNumberFormat="1" applyFont="1" applyFill="1" applyBorder="1"/>
    <xf numFmtId="166" fontId="2" fillId="45" borderId="15" xfId="0" applyNumberFormat="1" applyFont="1" applyFill="1" applyBorder="1"/>
    <xf numFmtId="14" fontId="8" fillId="3" borderId="63" xfId="0" applyNumberFormat="1" applyFont="1" applyFill="1" applyBorder="1" applyAlignment="1">
      <alignment horizontal="center" vertical="center" wrapText="1"/>
    </xf>
    <xf numFmtId="9" fontId="2" fillId="4" borderId="0" xfId="0" applyNumberFormat="1" applyFont="1" applyFill="1" applyAlignment="1">
      <alignment horizontal="center"/>
    </xf>
    <xf numFmtId="166" fontId="2" fillId="48" borderId="3" xfId="0" applyNumberFormat="1" applyFont="1" applyFill="1" applyBorder="1"/>
    <xf numFmtId="166" fontId="0" fillId="0" borderId="15" xfId="0" applyNumberFormat="1" applyBorder="1"/>
    <xf numFmtId="166" fontId="0" fillId="39" borderId="12" xfId="0" applyNumberFormat="1" applyFill="1" applyBorder="1"/>
    <xf numFmtId="0" fontId="24" fillId="0" borderId="50" xfId="0" applyFont="1" applyBorder="1" applyAlignment="1">
      <alignment horizontal="center"/>
    </xf>
    <xf numFmtId="0" fontId="23" fillId="2" borderId="29" xfId="0" applyFont="1" applyFill="1" applyBorder="1" applyAlignment="1">
      <alignment horizontal="center" vertical="center"/>
    </xf>
    <xf numFmtId="170" fontId="24" fillId="38" borderId="30" xfId="0" applyNumberFormat="1" applyFont="1" applyFill="1" applyBorder="1"/>
    <xf numFmtId="17" fontId="6" fillId="3" borderId="27" xfId="0" applyNumberFormat="1" applyFont="1" applyFill="1" applyBorder="1" applyAlignment="1">
      <alignment horizontal="center" vertical="center"/>
    </xf>
    <xf numFmtId="0" fontId="23" fillId="39" borderId="31" xfId="0" applyFont="1" applyFill="1" applyBorder="1" applyAlignment="1">
      <alignment horizontal="center" vertical="center"/>
    </xf>
    <xf numFmtId="0" fontId="24" fillId="39" borderId="9" xfId="0" applyFont="1" applyFill="1" applyBorder="1" applyAlignment="1">
      <alignment horizontal="left"/>
    </xf>
    <xf numFmtId="0" fontId="26" fillId="39" borderId="8" xfId="0" applyFont="1" applyFill="1" applyBorder="1" applyAlignment="1">
      <alignment horizontal="center" vertical="center"/>
    </xf>
    <xf numFmtId="0" fontId="23" fillId="39" borderId="4" xfId="0" applyFont="1" applyFill="1" applyBorder="1" applyAlignment="1">
      <alignment horizontal="center" vertical="center"/>
    </xf>
    <xf numFmtId="14" fontId="24" fillId="39" borderId="4" xfId="0" applyNumberFormat="1" applyFont="1" applyFill="1" applyBorder="1"/>
    <xf numFmtId="170" fontId="24" fillId="39" borderId="4" xfId="0" applyNumberFormat="1" applyFont="1" applyFill="1" applyBorder="1" applyAlignment="1">
      <alignment horizontal="right"/>
    </xf>
    <xf numFmtId="166" fontId="0" fillId="39" borderId="8" xfId="0" applyNumberFormat="1" applyFill="1" applyBorder="1"/>
    <xf numFmtId="166" fontId="0" fillId="39" borderId="9" xfId="0" applyNumberFormat="1" applyFill="1" applyBorder="1"/>
    <xf numFmtId="166" fontId="2" fillId="39" borderId="8" xfId="0" applyNumberFormat="1" applyFont="1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170" fontId="24" fillId="38" borderId="4" xfId="0" applyNumberFormat="1" applyFont="1" applyFill="1" applyBorder="1"/>
    <xf numFmtId="8" fontId="34" fillId="0" borderId="3" xfId="0" applyNumberFormat="1" applyFont="1" applyBorder="1"/>
    <xf numFmtId="8" fontId="34" fillId="0" borderId="4" xfId="0" applyNumberFormat="1" applyFont="1" applyBorder="1"/>
    <xf numFmtId="0" fontId="5" fillId="0" borderId="12" xfId="0" applyFont="1" applyBorder="1"/>
    <xf numFmtId="0" fontId="0" fillId="51" borderId="4" xfId="0" applyFill="1" applyBorder="1" applyAlignment="1">
      <alignment horizontal="center" vertical="center" wrapText="1"/>
    </xf>
    <xf numFmtId="0" fontId="5" fillId="51" borderId="3" xfId="0" applyFont="1" applyFill="1" applyBorder="1" applyAlignment="1">
      <alignment horizontal="center" vertical="center" wrapText="1"/>
    </xf>
    <xf numFmtId="0" fontId="0" fillId="51" borderId="3" xfId="0" applyFill="1" applyBorder="1" applyAlignment="1">
      <alignment horizontal="center" vertical="center" wrapText="1"/>
    </xf>
    <xf numFmtId="0" fontId="23" fillId="0" borderId="48" xfId="0" applyFont="1" applyBorder="1" applyAlignment="1">
      <alignment horizontal="center"/>
    </xf>
    <xf numFmtId="0" fontId="23" fillId="2" borderId="8" xfId="0" applyFont="1" applyFill="1" applyBorder="1" applyAlignment="1">
      <alignment horizontal="center"/>
    </xf>
    <xf numFmtId="0" fontId="2" fillId="42" borderId="46" xfId="0" applyFont="1" applyFill="1" applyBorder="1" applyAlignment="1">
      <alignment horizontal="center"/>
    </xf>
    <xf numFmtId="9" fontId="2" fillId="0" borderId="3" xfId="0" applyNumberFormat="1" applyFont="1" applyBorder="1" applyAlignment="1">
      <alignment horizontal="center"/>
    </xf>
    <xf numFmtId="9" fontId="2" fillId="0" borderId="3" xfId="0" applyNumberFormat="1" applyFont="1" applyBorder="1"/>
    <xf numFmtId="0" fontId="2" fillId="0" borderId="2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56" xfId="0" applyFont="1" applyBorder="1"/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2" fillId="0" borderId="44" xfId="0" applyFont="1" applyBorder="1"/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2" fillId="0" borderId="50" xfId="0" applyFont="1" applyBorder="1"/>
    <xf numFmtId="1" fontId="0" fillId="0" borderId="28" xfId="0" applyNumberFormat="1" applyBorder="1" applyAlignment="1">
      <alignment horizontal="center"/>
    </xf>
    <xf numFmtId="17" fontId="6" fillId="3" borderId="0" xfId="0" applyNumberFormat="1" applyFont="1" applyFill="1" applyAlignment="1">
      <alignment horizontal="center" vertical="center"/>
    </xf>
    <xf numFmtId="1" fontId="2" fillId="5" borderId="1" xfId="0" applyNumberFormat="1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41" borderId="4" xfId="0" applyFill="1" applyBorder="1" applyAlignment="1">
      <alignment horizontal="center" vertical="center" wrapText="1"/>
    </xf>
    <xf numFmtId="0" fontId="0" fillId="2" borderId="64" xfId="0" applyFill="1" applyBorder="1" applyAlignment="1">
      <alignment horizontal="center"/>
    </xf>
    <xf numFmtId="166" fontId="0" fillId="0" borderId="0" xfId="0" applyNumberFormat="1" applyAlignment="1">
      <alignment horizontal="right"/>
    </xf>
    <xf numFmtId="0" fontId="0" fillId="6" borderId="64" xfId="0" applyFill="1" applyBorder="1" applyAlignment="1">
      <alignment horizontal="center"/>
    </xf>
    <xf numFmtId="14" fontId="0" fillId="48" borderId="55" xfId="0" applyNumberFormat="1" applyFill="1" applyBorder="1" applyAlignment="1">
      <alignment horizontal="center"/>
    </xf>
    <xf numFmtId="166" fontId="0" fillId="39" borderId="0" xfId="0" applyNumberFormat="1" applyFill="1" applyAlignment="1">
      <alignment horizontal="right"/>
    </xf>
    <xf numFmtId="14" fontId="6" fillId="3" borderId="33" xfId="0" applyNumberFormat="1" applyFont="1" applyFill="1" applyBorder="1" applyAlignment="1">
      <alignment horizontal="center" vertical="center" wrapText="1"/>
    </xf>
    <xf numFmtId="0" fontId="0" fillId="39" borderId="64" xfId="0" applyFill="1" applyBorder="1" applyAlignment="1">
      <alignment horizontal="center"/>
    </xf>
    <xf numFmtId="0" fontId="0" fillId="2" borderId="66" xfId="0" applyFill="1" applyBorder="1" applyAlignment="1">
      <alignment horizontal="center"/>
    </xf>
    <xf numFmtId="166" fontId="0" fillId="0" borderId="33" xfId="0" applyNumberFormat="1" applyBorder="1" applyAlignment="1">
      <alignment horizontal="right"/>
    </xf>
    <xf numFmtId="166" fontId="0" fillId="0" borderId="39" xfId="0" applyNumberFormat="1" applyBorder="1" applyAlignment="1">
      <alignment horizontal="right"/>
    </xf>
    <xf numFmtId="14" fontId="0" fillId="0" borderId="53" xfId="0" applyNumberFormat="1" applyBorder="1" applyAlignment="1">
      <alignment horizontal="center"/>
    </xf>
    <xf numFmtId="14" fontId="0" fillId="39" borderId="14" xfId="0" applyNumberFormat="1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0" fillId="2" borderId="67" xfId="0" applyFill="1" applyBorder="1" applyAlignment="1">
      <alignment horizontal="center"/>
    </xf>
    <xf numFmtId="0" fontId="0" fillId="48" borderId="2" xfId="0" applyFill="1" applyBorder="1" applyAlignment="1">
      <alignment horizontal="center"/>
    </xf>
    <xf numFmtId="166" fontId="0" fillId="48" borderId="27" xfId="0" applyNumberFormat="1" applyFill="1" applyBorder="1" applyAlignment="1">
      <alignment horizontal="right"/>
    </xf>
    <xf numFmtId="0" fontId="0" fillId="0" borderId="0" xfId="0" applyAlignment="1">
      <alignment horizontal="center" wrapText="1"/>
    </xf>
    <xf numFmtId="0" fontId="5" fillId="41" borderId="3" xfId="0" applyFont="1" applyFill="1" applyBorder="1" applyAlignment="1">
      <alignment horizontal="center" vertical="center" wrapText="1"/>
    </xf>
    <xf numFmtId="14" fontId="0" fillId="48" borderId="53" xfId="0" applyNumberFormat="1" applyFill="1" applyBorder="1" applyAlignment="1">
      <alignment horizontal="center"/>
    </xf>
    <xf numFmtId="0" fontId="23" fillId="0" borderId="35" xfId="0" applyFont="1" applyBorder="1" applyAlignment="1">
      <alignment horizontal="center"/>
    </xf>
    <xf numFmtId="0" fontId="26" fillId="2" borderId="42" xfId="0" applyFont="1" applyFill="1" applyBorder="1" applyAlignment="1">
      <alignment horizontal="center"/>
    </xf>
    <xf numFmtId="0" fontId="0" fillId="6" borderId="65" xfId="0" applyFill="1" applyBorder="1" applyAlignment="1">
      <alignment horizontal="center"/>
    </xf>
    <xf numFmtId="0" fontId="0" fillId="53" borderId="3" xfId="0" applyFill="1" applyBorder="1" applyAlignment="1">
      <alignment horizontal="center" vertical="center" wrapText="1"/>
    </xf>
    <xf numFmtId="0" fontId="5" fillId="53" borderId="3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/>
    </xf>
    <xf numFmtId="0" fontId="6" fillId="43" borderId="0" xfId="0" applyFont="1" applyFill="1" applyAlignment="1">
      <alignment horizontal="center"/>
    </xf>
    <xf numFmtId="0" fontId="6" fillId="46" borderId="0" xfId="0" applyFont="1" applyFill="1" applyAlignment="1">
      <alignment horizontal="center"/>
    </xf>
    <xf numFmtId="170" fontId="0" fillId="0" borderId="26" xfId="0" applyNumberFormat="1" applyBorder="1" applyAlignment="1">
      <alignment horizontal="center" vertical="center"/>
    </xf>
    <xf numFmtId="170" fontId="0" fillId="0" borderId="46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0" fontId="6" fillId="46" borderId="0" xfId="0" applyFont="1" applyFill="1" applyAlignment="1">
      <alignment horizontal="center" vertical="center"/>
    </xf>
    <xf numFmtId="0" fontId="6" fillId="43" borderId="39" xfId="0" applyFont="1" applyFill="1" applyBorder="1" applyAlignment="1">
      <alignment horizontal="center"/>
    </xf>
    <xf numFmtId="0" fontId="2" fillId="0" borderId="34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5" borderId="42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</cellXfs>
  <cellStyles count="81">
    <cellStyle name="20% - Énfasis1" xfId="22" builtinId="30" customBuiltin="1"/>
    <cellStyle name="20% - Énfasis2" xfId="26" builtinId="34" customBuiltin="1"/>
    <cellStyle name="20% - Énfasis3" xfId="30" builtinId="38" customBuiltin="1"/>
    <cellStyle name="20% - Énfasis4" xfId="34" builtinId="42" customBuiltin="1"/>
    <cellStyle name="20% - Énfasis5" xfId="38" builtinId="46" customBuiltin="1"/>
    <cellStyle name="20% - Énfasis6" xfId="42" builtinId="50" customBuiltin="1"/>
    <cellStyle name="40% - Énfasis1" xfId="23" builtinId="31" customBuiltin="1"/>
    <cellStyle name="40% - Énfasis2" xfId="27" builtinId="35" customBuiltin="1"/>
    <cellStyle name="40% - Énfasis3" xfId="31" builtinId="39" customBuiltin="1"/>
    <cellStyle name="40% - Énfasis4" xfId="35" builtinId="43" customBuiltin="1"/>
    <cellStyle name="40% - Énfasis5" xfId="39" builtinId="47" customBuiltin="1"/>
    <cellStyle name="40% - Énfasis6" xfId="43" builtinId="51" customBuiltin="1"/>
    <cellStyle name="60% - Énfasis1" xfId="24" builtinId="32" customBuiltin="1"/>
    <cellStyle name="60% - Énfasis2" xfId="28" builtinId="36" customBuiltin="1"/>
    <cellStyle name="60% - Énfasis3" xfId="32" builtinId="40" customBuiltin="1"/>
    <cellStyle name="60% - Énfasis4" xfId="36" builtinId="44" customBuiltin="1"/>
    <cellStyle name="60% - Énfasis5" xfId="40" builtinId="48" customBuiltin="1"/>
    <cellStyle name="60% - Énfasis6" xfId="44" builtinId="52" customBuiltin="1"/>
    <cellStyle name="Bueno" xfId="9" builtinId="26" customBuiltin="1"/>
    <cellStyle name="Cálculo" xfId="14" builtinId="22" customBuiltin="1"/>
    <cellStyle name="Celda de comprobación" xfId="16" builtinId="23" customBuiltin="1"/>
    <cellStyle name="Celda vinculada" xfId="15" builtinId="24" customBuiltin="1"/>
    <cellStyle name="Comma [0] 2" xfId="46" xr:uid="{00000000-0005-0000-0000-000016000000}"/>
    <cellStyle name="Comma 10" xfId="62" xr:uid="{00000000-0005-0000-0000-000017000000}"/>
    <cellStyle name="Comma 11" xfId="56" xr:uid="{00000000-0005-0000-0000-000018000000}"/>
    <cellStyle name="Comma 12" xfId="79" xr:uid="{00000000-0005-0000-0000-000019000000}"/>
    <cellStyle name="Comma 13" xfId="75" xr:uid="{00000000-0005-0000-0000-00001A000000}"/>
    <cellStyle name="Comma 14" xfId="53" xr:uid="{00000000-0005-0000-0000-00001B000000}"/>
    <cellStyle name="Comma 15" xfId="63" xr:uid="{00000000-0005-0000-0000-00001C000000}"/>
    <cellStyle name="Comma 16" xfId="55" xr:uid="{00000000-0005-0000-0000-00001D000000}"/>
    <cellStyle name="Comma 17" xfId="80" xr:uid="{00000000-0005-0000-0000-00001E000000}"/>
    <cellStyle name="Comma 18" xfId="77" xr:uid="{00000000-0005-0000-0000-00001F000000}"/>
    <cellStyle name="Comma 19" xfId="57" xr:uid="{00000000-0005-0000-0000-000020000000}"/>
    <cellStyle name="Comma 2" xfId="73" xr:uid="{00000000-0005-0000-0000-000021000000}"/>
    <cellStyle name="Comma 20" xfId="78" xr:uid="{00000000-0005-0000-0000-000022000000}"/>
    <cellStyle name="Comma 21" xfId="61" xr:uid="{00000000-0005-0000-0000-000023000000}"/>
    <cellStyle name="Comma 3" xfId="45" xr:uid="{00000000-0005-0000-0000-000024000000}"/>
    <cellStyle name="Comma 4" xfId="59" xr:uid="{00000000-0005-0000-0000-000025000000}"/>
    <cellStyle name="Comma 5" xfId="60" xr:uid="{00000000-0005-0000-0000-000026000000}"/>
    <cellStyle name="Comma 6" xfId="54" xr:uid="{00000000-0005-0000-0000-000027000000}"/>
    <cellStyle name="Comma 7" xfId="74" xr:uid="{00000000-0005-0000-0000-000028000000}"/>
    <cellStyle name="Comma 8" xfId="58" xr:uid="{00000000-0005-0000-0000-000029000000}"/>
    <cellStyle name="Comma 9" xfId="76" xr:uid="{00000000-0005-0000-0000-00002A000000}"/>
    <cellStyle name="Currency 2" xfId="47" xr:uid="{00000000-0005-0000-0000-00002B000000}"/>
    <cellStyle name="Encabezado 1" xfId="5" builtinId="16" customBuiltin="1"/>
    <cellStyle name="Encabezado 4" xfId="8" builtinId="19" customBuiltin="1"/>
    <cellStyle name="Énfasis1" xfId="21" builtinId="29" customBuiltin="1"/>
    <cellStyle name="Énfasis2" xfId="25" builtinId="33" customBuiltin="1"/>
    <cellStyle name="Énfasis3" xfId="29" builtinId="37" customBuiltin="1"/>
    <cellStyle name="Énfasis4" xfId="33" builtinId="41" customBuiltin="1"/>
    <cellStyle name="Énfasis5" xfId="37" builtinId="45" customBuiltin="1"/>
    <cellStyle name="Énfasis6" xfId="41" builtinId="49" customBuiltin="1"/>
    <cellStyle name="Entrada" xfId="12" builtinId="20" customBuiltin="1"/>
    <cellStyle name="Incorrecto" xfId="10" builtinId="27" customBuiltin="1"/>
    <cellStyle name="Millares [0] 2" xfId="4" xr:uid="{00000000-0005-0000-0000-000036000000}"/>
    <cellStyle name="Millares 2" xfId="66" xr:uid="{00000000-0005-0000-0000-000037000000}"/>
    <cellStyle name="Millares 3" xfId="67" xr:uid="{00000000-0005-0000-0000-000038000000}"/>
    <cellStyle name="Millares 4" xfId="68" xr:uid="{00000000-0005-0000-0000-000039000000}"/>
    <cellStyle name="Millares 5" xfId="69" xr:uid="{00000000-0005-0000-0000-00003A000000}"/>
    <cellStyle name="Millares 6" xfId="70" xr:uid="{00000000-0005-0000-0000-00003B000000}"/>
    <cellStyle name="Moneda [0] 2" xfId="50" xr:uid="{00000000-0005-0000-0000-00003C000000}"/>
    <cellStyle name="Moneda 10" xfId="72" xr:uid="{00000000-0005-0000-0000-00003D000000}"/>
    <cellStyle name="Moneda 2" xfId="48" xr:uid="{00000000-0005-0000-0000-00003E000000}"/>
    <cellStyle name="Moneda 2 2" xfId="49" xr:uid="{00000000-0005-0000-0000-00003F000000}"/>
    <cellStyle name="Moneda 2 3" xfId="2" xr:uid="{00000000-0005-0000-0000-000040000000}"/>
    <cellStyle name="Moneda 3" xfId="52" xr:uid="{00000000-0005-0000-0000-000041000000}"/>
    <cellStyle name="Moneda 4" xfId="51" xr:uid="{00000000-0005-0000-0000-000042000000}"/>
    <cellStyle name="Moneda 5" xfId="65" xr:uid="{00000000-0005-0000-0000-000043000000}"/>
    <cellStyle name="Moneda 6" xfId="71" xr:uid="{00000000-0005-0000-0000-000044000000}"/>
    <cellStyle name="Neutral" xfId="11" builtinId="28" customBuiltin="1"/>
    <cellStyle name="Normal" xfId="0" builtinId="0"/>
    <cellStyle name="Normal 2" xfId="3" xr:uid="{00000000-0005-0000-0000-000047000000}"/>
    <cellStyle name="Normal 3" xfId="1" xr:uid="{00000000-0005-0000-0000-000048000000}"/>
    <cellStyle name="Notas" xfId="18" builtinId="10" customBuiltin="1"/>
    <cellStyle name="Salida" xfId="13" builtinId="21" customBuiltin="1"/>
    <cellStyle name="Texto de advertencia" xfId="17" builtinId="11" customBuiltin="1"/>
    <cellStyle name="Texto explicativo" xfId="19" builtinId="53" customBuiltin="1"/>
    <cellStyle name="Título 2" xfId="6" builtinId="17" customBuiltin="1"/>
    <cellStyle name="Título 3" xfId="7" builtinId="18" customBuiltin="1"/>
    <cellStyle name="Título 4" xfId="64" xr:uid="{00000000-0005-0000-0000-00004F000000}"/>
    <cellStyle name="Total" xfId="20" builtinId="25" customBuiltin="1"/>
  </cellStyles>
  <dxfs count="81">
    <dxf>
      <alignment horizontal="center"/>
    </dxf>
    <dxf>
      <alignment wrapText="1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font>
        <color theme="0"/>
      </font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numFmt numFmtId="13" formatCode="0%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horizontal="center"/>
    </dxf>
    <dxf>
      <alignment wrapText="1"/>
    </dxf>
    <dxf>
      <alignment vertical="center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numFmt numFmtId="170" formatCode="[$$-240A]\ #,##0"/>
    </dxf>
    <dxf>
      <font>
        <color theme="0"/>
      </font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numFmt numFmtId="13" formatCode="0%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38FC7"/>
      <color rgb="FF33CCFF"/>
      <color rgb="FFFF00FF"/>
      <color rgb="FFFF0000"/>
      <color rgb="FF33CC33"/>
      <color rgb="FFFFFF00"/>
      <color rgb="FF99CC00"/>
      <color rgb="FFCC3300"/>
      <color rgb="FF66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oren Nataly Benavides Mantilla" id="{535C4E0A-5A01-4AB5-9E1F-37EC371E4E1B}" userId="Loren Nataly Benavides Mantilla" providerId="Non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gelica Melissa Carvajal Infante" refreshedDate="44875.383726967593" createdVersion="5" refreshedVersion="8" minRefreshableVersion="3" recordCount="657" xr:uid="{00000000-000A-0000-FFFF-FFFF01000000}">
  <cacheSource type="worksheet">
    <worksheetSource ref="A1:AH658" sheet="CONSOLIDADO"/>
  </cacheSource>
  <cacheFields count="34">
    <cacheField name="REGIONAL" numFmtId="0">
      <sharedItems containsBlank="1" count="9">
        <s v="AMAZONIA"/>
        <s v="CARIBE 1"/>
        <s v="CENTRAL"/>
        <s v="EJE CAFETERO Y ANTIOQUIA"/>
        <s v="PACIFICO"/>
        <s v="LLANOS Y ORINOQUIA"/>
        <s v="SANTANDERES"/>
        <s v="CARIBE 2"/>
        <m/>
      </sharedItems>
    </cacheField>
    <cacheField name="ALIANZA" numFmtId="0">
      <sharedItems containsBlank="1"/>
    </cacheField>
    <cacheField name="FASE" numFmtId="0">
      <sharedItems containsBlank="1" count="3">
        <s v="I"/>
        <m/>
        <s v="II"/>
      </sharedItems>
    </cacheField>
    <cacheField name="No. CONVENIO MARD" numFmtId="0">
      <sharedItems containsBlank="1"/>
    </cacheField>
    <cacheField name="COD. FIDUCIARIO" numFmtId="0">
      <sharedItems containsString="0" containsBlank="1" containsNumber="1" containsInteger="1" minValue="302032" maxValue="496521"/>
    </cacheField>
    <cacheField name="DEPARTAMENTO" numFmtId="0">
      <sharedItems containsBlank="1"/>
    </cacheField>
    <cacheField name="FECHA DE GIRO " numFmtId="14">
      <sharedItems containsNonDate="0" containsDate="1" containsString="0" containsBlank="1" minDate="2021-02-24T00:00:00" maxDate="2022-03-24T00:00:00"/>
    </cacheField>
    <cacheField name="INCENTIVO MODULAR" numFmtId="170">
      <sharedItems containsString="0" containsBlank="1" containsNumber="1" containsInteger="1" minValue="78251000" maxValue="200000000"/>
    </cacheField>
    <cacheField name="jul-21" numFmtId="166">
      <sharedItems containsString="0" containsBlank="1" containsNumber="1" containsInteger="1" minValue="10000000" maxValue="127000000"/>
    </cacheField>
    <cacheField name="ago-21" numFmtId="166">
      <sharedItems containsString="0" containsBlank="1" containsNumber="1" containsInteger="1" minValue="8000000" maxValue="592250000"/>
    </cacheField>
    <cacheField name="sep-21" numFmtId="166">
      <sharedItems containsString="0" containsBlank="1" containsNumber="1" containsInteger="1" minValue="500000" maxValue="496397763"/>
    </cacheField>
    <cacheField name="oct-21" numFmtId="166">
      <sharedItems containsString="0" containsBlank="1" containsNumber="1" minValue="500000" maxValue="510606907.72999996"/>
    </cacheField>
    <cacheField name="nov-21" numFmtId="0">
      <sharedItems containsString="0" containsBlank="1" containsNumber="1" minValue="500000" maxValue="1071605351.27"/>
    </cacheField>
    <cacheField name="dic-21" numFmtId="166">
      <sharedItems containsString="0" containsBlank="1" containsNumber="1" minValue="1170444" maxValue="1836394450.47"/>
    </cacheField>
    <cacheField name="ene-22" numFmtId="166">
      <sharedItems containsString="0" containsBlank="1" containsNumber="1" minValue="500000" maxValue="1173319748.0500002"/>
    </cacheField>
    <cacheField name="feb-22" numFmtId="0">
      <sharedItems containsString="0" containsBlank="1" containsNumber="1" minValue="1000000" maxValue="1455584947.6599998"/>
    </cacheField>
    <cacheField name="mar-22" numFmtId="166">
      <sharedItems containsString="0" containsBlank="1" containsNumber="1" minValue="583333" maxValue="1465736230.2700002"/>
    </cacheField>
    <cacheField name="abr-22" numFmtId="0">
      <sharedItems containsString="0" containsBlank="1" containsNumber="1" minValue="600000" maxValue="1791620753.7999997"/>
    </cacheField>
    <cacheField name="may-22" numFmtId="166">
      <sharedItems containsString="0" containsBlank="1" containsNumber="1" minValue="877833" maxValue="1637958282.9899998"/>
    </cacheField>
    <cacheField name="jun-22" numFmtId="166">
      <sharedItems containsString="0" containsBlank="1" containsNumber="1" minValue="600000" maxValue="2678636369.7099996"/>
    </cacheField>
    <cacheField name="jul-22" numFmtId="166">
      <sharedItems containsString="0" containsBlank="1" containsNumber="1" minValue="600000" maxValue="1135561495.3800001"/>
    </cacheField>
    <cacheField name="ago-22" numFmtId="166">
      <sharedItems containsString="0" containsBlank="1" containsNumber="1" minValue="454250" maxValue="2004977683.46"/>
    </cacheField>
    <cacheField name="sep-22" numFmtId="166">
      <sharedItems containsString="0" containsBlank="1" containsNumber="1" minValue="454250" maxValue="1844883248.0699995"/>
    </cacheField>
    <cacheField name="oct-22" numFmtId="166">
      <sharedItems containsString="0" containsBlank="1" containsNumber="1" minValue="454250" maxValue="1848317258.4099998"/>
    </cacheField>
    <cacheField name="nov-22" numFmtId="166">
      <sharedItems containsString="0" containsBlank="1" containsNumber="1" containsInteger="1" minValue="0" maxValue="0"/>
    </cacheField>
    <cacheField name="dic-22" numFmtId="166">
      <sharedItems containsString="0" containsBlank="1" containsNumber="1" containsInteger="1" minValue="0" maxValue="0"/>
    </cacheField>
    <cacheField name="REINTEGRO DTN" numFmtId="166">
      <sharedItems containsString="0" containsBlank="1" containsNumber="1" containsInteger="1" minValue="154139900" maxValue="314139900"/>
    </cacheField>
    <cacheField name="RECURSOS EJECUTADOS EN PAGOS" numFmtId="166">
      <sharedItems containsSemiMixedTypes="0" containsString="0" containsNumber="1" minValue="0" maxValue="21984990390.27"/>
    </cacheField>
    <cacheField name="EJECUCIÓN %" numFmtId="0">
      <sharedItems containsString="0" containsBlank="1" containsNumber="1" minValue="0" maxValue="1"/>
    </cacheField>
    <cacheField name="MONITOREOS PAGOS" numFmtId="0">
      <sharedItems containsString="0" containsBlank="1" containsNumber="1" containsInteger="1" minValue="0" maxValue="14"/>
    </cacheField>
    <cacheField name="VISITA SEGUNDO DESEMBOLSO" numFmtId="14">
      <sharedItems containsDate="1" containsBlank="1" containsMixedTypes="1" minDate="2021-11-24T00:00:00" maxDate="2022-11-12T00:00:00"/>
    </cacheField>
    <cacheField name="SALDO SIN EJECUTAR" numFmtId="166">
      <sharedItems containsString="0" containsBlank="1" containsNumber="1" minValue="0" maxValue="200000000"/>
    </cacheField>
    <cacheField name="OBSERVACIONES" numFmtId="166">
      <sharedItems containsBlank="1"/>
    </cacheField>
    <cacheField name="N° Meses Ejecución IM" numFmtId="0">
      <sharedItems containsString="0" containsBlank="1" containsNumber="1" containsInteger="1" minValue="0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7">
  <r>
    <x v="0"/>
    <s v="ASOMUSEPAZ"/>
    <x v="0"/>
    <s v="08-011-20"/>
    <n v="396435"/>
    <s v="GUAVIARE"/>
    <d v="2021-02-24T00:00:00"/>
    <n v="144834000"/>
    <m/>
    <n v="10700000"/>
    <n v="5133499"/>
    <n v="16877833"/>
    <n v="18477833"/>
    <n v="23055666"/>
    <m/>
    <n v="21777833"/>
    <n v="6177833"/>
    <n v="6177833"/>
    <n v="25755670"/>
    <n v="10700000"/>
    <m/>
    <m/>
    <m/>
    <m/>
    <m/>
    <m/>
    <m/>
    <n v="144834000"/>
    <n v="1"/>
    <n v="13"/>
    <d v="2021-11-24T00:00:00"/>
    <n v="0"/>
    <s v="EN EJECUCIÓN"/>
    <n v="10"/>
  </r>
  <r>
    <x v="1"/>
    <s v="ASOMUDEPAS"/>
    <x v="0"/>
    <s v="03-001-20"/>
    <n v="396492"/>
    <s v="BOLIVAR"/>
    <d v="2021-02-24T00:00:00"/>
    <n v="160000000"/>
    <m/>
    <m/>
    <m/>
    <m/>
    <m/>
    <m/>
    <m/>
    <m/>
    <m/>
    <m/>
    <m/>
    <m/>
    <m/>
    <m/>
    <m/>
    <m/>
    <m/>
    <m/>
    <n v="160000000"/>
    <n v="160000000"/>
    <n v="1"/>
    <n v="0"/>
    <s v="-"/>
    <n v="0"/>
    <s v="LIQUIDADA"/>
    <n v="0"/>
  </r>
  <r>
    <x v="2"/>
    <s v="ADIMCOL"/>
    <x v="0"/>
    <s v="05-019-20"/>
    <n v="396985"/>
    <s v="TOLIMA"/>
    <d v="2021-03-01T00:00:00"/>
    <n v="199336000"/>
    <m/>
    <n v="10700000"/>
    <n v="15079100"/>
    <m/>
    <n v="30201796"/>
    <n v="21000000"/>
    <n v="5280000"/>
    <m/>
    <n v="23511336"/>
    <n v="10700000"/>
    <n v="33077847"/>
    <n v="23470261"/>
    <m/>
    <m/>
    <n v="11755660"/>
    <n v="14560000"/>
    <m/>
    <m/>
    <m/>
    <n v="199336000"/>
    <n v="1"/>
    <n v="8"/>
    <d v="2022-02-07T00:00:00"/>
    <n v="0"/>
    <s v="EN EJECUCIÓN"/>
    <n v="11"/>
  </r>
  <r>
    <x v="0"/>
    <s v="FENACHO"/>
    <x v="0"/>
    <s v="08-014-20"/>
    <n v="396499"/>
    <s v="GUAVIARE"/>
    <d v="2021-02-24T00:00:00"/>
    <n v="200000000"/>
    <m/>
    <m/>
    <n v="10700000"/>
    <m/>
    <n v="7135666"/>
    <n v="7135666"/>
    <n v="14077833"/>
    <n v="38813000"/>
    <n v="7135666"/>
    <n v="3377833"/>
    <n v="8260000"/>
    <n v="53768666"/>
    <n v="22017833"/>
    <n v="16877833"/>
    <n v="10700000"/>
    <m/>
    <m/>
    <m/>
    <m/>
    <n v="199999996"/>
    <n v="0.99999998000000001"/>
    <n v="14"/>
    <d v="2022-04-04T00:00:00"/>
    <n v="4"/>
    <s v="EN EJECUCIÓN"/>
    <n v="12"/>
  </r>
  <r>
    <x v="3"/>
    <s v="ASPROPHACAL"/>
    <x v="0"/>
    <s v="02-016-20"/>
    <n v="397365"/>
    <s v="CALDAS"/>
    <d v="2021-03-12T00:00:00"/>
    <n v="164840000"/>
    <m/>
    <m/>
    <m/>
    <m/>
    <n v="10700000"/>
    <m/>
    <m/>
    <m/>
    <m/>
    <m/>
    <m/>
    <m/>
    <m/>
    <m/>
    <m/>
    <m/>
    <m/>
    <m/>
    <n v="154139900"/>
    <n v="164839900"/>
    <n v="0.99999939335112842"/>
    <n v="4"/>
    <s v="-"/>
    <n v="100"/>
    <s v="LIQUIDACIÓN ANT."/>
    <n v="1"/>
  </r>
  <r>
    <x v="0"/>
    <s v="PECES LA DORADA"/>
    <x v="0"/>
    <s v="08-001-20"/>
    <n v="396429"/>
    <s v="PUTUMAYO"/>
    <d v="2021-02-24T00:00:00"/>
    <n v="174990000"/>
    <m/>
    <n v="10500000"/>
    <m/>
    <m/>
    <m/>
    <n v="64060944"/>
    <n v="4879833"/>
    <m/>
    <n v="15379833"/>
    <n v="32438666"/>
    <n v="8006000"/>
    <n v="15461499"/>
    <n v="13762670"/>
    <m/>
    <n v="10500000"/>
    <m/>
    <m/>
    <m/>
    <m/>
    <n v="174989445"/>
    <n v="0.99999682839019377"/>
    <n v="14"/>
    <d v="2022-02-10T00:00:00"/>
    <n v="555"/>
    <s v="EN EJECUCIÓN"/>
    <n v="9"/>
  </r>
  <r>
    <x v="0"/>
    <s v="AGROALPUTUMAYO"/>
    <x v="0"/>
    <s v="08-002-20"/>
    <n v="396493"/>
    <s v="PUTUMAYO"/>
    <d v="2021-02-24T00:00:00"/>
    <n v="200000000"/>
    <m/>
    <n v="10700000"/>
    <n v="1754666"/>
    <n v="2877333"/>
    <n v="25077333"/>
    <n v="5377333"/>
    <n v="45210333"/>
    <n v="2500000"/>
    <n v="12755666"/>
    <n v="62410833"/>
    <n v="5377833"/>
    <n v="7627833"/>
    <n v="7627837"/>
    <m/>
    <n v="10700000"/>
    <m/>
    <m/>
    <m/>
    <m/>
    <n v="199997000"/>
    <n v="0.99998500000000001"/>
    <n v="14"/>
    <d v="2022-02-18T00:00:00"/>
    <n v="3000"/>
    <s v="EN EJECUCIÓN"/>
    <n v="13"/>
  </r>
  <r>
    <x v="0"/>
    <s v="ASOPEZ"/>
    <x v="0"/>
    <s v="08-004-20"/>
    <n v="396426"/>
    <s v="PUTUMAYO"/>
    <d v="2021-02-24T00:00:00"/>
    <n v="200000000"/>
    <m/>
    <n v="10500000"/>
    <m/>
    <m/>
    <m/>
    <n v="66679159"/>
    <n v="4879833"/>
    <m/>
    <n v="18259666"/>
    <n v="46609573"/>
    <m/>
    <n v="28803499"/>
    <m/>
    <n v="13760670"/>
    <n v="10500000"/>
    <m/>
    <m/>
    <m/>
    <m/>
    <n v="199992400"/>
    <n v="0.99996200000000002"/>
    <n v="14"/>
    <d v="2022-02-09T00:00:00"/>
    <n v="7600"/>
    <s v="EN EJECUCIÓN"/>
    <n v="8"/>
  </r>
  <r>
    <x v="0"/>
    <s v="SANAGROS"/>
    <x v="0"/>
    <s v="08-005-20"/>
    <n v="396431"/>
    <s v="PUTUMAYO"/>
    <d v="2021-02-24T00:00:00"/>
    <n v="199894000"/>
    <m/>
    <n v="10700000"/>
    <n v="1755666"/>
    <n v="5877833"/>
    <n v="13577833"/>
    <n v="12877833"/>
    <n v="41797833"/>
    <m/>
    <n v="11755666"/>
    <n v="60209433"/>
    <n v="8877833"/>
    <n v="10877833"/>
    <n v="10877837"/>
    <m/>
    <n v="10700000"/>
    <m/>
    <m/>
    <m/>
    <m/>
    <n v="199885600"/>
    <n v="0.99995797772819595"/>
    <n v="14"/>
    <d v="2022-02-19T00:00:00"/>
    <n v="8400"/>
    <s v="EN EJECUCIÓN"/>
    <n v="12"/>
  </r>
  <r>
    <x v="3"/>
    <s v="ASOMUCHACHA"/>
    <x v="0"/>
    <s v="02-020-20"/>
    <n v="396523"/>
    <s v="ANTIOQUIA"/>
    <d v="2021-02-25T00:00:00"/>
    <n v="122349000"/>
    <m/>
    <n v="10700000"/>
    <m/>
    <n v="16785830"/>
    <n v="11042430"/>
    <n v="6085830"/>
    <n v="6104000"/>
    <n v="10416000"/>
    <n v="15455660"/>
    <n v="6085830"/>
    <m/>
    <n v="15929660"/>
    <m/>
    <n v="13031354"/>
    <m/>
    <n v="10700000"/>
    <m/>
    <m/>
    <m/>
    <n v="122336594"/>
    <n v="0.99989860154149202"/>
    <n v="13"/>
    <d v="2022-02-10T00:00:00"/>
    <n v="12406"/>
    <s v="EN EJECUCIÓN"/>
    <n v="11"/>
  </r>
  <r>
    <x v="0"/>
    <s v="COMUCCOM"/>
    <x v="0"/>
    <s v="08-009-20"/>
    <n v="396491"/>
    <s v="PUTUMAYO"/>
    <d v="2021-02-24T00:00:00"/>
    <n v="198865000"/>
    <m/>
    <m/>
    <n v="10500000"/>
    <m/>
    <n v="26755666"/>
    <n v="43673470"/>
    <m/>
    <m/>
    <n v="23133250"/>
    <n v="56043833"/>
    <n v="4000000"/>
    <n v="12481499"/>
    <n v="11754670"/>
    <m/>
    <n v="10500000"/>
    <m/>
    <m/>
    <m/>
    <m/>
    <n v="198842388"/>
    <n v="0.99988629472255053"/>
    <n v="14"/>
    <d v="2022-02-11T00:00:00"/>
    <n v="22612"/>
    <s v="EN EJECUCIÓN"/>
    <n v="9"/>
  </r>
  <r>
    <x v="3"/>
    <s v="ASOPROCHOER"/>
    <x v="0"/>
    <s v="02-015-20"/>
    <n v="396500"/>
    <s v="CALDAS"/>
    <d v="2021-02-25T00:00:00"/>
    <n v="164650000"/>
    <m/>
    <n v="10700000"/>
    <m/>
    <m/>
    <m/>
    <n v="10700000"/>
    <n v="12277100"/>
    <n v="4556900"/>
    <n v="18690025"/>
    <m/>
    <n v="48232500"/>
    <n v="2106800"/>
    <n v="18233800"/>
    <n v="28433803.140000001"/>
    <n v="10700000"/>
    <m/>
    <m/>
    <m/>
    <m/>
    <n v="164630928.13999999"/>
    <n v="0.99988416726389306"/>
    <n v="13"/>
    <d v="2022-04-20T00:00:00"/>
    <n v="19071.860000014305"/>
    <s v="EN EJECUCIÓN"/>
    <n v="10"/>
  </r>
  <r>
    <x v="0"/>
    <s v="ASOGASIB"/>
    <x v="0"/>
    <s v="08-006-20"/>
    <n v="396893"/>
    <s v="PUTUMAYO"/>
    <d v="2021-02-25T00:00:00"/>
    <n v="200000000"/>
    <m/>
    <n v="10700000"/>
    <n v="1755666"/>
    <m/>
    <n v="23455500"/>
    <n v="8877750"/>
    <n v="46588850"/>
    <m/>
    <n v="23455500"/>
    <n v="46708850"/>
    <n v="6377750"/>
    <n v="10627667"/>
    <n v="9750000"/>
    <n v="877667"/>
    <n v="10700000"/>
    <m/>
    <m/>
    <m/>
    <m/>
    <n v="199875200"/>
    <n v="0.99937600000000004"/>
    <n v="14"/>
    <d v="2022-02-17T00:00:00"/>
    <n v="124800"/>
    <s v="EN EJECUCIÓN"/>
    <n v="12"/>
  </r>
  <r>
    <x v="0"/>
    <s v="ASAV"/>
    <x v="0"/>
    <s v="08-003-20"/>
    <n v="396430"/>
    <s v="PUTUMAYO"/>
    <d v="2021-02-24T00:00:00"/>
    <n v="199734000"/>
    <m/>
    <n v="10700000"/>
    <n v="6088666"/>
    <n v="5210833"/>
    <n v="20710833"/>
    <n v="49798833"/>
    <n v="5210833"/>
    <m/>
    <n v="18788666"/>
    <n v="47465833"/>
    <n v="2877833"/>
    <n v="3877833"/>
    <n v="17000000"/>
    <n v="877833"/>
    <n v="10700000"/>
    <m/>
    <m/>
    <m/>
    <m/>
    <n v="199307996"/>
    <n v="0.99786714330058979"/>
    <n v="14"/>
    <d v="2022-02-16T00:00:00"/>
    <n v="426004"/>
    <s v="EN EJECUCIÓN"/>
    <n v="13"/>
  </r>
  <r>
    <x v="0"/>
    <s v="AJERV"/>
    <x v="0"/>
    <s v="08-008-20"/>
    <n v="396428"/>
    <s v="PUTUMAYO"/>
    <d v="2021-02-24T00:00:00"/>
    <n v="159897000"/>
    <m/>
    <n v="10500000"/>
    <m/>
    <m/>
    <n v="2633250"/>
    <n v="54455500"/>
    <m/>
    <n v="1320000"/>
    <n v="24255500"/>
    <m/>
    <n v="4877750"/>
    <n v="30261250"/>
    <m/>
    <n v="19755500"/>
    <n v="10500000"/>
    <m/>
    <m/>
    <m/>
    <m/>
    <n v="158558750"/>
    <n v="0.99163054966634767"/>
    <n v="14"/>
    <d v="2022-02-12T00:00:00"/>
    <n v="1338250"/>
    <s v="EN EJECUCIÓN"/>
    <n v="9"/>
  </r>
  <r>
    <x v="3"/>
    <s v="ASPROFIL"/>
    <x v="0"/>
    <s v="02-003-20"/>
    <n v="396812"/>
    <s v="QUINDIO"/>
    <d v="2021-02-25T00:00:00"/>
    <n v="179623000"/>
    <m/>
    <m/>
    <m/>
    <m/>
    <n v="8000000"/>
    <n v="3877000"/>
    <n v="3877000"/>
    <n v="3877000"/>
    <n v="25040000"/>
    <n v="13477750"/>
    <n v="37565594"/>
    <n v="14000000"/>
    <m/>
    <n v="7754000"/>
    <m/>
    <n v="58666290"/>
    <m/>
    <m/>
    <m/>
    <n v="176134634"/>
    <n v="0.9805795137593738"/>
    <n v="13"/>
    <d v="2022-06-01T00:00:00"/>
    <n v="3488366"/>
    <s v="EN EJECUCIÓN"/>
    <n v="10"/>
  </r>
  <r>
    <x v="0"/>
    <s v="AGROPAUJIL"/>
    <x v="0"/>
    <s v="08-015-20"/>
    <n v="396881"/>
    <s v="CAQUETA"/>
    <d v="2021-02-25T00:00:00"/>
    <n v="200000000"/>
    <m/>
    <n v="10700000"/>
    <m/>
    <n v="10700000"/>
    <n v="8000000"/>
    <n v="19520000"/>
    <n v="26450000"/>
    <n v="25900000"/>
    <n v="5500000"/>
    <n v="40570000"/>
    <n v="5500000"/>
    <n v="16266500"/>
    <n v="5500000"/>
    <n v="10255500"/>
    <n v="10700000"/>
    <m/>
    <m/>
    <m/>
    <m/>
    <n v="195562000"/>
    <n v="0.97780999999999996"/>
    <n v="13"/>
    <d v="2022-03-17T00:00:00"/>
    <n v="4438000"/>
    <s v="EN EJECUCIÓN"/>
    <n v="13"/>
  </r>
  <r>
    <x v="4"/>
    <s v="COONOGALES"/>
    <x v="0"/>
    <s v="01-010-20"/>
    <n v="396855"/>
    <s v="VALLE DEL CAUCA"/>
    <d v="2021-02-25T00:00:00"/>
    <n v="200000000"/>
    <m/>
    <m/>
    <m/>
    <n v="20700000"/>
    <m/>
    <n v="26200000"/>
    <n v="500000"/>
    <m/>
    <n v="1000000"/>
    <m/>
    <m/>
    <n v="42670051"/>
    <m/>
    <n v="39200000"/>
    <n v="31701000"/>
    <n v="33502058"/>
    <m/>
    <m/>
    <m/>
    <n v="195473109"/>
    <n v="0.97736554499999995"/>
    <n v="11"/>
    <d v="2022-06-30T00:00:00"/>
    <n v="4526891"/>
    <s v="EN EJECUCIÓN"/>
    <n v="8"/>
  </r>
  <r>
    <x v="4"/>
    <s v="APROPESCA"/>
    <x v="0"/>
    <s v="01-005-20"/>
    <n v="396505"/>
    <s v="CAUCA"/>
    <d v="2021-02-25T00:00:00"/>
    <n v="199800000"/>
    <m/>
    <m/>
    <m/>
    <m/>
    <m/>
    <n v="15700000"/>
    <n v="21180000"/>
    <m/>
    <n v="52173500"/>
    <n v="40590623"/>
    <n v="28761469"/>
    <n v="600000"/>
    <m/>
    <n v="24238184"/>
    <n v="11300000"/>
    <m/>
    <m/>
    <m/>
    <m/>
    <n v="194543776"/>
    <n v="0.97369257257257258"/>
    <n v="11"/>
    <d v="2022-03-19T00:00:00"/>
    <n v="5256224"/>
    <s v="EN EJECUCIÓN"/>
    <n v="8"/>
  </r>
  <r>
    <x v="5"/>
    <s v="ASEGAVA"/>
    <x v="0"/>
    <s v="07-018-20"/>
    <n v="396578"/>
    <s v="ARAUCA"/>
    <d v="2021-02-24T00:00:00"/>
    <n v="132533000"/>
    <m/>
    <n v="10700000"/>
    <m/>
    <m/>
    <n v="11577833"/>
    <n v="9000000"/>
    <n v="8633499"/>
    <n v="3877833"/>
    <n v="14400000"/>
    <m/>
    <n v="877833"/>
    <n v="26217833"/>
    <n v="17783499"/>
    <n v="877833"/>
    <n v="18933837"/>
    <n v="6000000"/>
    <m/>
    <m/>
    <m/>
    <n v="128880000"/>
    <n v="0.97243705341311215"/>
    <n v="12"/>
    <d v="2022-03-22T00:00:00"/>
    <n v="3653000"/>
    <s v="EN EJECUCIÓN"/>
    <n v="12"/>
  </r>
  <r>
    <x v="3"/>
    <s v="AMMUCAMP"/>
    <x v="0"/>
    <s v="02-007-20"/>
    <n v="396520"/>
    <s v="RISARALDA"/>
    <d v="2021-02-25T00:00:00"/>
    <n v="200000000"/>
    <m/>
    <n v="10700000"/>
    <m/>
    <m/>
    <n v="10700000"/>
    <n v="9255668"/>
    <m/>
    <n v="9255668"/>
    <n v="61731833.640000001"/>
    <n v="19077834"/>
    <m/>
    <n v="60181176.710000001"/>
    <m/>
    <n v="3377834"/>
    <n v="9255668"/>
    <n v="877826"/>
    <m/>
    <m/>
    <m/>
    <n v="194413508.34999999"/>
    <n v="0.97206754174999999"/>
    <n v="13"/>
    <d v="2022-04-07T00:00:00"/>
    <n v="5586491.650000006"/>
    <s v="EN EJECUCIÓN"/>
    <n v="10"/>
  </r>
  <r>
    <x v="5"/>
    <s v="ASOPROAGRO SARARE"/>
    <x v="0"/>
    <s v="07-010-20"/>
    <n v="397208"/>
    <s v="ARAUCA"/>
    <d v="2021-03-12T00:00:00"/>
    <n v="169987000"/>
    <m/>
    <m/>
    <n v="10700000"/>
    <m/>
    <n v="3377833"/>
    <n v="24835233"/>
    <n v="18669873"/>
    <n v="5000000"/>
    <n v="4107833"/>
    <n v="8950000"/>
    <m/>
    <n v="45783000"/>
    <n v="3230000"/>
    <m/>
    <n v="39886202"/>
    <m/>
    <m/>
    <m/>
    <m/>
    <n v="164539974"/>
    <n v="0.96795622018154326"/>
    <n v="13"/>
    <d v="2022-04-21T00:00:00"/>
    <n v="5447026"/>
    <s v="EN EJECUCIÓN"/>
    <n v="10"/>
  </r>
  <r>
    <x v="5"/>
    <s v="ASOLESACA"/>
    <x v="0"/>
    <s v="07-007-20"/>
    <n v="396609"/>
    <s v="CASANARE"/>
    <d v="2021-02-24T00:00:00"/>
    <n v="200000000"/>
    <m/>
    <n v="10700000"/>
    <m/>
    <n v="3000000"/>
    <n v="8155666"/>
    <n v="6800000"/>
    <n v="6000000"/>
    <n v="21733499"/>
    <m/>
    <n v="40788047.299999997"/>
    <m/>
    <n v="57251959.700000003"/>
    <m/>
    <n v="30783666"/>
    <m/>
    <n v="6400000"/>
    <m/>
    <m/>
    <m/>
    <n v="191612838"/>
    <n v="0.95806418999999998"/>
    <n v="13"/>
    <d v="2022-04-27T00:00:00"/>
    <n v="8387162"/>
    <s v="EN EJECUCIÓN"/>
    <n v="10"/>
  </r>
  <r>
    <x v="4"/>
    <s v="SAN NICOLAS"/>
    <x v="0"/>
    <s v="01-019-20"/>
    <n v="397343"/>
    <s v="NARIÑO"/>
    <d v="2021-03-12T00:00:00"/>
    <n v="184180000"/>
    <m/>
    <m/>
    <n v="10700000"/>
    <m/>
    <n v="11700000"/>
    <n v="29000000"/>
    <m/>
    <m/>
    <m/>
    <n v="6900000"/>
    <n v="3300000"/>
    <n v="22200080"/>
    <n v="22116000"/>
    <n v="8500000"/>
    <n v="45900000"/>
    <n v="16000000"/>
    <m/>
    <m/>
    <m/>
    <n v="176316080"/>
    <n v="0.95730307308068197"/>
    <n v="11"/>
    <d v="2022-06-25T00:00:00"/>
    <n v="7863920"/>
    <s v="EN EJECUCIÓN"/>
    <n v="10"/>
  </r>
  <r>
    <x v="4"/>
    <s v="ASOINAP"/>
    <x v="0"/>
    <s v="01-013-20"/>
    <n v="397235"/>
    <s v="NARIÑO"/>
    <d v="2021-03-12T00:00:00"/>
    <n v="199296000"/>
    <m/>
    <m/>
    <m/>
    <m/>
    <m/>
    <m/>
    <m/>
    <m/>
    <m/>
    <m/>
    <n v="22200000"/>
    <n v="23000000"/>
    <n v="31000000"/>
    <n v="18450000"/>
    <n v="65864400"/>
    <n v="29296000"/>
    <m/>
    <m/>
    <m/>
    <n v="189810400"/>
    <n v="0.95240446371226717"/>
    <n v="10"/>
    <d v="2022-07-21T00:00:00"/>
    <n v="9485600"/>
    <s v="EN EJECUCIÓN"/>
    <n v="6"/>
  </r>
  <r>
    <x v="5"/>
    <s v="ASOPANEL"/>
    <x v="0"/>
    <s v="07-003-20"/>
    <n v="397011"/>
    <s v="META"/>
    <d v="2021-03-01T00:00:00"/>
    <n v="200000000"/>
    <m/>
    <n v="10700000"/>
    <m/>
    <n v="3500000"/>
    <n v="19833499"/>
    <n v="10377833"/>
    <m/>
    <m/>
    <n v="10500000"/>
    <m/>
    <n v="20500000"/>
    <n v="55751998"/>
    <m/>
    <n v="58136666"/>
    <m/>
    <m/>
    <m/>
    <m/>
    <m/>
    <n v="189299996"/>
    <n v="0.94649998000000002"/>
    <n v="13"/>
    <d v="2022-04-22T00:00:00"/>
    <n v="10700004"/>
    <s v="EN EJECUCIÓN"/>
    <n v="8"/>
  </r>
  <r>
    <x v="6"/>
    <s v="ASOFRUTAS"/>
    <x v="0"/>
    <s v="06-011-20"/>
    <n v="396879"/>
    <s v="NORTE DE SANTANDER"/>
    <d v="2021-02-25T00:00:00"/>
    <n v="199942636"/>
    <m/>
    <m/>
    <n v="10700000"/>
    <n v="6000000"/>
    <n v="6000000"/>
    <n v="16700000"/>
    <n v="6000000"/>
    <m/>
    <n v="12000000"/>
    <m/>
    <m/>
    <n v="42530649.990000002"/>
    <m/>
    <n v="27000000"/>
    <n v="56310649.990000002"/>
    <n v="6000000"/>
    <m/>
    <m/>
    <m/>
    <n v="189241299.98000002"/>
    <n v="0.94647796871098577"/>
    <n v="13"/>
    <d v="2022-07-15T00:00:00"/>
    <n v="10701336.019999981"/>
    <s v="EN EJECUCIÓN"/>
    <n v="10"/>
  </r>
  <r>
    <x v="6"/>
    <s v="ASOCAMC"/>
    <x v="0"/>
    <s v="06-001-20"/>
    <n v="397316"/>
    <s v="SANTANDER"/>
    <d v="2021-03-05T00:00:00"/>
    <n v="200000000"/>
    <m/>
    <n v="10700000"/>
    <m/>
    <n v="6020000"/>
    <n v="20736000"/>
    <n v="6020000"/>
    <n v="3700000"/>
    <n v="34800000"/>
    <n v="6020000"/>
    <n v="10700000"/>
    <n v="6020000"/>
    <n v="12040000"/>
    <n v="60340000"/>
    <n v="12040000"/>
    <m/>
    <m/>
    <m/>
    <m/>
    <m/>
    <n v="189136000"/>
    <n v="0.94567999999999997"/>
    <n v="13"/>
    <d v="2022-02-24T00:00:00"/>
    <n v="10864000"/>
    <s v="EN EJECUCIÓN"/>
    <n v="12"/>
  </r>
  <r>
    <x v="1"/>
    <s v="FUNGACAM"/>
    <x v="0"/>
    <s v="03-016-20"/>
    <n v="396997"/>
    <s v="ATLANTICO"/>
    <d v="2021-02-26T00:00:00"/>
    <n v="199565000"/>
    <m/>
    <m/>
    <n v="10000000"/>
    <n v="14769750.4"/>
    <n v="12315250"/>
    <n v="25577750"/>
    <n v="10977750"/>
    <n v="10100000"/>
    <n v="11855500"/>
    <n v="25469749.600000001"/>
    <n v="10000000"/>
    <n v="11855500"/>
    <n v="6177750"/>
    <n v="15400000"/>
    <n v="9900000"/>
    <n v="14300000"/>
    <m/>
    <m/>
    <m/>
    <n v="188699000"/>
    <n v="0.94555157467491791"/>
    <n v="12"/>
    <d v="2022-03-02T00:00:00"/>
    <n v="10866000"/>
    <s v="EN EJECUCIÓN"/>
    <n v="14"/>
  </r>
  <r>
    <x v="5"/>
    <s v="ASOPCARI"/>
    <x v="0"/>
    <s v="07-006-20"/>
    <n v="397072"/>
    <s v="META"/>
    <d v="2021-03-01T00:00:00"/>
    <n v="199940000"/>
    <n v="10700000"/>
    <m/>
    <m/>
    <n v="6500000"/>
    <n v="16833499"/>
    <n v="10377833"/>
    <m/>
    <n v="8755666"/>
    <m/>
    <m/>
    <n v="29209000"/>
    <n v="54011332"/>
    <m/>
    <n v="3500000"/>
    <n v="1755666"/>
    <n v="47200000"/>
    <m/>
    <m/>
    <m/>
    <n v="188842996"/>
    <n v="0.94449832949884971"/>
    <n v="13"/>
    <d v="2022-05-23T00:00:00"/>
    <n v="11097004"/>
    <s v="EN EJECUCIÓN"/>
    <n v="10"/>
  </r>
  <r>
    <x v="4"/>
    <s v="FUNMUFROT"/>
    <x v="0"/>
    <s v="01-007-20"/>
    <n v="396811"/>
    <s v="VALLE DEL CAUCA"/>
    <d v="2021-02-25T00:00:00"/>
    <n v="200000000"/>
    <m/>
    <m/>
    <n v="16300000"/>
    <n v="5600000"/>
    <n v="500000"/>
    <n v="26100000"/>
    <m/>
    <n v="46500000"/>
    <m/>
    <n v="12200000"/>
    <m/>
    <n v="72200000"/>
    <n v="1000000"/>
    <n v="5600000"/>
    <m/>
    <n v="2800000"/>
    <m/>
    <m/>
    <m/>
    <n v="188800000"/>
    <n v="0.94399999999999995"/>
    <n v="11"/>
    <d v="2022-02-16T00:00:00"/>
    <n v="11200000"/>
    <s v="EN EJECUCIÓN"/>
    <n v="10"/>
  </r>
  <r>
    <x v="3"/>
    <s v="ASOPACO"/>
    <x v="0"/>
    <s v="02-023-20"/>
    <n v="396859"/>
    <s v="ANTIOQUIA"/>
    <d v="2021-02-25T00:00:00"/>
    <n v="184960000"/>
    <m/>
    <m/>
    <n v="10700000"/>
    <m/>
    <m/>
    <n v="13900000"/>
    <n v="6900000"/>
    <n v="7716000"/>
    <n v="10100000"/>
    <n v="28810000"/>
    <n v="17600000"/>
    <n v="6900000"/>
    <m/>
    <n v="17500000"/>
    <n v="38237438.120000005"/>
    <n v="15895482.82"/>
    <m/>
    <m/>
    <m/>
    <n v="174258920.94"/>
    <n v="0.94214381996107266"/>
    <n v="13"/>
    <d v="2022-04-04T00:00:00"/>
    <n v="10701079.060000002"/>
    <s v="EN EJECUCIÓN"/>
    <n v="11"/>
  </r>
  <r>
    <x v="1"/>
    <s v="ASOMUPEAUNISAL"/>
    <x v="0"/>
    <s v="03-018-20"/>
    <n v="396996"/>
    <s v="ATLANTICO"/>
    <d v="2021-02-26T00:00:00"/>
    <n v="199999999"/>
    <n v="10000000"/>
    <m/>
    <m/>
    <m/>
    <m/>
    <n v="13555500"/>
    <n v="18877750"/>
    <n v="3877750"/>
    <n v="3877750"/>
    <n v="23202216.539999999"/>
    <n v="21498588.23"/>
    <n v="44644000"/>
    <n v="13810411.77"/>
    <n v="10755500"/>
    <n v="18813935.449999999"/>
    <n v="5500000"/>
    <m/>
    <m/>
    <m/>
    <n v="188413401.98999998"/>
    <n v="0.94206701466033493"/>
    <n v="12"/>
    <d v="2022-05-25T00:00:00"/>
    <n v="11586597.01000002"/>
    <s v="EN EJECUCIÓN"/>
    <n v="12"/>
  </r>
  <r>
    <x v="1"/>
    <s v="ASOMUVICA"/>
    <x v="0"/>
    <s v="03-006-20"/>
    <n v="396506"/>
    <s v="BOLIVAR"/>
    <d v="2021-02-25T00:00:00"/>
    <n v="200000000"/>
    <m/>
    <m/>
    <n v="84429000"/>
    <n v="7660000"/>
    <m/>
    <n v="4138000"/>
    <n v="45036000"/>
    <n v="13960000"/>
    <n v="878000"/>
    <n v="5031000"/>
    <n v="9000000"/>
    <m/>
    <n v="12459000"/>
    <n v="4756000"/>
    <n v="876000"/>
    <m/>
    <m/>
    <m/>
    <m/>
    <n v="188223000"/>
    <n v="0.94111500000000003"/>
    <n v="13"/>
    <d v="2021-11-24T00:00:00"/>
    <n v="11777000"/>
    <s v="EN EJECUCIÓN"/>
    <n v="11"/>
  </r>
  <r>
    <x v="0"/>
    <s v="ASOMUJERES"/>
    <x v="0"/>
    <s v="08-016-20"/>
    <n v="396498"/>
    <s v="GUAVIARE"/>
    <d v="2021-02-24T00:00:00"/>
    <n v="180000000"/>
    <m/>
    <n v="10700000"/>
    <m/>
    <m/>
    <m/>
    <n v="9269332"/>
    <n v="19457333"/>
    <n v="37310333"/>
    <n v="6257333"/>
    <m/>
    <n v="10014666"/>
    <n v="20714666"/>
    <n v="46812996"/>
    <n v="3757333"/>
    <n v="2500000"/>
    <n v="2500000"/>
    <m/>
    <m/>
    <m/>
    <n v="169293992"/>
    <n v="0.9405221777777778"/>
    <n v="14"/>
    <d v="2022-04-04T00:00:00"/>
    <n v="10706008"/>
    <s v="EN EJECUCIÓN"/>
    <n v="11"/>
  </r>
  <r>
    <x v="6"/>
    <s v="AROMA DE PAZ"/>
    <x v="0"/>
    <s v="06-003-20"/>
    <n v="396877"/>
    <s v="SANTANDER"/>
    <d v="2021-02-25T00:00:00"/>
    <n v="175000000"/>
    <m/>
    <n v="10700000"/>
    <m/>
    <m/>
    <n v="9330000"/>
    <n v="5700000"/>
    <m/>
    <n v="48350000"/>
    <n v="7061000"/>
    <n v="2700000"/>
    <n v="28382700"/>
    <n v="22100000"/>
    <n v="3000000"/>
    <n v="5700000"/>
    <n v="15764038"/>
    <n v="5700000"/>
    <m/>
    <m/>
    <m/>
    <n v="164487738"/>
    <n v="0.9399299314285714"/>
    <n v="13"/>
    <d v="2022-03-17T00:00:00"/>
    <n v="10512262"/>
    <s v="EN EJECUCIÓN"/>
    <n v="12"/>
  </r>
  <r>
    <x v="3"/>
    <s v="ASGROCALMO"/>
    <x v="0"/>
    <s v="02-011-20"/>
    <n v="396508"/>
    <s v="CALDAS"/>
    <d v="2021-02-26T00:00:00"/>
    <n v="189990000"/>
    <m/>
    <m/>
    <m/>
    <m/>
    <n v="10700000"/>
    <n v="3806000"/>
    <n v="7606000"/>
    <n v="10700000"/>
    <n v="7606000"/>
    <n v="8781833"/>
    <n v="2633499"/>
    <n v="59206000"/>
    <n v="5328400"/>
    <n v="22226233"/>
    <n v="34235000"/>
    <n v="5328400"/>
    <m/>
    <m/>
    <m/>
    <n v="178157365"/>
    <n v="0.93771969577346181"/>
    <n v="12"/>
    <d v="2022-06-28T00:00:00"/>
    <n v="11832635"/>
    <s v="EN EJECUCIÓN"/>
    <n v="12"/>
  </r>
  <r>
    <x v="0"/>
    <s v="ASOPIG"/>
    <x v="0"/>
    <s v="08-007-20"/>
    <n v="396433"/>
    <s v="GUAINIA"/>
    <d v="2021-02-24T00:00:00"/>
    <n v="200000000"/>
    <m/>
    <n v="10700000"/>
    <m/>
    <m/>
    <m/>
    <m/>
    <m/>
    <n v="10700000"/>
    <m/>
    <n v="53611000"/>
    <m/>
    <m/>
    <n v="10700000"/>
    <m/>
    <m/>
    <n v="101826500"/>
    <m/>
    <m/>
    <m/>
    <n v="187537500"/>
    <n v="0.93768750000000001"/>
    <n v="12"/>
    <d v="2022-06-15T00:00:00"/>
    <n v="12462500"/>
    <s v="EN EJECUCIÓN"/>
    <n v="5"/>
  </r>
  <r>
    <x v="6"/>
    <s v="ASOVIPLAYA"/>
    <x v="0"/>
    <s v="06-005-20"/>
    <n v="396504"/>
    <s v="NORTE DE SANTANDER"/>
    <d v="2021-02-25T00:00:00"/>
    <n v="170000000"/>
    <m/>
    <n v="10700000"/>
    <n v="500000"/>
    <n v="10162300"/>
    <n v="35964000"/>
    <n v="6100000"/>
    <n v="6100000"/>
    <n v="6100000"/>
    <n v="16800000"/>
    <n v="22552000.050000001"/>
    <n v="11485000.630000001"/>
    <n v="15003766.01"/>
    <n v="3100000"/>
    <n v="14700000"/>
    <m/>
    <m/>
    <m/>
    <m/>
    <m/>
    <n v="159267066.69"/>
    <n v="0.93686509817647057"/>
    <n v="13"/>
    <d v="2022-02-18T00:00:00"/>
    <n v="10732933.310000002"/>
    <s v="EN EJECUCIÓN"/>
    <n v="13"/>
  </r>
  <r>
    <x v="7"/>
    <s v="ANUC SINCE"/>
    <x v="0"/>
    <s v="03-005-20"/>
    <n v="396518"/>
    <s v="SUCRE"/>
    <d v="2021-02-24T00:00:00"/>
    <n v="200000000"/>
    <m/>
    <n v="10700000"/>
    <n v="2640000"/>
    <n v="13700000"/>
    <n v="54034000"/>
    <n v="6878000"/>
    <m/>
    <m/>
    <n v="3878000"/>
    <n v="25700000"/>
    <n v="3000000"/>
    <n v="54000000"/>
    <m/>
    <n v="3000000"/>
    <n v="8634000"/>
    <n v="878000"/>
    <m/>
    <m/>
    <m/>
    <n v="187042000"/>
    <n v="0.93520999999999999"/>
    <n v="10"/>
    <d v="2022-03-16T00:00:00"/>
    <n v="12958000"/>
    <s v="EN EJECUCIÓN"/>
    <n v="12"/>
  </r>
  <r>
    <x v="3"/>
    <s v="APITASA"/>
    <x v="0"/>
    <s v="02-012-20"/>
    <n v="396507"/>
    <s v="RISARALDA"/>
    <d v="2021-02-26T00:00:00"/>
    <n v="199994000"/>
    <m/>
    <n v="10700000"/>
    <m/>
    <m/>
    <n v="10700000"/>
    <n v="11755668"/>
    <n v="8012604"/>
    <n v="40713668"/>
    <n v="8377834"/>
    <n v="16577834"/>
    <m/>
    <n v="51578279"/>
    <n v="3920000"/>
    <n v="16777834"/>
    <n v="7633494"/>
    <m/>
    <m/>
    <m/>
    <m/>
    <n v="186747215"/>
    <n v="0.93376408792263765"/>
    <n v="13"/>
    <d v="2022-03-22T00:00:00"/>
    <n v="13246785"/>
    <s v="EN EJECUCIÓN"/>
    <n v="11"/>
  </r>
  <r>
    <x v="2"/>
    <s v="ASOHORTICULTORAS"/>
    <x v="0"/>
    <s v="05-005-20"/>
    <n v="396580"/>
    <s v="CUNDINAMARCA"/>
    <d v="2021-02-25T00:00:00"/>
    <n v="200000000"/>
    <m/>
    <m/>
    <m/>
    <n v="11577750"/>
    <n v="7000000"/>
    <n v="25855500"/>
    <n v="6320000"/>
    <n v="10877750"/>
    <n v="24926250"/>
    <m/>
    <n v="29877750"/>
    <n v="5633250"/>
    <n v="13700000"/>
    <n v="38971250"/>
    <n v="7277750"/>
    <n v="4077750"/>
    <m/>
    <m/>
    <m/>
    <n v="186095000"/>
    <n v="0.93047500000000005"/>
    <n v="10"/>
    <d v="2022-03-22T00:00:00"/>
    <n v="13905000"/>
    <s v="EN EJECUCIÓN"/>
    <n v="12"/>
  </r>
  <r>
    <x v="3"/>
    <s v="AFRICOLMENAS"/>
    <x v="0"/>
    <s v="02-018-20"/>
    <n v="396747"/>
    <s v="ANTIOQUIA"/>
    <d v="2021-02-25T00:00:00"/>
    <n v="149974000"/>
    <m/>
    <m/>
    <n v="10700000"/>
    <m/>
    <m/>
    <n v="15783333"/>
    <n v="5961166"/>
    <n v="6838999"/>
    <m/>
    <n v="877500"/>
    <n v="17567999.91"/>
    <n v="42092999"/>
    <n v="6000000"/>
    <n v="12443166"/>
    <n v="21008499"/>
    <m/>
    <m/>
    <m/>
    <m/>
    <n v="139273661.91"/>
    <n v="0.92865204575459748"/>
    <n v="13"/>
    <d v="2022-04-26T00:00:00"/>
    <n v="10700338.090000004"/>
    <s v="EN EJECUCIÓN"/>
    <n v="10"/>
  </r>
  <r>
    <x v="7"/>
    <s v="ASOCAMDEL"/>
    <x v="0"/>
    <s v="03-010-20"/>
    <n v="396517"/>
    <s v="CORDOBA"/>
    <d v="2021-02-24T00:00:00"/>
    <n v="169998000"/>
    <m/>
    <m/>
    <n v="10700000"/>
    <m/>
    <m/>
    <m/>
    <m/>
    <m/>
    <m/>
    <n v="2500000"/>
    <n v="12933499"/>
    <n v="2650000"/>
    <n v="54645000"/>
    <n v="2500000"/>
    <n v="51689165.150000006"/>
    <n v="19705666.059999999"/>
    <m/>
    <m/>
    <m/>
    <n v="157323330.21000001"/>
    <n v="0.92544224173225575"/>
    <n v="8"/>
    <d v="2022-08-11T00:00:00"/>
    <n v="12674669.789999992"/>
    <s v="EN EJECUCIÓN"/>
    <n v="8"/>
  </r>
  <r>
    <x v="2"/>
    <s v="ASOAGROPEL"/>
    <x v="0"/>
    <s v="05-007-20"/>
    <n v="396990"/>
    <s v="CUNDINAMARCA"/>
    <d v="2021-03-01T00:00:00"/>
    <n v="193827000"/>
    <m/>
    <m/>
    <n v="10700000"/>
    <n v="10700000"/>
    <n v="53383061.270000003"/>
    <m/>
    <n v="69081820.730000004"/>
    <n v="11653333"/>
    <m/>
    <m/>
    <n v="2700000"/>
    <n v="20886666"/>
    <m/>
    <m/>
    <m/>
    <m/>
    <m/>
    <m/>
    <m/>
    <n v="179104881"/>
    <n v="0.9240450556424028"/>
    <n v="9"/>
    <d v="2021-12-13T00:00:00"/>
    <n v="14722119"/>
    <s v="EN EJECUCIÓN"/>
    <n v="7"/>
  </r>
  <r>
    <x v="4"/>
    <s v="ASPROPAPA TOTORO"/>
    <x v="0"/>
    <s v="01-004-20"/>
    <n v="397312"/>
    <s v="CAUCA"/>
    <d v="2021-03-09T00:00:00"/>
    <n v="148787000"/>
    <m/>
    <m/>
    <m/>
    <m/>
    <n v="10700000"/>
    <m/>
    <m/>
    <n v="7000000"/>
    <n v="37785700"/>
    <n v="3500000"/>
    <n v="16200000"/>
    <n v="50381160"/>
    <m/>
    <n v="1000000"/>
    <m/>
    <n v="9500000"/>
    <m/>
    <m/>
    <m/>
    <n v="136066860"/>
    <n v="0.91450771908836126"/>
    <n v="11"/>
    <d v="2022-03-18T00:00:00"/>
    <n v="12720140"/>
    <s v="EN EJECUCIÓN"/>
    <n v="8"/>
  </r>
  <r>
    <x v="4"/>
    <s v="FORJANDO FUTURO"/>
    <x v="0"/>
    <s v="01-018-20"/>
    <n v="397076"/>
    <s v="NARIÑO"/>
    <d v="2021-03-09T00:00:00"/>
    <n v="173408000"/>
    <m/>
    <m/>
    <n v="10700000"/>
    <m/>
    <m/>
    <n v="5300000"/>
    <m/>
    <m/>
    <m/>
    <n v="6800000"/>
    <n v="16300000"/>
    <n v="32044500"/>
    <m/>
    <n v="78985000"/>
    <m/>
    <n v="8000000"/>
    <m/>
    <m/>
    <m/>
    <n v="158129500"/>
    <n v="0.91189276157962729"/>
    <n v="11"/>
    <d v="2022-06-01T00:00:00"/>
    <n v="15278500"/>
    <s v="EN EJECUCIÓN"/>
    <n v="7"/>
  </r>
  <r>
    <x v="3"/>
    <s v="AGROMUJER"/>
    <x v="0"/>
    <s v="02-005-20"/>
    <n v="396526"/>
    <s v="RISARALDA"/>
    <d v="2021-03-03T00:00:00"/>
    <n v="200000000"/>
    <m/>
    <m/>
    <m/>
    <n v="7000000"/>
    <m/>
    <m/>
    <m/>
    <n v="11200000"/>
    <n v="59090000"/>
    <n v="6100000"/>
    <n v="6100000"/>
    <n v="45550000"/>
    <m/>
    <n v="8900000"/>
    <n v="12200000"/>
    <n v="25608000.02"/>
    <m/>
    <m/>
    <m/>
    <n v="181748000.02000001"/>
    <n v="0.9087400001"/>
    <n v="12"/>
    <d v="2022-04-20T00:00:00"/>
    <n v="18251999.979999989"/>
    <s v="EN EJECUCIÓN"/>
    <n v="9"/>
  </r>
  <r>
    <x v="2"/>
    <s v="ASOAGROMOT"/>
    <x v="0"/>
    <s v="05-001-20"/>
    <n v="397340"/>
    <s v="BOYACA"/>
    <d v="2021-03-12T00:00:00"/>
    <n v="199949000"/>
    <m/>
    <m/>
    <m/>
    <m/>
    <n v="3927833"/>
    <n v="39391666"/>
    <n v="9000000"/>
    <n v="18405666"/>
    <n v="2900000"/>
    <n v="26331000.5"/>
    <n v="2900000"/>
    <n v="25369499"/>
    <n v="6827833"/>
    <n v="13197833"/>
    <n v="5950000"/>
    <n v="27276466"/>
    <m/>
    <m/>
    <m/>
    <n v="181477796.5"/>
    <n v="0.90762042570855572"/>
    <n v="8"/>
    <d v="2022-02-26T00:00:00"/>
    <n v="18471203.5"/>
    <s v="EN EJECUCIÓN"/>
    <n v="12"/>
  </r>
  <r>
    <x v="3"/>
    <s v="AMMUCID"/>
    <x v="0"/>
    <s v="02-008-20"/>
    <n v="396424"/>
    <s v="RISARALDA"/>
    <d v="2021-03-03T00:00:00"/>
    <n v="175000000"/>
    <m/>
    <n v="10700000"/>
    <m/>
    <m/>
    <m/>
    <n v="22455668"/>
    <m/>
    <n v="9255668"/>
    <n v="44177834"/>
    <n v="38007745.210000001"/>
    <n v="10700000"/>
    <n v="8653284"/>
    <m/>
    <n v="6837534"/>
    <n v="7633494"/>
    <m/>
    <m/>
    <m/>
    <m/>
    <n v="158421227.21000001"/>
    <n v="0.90526415548571437"/>
    <n v="13"/>
    <d v="2022-04-04T00:00:00"/>
    <n v="16578772.789999992"/>
    <s v="EN EJECUCIÓN"/>
    <n v="9"/>
  </r>
  <r>
    <x v="3"/>
    <s v="ASOPLAD"/>
    <x v="0"/>
    <s v="02-006-20"/>
    <n v="396510"/>
    <s v="RISARALDA"/>
    <d v="2021-02-25T00:00:00"/>
    <n v="187732000"/>
    <m/>
    <n v="10700000"/>
    <m/>
    <m/>
    <m/>
    <n v="19900000"/>
    <n v="5700000"/>
    <n v="37716000"/>
    <n v="6100000"/>
    <n v="44600000"/>
    <m/>
    <n v="11600000"/>
    <m/>
    <n v="8600000"/>
    <n v="18800000"/>
    <n v="6002800"/>
    <m/>
    <m/>
    <m/>
    <n v="169718800"/>
    <n v="0.90404832420684811"/>
    <n v="13"/>
    <d v="2022-04-06T00:00:00"/>
    <n v="18013200"/>
    <s v="EN EJECUCIÓN"/>
    <n v="10"/>
  </r>
  <r>
    <x v="5"/>
    <s v="CRGT - COMITÉ GANADEROS TAME"/>
    <x v="0"/>
    <s v="07-004-20"/>
    <n v="396494"/>
    <s v="ARAUCA"/>
    <d v="2021-02-24T00:00:00"/>
    <n v="200000000"/>
    <n v="10700000"/>
    <m/>
    <m/>
    <m/>
    <n v="42055666"/>
    <n v="16196003"/>
    <n v="8155666"/>
    <n v="10800000"/>
    <n v="9977833"/>
    <m/>
    <m/>
    <n v="33533499"/>
    <m/>
    <n v="29833499"/>
    <n v="19477837"/>
    <m/>
    <m/>
    <m/>
    <m/>
    <n v="180730003"/>
    <n v="0.90365001499999997"/>
    <n v="13"/>
    <d v="2022-03-23T00:00:00"/>
    <n v="19269997"/>
    <s v="EN EJECUCIÓN"/>
    <n v="9"/>
  </r>
  <r>
    <x v="3"/>
    <s v="ASOPROAGROPAR"/>
    <x v="0"/>
    <s v="02-026-20"/>
    <n v="397309"/>
    <s v="ANTIOQUIA"/>
    <d v="2021-03-05T00:00:00"/>
    <n v="160000000"/>
    <m/>
    <n v="10700000"/>
    <m/>
    <m/>
    <m/>
    <n v="10700000"/>
    <n v="3166000"/>
    <n v="8935500"/>
    <n v="4166000"/>
    <n v="24932000"/>
    <m/>
    <n v="8998000"/>
    <n v="16032000"/>
    <n v="22732000"/>
    <n v="8498000"/>
    <n v="25538000.25"/>
    <m/>
    <m/>
    <m/>
    <n v="144397500.25"/>
    <n v="0.90248437656250002"/>
    <n v="13"/>
    <d v="2022-04-28T00:00:00"/>
    <n v="15602499.75"/>
    <s v="EN EJECUCIÓN"/>
    <n v="11"/>
  </r>
  <r>
    <x v="2"/>
    <s v="ASOMUFRES"/>
    <x v="0"/>
    <s v="05-012-20"/>
    <n v="396612"/>
    <s v="TOLIMA"/>
    <d v="2021-02-25T00:00:00"/>
    <n v="197934000"/>
    <n v="10700000"/>
    <m/>
    <m/>
    <m/>
    <n v="32998000"/>
    <n v="20850666"/>
    <n v="7849666"/>
    <n v="5216666"/>
    <n v="10700000"/>
    <n v="5478000"/>
    <n v="45365332"/>
    <n v="17457000"/>
    <n v="8133332"/>
    <n v="6355000"/>
    <n v="5833332"/>
    <n v="1547000"/>
    <m/>
    <m/>
    <m/>
    <n v="178483994"/>
    <n v="0.90173489142845598"/>
    <n v="8"/>
    <d v="2022-02-08T00:00:00"/>
    <n v="19450006"/>
    <s v="EN EJECUCIÓN"/>
    <n v="13"/>
  </r>
  <r>
    <x v="2"/>
    <s v="APAACEGUTOL"/>
    <x v="0"/>
    <s v="05-022-20"/>
    <n v="396875"/>
    <s v="TOLIMA"/>
    <d v="2021-02-25T00:00:00"/>
    <n v="199994000"/>
    <n v="10700000"/>
    <m/>
    <m/>
    <m/>
    <n v="62065409"/>
    <n v="15953409"/>
    <n v="26985000"/>
    <m/>
    <m/>
    <m/>
    <n v="15075606"/>
    <n v="15953409"/>
    <n v="33512999.93"/>
    <m/>
    <m/>
    <m/>
    <m/>
    <m/>
    <m/>
    <n v="180245832.93000001"/>
    <n v="0.90125620233607007"/>
    <n v="8"/>
    <d v="2021-12-11T00:00:00"/>
    <n v="19748167.069999993"/>
    <s v="EN EJECUCIÓN"/>
    <n v="7"/>
  </r>
  <r>
    <x v="5"/>
    <s v="ASOLECT"/>
    <x v="0"/>
    <s v="07-017-20"/>
    <n v="397010"/>
    <s v="CASANARE"/>
    <d v="2021-03-01T00:00:00"/>
    <n v="195000000"/>
    <m/>
    <n v="10700000"/>
    <n v="31356000"/>
    <n v="3500000"/>
    <n v="12133499"/>
    <n v="10877833"/>
    <n v="13667000"/>
    <n v="3000000"/>
    <n v="4377833"/>
    <n v="15851000"/>
    <m/>
    <n v="41032232"/>
    <m/>
    <n v="11755666"/>
    <n v="17200000"/>
    <m/>
    <m/>
    <m/>
    <m/>
    <n v="175451063"/>
    <n v="0.89974904102564102"/>
    <n v="12"/>
    <d v="2022-03-02T00:00:00"/>
    <n v="19548937"/>
    <s v="EN EJECUCIÓN"/>
    <n v="12"/>
  </r>
  <r>
    <x v="2"/>
    <s v="ASOHOFRUP"/>
    <x v="0"/>
    <s v="05-020-20"/>
    <n v="396894"/>
    <s v="BOYACA"/>
    <d v="2021-02-25T00:00:00"/>
    <n v="180843000"/>
    <m/>
    <m/>
    <m/>
    <m/>
    <n v="19500000"/>
    <n v="11863499.99"/>
    <n v="42827633.329999998"/>
    <n v="5900000"/>
    <n v="17467833.329999998"/>
    <n v="3000000"/>
    <n v="6777833.3300000001"/>
    <n v="6777833.3300000001"/>
    <n v="17477833.329999998"/>
    <n v="10555666.66"/>
    <n v="13555666.66"/>
    <n v="6993000"/>
    <m/>
    <m/>
    <m/>
    <n v="162696799.95999998"/>
    <n v="0.89965771392865623"/>
    <n v="10"/>
    <d v="2022-03-02T00:00:00"/>
    <n v="18146200.040000021"/>
    <s v="EN EJECUCIÓN"/>
    <n v="12"/>
  </r>
  <r>
    <x v="7"/>
    <s v="EL GUAMAL"/>
    <x v="0"/>
    <s v="03-013-20"/>
    <n v="396998"/>
    <s v="CORDOBA"/>
    <d v="2021-02-26T00:00:00"/>
    <n v="200000000"/>
    <m/>
    <m/>
    <m/>
    <m/>
    <m/>
    <n v="15977750"/>
    <n v="2500000"/>
    <n v="78340000"/>
    <m/>
    <m/>
    <n v="20268000"/>
    <n v="17509250"/>
    <n v="20103000"/>
    <n v="15266500"/>
    <n v="5877750"/>
    <n v="3545600"/>
    <m/>
    <m/>
    <m/>
    <n v="179387850"/>
    <n v="0.89693924999999997"/>
    <n v="10"/>
    <d v="2022-03-14T00:00:00"/>
    <n v="20612150"/>
    <s v="EN EJECUCIÓN"/>
    <n v="9"/>
  </r>
  <r>
    <x v="4"/>
    <s v="EL MANZANO"/>
    <x v="0"/>
    <s v="01-023-20"/>
    <n v="396856"/>
    <s v="NARIÑO"/>
    <d v="2021-02-25T00:00:00"/>
    <n v="200000000"/>
    <m/>
    <n v="10700000"/>
    <n v="4000000"/>
    <n v="9000000"/>
    <n v="26745000"/>
    <n v="17200000"/>
    <m/>
    <n v="18624000"/>
    <n v="27200000"/>
    <m/>
    <n v="16000000"/>
    <n v="33481000"/>
    <n v="9500000"/>
    <n v="6500000"/>
    <m/>
    <m/>
    <m/>
    <m/>
    <m/>
    <n v="178950000"/>
    <n v="0.89475000000000005"/>
    <n v="11"/>
    <d v="2022-02-08T00:00:00"/>
    <n v="21050000"/>
    <s v="EN EJECUCIÓN"/>
    <n v="11"/>
  </r>
  <r>
    <x v="7"/>
    <s v="SKAMBRA"/>
    <x v="0"/>
    <s v="03-015-20"/>
    <n v="396495"/>
    <s v="CORDOBA"/>
    <d v="2021-02-26T00:00:00"/>
    <n v="199954000"/>
    <m/>
    <m/>
    <n v="10700000"/>
    <m/>
    <n v="877833"/>
    <n v="17577833"/>
    <n v="12877833"/>
    <n v="7920000"/>
    <n v="38985666"/>
    <n v="3877833"/>
    <m/>
    <n v="3877833"/>
    <m/>
    <n v="61387833"/>
    <n v="13755666"/>
    <n v="6877833"/>
    <m/>
    <m/>
    <m/>
    <n v="178716163"/>
    <n v="0.89378638586874981"/>
    <n v="10"/>
    <d v="2022-04-25T00:00:00"/>
    <n v="21237837"/>
    <s v="EN EJECUCIÓN"/>
    <n v="11"/>
  </r>
  <r>
    <x v="3"/>
    <s v="ASOMUMA"/>
    <x v="0"/>
    <s v="02-010-20"/>
    <n v="396501"/>
    <s v="CALDAS"/>
    <d v="2021-02-25T00:00:00"/>
    <n v="167461000"/>
    <m/>
    <m/>
    <m/>
    <m/>
    <n v="10700000"/>
    <n v="15212000"/>
    <m/>
    <n v="18306000"/>
    <n v="23325500"/>
    <n v="14567332"/>
    <n v="15218000"/>
    <n v="25912000"/>
    <n v="7606000"/>
    <n v="9361666"/>
    <n v="8416333"/>
    <m/>
    <m/>
    <m/>
    <m/>
    <n v="148624831"/>
    <n v="0.88751907011184694"/>
    <n v="13"/>
    <d v="2022-04-25T00:00:00"/>
    <n v="18836169"/>
    <s v="EN EJECUCIÓN"/>
    <n v="10"/>
  </r>
  <r>
    <x v="0"/>
    <s v="ASOPISCIRICO"/>
    <x v="0"/>
    <s v="08-012-20"/>
    <n v="396889"/>
    <s v="CAQUETA"/>
    <d v="2021-02-25T00:00:00"/>
    <n v="200000000"/>
    <m/>
    <m/>
    <m/>
    <n v="10700000"/>
    <m/>
    <m/>
    <n v="13200000"/>
    <n v="39380000"/>
    <n v="4255500"/>
    <n v="6377750"/>
    <n v="3377750"/>
    <n v="20077750"/>
    <n v="6377750"/>
    <n v="57042400"/>
    <n v="6377750"/>
    <n v="9755500"/>
    <m/>
    <m/>
    <m/>
    <n v="176922150"/>
    <n v="0.88461075"/>
    <n v="12"/>
    <d v="2022-04-28T00:00:00"/>
    <n v="23077850"/>
    <s v="EN EJECUCIÓN"/>
    <n v="11"/>
  </r>
  <r>
    <x v="4"/>
    <s v="EL CAMPAMENTO"/>
    <x v="0"/>
    <s v="01-020-20"/>
    <n v="397013"/>
    <s v="NARIÑO"/>
    <d v="2021-03-09T00:00:00"/>
    <n v="185981000"/>
    <m/>
    <m/>
    <m/>
    <m/>
    <m/>
    <m/>
    <m/>
    <m/>
    <m/>
    <m/>
    <n v="21700000"/>
    <n v="19500000"/>
    <n v="26064000"/>
    <n v="10700000"/>
    <n v="41500000"/>
    <n v="44992000"/>
    <m/>
    <m/>
    <m/>
    <n v="164456000"/>
    <n v="0.88426237088734871"/>
    <n v="11"/>
    <d v="2022-07-21T00:00:00"/>
    <n v="21525000"/>
    <s v="EN EJECUCIÓN"/>
    <n v="6"/>
  </r>
  <r>
    <x v="0"/>
    <s v="AGROPEZ ALBANIA"/>
    <x v="0"/>
    <s v="08-010-20"/>
    <n v="396579"/>
    <s v="CAQUETA"/>
    <d v="2021-02-24T00:00:00"/>
    <n v="200000000"/>
    <m/>
    <m/>
    <m/>
    <n v="10700000"/>
    <m/>
    <m/>
    <n v="16200000"/>
    <n v="37257750"/>
    <n v="3877750"/>
    <n v="8877750"/>
    <n v="3377750"/>
    <n v="26455500"/>
    <n v="6377750"/>
    <n v="44286960"/>
    <n v="11633250"/>
    <n v="7500000"/>
    <m/>
    <m/>
    <m/>
    <n v="176544460"/>
    <n v="0.88272229999999996"/>
    <n v="13"/>
    <d v="2022-04-29T00:00:00"/>
    <n v="23455540"/>
    <s v="EN EJECUCIÓN"/>
    <n v="11"/>
  </r>
  <r>
    <x v="5"/>
    <s v="ASOPROLET"/>
    <x v="0"/>
    <s v="07-014-20"/>
    <n v="396576"/>
    <s v="CASANARE"/>
    <d v="2021-02-24T00:00:00"/>
    <n v="175000000"/>
    <m/>
    <n v="10700000"/>
    <m/>
    <m/>
    <m/>
    <n v="42950000"/>
    <m/>
    <n v="4505666"/>
    <n v="11051500"/>
    <n v="25350000"/>
    <n v="877833"/>
    <n v="12600000"/>
    <m/>
    <n v="11800000"/>
    <m/>
    <n v="34450505"/>
    <m/>
    <m/>
    <m/>
    <n v="154285504"/>
    <n v="0.88163145142857147"/>
    <n v="12"/>
    <d v="2022-03-04T00:00:00"/>
    <n v="20714496"/>
    <s v="EN EJECUCIÓN"/>
    <n v="9"/>
  </r>
  <r>
    <x v="3"/>
    <s v="ASPANOR"/>
    <x v="0"/>
    <s v="02-014-20"/>
    <n v="396752"/>
    <s v="CALDAS"/>
    <d v="2021-02-25T00:00:00"/>
    <n v="174810000"/>
    <m/>
    <n v="10200000"/>
    <m/>
    <n v="5345000"/>
    <n v="5345000"/>
    <n v="13325000"/>
    <n v="9170000"/>
    <n v="3125000"/>
    <n v="27869100"/>
    <n v="3470000"/>
    <n v="15825000"/>
    <n v="3125000"/>
    <n v="5751428"/>
    <n v="6376428"/>
    <n v="5751428"/>
    <n v="39344428"/>
    <m/>
    <m/>
    <m/>
    <n v="154022812"/>
    <n v="0.8810869629883874"/>
    <n v="12"/>
    <d v="2022-04-07T00:00:00"/>
    <n v="20787188"/>
    <s v="EN EJECUCIÓN"/>
    <n v="14"/>
  </r>
  <r>
    <x v="2"/>
    <s v="AGROUNION VEGONEZ"/>
    <x v="0"/>
    <s v="05-015-20"/>
    <n v="396763"/>
    <s v="TOLIMA"/>
    <d v="2021-03-05T00:00:00"/>
    <n v="199134000"/>
    <m/>
    <m/>
    <n v="10700000"/>
    <n v="26833600"/>
    <m/>
    <n v="29294000"/>
    <n v="5633000"/>
    <m/>
    <n v="14578000"/>
    <m/>
    <n v="46121950"/>
    <n v="27566000"/>
    <m/>
    <m/>
    <m/>
    <n v="14719400"/>
    <m/>
    <m/>
    <m/>
    <n v="175445950"/>
    <n v="0.88104467343597781"/>
    <n v="8"/>
    <d v="2022-02-09T00:00:00"/>
    <n v="23688050"/>
    <s v="EN EJECUCIÓN"/>
    <n v="8"/>
  </r>
  <r>
    <x v="5"/>
    <s v="ASOCATARA"/>
    <x v="0"/>
    <s v="07-012-20"/>
    <n v="397070"/>
    <s v="ARAUCA"/>
    <d v="2021-03-01T00:00:00"/>
    <n v="175000000"/>
    <n v="10700000"/>
    <m/>
    <m/>
    <m/>
    <m/>
    <n v="21400000"/>
    <n v="7050000"/>
    <m/>
    <n v="1755666"/>
    <n v="22215378.899999999"/>
    <n v="6875540"/>
    <n v="1755666"/>
    <m/>
    <m/>
    <n v="35054460"/>
    <n v="47070621.049999997"/>
    <m/>
    <m/>
    <m/>
    <n v="153877331.94999999"/>
    <n v="0.87929903971428569"/>
    <n v="11"/>
    <d v="2022-06-02T00:00:00"/>
    <n v="21122668.050000012"/>
    <s v="EN EJECUCIÓN"/>
    <n v="9"/>
  </r>
  <r>
    <x v="7"/>
    <s v="ANUC"/>
    <x v="0"/>
    <s v="04-014-20"/>
    <n v="397238"/>
    <s v="LA GUAJIRA"/>
    <d v="2021-03-12T00:00:00"/>
    <n v="200000000"/>
    <m/>
    <n v="10700000"/>
    <m/>
    <m/>
    <m/>
    <m/>
    <n v="5377833"/>
    <n v="49999992"/>
    <n v="22650000"/>
    <m/>
    <m/>
    <m/>
    <m/>
    <n v="66828900"/>
    <n v="18766998"/>
    <n v="877833"/>
    <m/>
    <m/>
    <m/>
    <n v="175201556"/>
    <n v="0.87600778000000001"/>
    <n v="10"/>
    <d v="2022-03-28T00:00:00"/>
    <n v="24798444"/>
    <s v="EN EJECUCIÓN"/>
    <n v="7"/>
  </r>
  <r>
    <x v="6"/>
    <s v="AGROSILOS"/>
    <x v="0"/>
    <s v="06-014-20"/>
    <n v="397370"/>
    <s v="NORTE DE SANTANDER"/>
    <d v="2021-03-12T00:00:00"/>
    <n v="199980000"/>
    <m/>
    <m/>
    <m/>
    <n v="10700000"/>
    <m/>
    <n v="2500000"/>
    <n v="35538900"/>
    <n v="15267500"/>
    <n v="20780000"/>
    <n v="2500000"/>
    <n v="5500000"/>
    <n v="45679600"/>
    <n v="16700000"/>
    <n v="3000000"/>
    <n v="12000000"/>
    <n v="4268000"/>
    <m/>
    <m/>
    <m/>
    <n v="174434000"/>
    <n v="0.87225722572257225"/>
    <n v="13"/>
    <d v="2022-04-21T00:00:00"/>
    <n v="25546000"/>
    <s v="EN EJECUCIÓN"/>
    <n v="12"/>
  </r>
  <r>
    <x v="4"/>
    <s v="AMFIPAR"/>
    <x v="0"/>
    <s v="01-021-20"/>
    <n v="397499"/>
    <s v="NARIÑO"/>
    <d v="2021-04-13T00:00:00"/>
    <n v="137960000"/>
    <m/>
    <m/>
    <m/>
    <n v="10700000"/>
    <m/>
    <n v="22033336.990000002"/>
    <n v="9333332.3300000001"/>
    <n v="1000000"/>
    <n v="2333333.33"/>
    <n v="4666666"/>
    <m/>
    <n v="16333332.32"/>
    <n v="12200000"/>
    <n v="2833333.33"/>
    <n v="11666665.66"/>
    <n v="26960000"/>
    <m/>
    <m/>
    <m/>
    <n v="120059999.95999999"/>
    <n v="0.87025224673818491"/>
    <n v="11"/>
    <d v="2022-07-08T00:00:00"/>
    <n v="17900000.040000007"/>
    <s v="EN EJECUCIÓN"/>
    <n v="11"/>
  </r>
  <r>
    <x v="3"/>
    <s v="OCCF"/>
    <x v="0"/>
    <s v="02-021-20"/>
    <n v="396611"/>
    <s v="ANTIOQUIA"/>
    <d v="2021-02-25T00:00:00"/>
    <n v="184981000"/>
    <m/>
    <n v="10700000"/>
    <m/>
    <m/>
    <m/>
    <n v="10700000"/>
    <n v="10178000"/>
    <n v="14340000"/>
    <n v="25171275"/>
    <m/>
    <n v="4500000"/>
    <n v="20656000"/>
    <n v="10700000"/>
    <n v="46494800"/>
    <n v="7178000"/>
    <m/>
    <m/>
    <m/>
    <m/>
    <n v="160618075"/>
    <n v="0.86829498705272434"/>
    <n v="13"/>
    <d v="2022-05-17T00:00:00"/>
    <n v="24362925"/>
    <s v="EN EJECUCIÓN"/>
    <n v="10"/>
  </r>
  <r>
    <x v="2"/>
    <s v="CERRO CHIFLON"/>
    <x v="0"/>
    <s v="05-009-20"/>
    <n v="397368"/>
    <s v="HUILA"/>
    <d v="2021-03-12T00:00:00"/>
    <n v="200000000"/>
    <m/>
    <m/>
    <m/>
    <m/>
    <n v="10700000"/>
    <m/>
    <m/>
    <m/>
    <m/>
    <m/>
    <m/>
    <n v="3511200"/>
    <m/>
    <m/>
    <n v="73233000"/>
    <n v="85888600"/>
    <m/>
    <m/>
    <m/>
    <n v="173332800"/>
    <n v="0.86666399999999999"/>
    <n v="8"/>
    <d v="2022-10-06T00:00:00"/>
    <n v="26667200"/>
    <s v="EN EJECUCIÓN"/>
    <n v="4"/>
  </r>
  <r>
    <x v="7"/>
    <s v="ASOPESAGRO"/>
    <x v="0"/>
    <s v="03-011-20"/>
    <n v="396525"/>
    <s v="CORDOBA"/>
    <d v="2021-02-24T00:00:00"/>
    <n v="169986000"/>
    <n v="10700000"/>
    <m/>
    <m/>
    <m/>
    <m/>
    <n v="20833250"/>
    <m/>
    <n v="39728350"/>
    <m/>
    <m/>
    <n v="45257900"/>
    <n v="877750"/>
    <n v="10877750"/>
    <n v="8377750"/>
    <n v="9255500"/>
    <m/>
    <m/>
    <m/>
    <m/>
    <n v="145908250"/>
    <n v="0.85835451154800979"/>
    <n v="10"/>
    <d v="2022-03-16T00:00:00"/>
    <n v="24077750"/>
    <s v="EN EJECUCIÓN"/>
    <n v="8"/>
  </r>
  <r>
    <x v="1"/>
    <s v="AMUSI"/>
    <x v="0"/>
    <s v="03-002-20"/>
    <n v="396497"/>
    <s v="BOLIVAR"/>
    <d v="2021-02-24T00:00:00"/>
    <n v="199194000"/>
    <m/>
    <m/>
    <m/>
    <n v="10700000"/>
    <m/>
    <n v="1170444"/>
    <m/>
    <n v="4500000"/>
    <n v="1989556"/>
    <m/>
    <n v="72000000"/>
    <m/>
    <n v="37270444"/>
    <n v="16300000"/>
    <n v="5619985"/>
    <n v="19425483"/>
    <m/>
    <m/>
    <m/>
    <n v="168975912"/>
    <n v="0.84829820175306481"/>
    <n v="12"/>
    <d v="2022-06-02T00:00:00"/>
    <n v="30218088"/>
    <s v="EN EJECUCIÓN"/>
    <n v="9"/>
  </r>
  <r>
    <x v="3"/>
    <s v="FUNCOLAGRO"/>
    <x v="0"/>
    <s v="02-013-20"/>
    <n v="396503"/>
    <s v="CALDAS"/>
    <d v="2021-02-25T00:00:00"/>
    <n v="169263000"/>
    <m/>
    <n v="10700000"/>
    <m/>
    <n v="6400000"/>
    <n v="14777833"/>
    <n v="4077833"/>
    <n v="4077833"/>
    <n v="4077833"/>
    <n v="16206430"/>
    <n v="4077833"/>
    <n v="14777833"/>
    <n v="7277833"/>
    <n v="7277833"/>
    <n v="7277833"/>
    <n v="7277833"/>
    <n v="34273967"/>
    <m/>
    <m/>
    <m/>
    <n v="142558727"/>
    <n v="0.84223207080106111"/>
    <n v="13"/>
    <d v="2022-04-05T00:00:00"/>
    <n v="26704273"/>
    <s v="EN EJECUCIÓN"/>
    <n v="14"/>
  </r>
  <r>
    <x v="1"/>
    <s v="ASOPACAPEC"/>
    <x v="0"/>
    <s v="03-021-20"/>
    <n v="397134"/>
    <s v="ATLANTICO"/>
    <d v="2021-03-03T00:00:00"/>
    <n v="154495000"/>
    <m/>
    <n v="10000000"/>
    <n v="1755500"/>
    <n v="12581751"/>
    <n v="3877750"/>
    <n v="21277750"/>
    <n v="8577750"/>
    <n v="5000000"/>
    <n v="10400000"/>
    <n v="12853999"/>
    <m/>
    <m/>
    <m/>
    <n v="25366500"/>
    <n v="8700000"/>
    <n v="8700000"/>
    <m/>
    <m/>
    <m/>
    <n v="129091000"/>
    <n v="0.83556749409365993"/>
    <n v="12"/>
    <d v="2022-03-04T00:00:00"/>
    <n v="25404000"/>
    <s v="EN EJECUCIÓN"/>
    <n v="12"/>
  </r>
  <r>
    <x v="1"/>
    <s v="PECES DE SION"/>
    <x v="0"/>
    <s v="03-024-20"/>
    <n v="397234"/>
    <s v="ATLANTICO"/>
    <d v="2021-03-12T00:00:00"/>
    <n v="149996000"/>
    <m/>
    <m/>
    <m/>
    <n v="7500000"/>
    <m/>
    <n v="21051133.34"/>
    <m/>
    <n v="3877750"/>
    <n v="8166666"/>
    <n v="14666664"/>
    <n v="8666666"/>
    <n v="16133252"/>
    <n v="18878966.34"/>
    <n v="6461083"/>
    <n v="8583000"/>
    <n v="11216250"/>
    <m/>
    <m/>
    <m/>
    <n v="125201430.68000001"/>
    <n v="0.83469846315901763"/>
    <n v="12"/>
    <d v="2022-04-21T00:00:00"/>
    <n v="24794569.319999993"/>
    <s v="EN EJECUCIÓN"/>
    <n v="11"/>
  </r>
  <r>
    <x v="5"/>
    <s v="ASMUCACD"/>
    <x v="0"/>
    <s v="07-001-20"/>
    <n v="396610"/>
    <s v="META"/>
    <d v="2021-02-24T00:00:00"/>
    <n v="200000000"/>
    <n v="10700000"/>
    <m/>
    <m/>
    <n v="25889833.329999998"/>
    <m/>
    <n v="18075666.66"/>
    <n v="10000000"/>
    <n v="8012833.3300000001"/>
    <n v="7277833.3300000001"/>
    <n v="24342833.329999998"/>
    <m/>
    <n v="19033499.989999995"/>
    <n v="11033501.02"/>
    <n v="7200000"/>
    <n v="21362400"/>
    <n v="3600000"/>
    <m/>
    <m/>
    <m/>
    <n v="166528400.98999998"/>
    <n v="0.83264200494999985"/>
    <n v="13"/>
    <d v="2022-03-19T00:00:00"/>
    <n v="33471599.01000002"/>
    <s v="EN EJECUCIÓN"/>
    <n v="12"/>
  </r>
  <r>
    <x v="5"/>
    <s v="ASOEMPRENCA"/>
    <x v="0"/>
    <s v="07-002-20"/>
    <n v="396880"/>
    <s v="CASANARE"/>
    <d v="2021-02-24T00:00:00"/>
    <n v="149974000"/>
    <m/>
    <n v="10700000"/>
    <m/>
    <m/>
    <m/>
    <n v="16233499"/>
    <n v="25587666"/>
    <n v="7677833"/>
    <m/>
    <n v="15001833"/>
    <m/>
    <n v="34209666"/>
    <n v="877833"/>
    <n v="6800000"/>
    <m/>
    <n v="6800000"/>
    <m/>
    <m/>
    <m/>
    <n v="123888330"/>
    <n v="0.82606538466667556"/>
    <n v="12"/>
    <d v="2022-03-05T00:00:00"/>
    <n v="26085670"/>
    <s v="EN EJECUCIÓN"/>
    <n v="9"/>
  </r>
  <r>
    <x v="0"/>
    <s v="ASOCOMIGAN"/>
    <x v="0"/>
    <s v="08-013-20"/>
    <n v="397012"/>
    <s v="GUAVIARE"/>
    <d v="2021-03-01T00:00:00"/>
    <n v="165014000"/>
    <m/>
    <m/>
    <m/>
    <m/>
    <m/>
    <n v="14200000"/>
    <n v="7500000"/>
    <n v="23200000"/>
    <n v="7200000"/>
    <m/>
    <m/>
    <n v="3500000"/>
    <n v="877000"/>
    <n v="24101000"/>
    <n v="54590015"/>
    <m/>
    <m/>
    <m/>
    <m/>
    <n v="135168015"/>
    <n v="0.81913058891972801"/>
    <n v="13"/>
    <d v="2022-06-10T00:00:00"/>
    <n v="29845985"/>
    <s v="EN EJECUCIÓN"/>
    <n v="8"/>
  </r>
  <r>
    <x v="4"/>
    <s v="ASOFACASJO - CHOCOCITO"/>
    <x v="0"/>
    <s v="01-025-20"/>
    <n v="397739"/>
    <s v="VALLE DEL CAUCA"/>
    <d v="2021-04-27T00:00:00"/>
    <n v="167550000"/>
    <m/>
    <m/>
    <m/>
    <m/>
    <m/>
    <n v="10700000"/>
    <m/>
    <n v="12600000"/>
    <n v="5800000"/>
    <m/>
    <n v="3000000"/>
    <n v="32475000"/>
    <m/>
    <n v="10700000"/>
    <n v="15100000"/>
    <n v="46609500"/>
    <m/>
    <m/>
    <m/>
    <n v="136984500"/>
    <n v="0.81757385854968667"/>
    <n v="11"/>
    <d v="2022-08-11T00:00:00"/>
    <n v="30565500"/>
    <s v="EN EJECUCIÓN"/>
    <n v="8"/>
  </r>
  <r>
    <x v="4"/>
    <s v="ASPROBALBOA"/>
    <x v="0"/>
    <s v="01-003-20"/>
    <n v="396759"/>
    <s v="CAUCA"/>
    <d v="2021-02-25T00:00:00"/>
    <n v="169900000"/>
    <m/>
    <m/>
    <m/>
    <m/>
    <n v="10700000"/>
    <m/>
    <m/>
    <m/>
    <m/>
    <n v="1000000"/>
    <n v="12200000"/>
    <n v="46020000"/>
    <m/>
    <n v="17300000"/>
    <n v="3300000"/>
    <n v="48163220"/>
    <m/>
    <m/>
    <m/>
    <n v="138683220"/>
    <n v="0.81626380223660977"/>
    <n v="11"/>
    <d v="2022-07-01T00:00:00"/>
    <n v="31216780"/>
    <s v="EN EJECUCIÓN"/>
    <n v="7"/>
  </r>
  <r>
    <x v="7"/>
    <s v="NUEVA SANTA INES"/>
    <x v="0"/>
    <s v="03-007-20"/>
    <n v="396816"/>
    <s v="SUCRE"/>
    <d v="2021-02-24T00:00:00"/>
    <n v="200000000"/>
    <m/>
    <m/>
    <m/>
    <m/>
    <m/>
    <n v="10700000"/>
    <n v="35160000"/>
    <m/>
    <n v="4556000"/>
    <n v="13500000"/>
    <m/>
    <n v="8700000"/>
    <m/>
    <n v="14334000"/>
    <n v="17178000"/>
    <n v="58640300"/>
    <m/>
    <m/>
    <m/>
    <n v="162768300"/>
    <n v="0.8138415"/>
    <n v="10"/>
    <d v="2022-06-22T00:00:00"/>
    <n v="37231700"/>
    <s v="EN EJECUCIÓN"/>
    <n v="8"/>
  </r>
  <r>
    <x v="2"/>
    <s v="COOUMBIPAPA"/>
    <x v="0"/>
    <s v="05-013-20"/>
    <n v="396577"/>
    <s v="BOYACA"/>
    <d v="2021-02-25T00:00:00"/>
    <n v="200000000"/>
    <m/>
    <m/>
    <n v="10700000"/>
    <m/>
    <m/>
    <m/>
    <n v="12304424"/>
    <n v="36050400"/>
    <n v="3791087"/>
    <m/>
    <n v="30557174"/>
    <n v="5713317"/>
    <m/>
    <n v="59755006"/>
    <m/>
    <n v="2800000"/>
    <m/>
    <m/>
    <m/>
    <n v="161671408"/>
    <n v="0.80835703999999997"/>
    <n v="8"/>
    <d v="2022-06-09T00:00:00"/>
    <n v="38328592"/>
    <s v="EN EJECUCIÓN"/>
    <n v="8"/>
  </r>
  <r>
    <x v="2"/>
    <s v="COOCAMPO"/>
    <x v="0"/>
    <s v="05-003-20"/>
    <n v="396755"/>
    <s v="BOYACA"/>
    <d v="2021-02-25T00:00:00"/>
    <n v="199992000"/>
    <m/>
    <m/>
    <m/>
    <m/>
    <n v="17590000"/>
    <m/>
    <n v="9000000"/>
    <n v="3200000"/>
    <n v="877833"/>
    <m/>
    <n v="31958751.77"/>
    <n v="9877833"/>
    <m/>
    <n v="55571970"/>
    <n v="19755666"/>
    <n v="12455666"/>
    <m/>
    <m/>
    <m/>
    <n v="160287719.76999998"/>
    <n v="0.80147065767630699"/>
    <n v="10"/>
    <d v="2022-06-28T00:00:00"/>
    <n v="39704280.230000019"/>
    <s v="EN EJECUCIÓN"/>
    <n v="9"/>
  </r>
  <r>
    <x v="3"/>
    <s v="ASLUBEL"/>
    <x v="0"/>
    <s v="02-004-20"/>
    <n v="396425"/>
    <s v="RISARALDA"/>
    <d v="2021-02-25T00:00:00"/>
    <n v="180000000"/>
    <m/>
    <m/>
    <m/>
    <m/>
    <n v="10700000"/>
    <m/>
    <m/>
    <n v="11876000"/>
    <n v="14138000"/>
    <n v="30478500"/>
    <n v="2938000"/>
    <n v="8938000"/>
    <m/>
    <n v="5938000"/>
    <n v="8876000"/>
    <n v="49830500"/>
    <m/>
    <m/>
    <m/>
    <n v="143713000"/>
    <n v="0.79840555555555559"/>
    <n v="12"/>
    <d v="2022-05-10T00:00:00"/>
    <n v="36287000"/>
    <s v="EN EJECUCIÓN"/>
    <n v="9"/>
  </r>
  <r>
    <x v="2"/>
    <s v="ECOHORTALIZAS"/>
    <x v="0"/>
    <s v="05-021-20"/>
    <n v="397153"/>
    <s v="BOYACA"/>
    <d v="2021-03-05T00:00:00"/>
    <n v="199904436"/>
    <m/>
    <m/>
    <m/>
    <m/>
    <m/>
    <n v="21400000"/>
    <n v="879470"/>
    <n v="6779470"/>
    <n v="49666000"/>
    <n v="33323476"/>
    <m/>
    <m/>
    <n v="10758940"/>
    <n v="2800000"/>
    <n v="13500000"/>
    <n v="18049470"/>
    <m/>
    <m/>
    <m/>
    <n v="157156826"/>
    <n v="0.78615977286266925"/>
    <n v="9"/>
    <d v="2022-03-30T00:00:00"/>
    <n v="42747610"/>
    <s v="EN EJECUCIÓN"/>
    <n v="9"/>
  </r>
  <r>
    <x v="6"/>
    <s v="ASPROCOMUNT"/>
    <x v="0"/>
    <s v="06-010-20"/>
    <n v="397313"/>
    <s v="NORTE DE SANTANDER"/>
    <d v="2021-03-05T00:00:00"/>
    <n v="200000000"/>
    <m/>
    <m/>
    <n v="10700000"/>
    <m/>
    <n v="16800000"/>
    <n v="6100000"/>
    <n v="6100000"/>
    <m/>
    <n v="12200000"/>
    <n v="10260000"/>
    <m/>
    <n v="22210000"/>
    <m/>
    <n v="29000000"/>
    <n v="31710000"/>
    <n v="11200000"/>
    <m/>
    <m/>
    <m/>
    <n v="156280000"/>
    <n v="0.78139999999999998"/>
    <n v="13"/>
    <d v="2022-07-13T00:00:00"/>
    <n v="43720000"/>
    <s v="EN EJECUCIÓN"/>
    <n v="10"/>
  </r>
  <r>
    <x v="3"/>
    <s v="ASOPYCA"/>
    <x v="0"/>
    <s v="02-001-20"/>
    <n v="396814"/>
    <s v="QUINDIO"/>
    <d v="2021-02-25T00:00:00"/>
    <n v="200000000"/>
    <m/>
    <m/>
    <m/>
    <m/>
    <n v="9808250"/>
    <n v="5986987.5"/>
    <n v="20408250"/>
    <n v="6000000"/>
    <n v="6000000"/>
    <n v="2854000"/>
    <n v="24800819"/>
    <n v="12808250"/>
    <m/>
    <n v="53754000"/>
    <n v="3877000"/>
    <n v="3877000"/>
    <m/>
    <m/>
    <m/>
    <n v="150174556.5"/>
    <n v="0.7508727825"/>
    <n v="12"/>
    <d v="2022-06-01T00:00:00"/>
    <n v="49825443.5"/>
    <s v="EN EJECUCIÓN"/>
    <n v="11"/>
  </r>
  <r>
    <x v="7"/>
    <s v="ASEDECO"/>
    <x v="0"/>
    <s v="03-023-20"/>
    <n v="396861"/>
    <s v="CORDOBA"/>
    <d v="2021-02-25T00:00:00"/>
    <n v="199990000"/>
    <m/>
    <m/>
    <n v="10000000"/>
    <m/>
    <m/>
    <n v="23755500"/>
    <m/>
    <n v="3877750"/>
    <n v="3877750"/>
    <n v="6000000"/>
    <n v="26903400"/>
    <n v="4755500"/>
    <n v="10000000"/>
    <n v="21511000"/>
    <n v="3877750"/>
    <n v="32756850"/>
    <m/>
    <m/>
    <m/>
    <n v="147315500"/>
    <n v="0.73661433071653581"/>
    <n v="10"/>
    <d v="2022-05-31T00:00:00"/>
    <n v="52674500"/>
    <s v="EN EJECUCIÓN"/>
    <n v="11"/>
  </r>
  <r>
    <x v="6"/>
    <s v="ASOMURET"/>
    <x v="0"/>
    <s v="06-002-20"/>
    <n v="397315"/>
    <s v="NORTE DE SANTANDER"/>
    <d v="2021-03-05T00:00:00"/>
    <n v="200000000"/>
    <m/>
    <m/>
    <n v="10700000"/>
    <n v="500000"/>
    <m/>
    <n v="12200000"/>
    <n v="6100000"/>
    <n v="14420000"/>
    <n v="6100000"/>
    <n v="6100000"/>
    <n v="5600000"/>
    <m/>
    <n v="22000000"/>
    <m/>
    <n v="23400000"/>
    <n v="40000000"/>
    <m/>
    <m/>
    <m/>
    <n v="147120000"/>
    <n v="0.73560000000000003"/>
    <n v="13"/>
    <d v="2022-07-11T00:00:00"/>
    <n v="52880000"/>
    <s v="EN EJECUCIÓN"/>
    <n v="11"/>
  </r>
  <r>
    <x v="3"/>
    <s v="ASPLABEL"/>
    <x v="0"/>
    <s v="02-009-20"/>
    <n v="397311"/>
    <s v="RISARALDA"/>
    <d v="2021-03-03T00:00:00"/>
    <n v="150000000"/>
    <m/>
    <m/>
    <m/>
    <n v="10700000"/>
    <m/>
    <m/>
    <m/>
    <n v="10000000"/>
    <n v="20444250"/>
    <n v="15340750"/>
    <m/>
    <n v="11757500"/>
    <m/>
    <n v="5878750"/>
    <n v="30085000"/>
    <n v="5878750"/>
    <m/>
    <m/>
    <m/>
    <n v="110085000"/>
    <n v="0.7339"/>
    <n v="13"/>
    <d v="2022-05-12T00:00:00"/>
    <n v="39915000"/>
    <s v="EN EJECUCIÓN"/>
    <n v="8"/>
  </r>
  <r>
    <x v="4"/>
    <s v="ASOPROPIÑALAU"/>
    <x v="0"/>
    <s v="01-017-20"/>
    <n v="397060"/>
    <s v="NARIÑO"/>
    <d v="2021-03-09T00:00:00"/>
    <n v="158554000"/>
    <m/>
    <m/>
    <m/>
    <n v="10700000"/>
    <m/>
    <m/>
    <n v="10700000"/>
    <m/>
    <m/>
    <m/>
    <n v="12000000"/>
    <n v="6597000"/>
    <n v="34280000"/>
    <m/>
    <n v="38009250"/>
    <n v="3000000"/>
    <m/>
    <m/>
    <m/>
    <n v="115286250"/>
    <n v="0.72711032203539483"/>
    <n v="11"/>
    <d v="2022-08-02T00:00:00"/>
    <n v="43267750"/>
    <s v="EN EJECUCIÓN"/>
    <n v="7"/>
  </r>
  <r>
    <x v="1"/>
    <s v="ASOMURACO"/>
    <x v="0"/>
    <s v="03-022-20"/>
    <n v="396496"/>
    <s v="ATLANTICO"/>
    <d v="2021-02-26T00:00:00"/>
    <n v="199999000"/>
    <n v="10000000"/>
    <m/>
    <m/>
    <m/>
    <m/>
    <n v="12877750"/>
    <n v="26755500"/>
    <n v="6000000"/>
    <m/>
    <n v="1755500"/>
    <n v="28377750"/>
    <n v="5100000.01"/>
    <n v="3000000"/>
    <n v="19755500"/>
    <n v="14099999.99"/>
    <n v="16500000"/>
    <m/>
    <m/>
    <m/>
    <n v="144222000"/>
    <n v="0.72111360556802784"/>
    <n v="11"/>
    <d v="2022-08-02T00:00:00"/>
    <n v="55777000"/>
    <s v="EN EJECUCIÓN"/>
    <n v="11"/>
  </r>
  <r>
    <x v="2"/>
    <s v="AGRO-SANTUARIO"/>
    <x v="0"/>
    <s v="05-011-20"/>
    <n v="396817"/>
    <s v="BOYACA"/>
    <d v="2021-02-25T00:00:00"/>
    <n v="200000000"/>
    <m/>
    <m/>
    <m/>
    <m/>
    <m/>
    <m/>
    <n v="70300000"/>
    <n v="6000000"/>
    <n v="15944750"/>
    <n v="877750"/>
    <m/>
    <n v="6000000"/>
    <n v="16700000"/>
    <n v="1755500"/>
    <n v="6000000"/>
    <n v="19700000"/>
    <m/>
    <m/>
    <m/>
    <n v="143278000"/>
    <n v="0.71638999999999997"/>
    <n v="9"/>
    <d v="2022-02-25T00:00:00"/>
    <n v="56722000"/>
    <s v="EN EJECUCIÓN"/>
    <n v="9"/>
  </r>
  <r>
    <x v="4"/>
    <s v="ASOMOREROS"/>
    <x v="0"/>
    <s v="01-002-20"/>
    <n v="397014"/>
    <s v="CAUCA"/>
    <d v="2021-03-09T00:00:00"/>
    <n v="193522000"/>
    <m/>
    <m/>
    <m/>
    <m/>
    <n v="35900000"/>
    <m/>
    <n v="5000000"/>
    <n v="24000000"/>
    <m/>
    <n v="40586130"/>
    <m/>
    <n v="17700000"/>
    <m/>
    <n v="7000000"/>
    <m/>
    <n v="7500000"/>
    <m/>
    <m/>
    <m/>
    <n v="137686130"/>
    <n v="0.71147533613749336"/>
    <n v="11"/>
    <d v="2022-03-19T00:00:00"/>
    <n v="55835870"/>
    <s v="EN EJECUCIÓN"/>
    <n v="7"/>
  </r>
  <r>
    <x v="6"/>
    <s v="ASOPACON"/>
    <x v="0"/>
    <s v="06-015-20"/>
    <n v="397317"/>
    <s v="SANTANDER"/>
    <d v="2021-03-05T00:00:00"/>
    <n v="199744000"/>
    <m/>
    <m/>
    <m/>
    <m/>
    <m/>
    <m/>
    <n v="10700000"/>
    <n v="19710400"/>
    <m/>
    <m/>
    <n v="6000000"/>
    <n v="48800000"/>
    <m/>
    <n v="5000000"/>
    <n v="50300000"/>
    <m/>
    <m/>
    <m/>
    <m/>
    <n v="140510400"/>
    <n v="0.7034524190964434"/>
    <n v="13"/>
    <d v="2022-07-22T00:00:00"/>
    <n v="59233600"/>
    <s v="EN EJECUCIÓN"/>
    <n v="6"/>
  </r>
  <r>
    <x v="3"/>
    <s v="ASOGRAB"/>
    <x v="0"/>
    <s v="02-019-20"/>
    <n v="397362"/>
    <s v="ANTIOQUIA"/>
    <d v="2021-03-12T00:00:00"/>
    <n v="149712000"/>
    <m/>
    <m/>
    <m/>
    <n v="10700000"/>
    <m/>
    <n v="3300000"/>
    <n v="13825000"/>
    <n v="3300000"/>
    <n v="11975000"/>
    <n v="10725000.34"/>
    <n v="10389000.119999999"/>
    <n v="21125000"/>
    <m/>
    <m/>
    <m/>
    <n v="17900000"/>
    <m/>
    <m/>
    <m/>
    <n v="103239000.46000001"/>
    <n v="0.68958400435502842"/>
    <n v="13"/>
    <d v="2022-04-20T00:00:00"/>
    <n v="46472999.539999992"/>
    <s v="EN EJECUCIÓN"/>
    <n v="9"/>
  </r>
  <r>
    <x v="2"/>
    <s v="ASOGANALP"/>
    <x v="0"/>
    <s v="05-018-20"/>
    <n v="397391"/>
    <s v="TOLIMA"/>
    <d v="2021-03-24T00:00:00"/>
    <n v="200000000"/>
    <n v="10700000"/>
    <m/>
    <m/>
    <m/>
    <n v="53660000"/>
    <m/>
    <m/>
    <m/>
    <m/>
    <m/>
    <n v="12369015"/>
    <n v="16400000"/>
    <m/>
    <n v="10700000"/>
    <n v="32194000"/>
    <m/>
    <m/>
    <m/>
    <m/>
    <n v="136023015"/>
    <n v="0.68011507500000001"/>
    <n v="8"/>
    <d v="2022-06-30T00:00:00"/>
    <n v="63976985"/>
    <s v="EN EJECUCIÓN"/>
    <n v="6"/>
  </r>
  <r>
    <x v="2"/>
    <s v="COOPROCAFES"/>
    <x v="0"/>
    <s v="05-017-20"/>
    <n v="396522"/>
    <s v="HUILA"/>
    <d v="2021-02-25T00:00:00"/>
    <n v="89334000"/>
    <m/>
    <n v="10700000"/>
    <m/>
    <m/>
    <m/>
    <n v="1755666.66"/>
    <m/>
    <n v="2000000"/>
    <n v="16333499.99"/>
    <n v="2000000"/>
    <n v="3000000"/>
    <n v="5633499.9900000002"/>
    <n v="1755666.66"/>
    <n v="13700000"/>
    <n v="3877833.33"/>
    <m/>
    <m/>
    <m/>
    <m/>
    <n v="60756166.629999995"/>
    <n v="0.68010126749054112"/>
    <n v="9"/>
    <d v="2022-06-23T00:00:00"/>
    <n v="28577833.370000005"/>
    <s v="EN EJECUCIÓN"/>
    <n v="10"/>
  </r>
  <r>
    <x v="6"/>
    <s v="ASVAGROG"/>
    <x v="0"/>
    <s v="06-012-20"/>
    <n v="397392"/>
    <s v="NORTE DE SANTANDER"/>
    <d v="2021-03-24T00:00:00"/>
    <n v="199963236"/>
    <m/>
    <m/>
    <n v="10700000"/>
    <m/>
    <m/>
    <n v="10700000"/>
    <m/>
    <n v="6300000"/>
    <n v="6500000"/>
    <n v="2300000"/>
    <n v="7450000"/>
    <n v="39820000"/>
    <n v="3000000"/>
    <m/>
    <n v="5300000"/>
    <n v="42620000"/>
    <m/>
    <m/>
    <m/>
    <n v="134690000"/>
    <n v="0.67357381633891944"/>
    <n v="12"/>
    <d v="2022-06-30T00:00:00"/>
    <n v="65273236"/>
    <s v="EN EJECUCIÓN"/>
    <n v="10"/>
  </r>
  <r>
    <x v="4"/>
    <s v="ASAGRAMPI"/>
    <x v="0"/>
    <s v="01-009-20"/>
    <n v="397344"/>
    <s v="CAUCA"/>
    <d v="2021-03-12T00:00:00"/>
    <n v="164882000"/>
    <m/>
    <m/>
    <m/>
    <m/>
    <m/>
    <m/>
    <m/>
    <m/>
    <m/>
    <n v="13700000"/>
    <n v="46621500"/>
    <m/>
    <m/>
    <n v="17500000"/>
    <n v="3700000"/>
    <n v="28832000"/>
    <m/>
    <m/>
    <m/>
    <n v="110353500"/>
    <n v="0.66928773304545064"/>
    <n v="11"/>
    <d v="2022-05-18T00:00:00"/>
    <n v="54528500"/>
    <s v="EN EJECUCIÓN"/>
    <n v="5"/>
  </r>
  <r>
    <x v="3"/>
    <s v="ASOPRODESPLA"/>
    <x v="0"/>
    <s v="02-027-20"/>
    <n v="397364"/>
    <s v="ANTIOQUIA"/>
    <d v="2021-03-12T00:00:00"/>
    <n v="200000000"/>
    <m/>
    <m/>
    <m/>
    <m/>
    <n v="14758333"/>
    <n v="15341666"/>
    <n v="4083333"/>
    <n v="14583333"/>
    <n v="583333"/>
    <n v="11484933"/>
    <n v="4083333"/>
    <n v="9612000"/>
    <m/>
    <m/>
    <m/>
    <n v="55844332"/>
    <m/>
    <m/>
    <m/>
    <n v="130374596"/>
    <n v="0.65187298000000005"/>
    <n v="11"/>
    <d v="2022-06-08T00:00:00"/>
    <n v="69625404"/>
    <s v="EN EJECUCIÓN"/>
    <n v="9"/>
  </r>
  <r>
    <x v="7"/>
    <s v="ASPESCAR"/>
    <x v="0"/>
    <s v="04-010-20"/>
    <n v="397077"/>
    <s v="LA GUAJIRA"/>
    <d v="2021-03-05T00:00:00"/>
    <n v="200000000"/>
    <m/>
    <n v="10700000"/>
    <m/>
    <m/>
    <n v="877833"/>
    <n v="48009833"/>
    <n v="24250000"/>
    <n v="7627833"/>
    <m/>
    <m/>
    <n v="26377833"/>
    <m/>
    <m/>
    <n v="9000000"/>
    <n v="3511332"/>
    <m/>
    <m/>
    <m/>
    <m/>
    <n v="130354664"/>
    <n v="0.65177331999999999"/>
    <n v="10"/>
    <d v="2022-03-30T00:00:00"/>
    <n v="69645336"/>
    <s v="EN EJECUCIÓN"/>
    <n v="8"/>
  </r>
  <r>
    <x v="5"/>
    <s v="ASAPAVBJ"/>
    <x v="0"/>
    <s v="07-005-20"/>
    <n v="397007"/>
    <s v="ARAUCA"/>
    <d v="2021-03-01T00:00:00"/>
    <n v="194998000"/>
    <m/>
    <n v="10700000"/>
    <m/>
    <m/>
    <n v="18685666"/>
    <n v="6692833"/>
    <m/>
    <n v="4192833"/>
    <n v="2500000"/>
    <n v="5117833"/>
    <m/>
    <n v="25907833"/>
    <m/>
    <m/>
    <m/>
    <n v="51427421"/>
    <m/>
    <m/>
    <m/>
    <n v="125224419"/>
    <n v="0.64218309418558139"/>
    <n v="11"/>
    <d v="2022-07-13T00:00:00"/>
    <n v="69773581"/>
    <s v="EN EJECUCIÓN"/>
    <n v="8"/>
  </r>
  <r>
    <x v="5"/>
    <s v="ASMUCALE"/>
    <x v="0"/>
    <s v="07-013-20"/>
    <n v="397057"/>
    <s v="META"/>
    <d v="2021-03-01T00:00:00"/>
    <n v="179831000"/>
    <m/>
    <m/>
    <m/>
    <n v="10700000"/>
    <n v="3348000"/>
    <n v="14441000"/>
    <n v="3348000"/>
    <m/>
    <n v="3511332"/>
    <m/>
    <m/>
    <n v="11799666"/>
    <n v="36396000"/>
    <n v="14321452"/>
    <m/>
    <n v="17615000"/>
    <m/>
    <m/>
    <m/>
    <n v="115480450"/>
    <n v="0.64216097335831979"/>
    <n v="12"/>
    <d v="2022-08-11T00:00:00"/>
    <n v="64350550"/>
    <s v="EN EJECUCIÓN"/>
    <n v="9"/>
  </r>
  <r>
    <x v="3"/>
    <s v="PARAISO DE MUJER"/>
    <x v="0"/>
    <s v="02-022-20"/>
    <n v="496516"/>
    <s v="QUINDIO"/>
    <d v="2021-02-25T00:00:00"/>
    <n v="200000000"/>
    <m/>
    <m/>
    <m/>
    <m/>
    <n v="10500000"/>
    <n v="17377000"/>
    <n v="6000000"/>
    <n v="12354000"/>
    <n v="877000"/>
    <m/>
    <n v="35500000"/>
    <n v="17377000"/>
    <m/>
    <n v="13754000"/>
    <n v="6877000"/>
    <n v="6877000"/>
    <m/>
    <m/>
    <m/>
    <n v="127493000"/>
    <n v="0.63746499999999995"/>
    <n v="12"/>
    <d v="2022-05-31T00:00:00"/>
    <n v="72507000"/>
    <s v="EN EJECUCIÓN"/>
    <n v="10"/>
  </r>
  <r>
    <x v="5"/>
    <s v="ASOCAMET"/>
    <x v="0"/>
    <s v="07-008-20"/>
    <n v="397137"/>
    <s v="META"/>
    <d v="2021-03-05T00:00:00"/>
    <n v="200000000"/>
    <m/>
    <n v="10700000"/>
    <m/>
    <m/>
    <m/>
    <n v="18433409"/>
    <m/>
    <n v="4477803"/>
    <n v="4477803"/>
    <m/>
    <n v="43420000"/>
    <n v="23033409"/>
    <m/>
    <n v="10010000"/>
    <n v="12555606"/>
    <m/>
    <m/>
    <m/>
    <m/>
    <n v="127108030"/>
    <n v="0.63554014999999997"/>
    <n v="12"/>
    <d v="2022-04-21T00:00:00"/>
    <n v="72891970"/>
    <s v="EN EJECUCIÓN"/>
    <n v="8"/>
  </r>
  <r>
    <x v="2"/>
    <s v="ASOPROPADI"/>
    <x v="0"/>
    <s v="05-008-20"/>
    <n v="397341"/>
    <s v="HUILA"/>
    <d v="2021-03-12T00:00:00"/>
    <n v="200000000"/>
    <m/>
    <m/>
    <m/>
    <m/>
    <m/>
    <n v="14700000"/>
    <n v="1755666.66"/>
    <m/>
    <n v="33631566.659999996"/>
    <n v="11577833.33"/>
    <m/>
    <n v="25436316.66"/>
    <n v="22046320.329999998"/>
    <n v="6377833.3300000001"/>
    <n v="11577833.33"/>
    <m/>
    <m/>
    <m/>
    <m/>
    <n v="127103370.29999998"/>
    <n v="0.63551685149999992"/>
    <n v="9"/>
    <d v="2022-06-22T00:00:00"/>
    <n v="72896629.700000018"/>
    <s v="EN EJECUCIÓN"/>
    <n v="8"/>
  </r>
  <r>
    <x v="7"/>
    <s v="ASOJOPAZ"/>
    <x v="0"/>
    <s v="03-009-20"/>
    <n v="396608"/>
    <s v="CORDOBA"/>
    <d v="2021-02-24T00:00:00"/>
    <n v="158933000"/>
    <m/>
    <m/>
    <n v="10700000"/>
    <m/>
    <m/>
    <m/>
    <m/>
    <m/>
    <m/>
    <n v="7800000"/>
    <n v="14131583"/>
    <n v="2938916"/>
    <n v="10000000"/>
    <m/>
    <n v="33979869.280000001"/>
    <n v="16844831.209999997"/>
    <m/>
    <m/>
    <m/>
    <n v="96395199.489999995"/>
    <n v="0.60651469166252447"/>
    <n v="10"/>
    <d v="2022-09-29T00:00:00"/>
    <n v="62537800.510000005"/>
    <s v="EN EJECUCIÓN"/>
    <n v="7"/>
  </r>
  <r>
    <x v="5"/>
    <s v="APEGROBA"/>
    <x v="0"/>
    <s v="07-015-20"/>
    <n v="397009"/>
    <s v="ARAUCA"/>
    <d v="2021-03-01T00:00:00"/>
    <n v="198488000"/>
    <n v="10700000"/>
    <m/>
    <m/>
    <n v="5700000"/>
    <m/>
    <n v="13540000"/>
    <n v="8333499"/>
    <m/>
    <n v="8560000"/>
    <n v="31810496.699999999"/>
    <m/>
    <m/>
    <m/>
    <m/>
    <n v="38933489.57"/>
    <n v="877833"/>
    <m/>
    <m/>
    <m/>
    <n v="118455318.27000001"/>
    <n v="0.59678831098101659"/>
    <n v="11"/>
    <d v="2022-06-02T00:00:00"/>
    <n v="80032681.729999989"/>
    <s v="EN EJECUCIÓN"/>
    <n v="8"/>
  </r>
  <r>
    <x v="1"/>
    <s v="LA UNION DEL CAMPO"/>
    <x v="0"/>
    <s v="04-003-20"/>
    <n v="397449"/>
    <s v="CESAR"/>
    <d v="2021-03-24T00:00:00"/>
    <n v="199953000"/>
    <m/>
    <m/>
    <m/>
    <m/>
    <m/>
    <m/>
    <m/>
    <m/>
    <m/>
    <m/>
    <n v="8560000"/>
    <n v="7755666"/>
    <n v="19679984"/>
    <n v="8070000"/>
    <n v="22995000"/>
    <n v="52000000"/>
    <m/>
    <m/>
    <m/>
    <n v="119060650"/>
    <n v="0.59544317914709954"/>
    <n v="7"/>
    <m/>
    <n v="80892350"/>
    <s v="EN EJECUCIÓN"/>
    <n v="6"/>
  </r>
  <r>
    <x v="0"/>
    <s v="ASOPROCACAO"/>
    <x v="0"/>
    <s v="08-018-20"/>
    <n v="396434"/>
    <s v="GUAVIARE"/>
    <d v="2021-02-24T00:00:00"/>
    <n v="175000000"/>
    <m/>
    <m/>
    <m/>
    <m/>
    <m/>
    <n v="4400000"/>
    <m/>
    <m/>
    <n v="10700000"/>
    <m/>
    <n v="54757000"/>
    <n v="8775000"/>
    <m/>
    <n v="6154000"/>
    <m/>
    <n v="19304000"/>
    <m/>
    <m/>
    <m/>
    <n v="104090000"/>
    <n v="0.5948"/>
    <n v="13"/>
    <d v="2022-06-09T00:00:00"/>
    <n v="70910000"/>
    <s v="EN EJECUCIÓN"/>
    <n v="6"/>
  </r>
  <r>
    <x v="3"/>
    <s v="ASOPROMAC - ASOPROMARULAC"/>
    <x v="0"/>
    <s v="02-017-20"/>
    <n v="396761"/>
    <s v="CALDAS"/>
    <d v="2021-02-25T00:00:00"/>
    <n v="199200000"/>
    <m/>
    <m/>
    <m/>
    <n v="10700000"/>
    <m/>
    <m/>
    <m/>
    <m/>
    <n v="10700000"/>
    <n v="41439150"/>
    <m/>
    <n v="24934126"/>
    <n v="3000000"/>
    <n v="6900000"/>
    <n v="3900000"/>
    <n v="16800000"/>
    <m/>
    <m/>
    <m/>
    <n v="118373276"/>
    <n v="0.59424335341365464"/>
    <n v="12"/>
    <d v="2022-06-29T00:00:00"/>
    <n v="80826724"/>
    <s v="EN EJECUCIÓN"/>
    <n v="8"/>
  </r>
  <r>
    <x v="6"/>
    <s v="APIMONGUATE"/>
    <x v="0"/>
    <s v="06-013-20"/>
    <n v="397186"/>
    <s v="SANTANDER"/>
    <d v="2021-03-09T00:00:00"/>
    <n v="163890000"/>
    <m/>
    <n v="10700000"/>
    <m/>
    <m/>
    <m/>
    <m/>
    <m/>
    <m/>
    <m/>
    <n v="22104600"/>
    <n v="10706666"/>
    <n v="6406666"/>
    <n v="17606666"/>
    <n v="5906666"/>
    <n v="8513332"/>
    <n v="15000000"/>
    <m/>
    <m/>
    <m/>
    <n v="96944596"/>
    <n v="0.59152233815363964"/>
    <n v="12"/>
    <d v="2022-07-25T00:00:00"/>
    <n v="66945404"/>
    <s v="EN EJECUCIÓN"/>
    <n v="8"/>
  </r>
  <r>
    <x v="7"/>
    <s v="ASOPISCAGUAJ"/>
    <x v="0"/>
    <s v="04-013-20"/>
    <n v="397069"/>
    <s v="LA GUAJIRA"/>
    <d v="2021-03-05T00:00:00"/>
    <n v="200000000"/>
    <m/>
    <n v="10700000"/>
    <n v="10700000"/>
    <m/>
    <m/>
    <m/>
    <m/>
    <m/>
    <n v="1755660"/>
    <n v="10100000"/>
    <m/>
    <n v="13421660"/>
    <m/>
    <n v="66866000"/>
    <m/>
    <n v="1755660"/>
    <m/>
    <m/>
    <m/>
    <n v="115298980"/>
    <n v="0.57649490000000003"/>
    <n v="9"/>
    <d v="2022-08-26T00:00:00"/>
    <n v="84701020"/>
    <s v="EN EJECUCIÓN"/>
    <n v="7"/>
  </r>
  <r>
    <x v="5"/>
    <s v="ASOMUJEREC"/>
    <x v="0"/>
    <s v="07-021-20"/>
    <n v="397056"/>
    <s v="CASANARE"/>
    <d v="2021-03-01T00:00:00"/>
    <n v="165000000"/>
    <m/>
    <n v="10700000"/>
    <m/>
    <m/>
    <m/>
    <n v="11376833"/>
    <m/>
    <n v="9765833"/>
    <m/>
    <m/>
    <m/>
    <n v="26903334"/>
    <m/>
    <n v="14407499"/>
    <n v="20019165"/>
    <m/>
    <m/>
    <m/>
    <m/>
    <n v="93172664"/>
    <n v="0.56468281212121207"/>
    <n v="12"/>
    <d v="2022-06-30T00:00:00"/>
    <n v="71827336"/>
    <s v="EN EJECUCIÓN"/>
    <n v="6"/>
  </r>
  <r>
    <x v="1"/>
    <s v="AMERPOL"/>
    <x v="0"/>
    <s v="03-017-20"/>
    <n v="397053"/>
    <s v="ATLANTICO"/>
    <d v="2021-02-26T00:00:00"/>
    <n v="199999999"/>
    <m/>
    <m/>
    <n v="10000000"/>
    <m/>
    <m/>
    <n v="14277750"/>
    <n v="20755500"/>
    <n v="22834250"/>
    <m/>
    <n v="6280000"/>
    <n v="1755500"/>
    <n v="3877750"/>
    <n v="19266000"/>
    <m/>
    <n v="8633250"/>
    <n v="3000000"/>
    <m/>
    <m/>
    <m/>
    <n v="110680000"/>
    <n v="0.55340000276699997"/>
    <n v="11"/>
    <d v="2022-05-25T00:00:00"/>
    <n v="89319999"/>
    <s v="EN EJECUCIÓN"/>
    <n v="10"/>
  </r>
  <r>
    <x v="6"/>
    <s v="COOPROCOSAR LTDA"/>
    <x v="0"/>
    <s v="06-009-20"/>
    <n v="397210"/>
    <s v="NORTE DE SANTANDER"/>
    <d v="2021-03-12T00:00:00"/>
    <n v="200000000"/>
    <m/>
    <m/>
    <n v="10700000"/>
    <m/>
    <m/>
    <n v="7800000"/>
    <n v="1200000"/>
    <n v="24740000"/>
    <n v="11211000"/>
    <n v="600000"/>
    <m/>
    <n v="21436000"/>
    <m/>
    <n v="17420000"/>
    <n v="15008000"/>
    <m/>
    <m/>
    <m/>
    <m/>
    <n v="110115000"/>
    <n v="0.55057500000000004"/>
    <n v="13"/>
    <d v="2022-07-01T00:00:00"/>
    <n v="89885000"/>
    <s v="EN EJECUCIÓN"/>
    <n v="9"/>
  </r>
  <r>
    <x v="0"/>
    <s v="ASMIPALMAR"/>
    <x v="0"/>
    <s v="08-017-20"/>
    <n v="397270"/>
    <s v="VAUPES"/>
    <d v="2021-03-05T00:00:00"/>
    <n v="160233000"/>
    <m/>
    <m/>
    <m/>
    <m/>
    <m/>
    <m/>
    <m/>
    <n v="10700000"/>
    <m/>
    <n v="11133499"/>
    <n v="10515000"/>
    <n v="12455666"/>
    <n v="28800000"/>
    <m/>
    <n v="12755666"/>
    <m/>
    <m/>
    <m/>
    <m/>
    <n v="86359831"/>
    <n v="0.5389640773124138"/>
    <n v="10"/>
    <d v="2022-08-17T00:00:00"/>
    <n v="73873169"/>
    <s v="EN EJECUCIÓN"/>
    <n v="6"/>
  </r>
  <r>
    <x v="4"/>
    <s v="ASOAPAZ"/>
    <x v="0"/>
    <s v="01-008-20"/>
    <n v="397067"/>
    <s v="VALLE DEL CAUCA"/>
    <d v="2021-03-05T00:00:00"/>
    <n v="150000000"/>
    <m/>
    <m/>
    <m/>
    <m/>
    <n v="10700000"/>
    <n v="10700000"/>
    <m/>
    <n v="35449000"/>
    <m/>
    <m/>
    <n v="2250000"/>
    <m/>
    <m/>
    <n v="5000000"/>
    <n v="15250000"/>
    <m/>
    <m/>
    <m/>
    <m/>
    <n v="79349000"/>
    <n v="0.52899333333333332"/>
    <n v="11"/>
    <d v="2022-09-30T00:00:00"/>
    <n v="70651000"/>
    <s v="EN EJECUCIÓN"/>
    <n v="6"/>
  </r>
  <r>
    <x v="7"/>
    <s v="ASOPROBRILLANTE"/>
    <x v="0"/>
    <s v="04-019-20"/>
    <n v="397345"/>
    <s v="MAGDALENA"/>
    <d v="2021-03-12T00:00:00"/>
    <n v="175000000"/>
    <m/>
    <m/>
    <n v="9500000"/>
    <m/>
    <n v="7876832"/>
    <n v="12083000"/>
    <m/>
    <m/>
    <m/>
    <m/>
    <m/>
    <n v="7483748"/>
    <m/>
    <m/>
    <m/>
    <n v="55038000"/>
    <m/>
    <m/>
    <m/>
    <n v="91981580"/>
    <n v="0.52560902857142855"/>
    <n v="9"/>
    <d v="2022-10-27T00:00:00"/>
    <n v="83018420"/>
    <s v="EN EJECUCIÓN"/>
    <n v="5"/>
  </r>
  <r>
    <x v="2"/>
    <s v="ASOPROMECOL"/>
    <x v="0"/>
    <s v="05-016-20"/>
    <n v="396874"/>
    <s v="TOLIMA"/>
    <d v="2021-02-25T00:00:00"/>
    <n v="199634000"/>
    <m/>
    <m/>
    <n v="10700000"/>
    <n v="18937261"/>
    <m/>
    <n v="23294000"/>
    <n v="5633000"/>
    <m/>
    <n v="7233800"/>
    <n v="6350000"/>
    <n v="17120000"/>
    <n v="10700000"/>
    <m/>
    <m/>
    <n v="3000000"/>
    <n v="878000"/>
    <m/>
    <m/>
    <m/>
    <n v="103846061"/>
    <n v="0.52018223849644851"/>
    <n v="8"/>
    <d v="2022-04-20T00:00:00"/>
    <n v="95787939"/>
    <s v="EN EJECUCIÓN"/>
    <n v="10"/>
  </r>
  <r>
    <x v="3"/>
    <s v="PROCORD"/>
    <x v="0"/>
    <s v="02-002-20"/>
    <n v="396815"/>
    <s v="QUINDIO"/>
    <d v="2021-02-25T00:00:00"/>
    <n v="200000000"/>
    <m/>
    <m/>
    <m/>
    <m/>
    <n v="8000000"/>
    <n v="14877000"/>
    <n v="6877000"/>
    <n v="6877000"/>
    <n v="9597000"/>
    <n v="16928500"/>
    <n v="8819096"/>
    <n v="14877000"/>
    <m/>
    <n v="6882000"/>
    <n v="9000000"/>
    <m/>
    <m/>
    <m/>
    <m/>
    <n v="102734596"/>
    <n v="0.51367297999999995"/>
    <n v="12"/>
    <d v="2022-05-31T00:00:00"/>
    <n v="97265404"/>
    <s v="EN EJECUCIÓN"/>
    <n v="10"/>
  </r>
  <r>
    <x v="4"/>
    <s v="ASMUPGRAMI"/>
    <x v="0"/>
    <s v="01-001-20"/>
    <n v="397015"/>
    <s v="CAUCA"/>
    <d v="2021-03-09T00:00:00"/>
    <n v="167841000"/>
    <m/>
    <m/>
    <m/>
    <m/>
    <m/>
    <n v="10700000"/>
    <n v="3200000"/>
    <n v="17100000"/>
    <m/>
    <n v="3200000"/>
    <m/>
    <n v="44206499"/>
    <m/>
    <n v="4040000"/>
    <n v="3200000"/>
    <m/>
    <m/>
    <m/>
    <m/>
    <n v="85646499"/>
    <n v="0.51028353620390732"/>
    <n v="11"/>
    <d v="2022-07-01T00:00:00"/>
    <n v="82194501"/>
    <s v="EN EJECUCIÓN"/>
    <n v="7"/>
  </r>
  <r>
    <x v="4"/>
    <s v="ASOAGROTCH"/>
    <x v="0"/>
    <s v="01-012-20"/>
    <n v="397204"/>
    <s v="CHOCO"/>
    <d v="2021-03-12T00:00:00"/>
    <n v="199739000"/>
    <m/>
    <m/>
    <m/>
    <n v="10700000"/>
    <m/>
    <m/>
    <m/>
    <n v="9800000"/>
    <n v="17440000"/>
    <n v="6740000"/>
    <n v="29229960"/>
    <n v="13446000"/>
    <n v="13480000"/>
    <m/>
    <m/>
    <m/>
    <m/>
    <m/>
    <m/>
    <n v="100835960"/>
    <n v="0.50483861439178124"/>
    <n v="11"/>
    <d v="2022-08-16T00:00:00"/>
    <n v="98903040"/>
    <s v="EN EJECUCIÓN"/>
    <n v="7"/>
  </r>
  <r>
    <x v="4"/>
    <s v="LOS ESPINELEROS"/>
    <x v="0"/>
    <s v="01-026-20"/>
    <n v="397562"/>
    <s v="CHOCO"/>
    <d v="2021-04-13T00:00:00"/>
    <n v="189920000"/>
    <m/>
    <m/>
    <m/>
    <m/>
    <m/>
    <m/>
    <n v="10700000"/>
    <m/>
    <n v="18500000"/>
    <n v="23800000"/>
    <n v="16160000"/>
    <n v="10200000"/>
    <n v="10200000"/>
    <n v="3400000"/>
    <n v="2000000"/>
    <m/>
    <m/>
    <m/>
    <m/>
    <n v="94960000"/>
    <n v="0.5"/>
    <n v="10"/>
    <d v="2022-07-19T00:00:00"/>
    <n v="94960000"/>
    <s v="EN EJECUCIÓN"/>
    <n v="8"/>
  </r>
  <r>
    <x v="1"/>
    <s v="ASOCITRICOS"/>
    <x v="0"/>
    <s v="04-004-20"/>
    <n v="397205"/>
    <s v="CESAR"/>
    <d v="2021-03-12T00:00:00"/>
    <n v="197080000"/>
    <m/>
    <m/>
    <n v="10700000"/>
    <m/>
    <m/>
    <n v="6633499"/>
    <n v="4877833"/>
    <m/>
    <n v="4000000"/>
    <n v="24800000"/>
    <m/>
    <n v="22655666"/>
    <n v="4000000"/>
    <n v="6000000"/>
    <n v="10700000"/>
    <n v="2000000"/>
    <m/>
    <m/>
    <m/>
    <n v="96366998"/>
    <n v="0.48897401055408973"/>
    <n v="10"/>
    <d v="2022-07-18T00:00:00"/>
    <n v="100713002"/>
    <s v="EN EJECUCIÓN"/>
    <n v="10"/>
  </r>
  <r>
    <x v="3"/>
    <s v="ASOAGROCORDILLERA"/>
    <x v="0"/>
    <s v="02-024-20"/>
    <n v="396528"/>
    <s v="QUINDIO"/>
    <d v="2021-02-26T00:00:00"/>
    <n v="190000000"/>
    <m/>
    <m/>
    <m/>
    <m/>
    <m/>
    <n v="10700000"/>
    <m/>
    <n v="9000000"/>
    <n v="6000000"/>
    <n v="33702875"/>
    <m/>
    <n v="21456000"/>
    <m/>
    <n v="11634000"/>
    <m/>
    <m/>
    <m/>
    <m/>
    <m/>
    <n v="92492875"/>
    <n v="0.48680460526315789"/>
    <n v="13"/>
    <d v="2022-06-29T00:00:00"/>
    <n v="97507125"/>
    <s v="EN EJECUCIÓN"/>
    <n v="6"/>
  </r>
  <r>
    <x v="7"/>
    <s v="ASOGANSAB"/>
    <x v="0"/>
    <s v="04-018-20"/>
    <n v="397206"/>
    <s v="MAGDALENA"/>
    <d v="2021-03-12T00:00:00"/>
    <n v="200000000"/>
    <m/>
    <m/>
    <n v="9000000"/>
    <m/>
    <m/>
    <m/>
    <n v="8000000"/>
    <n v="11000000"/>
    <n v="25200000"/>
    <n v="4000000"/>
    <m/>
    <m/>
    <n v="600000"/>
    <n v="4000000"/>
    <n v="1200000"/>
    <n v="34000000"/>
    <m/>
    <m/>
    <m/>
    <n v="97000000"/>
    <n v="0.48499999999999999"/>
    <n v="10"/>
    <d v="2022-10-25T00:00:00"/>
    <n v="103000000"/>
    <s v="EN EJECUCIÓN"/>
    <n v="9"/>
  </r>
  <r>
    <x v="2"/>
    <s v="ASFRUHOBO"/>
    <x v="0"/>
    <s v="05-004-20"/>
    <n v="397367"/>
    <s v="HUILA"/>
    <d v="2021-03-12T00:00:00"/>
    <n v="165000000"/>
    <m/>
    <m/>
    <m/>
    <m/>
    <m/>
    <n v="1755666"/>
    <m/>
    <n v="10700000"/>
    <n v="3500000"/>
    <m/>
    <n v="60592166"/>
    <n v="1755666"/>
    <m/>
    <m/>
    <m/>
    <m/>
    <m/>
    <m/>
    <m/>
    <n v="78303498"/>
    <n v="0.47456665454545455"/>
    <n v="8"/>
    <d v="2022-06-24T00:00:00"/>
    <n v="86696502"/>
    <s v="EN EJECUCIÓN"/>
    <n v="5"/>
  </r>
  <r>
    <x v="4"/>
    <s v="ASOPPLAMUS"/>
    <x v="0"/>
    <s v="01-024-20"/>
    <n v="397184"/>
    <s v="CHOCO"/>
    <d v="2021-03-12T00:00:00"/>
    <n v="199600000"/>
    <m/>
    <m/>
    <m/>
    <m/>
    <m/>
    <m/>
    <n v="10700000"/>
    <m/>
    <m/>
    <n v="48699982"/>
    <n v="3400000"/>
    <n v="19000000"/>
    <m/>
    <n v="4400000"/>
    <m/>
    <n v="6800000"/>
    <m/>
    <m/>
    <m/>
    <n v="92999982"/>
    <n v="0.4659317735470942"/>
    <n v="11"/>
    <d v="2022-10-19T00:00:00"/>
    <n v="106600018"/>
    <s v="EN EJECUCIÓN"/>
    <n v="6"/>
  </r>
  <r>
    <x v="2"/>
    <s v="ASPROPLABAP"/>
    <x v="0"/>
    <s v="05-010-20"/>
    <n v="397133"/>
    <s v="HUILA"/>
    <d v="2021-03-05T00:00:00"/>
    <n v="199984000"/>
    <m/>
    <m/>
    <m/>
    <m/>
    <m/>
    <m/>
    <m/>
    <n v="10700000"/>
    <m/>
    <m/>
    <m/>
    <n v="14211332"/>
    <n v="63900000"/>
    <m/>
    <m/>
    <m/>
    <m/>
    <m/>
    <m/>
    <n v="88811332"/>
    <n v="0.44409218737499001"/>
    <n v="8"/>
    <d v="2022-08-02T00:00:00"/>
    <n v="111172668"/>
    <s v="EN EJECUCIÓN"/>
    <n v="3"/>
  </r>
  <r>
    <x v="7"/>
    <s v="APDPM"/>
    <x v="0"/>
    <s v="04-005-20"/>
    <n v="396515"/>
    <s v="MAGDALENA"/>
    <d v="2021-02-25T00:00:00"/>
    <n v="200000000"/>
    <m/>
    <n v="10700000"/>
    <m/>
    <n v="19200000"/>
    <n v="10256000"/>
    <n v="9378000"/>
    <n v="6378000"/>
    <n v="6378000"/>
    <m/>
    <m/>
    <m/>
    <m/>
    <m/>
    <m/>
    <n v="24440000"/>
    <m/>
    <m/>
    <m/>
    <m/>
    <n v="86730000"/>
    <n v="0.43364999999999998"/>
    <n v="8"/>
    <d v="2022-10-05T00:00:00"/>
    <n v="113270000"/>
    <s v="EN EJECUCIÓN"/>
    <n v="7"/>
  </r>
  <r>
    <x v="5"/>
    <s v="ASMUCULPAZCA"/>
    <x v="0"/>
    <s v="07-009-20"/>
    <n v="397136"/>
    <s v="ARAUCA"/>
    <d v="2021-03-05T00:00:00"/>
    <n v="175000000"/>
    <n v="10700000"/>
    <m/>
    <m/>
    <m/>
    <m/>
    <n v="10973684"/>
    <n v="3000000"/>
    <n v="5633499"/>
    <n v="1755666"/>
    <n v="3220000"/>
    <m/>
    <m/>
    <m/>
    <n v="31062746"/>
    <n v="8440000"/>
    <m/>
    <m/>
    <m/>
    <m/>
    <n v="74785595"/>
    <n v="0.42734625714285712"/>
    <n v="11"/>
    <d v="2022-09-01T00:00:00"/>
    <n v="100214405"/>
    <s v="EN EJECUCIÓN"/>
    <n v="8"/>
  </r>
  <r>
    <x v="7"/>
    <s v="EL PEZ DORADO"/>
    <x v="0"/>
    <s v="04-012-20"/>
    <n v="396863"/>
    <s v="LA GUAJIRA"/>
    <d v="2021-02-25T00:00:00"/>
    <n v="200000000"/>
    <m/>
    <n v="10700000"/>
    <m/>
    <m/>
    <m/>
    <n v="11633000"/>
    <m/>
    <n v="8666000"/>
    <m/>
    <n v="4883490"/>
    <m/>
    <n v="2960830"/>
    <m/>
    <n v="46000000"/>
    <m/>
    <m/>
    <m/>
    <m/>
    <m/>
    <n v="84843320"/>
    <n v="0.4242166"/>
    <n v="10"/>
    <d v="2022-08-24T00:00:00"/>
    <n v="115156680"/>
    <s v="EN EJECUCIÓN"/>
    <n v="6"/>
  </r>
  <r>
    <x v="4"/>
    <s v="NASAFRUT"/>
    <x v="0"/>
    <s v="01-011-20"/>
    <n v="397561"/>
    <s v="VALLE DEL CAUCA"/>
    <d v="2021-04-13T00:00:00"/>
    <n v="200000000"/>
    <m/>
    <m/>
    <m/>
    <m/>
    <m/>
    <m/>
    <m/>
    <n v="11640000"/>
    <n v="10700000"/>
    <m/>
    <n v="5820000"/>
    <n v="5820000"/>
    <n v="10700000"/>
    <n v="4500000"/>
    <n v="35332523.539999999"/>
    <m/>
    <m/>
    <m/>
    <m/>
    <n v="84512523.539999992"/>
    <n v="0.42256261769999998"/>
    <n v="10"/>
    <d v="2022-10-20T00:00:00"/>
    <n v="115487476.46000001"/>
    <s v="EN EJECUCIÓN"/>
    <n v="7"/>
  </r>
  <r>
    <x v="5"/>
    <s v="APROFRUSA"/>
    <x v="0"/>
    <s v="07-016-20"/>
    <n v="397008"/>
    <s v="ARAUCA"/>
    <d v="2021-03-01T00:00:00"/>
    <n v="195100000"/>
    <m/>
    <n v="10700000"/>
    <m/>
    <n v="12800000"/>
    <n v="4500000"/>
    <n v="5255666"/>
    <n v="3127833"/>
    <n v="3500000"/>
    <m/>
    <n v="12377833"/>
    <m/>
    <n v="29742000"/>
    <m/>
    <m/>
    <m/>
    <m/>
    <m/>
    <m/>
    <m/>
    <n v="82003332"/>
    <n v="0.42031436186570992"/>
    <n v="12"/>
    <d v="2022-07-11T00:00:00"/>
    <n v="113096668"/>
    <s v="EN EJECUCIÓN"/>
    <n v="8"/>
  </r>
  <r>
    <x v="4"/>
    <s v="APEGANCABI"/>
    <x v="0"/>
    <s v="01-006-20"/>
    <n v="396854"/>
    <s v="CAUCA"/>
    <d v="2021-02-25T00:00:00"/>
    <n v="178025000"/>
    <m/>
    <m/>
    <m/>
    <m/>
    <m/>
    <n v="10700000"/>
    <m/>
    <n v="4000000"/>
    <n v="7500000"/>
    <n v="14397700"/>
    <n v="35396500"/>
    <m/>
    <m/>
    <m/>
    <n v="1500000"/>
    <m/>
    <m/>
    <m/>
    <m/>
    <n v="73494200"/>
    <n v="0.41283078219351216"/>
    <n v="11"/>
    <d v="2022-05-20T00:00:00"/>
    <n v="104530800"/>
    <s v="EN EJECUCIÓN"/>
    <n v="6"/>
  </r>
  <r>
    <x v="7"/>
    <s v="SOMOS DEL MAR"/>
    <x v="0"/>
    <s v="04-017-20"/>
    <n v="396868"/>
    <s v="LA GUAJIRA"/>
    <d v="2021-02-25T00:00:00"/>
    <n v="200000000"/>
    <m/>
    <m/>
    <n v="10700000"/>
    <m/>
    <m/>
    <n v="16600000"/>
    <n v="4500000"/>
    <n v="1755660"/>
    <n v="877830"/>
    <m/>
    <m/>
    <m/>
    <m/>
    <n v="45000000"/>
    <m/>
    <m/>
    <m/>
    <m/>
    <m/>
    <n v="79433490"/>
    <n v="0.39716744999999998"/>
    <n v="10"/>
    <d v="2022-08-22T00:00:00"/>
    <n v="120566510"/>
    <s v="EN EJECUCIÓN"/>
    <n v="6"/>
  </r>
  <r>
    <x v="5"/>
    <s v="ASOCAÑA"/>
    <x v="0"/>
    <s v="07-011-20"/>
    <n v="496521"/>
    <s v="ARAUCA"/>
    <d v="2021-02-24T00:00:00"/>
    <n v="199994000"/>
    <m/>
    <n v="10700000"/>
    <m/>
    <m/>
    <n v="3877833"/>
    <n v="6877833"/>
    <m/>
    <n v="3000000"/>
    <m/>
    <m/>
    <n v="3877833"/>
    <m/>
    <m/>
    <n v="3877833"/>
    <n v="3000000"/>
    <n v="42680000"/>
    <m/>
    <m/>
    <m/>
    <n v="77891332"/>
    <n v="0.38946834405032149"/>
    <n v="9"/>
    <m/>
    <n v="122102668"/>
    <s v="EN EJECUCIÓN"/>
    <n v="8"/>
  </r>
  <r>
    <x v="4"/>
    <s v="CANTON DE SAN PABLO"/>
    <x v="0"/>
    <s v="01-022-20"/>
    <n v="396509"/>
    <s v="CHOCO"/>
    <d v="2021-02-25T00:00:00"/>
    <n v="199762000"/>
    <m/>
    <m/>
    <m/>
    <m/>
    <m/>
    <m/>
    <m/>
    <m/>
    <m/>
    <n v="13540000"/>
    <m/>
    <n v="8316000"/>
    <m/>
    <n v="38128000"/>
    <m/>
    <n v="14100000"/>
    <m/>
    <m/>
    <m/>
    <n v="74084000"/>
    <n v="0.37086132497672231"/>
    <n v="6"/>
    <m/>
    <n v="125678000"/>
    <s v="EN EJECUCIÓN"/>
    <n v="4"/>
  </r>
  <r>
    <x v="2"/>
    <s v="ASOPRIACHIGUS"/>
    <x v="0"/>
    <s v="05-006-20"/>
    <n v="397366"/>
    <s v="HUILA"/>
    <d v="2021-03-12T00:00:00"/>
    <n v="190000000"/>
    <m/>
    <m/>
    <m/>
    <m/>
    <n v="10700000"/>
    <m/>
    <m/>
    <m/>
    <m/>
    <m/>
    <m/>
    <n v="18889165"/>
    <m/>
    <m/>
    <n v="39035833"/>
    <m/>
    <m/>
    <m/>
    <m/>
    <n v="68624998"/>
    <n v="0.36118420000000001"/>
    <n v="8"/>
    <d v="2022-10-05T00:00:00"/>
    <n v="121375002"/>
    <s v="EN EJECUCIÓN"/>
    <n v="3"/>
  </r>
  <r>
    <x v="7"/>
    <s v="ASOMUPROAGRORI"/>
    <x v="0"/>
    <s v="04-007-20"/>
    <n v="396613"/>
    <s v="MAGDALENA"/>
    <d v="2021-02-25T00:00:00"/>
    <n v="200000000"/>
    <m/>
    <n v="10700000"/>
    <m/>
    <m/>
    <m/>
    <n v="3963000"/>
    <m/>
    <m/>
    <n v="4583000"/>
    <n v="2083000"/>
    <n v="3036000"/>
    <m/>
    <n v="3963000"/>
    <n v="32240000"/>
    <n v="10700000"/>
    <m/>
    <m/>
    <m/>
    <m/>
    <n v="71268000"/>
    <n v="0.35633999999999999"/>
    <n v="8"/>
    <d v="2022-10-06T00:00:00"/>
    <n v="128732000"/>
    <s v="EN EJECUCIÓN"/>
    <n v="8"/>
  </r>
  <r>
    <x v="0"/>
    <s v="APPAIAM"/>
    <x v="0"/>
    <s v="08-020-20"/>
    <n v="396892"/>
    <s v="AMAZONAS"/>
    <d v="2021-02-25T00:00:00"/>
    <n v="148697000"/>
    <m/>
    <m/>
    <m/>
    <m/>
    <m/>
    <m/>
    <n v="8799250"/>
    <m/>
    <n v="19105000"/>
    <n v="16199400"/>
    <m/>
    <m/>
    <m/>
    <n v="8799250"/>
    <m/>
    <m/>
    <m/>
    <m/>
    <m/>
    <n v="52902900"/>
    <n v="0.35577651196728921"/>
    <n v="9"/>
    <d v="2022-08-29T00:00:00"/>
    <n v="95794100"/>
    <s v="EN EJECUCIÓN"/>
    <n v="4"/>
  </r>
  <r>
    <x v="5"/>
    <s v="ASOPROREC"/>
    <x v="0"/>
    <s v="07-019-20"/>
    <n v="397055"/>
    <s v="CASANARE"/>
    <d v="2021-03-01T00:00:00"/>
    <n v="165000000"/>
    <m/>
    <n v="10700000"/>
    <m/>
    <m/>
    <m/>
    <n v="10910833.33"/>
    <m/>
    <n v="10018833.33"/>
    <n v="19639499.989999995"/>
    <m/>
    <m/>
    <n v="6600000"/>
    <m/>
    <m/>
    <m/>
    <m/>
    <m/>
    <m/>
    <m/>
    <n v="57869166.649999991"/>
    <n v="0.35072222212121207"/>
    <n v="11"/>
    <m/>
    <n v="107130833.35000001"/>
    <s v="EN EJECUCIÓN"/>
    <n v="5"/>
  </r>
  <r>
    <x v="7"/>
    <s v="ASOMUEM2020"/>
    <x v="0"/>
    <s v="04-002-20"/>
    <n v="396447"/>
    <s v="MAGDALENA"/>
    <d v="2021-03-05T00:00:00"/>
    <n v="200000000"/>
    <m/>
    <m/>
    <m/>
    <m/>
    <m/>
    <m/>
    <m/>
    <m/>
    <m/>
    <m/>
    <m/>
    <n v="10700000"/>
    <n v="6200000"/>
    <n v="9408334"/>
    <n v="26283333"/>
    <n v="10700000"/>
    <m/>
    <m/>
    <m/>
    <n v="63291667"/>
    <n v="0.31645833499999998"/>
    <n v="4"/>
    <m/>
    <n v="136708333"/>
    <s v="EN EJECUCIÓN"/>
    <n v="5"/>
  </r>
  <r>
    <x v="4"/>
    <s v="ASOMEAG"/>
    <x v="0"/>
    <s v="01-014-20"/>
    <n v="397272"/>
    <s v="CHOCO"/>
    <d v="2021-03-09T00:00:00"/>
    <n v="199964000"/>
    <m/>
    <m/>
    <m/>
    <m/>
    <m/>
    <n v="34940000"/>
    <n v="2840000"/>
    <m/>
    <n v="6740000"/>
    <n v="6240000"/>
    <m/>
    <m/>
    <m/>
    <n v="5680000"/>
    <n v="3400000"/>
    <m/>
    <m/>
    <m/>
    <m/>
    <n v="59840000"/>
    <n v="0.29925386569582524"/>
    <n v="10"/>
    <m/>
    <n v="140124000"/>
    <s v="EN EJECUCIÓN"/>
    <n v="6"/>
  </r>
  <r>
    <x v="4"/>
    <s v="ASPROAGROPESQH"/>
    <x v="0"/>
    <s v="01-016-20"/>
    <n v="397016"/>
    <s v="CHOCO"/>
    <d v="2021-03-09T00:00:00"/>
    <n v="199997000"/>
    <m/>
    <m/>
    <m/>
    <n v="21400000"/>
    <n v="16320000"/>
    <m/>
    <n v="3900000"/>
    <m/>
    <n v="15320000"/>
    <m/>
    <m/>
    <n v="1000000"/>
    <m/>
    <m/>
    <m/>
    <n v="500000"/>
    <m/>
    <m/>
    <m/>
    <n v="58440000"/>
    <n v="0.29220438306574598"/>
    <n v="10"/>
    <m/>
    <n v="141557000"/>
    <s v="EN EJECUCIÓN"/>
    <n v="6"/>
  </r>
  <r>
    <x v="7"/>
    <s v="ASPPE"/>
    <x v="0"/>
    <s v="03-025-20"/>
    <n v="396758"/>
    <s v="SUCRE"/>
    <d v="2021-02-24T00:00:00"/>
    <n v="150000000"/>
    <m/>
    <m/>
    <m/>
    <m/>
    <m/>
    <n v="10700000"/>
    <m/>
    <m/>
    <n v="4254000"/>
    <n v="22196000"/>
    <m/>
    <m/>
    <n v="877000"/>
    <n v="4650000"/>
    <m/>
    <m/>
    <m/>
    <m/>
    <m/>
    <n v="42677000"/>
    <n v="0.28451333333333334"/>
    <n v="6"/>
    <m/>
    <n v="107323000"/>
    <s v="EN EJECUCIÓN"/>
    <n v="5"/>
  </r>
  <r>
    <x v="7"/>
    <s v="ASOCIACION DEL CABILDO MENOR SAN ANTONIO"/>
    <x v="0"/>
    <s v="03-012-20"/>
    <n v="397203"/>
    <s v="SUCRE"/>
    <d v="2021-03-12T00:00:00"/>
    <n v="200000000"/>
    <m/>
    <m/>
    <m/>
    <n v="10700000"/>
    <n v="878000"/>
    <n v="22078000"/>
    <m/>
    <n v="7006000"/>
    <n v="6128000"/>
    <m/>
    <m/>
    <n v="5250000"/>
    <n v="878000"/>
    <m/>
    <m/>
    <m/>
    <m/>
    <m/>
    <m/>
    <n v="52918000"/>
    <n v="0.26458999999999999"/>
    <n v="7"/>
    <s v="-"/>
    <n v="147082000"/>
    <s v="EN EJECUCIÓN"/>
    <n v="7"/>
  </r>
  <r>
    <x v="7"/>
    <s v="ASOPROAVICE"/>
    <x v="0"/>
    <s v="04-001-20"/>
    <n v="396436"/>
    <s v="MAGDALENA"/>
    <d v="2021-02-25T00:00:00"/>
    <n v="200000000"/>
    <m/>
    <n v="10700000"/>
    <m/>
    <m/>
    <n v="5000000"/>
    <n v="4277500"/>
    <m/>
    <m/>
    <m/>
    <n v="4916000"/>
    <n v="4897500"/>
    <m/>
    <n v="5333000"/>
    <n v="4000000"/>
    <n v="10700000"/>
    <m/>
    <m/>
    <m/>
    <m/>
    <n v="49824000"/>
    <n v="0.24912000000000001"/>
    <n v="8"/>
    <m/>
    <n v="150176000"/>
    <s v="EN EJECUCIÓN"/>
    <n v="8"/>
  </r>
  <r>
    <x v="7"/>
    <s v="ASOPROLANA"/>
    <x v="0"/>
    <s v="03-003-20"/>
    <n v="396756"/>
    <s v="SUCRE"/>
    <d v="2021-02-24T00:00:00"/>
    <n v="200000000"/>
    <m/>
    <n v="10700000"/>
    <m/>
    <m/>
    <m/>
    <m/>
    <m/>
    <m/>
    <m/>
    <m/>
    <n v="10390000"/>
    <n v="20608000"/>
    <n v="3000000"/>
    <m/>
    <m/>
    <m/>
    <m/>
    <m/>
    <m/>
    <n v="44698000"/>
    <n v="0.22348999999999999"/>
    <n v="6"/>
    <m/>
    <n v="155302000"/>
    <s v="EN EJECUCIÓN"/>
    <n v="4"/>
  </r>
  <r>
    <x v="7"/>
    <s v="ANUAGRA"/>
    <x v="0"/>
    <s v="03-019-20"/>
    <n v="397135"/>
    <s v="CORDOBA"/>
    <d v="2021-03-03T00:00:00"/>
    <n v="163440000"/>
    <m/>
    <m/>
    <m/>
    <n v="10700000"/>
    <m/>
    <m/>
    <m/>
    <n v="1000000"/>
    <m/>
    <m/>
    <m/>
    <m/>
    <n v="16716666"/>
    <m/>
    <m/>
    <n v="6016666"/>
    <m/>
    <m/>
    <m/>
    <n v="34433332"/>
    <n v="0.21067873225648556"/>
    <n v="5"/>
    <m/>
    <n v="129006668"/>
    <s v="EN EJECUCIÓN"/>
    <n v="4"/>
  </r>
  <r>
    <x v="7"/>
    <s v="ASPAPUY"/>
    <x v="0"/>
    <s v="03-008-20"/>
    <n v="396514"/>
    <s v="CORDOBA"/>
    <d v="2021-02-25T00:00:00"/>
    <n v="179983000"/>
    <m/>
    <m/>
    <n v="10700000"/>
    <m/>
    <m/>
    <m/>
    <m/>
    <m/>
    <m/>
    <m/>
    <n v="8657545"/>
    <n v="6420000"/>
    <n v="11041545"/>
    <m/>
    <m/>
    <m/>
    <m/>
    <m/>
    <m/>
    <n v="36819090"/>
    <n v="0.20456982048304562"/>
    <n v="6"/>
    <m/>
    <n v="143163910"/>
    <s v="EN EJECUCIÓN"/>
    <n v="4"/>
  </r>
  <r>
    <x v="1"/>
    <s v="PORKBARANOA"/>
    <x v="0"/>
    <s v="03-026-20"/>
    <n v="396994"/>
    <s v="ATLANTICO"/>
    <d v="2021-02-26T00:00:00"/>
    <n v="199998000"/>
    <m/>
    <m/>
    <m/>
    <m/>
    <m/>
    <m/>
    <m/>
    <m/>
    <m/>
    <m/>
    <n v="16077750"/>
    <m/>
    <n v="3077750"/>
    <n v="12155500"/>
    <n v="6077750"/>
    <n v="3000000"/>
    <m/>
    <m/>
    <m/>
    <n v="40388750"/>
    <n v="0.20194576945769457"/>
    <n v="7"/>
    <m/>
    <n v="159609250"/>
    <s v="EN EJECUCIÓN"/>
    <n v="5"/>
  </r>
  <r>
    <x v="1"/>
    <s v="ASOPROAGRO"/>
    <x v="0"/>
    <s v="04-024-20"/>
    <n v="397068"/>
    <s v="CESAR"/>
    <d v="2021-03-05T00:00:00"/>
    <n v="195534000"/>
    <m/>
    <m/>
    <m/>
    <m/>
    <m/>
    <m/>
    <n v="3877833"/>
    <m/>
    <n v="4000000"/>
    <n v="2083000"/>
    <n v="21388000"/>
    <m/>
    <m/>
    <n v="5083000"/>
    <m/>
    <n v="3000000"/>
    <m/>
    <m/>
    <m/>
    <n v="39431833"/>
    <n v="0.20166228379719128"/>
    <n v="9"/>
    <m/>
    <n v="156102167"/>
    <s v="EN EJECUCIÓN"/>
    <n v="6"/>
  </r>
  <r>
    <x v="3"/>
    <s v="ASOHORTICAS"/>
    <x v="0"/>
    <s v="02-025-20"/>
    <n v="397310"/>
    <s v="QUINDIO"/>
    <d v="2021-03-05T00:00:00"/>
    <n v="200000000"/>
    <m/>
    <m/>
    <m/>
    <m/>
    <m/>
    <n v="8750000"/>
    <m/>
    <n v="3000000"/>
    <m/>
    <m/>
    <n v="9884000"/>
    <n v="8750000"/>
    <m/>
    <m/>
    <n v="6343000"/>
    <m/>
    <m/>
    <m/>
    <m/>
    <n v="36727000"/>
    <n v="0.18363499999999999"/>
    <n v="8"/>
    <s v="-"/>
    <n v="163273000"/>
    <s v="LIQUIDACIÓN ANT."/>
    <n v="5"/>
  </r>
  <r>
    <x v="7"/>
    <s v="ASOCAVELI"/>
    <x v="0"/>
    <s v="04-015-20"/>
    <n v="397424"/>
    <s v="LA GUAJIRA"/>
    <d v="2021-03-24T00:00:00"/>
    <n v="200000000"/>
    <m/>
    <n v="8250000"/>
    <n v="8250000"/>
    <m/>
    <m/>
    <n v="4450000"/>
    <n v="2000000"/>
    <n v="11155660"/>
    <m/>
    <m/>
    <m/>
    <m/>
    <m/>
    <m/>
    <m/>
    <m/>
    <m/>
    <m/>
    <m/>
    <n v="34105660"/>
    <n v="0.17052829999999999"/>
    <n v="7"/>
    <m/>
    <n v="165894340"/>
    <s v="EN EJECUCIÓN"/>
    <n v="5"/>
  </r>
  <r>
    <x v="7"/>
    <s v="APUCAM"/>
    <x v="0"/>
    <s v="03-020-20"/>
    <n v="397054"/>
    <s v="SUCRE"/>
    <d v="2021-02-26T00:00:00"/>
    <n v="200000000"/>
    <m/>
    <m/>
    <n v="10500000"/>
    <m/>
    <n v="3756000"/>
    <n v="2878000"/>
    <n v="2150000"/>
    <m/>
    <n v="13528000"/>
    <n v="878000"/>
    <m/>
    <m/>
    <m/>
    <m/>
    <m/>
    <m/>
    <m/>
    <m/>
    <m/>
    <n v="33690000"/>
    <n v="0.16844999999999999"/>
    <n v="7"/>
    <m/>
    <n v="166310000"/>
    <s v="EN EJECUCIÓN"/>
    <n v="6"/>
  </r>
  <r>
    <x v="7"/>
    <s v="ECOMASPASO"/>
    <x v="0"/>
    <s v="04-020-20"/>
    <n v="397369"/>
    <s v="MAGDALENA"/>
    <d v="2021-03-12T00:00:00"/>
    <n v="175000000"/>
    <m/>
    <n v="8000000"/>
    <m/>
    <m/>
    <m/>
    <n v="6000000"/>
    <m/>
    <n v="4833332"/>
    <m/>
    <n v="10000000"/>
    <m/>
    <m/>
    <m/>
    <m/>
    <m/>
    <m/>
    <m/>
    <m/>
    <m/>
    <n v="28833332"/>
    <n v="0.16476189714285713"/>
    <n v="9"/>
    <m/>
    <n v="146166668"/>
    <s v="EN EJECUCIÓN"/>
    <n v="4"/>
  </r>
  <r>
    <x v="5"/>
    <s v="ASOPAC"/>
    <x v="0"/>
    <s v="07-020-20"/>
    <n v="397073"/>
    <s v="VICHADA"/>
    <d v="2021-03-01T00:00:00"/>
    <n v="200000000"/>
    <m/>
    <n v="10700000"/>
    <m/>
    <m/>
    <m/>
    <n v="1755666"/>
    <m/>
    <n v="8233499"/>
    <m/>
    <n v="11322000"/>
    <m/>
    <m/>
    <m/>
    <m/>
    <m/>
    <m/>
    <m/>
    <m/>
    <m/>
    <n v="32011165"/>
    <n v="0.16005582500000001"/>
    <n v="8"/>
    <s v="-"/>
    <n v="167988835"/>
    <s v="LIQUIDACIÓN ANT."/>
    <n v="4"/>
  </r>
  <r>
    <x v="7"/>
    <s v="ASODESU"/>
    <x v="0"/>
    <s v="04-008-20"/>
    <n v="397226"/>
    <s v="LA GUAJIRA"/>
    <d v="2021-03-12T00:00:00"/>
    <n v="200000000"/>
    <m/>
    <n v="10700000"/>
    <m/>
    <m/>
    <m/>
    <m/>
    <m/>
    <n v="6161320"/>
    <n v="4480660"/>
    <n v="3500000"/>
    <m/>
    <m/>
    <m/>
    <n v="3500000"/>
    <m/>
    <m/>
    <m/>
    <m/>
    <m/>
    <n v="28341980"/>
    <n v="0.1417099"/>
    <n v="8"/>
    <m/>
    <n v="171658020"/>
    <s v="EN EJECUCIÓN"/>
    <n v="5"/>
  </r>
  <r>
    <x v="1"/>
    <s v="GREA"/>
    <x v="0"/>
    <s v="04-025-20"/>
    <n v="397273"/>
    <s v="CESAR"/>
    <d v="2021-03-09T00:00:00"/>
    <n v="175000000"/>
    <m/>
    <m/>
    <m/>
    <m/>
    <m/>
    <m/>
    <m/>
    <m/>
    <n v="4280000"/>
    <m/>
    <m/>
    <n v="6000000"/>
    <n v="1200000"/>
    <n v="6500000"/>
    <m/>
    <n v="6000000"/>
    <m/>
    <m/>
    <m/>
    <n v="23980000"/>
    <n v="0.13702857142857142"/>
    <n v="7"/>
    <m/>
    <n v="151020000"/>
    <s v="EN EJECUCIÓN"/>
    <n v="5"/>
  </r>
  <r>
    <x v="6"/>
    <s v="AMERO"/>
    <x v="0"/>
    <s v="06-008-20"/>
    <n v="397318"/>
    <s v="SANTANDER"/>
    <d v="2021-03-05T00:00:00"/>
    <n v="172130000"/>
    <m/>
    <m/>
    <m/>
    <n v="10700000"/>
    <m/>
    <m/>
    <m/>
    <m/>
    <m/>
    <m/>
    <m/>
    <m/>
    <m/>
    <m/>
    <m/>
    <n v="11500000"/>
    <m/>
    <m/>
    <m/>
    <n v="22200000"/>
    <n v="0.12897228838668448"/>
    <n v="10"/>
    <m/>
    <n v="149930000"/>
    <s v="EN EJECUCIÓN"/>
    <n v="2"/>
  </r>
  <r>
    <x v="7"/>
    <s v="ASOCUIVA"/>
    <x v="0"/>
    <s v="03-004-20"/>
    <n v="396810"/>
    <s v="SUCRE"/>
    <d v="2021-02-24T00:00:00"/>
    <n v="200000000"/>
    <m/>
    <n v="10700000"/>
    <m/>
    <m/>
    <n v="10700000"/>
    <m/>
    <m/>
    <n v="1756000"/>
    <m/>
    <m/>
    <n v="878000"/>
    <m/>
    <m/>
    <m/>
    <m/>
    <m/>
    <m/>
    <m/>
    <m/>
    <n v="24034000"/>
    <n v="0.12017"/>
    <n v="8"/>
    <m/>
    <n v="175966000"/>
    <s v="EN EJECUCIÓN"/>
    <n v="4"/>
  </r>
  <r>
    <x v="2"/>
    <s v="ASFRUHER"/>
    <x v="0"/>
    <s v="05-014-20"/>
    <n v="396873"/>
    <s v="TOLIMA"/>
    <d v="2021-02-25T00:00:00"/>
    <n v="199934000"/>
    <m/>
    <m/>
    <n v="10700000"/>
    <m/>
    <m/>
    <m/>
    <m/>
    <m/>
    <m/>
    <n v="12072000"/>
    <m/>
    <m/>
    <m/>
    <m/>
    <m/>
    <m/>
    <m/>
    <m/>
    <m/>
    <n v="22772000"/>
    <n v="0.11389758620344714"/>
    <n v="7"/>
    <s v="-"/>
    <n v="177162000"/>
    <s v="LIQUIDACIÓN ANT."/>
    <n v="2"/>
  </r>
  <r>
    <x v="0"/>
    <s v="ASOMEPED"/>
    <x v="0"/>
    <s v="08-019-20"/>
    <n v="397059"/>
    <s v="AMAZONAS"/>
    <d v="2021-03-01T00:00:00"/>
    <n v="138758000"/>
    <m/>
    <m/>
    <m/>
    <m/>
    <m/>
    <m/>
    <m/>
    <m/>
    <m/>
    <m/>
    <m/>
    <m/>
    <m/>
    <n v="13565000"/>
    <m/>
    <m/>
    <m/>
    <m/>
    <m/>
    <n v="13565000"/>
    <n v="9.776012914570692E-2"/>
    <n v="6"/>
    <m/>
    <n v="125193000"/>
    <s v="EN EJECUCIÓN"/>
    <n v="1"/>
  </r>
  <r>
    <x v="1"/>
    <s v="ECOFARMERS"/>
    <x v="0"/>
    <s v="04-023-20"/>
    <n v="398776"/>
    <s v="SAN ANDRES, PROVIDENCIA Y SANTA CATALINA"/>
    <d v="2021-06-02T00:00:00"/>
    <n v="99960000"/>
    <m/>
    <m/>
    <m/>
    <m/>
    <m/>
    <m/>
    <m/>
    <m/>
    <m/>
    <n v="8500000"/>
    <m/>
    <m/>
    <m/>
    <m/>
    <m/>
    <m/>
    <m/>
    <m/>
    <m/>
    <n v="8500000"/>
    <n v="8.5034013605442174E-2"/>
    <n v="5"/>
    <s v="-"/>
    <n v="91460000"/>
    <s v="LIQUIDACIÓN ANT."/>
    <n v="1"/>
  </r>
  <r>
    <x v="2"/>
    <s v="USOCHICAMOCHA"/>
    <x v="0"/>
    <s v="05-002-20"/>
    <n v="396513"/>
    <s v="BOYACA"/>
    <d v="2021-03-05T00:00:00"/>
    <n v="189998312"/>
    <m/>
    <m/>
    <m/>
    <m/>
    <m/>
    <n v="10700000"/>
    <m/>
    <n v="4280000"/>
    <m/>
    <m/>
    <m/>
    <m/>
    <m/>
    <m/>
    <m/>
    <m/>
    <m/>
    <m/>
    <m/>
    <n v="14980000"/>
    <n v="7.884280571924239E-2"/>
    <n v="7"/>
    <s v="-"/>
    <n v="175018312"/>
    <s v="LIQUIDACIÓN ANT."/>
    <n v="2"/>
  </r>
  <r>
    <x v="1"/>
    <s v="ASODELTOCO"/>
    <x v="0"/>
    <s v="04-006-20"/>
    <n v="397549"/>
    <s v="CESAR"/>
    <d v="2021-04-13T00:00:00"/>
    <n v="173384000"/>
    <m/>
    <m/>
    <m/>
    <m/>
    <m/>
    <m/>
    <m/>
    <m/>
    <m/>
    <m/>
    <m/>
    <n v="10700000"/>
    <m/>
    <m/>
    <m/>
    <m/>
    <m/>
    <m/>
    <m/>
    <n v="10700000"/>
    <n v="6.1712730125040374E-2"/>
    <n v="5"/>
    <s v="-"/>
    <n v="162684000"/>
    <s v="LIQUIDACIÓN ANT."/>
    <n v="1"/>
  </r>
  <r>
    <x v="7"/>
    <s v="INNOVACAMP"/>
    <x v="0"/>
    <s v="03-027-20"/>
    <n v="397005"/>
    <s v="SUCRE"/>
    <d v="2021-02-26T00:00:00"/>
    <n v="200000000"/>
    <m/>
    <m/>
    <m/>
    <m/>
    <n v="10700000"/>
    <m/>
    <m/>
    <m/>
    <m/>
    <m/>
    <m/>
    <m/>
    <m/>
    <m/>
    <m/>
    <m/>
    <m/>
    <m/>
    <m/>
    <n v="10700000"/>
    <n v="5.3499999999999999E-2"/>
    <n v="4"/>
    <m/>
    <n v="189300000"/>
    <s v="EN EJECUCIÓN"/>
    <n v="1"/>
  </r>
  <r>
    <x v="6"/>
    <s v="ASOMUTRADER"/>
    <x v="0"/>
    <s v="06-004-20"/>
    <n v="397138"/>
    <s v="SANTANDER"/>
    <d v="2021-03-03T00:00:00"/>
    <n v="200000000"/>
    <m/>
    <n v="10700000"/>
    <m/>
    <m/>
    <m/>
    <m/>
    <m/>
    <m/>
    <m/>
    <m/>
    <m/>
    <m/>
    <m/>
    <m/>
    <m/>
    <m/>
    <m/>
    <m/>
    <m/>
    <n v="10700000"/>
    <n v="5.3499999999999999E-2"/>
    <n v="5"/>
    <s v="-"/>
    <n v="189300000"/>
    <s v="LIQUIDACIÓN ANT."/>
    <n v="1"/>
  </r>
  <r>
    <x v="1"/>
    <s v="NEW DAWN - NUEVO AMANECER"/>
    <x v="0"/>
    <s v="04-022-20"/>
    <n v="396871"/>
    <s v="SAN ANDRES, PROVIDENCIA Y SANTA CATALINA"/>
    <d v="2021-02-25T00:00:00"/>
    <n v="159814000"/>
    <m/>
    <m/>
    <m/>
    <m/>
    <m/>
    <n v="8500000"/>
    <m/>
    <m/>
    <m/>
    <m/>
    <m/>
    <m/>
    <m/>
    <m/>
    <m/>
    <m/>
    <m/>
    <m/>
    <m/>
    <n v="8500000"/>
    <n v="5.3186829689514062E-2"/>
    <n v="5"/>
    <s v="-"/>
    <n v="151314000"/>
    <s v="LIQUIDACIÓN ANT."/>
    <n v="1"/>
  </r>
  <r>
    <x v="7"/>
    <s v="ASOPLADEIN"/>
    <x v="0"/>
    <s v="03-014-20"/>
    <n v="396896"/>
    <s v="CORDOBA"/>
    <d v="2021-02-25T00:00:00"/>
    <n v="195882000"/>
    <m/>
    <m/>
    <m/>
    <m/>
    <m/>
    <n v="10025000"/>
    <m/>
    <m/>
    <m/>
    <m/>
    <m/>
    <m/>
    <m/>
    <m/>
    <m/>
    <m/>
    <m/>
    <m/>
    <m/>
    <n v="10025000"/>
    <n v="5.1178770892680289E-2"/>
    <n v="6"/>
    <s v="-"/>
    <n v="185857000"/>
    <s v="LIQUIDACIÓN ANT."/>
    <n v="1"/>
  </r>
  <r>
    <x v="1"/>
    <s v="RAIZAL YOUTH"/>
    <x v="0"/>
    <s v="04-021-20"/>
    <n v="396809"/>
    <s v="SAN ANDRES, PROVIDENCIA Y SANTA CATALINA"/>
    <d v="2021-02-25T00:00:00"/>
    <n v="174240000"/>
    <m/>
    <m/>
    <n v="8500000"/>
    <m/>
    <m/>
    <m/>
    <m/>
    <m/>
    <m/>
    <m/>
    <m/>
    <m/>
    <m/>
    <m/>
    <m/>
    <m/>
    <m/>
    <m/>
    <m/>
    <n v="8500000"/>
    <n v="4.8783287419651059E-2"/>
    <n v="5"/>
    <s v="-"/>
    <n v="165740000"/>
    <s v="LIQUIDACIÓN ANT."/>
    <n v="1"/>
  </r>
  <r>
    <x v="4"/>
    <s v="ASOVICOPAL"/>
    <x v="0"/>
    <s v="01-015-20"/>
    <n v="397448"/>
    <s v="CHOCO"/>
    <d v="2021-03-24T00:00:00"/>
    <n v="174120000"/>
    <m/>
    <m/>
    <m/>
    <m/>
    <m/>
    <m/>
    <m/>
    <m/>
    <m/>
    <m/>
    <m/>
    <m/>
    <m/>
    <m/>
    <m/>
    <m/>
    <m/>
    <m/>
    <m/>
    <n v="0"/>
    <n v="0"/>
    <n v="5"/>
    <s v="-"/>
    <n v="174120000"/>
    <s v="LIQUIDACIÓN ANT."/>
    <n v="0"/>
  </r>
  <r>
    <x v="8"/>
    <m/>
    <x v="1"/>
    <m/>
    <m/>
    <m/>
    <m/>
    <m/>
    <n v="127000000"/>
    <n v="592250000"/>
    <n v="496397763"/>
    <n v="510606907.72999996"/>
    <n v="1071605351.27"/>
    <n v="1836394450.47"/>
    <n v="1173319748.0500002"/>
    <n v="1455584947.6599998"/>
    <n v="1465736230.2700002"/>
    <n v="1791620753.7999997"/>
    <n v="1637958282.9899998"/>
    <n v="2678636369.7099996"/>
    <n v="1135561495.3800001"/>
    <n v="2004977683.46"/>
    <n v="1844883248.0699995"/>
    <n v="1848317258.4099998"/>
    <n v="0"/>
    <n v="0"/>
    <n v="314139900"/>
    <n v="21984990390.27"/>
    <m/>
    <m/>
    <m/>
    <m/>
    <m/>
    <m/>
  </r>
  <r>
    <x v="0"/>
    <s v="CAMPOGUAVIARE"/>
    <x v="2"/>
    <s v="08-041-21"/>
    <n v="302762"/>
    <s v="GUAVIARE"/>
    <d v="2021-12-14T00:00:00"/>
    <n v="173982000"/>
    <m/>
    <m/>
    <m/>
    <m/>
    <m/>
    <m/>
    <m/>
    <m/>
    <m/>
    <n v="7328500"/>
    <n v="23556500"/>
    <m/>
    <n v="52362800"/>
    <n v="33355200"/>
    <n v="11042500"/>
    <n v="19982500"/>
    <m/>
    <m/>
    <m/>
    <n v="147628000"/>
    <n v="0.84852456001195531"/>
    <n v="5"/>
    <d v="2022-07-14T00:00:00"/>
    <n v="26354000"/>
    <s v="EN EJECUCIÓN"/>
    <n v="6"/>
  </r>
  <r>
    <x v="0"/>
    <s v="ASOPAMURIMAJSA"/>
    <x v="2"/>
    <s v="08-039-21"/>
    <n v="302847"/>
    <s v="GUAVIARE"/>
    <d v="2021-12-14T00:00:00"/>
    <n v="140230000"/>
    <m/>
    <m/>
    <m/>
    <m/>
    <m/>
    <m/>
    <m/>
    <m/>
    <m/>
    <n v="7328500"/>
    <n v="28275499"/>
    <n v="11495000"/>
    <n v="10143664"/>
    <n v="22500332"/>
    <n v="9819530"/>
    <n v="18011672"/>
    <m/>
    <m/>
    <m/>
    <n v="107574197"/>
    <n v="0.7671268416173429"/>
    <n v="5"/>
    <d v="2022-07-12T00:00:00"/>
    <n v="32655803"/>
    <s v="EN EJECUCIÓN"/>
    <n v="7"/>
  </r>
  <r>
    <x v="4"/>
    <s v="ASONUESPA"/>
    <x v="2"/>
    <s v="01-058-21"/>
    <n v="303507"/>
    <s v="CAUCA"/>
    <d v="2022-01-27T00:00:00"/>
    <n v="176894000"/>
    <m/>
    <m/>
    <m/>
    <m/>
    <m/>
    <m/>
    <m/>
    <m/>
    <m/>
    <m/>
    <m/>
    <m/>
    <m/>
    <n v="10700000"/>
    <n v="7305300"/>
    <n v="93528350"/>
    <m/>
    <m/>
    <m/>
    <n v="111533650"/>
    <n v="0.63051121010322564"/>
    <n v="3"/>
    <m/>
    <n v="65360350"/>
    <s v="EN EJECUCIÓN"/>
    <n v="3"/>
  </r>
  <r>
    <x v="0"/>
    <s v="HALAMO"/>
    <x v="2"/>
    <s v="08-033-21"/>
    <n v="302789"/>
    <s v="GUAINÍA"/>
    <d v="2021-12-14T00:00:00"/>
    <n v="189742000"/>
    <m/>
    <m/>
    <m/>
    <m/>
    <m/>
    <m/>
    <m/>
    <m/>
    <m/>
    <m/>
    <m/>
    <m/>
    <n v="61432472"/>
    <n v="18368500"/>
    <n v="7668500"/>
    <n v="18368500"/>
    <m/>
    <m/>
    <m/>
    <n v="105837972"/>
    <n v="0.55779939075165219"/>
    <n v="3"/>
    <d v="2022-10-04T00:00:00"/>
    <n v="83904028"/>
    <s v="EN EJECUCIÓN"/>
    <n v="4"/>
  </r>
  <r>
    <x v="3"/>
    <s v="COOMERAGRO"/>
    <x v="2"/>
    <s v="02-022-21"/>
    <n v="302784"/>
    <s v="CALDAS"/>
    <d v="2021-12-14T00:00:00"/>
    <n v="195000000"/>
    <m/>
    <m/>
    <m/>
    <m/>
    <m/>
    <m/>
    <m/>
    <m/>
    <m/>
    <m/>
    <m/>
    <m/>
    <n v="6420000"/>
    <n v="17608500"/>
    <n v="6908500"/>
    <n v="76883500"/>
    <m/>
    <m/>
    <m/>
    <n v="107820500"/>
    <n v="0.55292564102564101"/>
    <n v="5"/>
    <d v="2022-10-24T00:00:00"/>
    <n v="87179500"/>
    <s v="EN EJECUCIÓN"/>
    <n v="4"/>
  </r>
  <r>
    <x v="0"/>
    <s v="ASOMEGUA"/>
    <x v="2"/>
    <s v="08-036-21"/>
    <n v="302749"/>
    <s v="GUAINÍA"/>
    <d v="2022-01-27T00:00:00"/>
    <n v="148884000"/>
    <m/>
    <m/>
    <m/>
    <m/>
    <m/>
    <m/>
    <m/>
    <m/>
    <m/>
    <m/>
    <m/>
    <n v="6420000"/>
    <n v="41317000"/>
    <n v="14968500"/>
    <n v="4268500"/>
    <n v="14968500"/>
    <m/>
    <m/>
    <m/>
    <n v="81942500"/>
    <n v="0.55037814674511698"/>
    <n v="4"/>
    <d v="2022-10-04T00:00:00"/>
    <n v="66941500"/>
    <s v="EN EJECUCIÓN"/>
    <n v="5"/>
  </r>
  <r>
    <x v="0"/>
    <s v="ASOCHON"/>
    <x v="2"/>
    <s v="08-037-21"/>
    <n v="302775"/>
    <s v="PUTUMAYO"/>
    <d v="2021-12-14T00:00:00"/>
    <n v="188620000"/>
    <m/>
    <m/>
    <m/>
    <m/>
    <m/>
    <m/>
    <m/>
    <m/>
    <m/>
    <m/>
    <m/>
    <m/>
    <n v="6318900"/>
    <m/>
    <n v="93515100"/>
    <m/>
    <m/>
    <m/>
    <m/>
    <n v="99834000"/>
    <n v="0.5292863959283215"/>
    <n v="3"/>
    <d v="2022-10-25T00:00:00"/>
    <n v="88786000"/>
    <s v="EN EJECUCIÓN"/>
    <n v="2"/>
  </r>
  <r>
    <x v="0"/>
    <s v="COOFRIMAYO"/>
    <x v="2"/>
    <s v="08-032-21"/>
    <n v="302556"/>
    <s v="PUTUMAYO"/>
    <d v="2021-12-14T00:00:00"/>
    <n v="199542000"/>
    <m/>
    <m/>
    <m/>
    <m/>
    <m/>
    <m/>
    <m/>
    <m/>
    <m/>
    <m/>
    <m/>
    <n v="6420000"/>
    <m/>
    <n v="1817000"/>
    <n v="908500"/>
    <n v="89798250"/>
    <m/>
    <m/>
    <m/>
    <n v="98943750"/>
    <n v="0.49585425624680518"/>
    <n v="3"/>
    <d v="2022-10-20T00:00:00"/>
    <n v="100598250"/>
    <s v="EN EJECUCIÓN"/>
    <n v="4"/>
  </r>
  <r>
    <x v="4"/>
    <s v="ASOCIACION CRECER PARA EL CAMPO - ASOCRECEM"/>
    <x v="2"/>
    <s v="01-018-21"/>
    <n v="302250"/>
    <s v="NARIÑO"/>
    <d v="2021-12-14T00:00:00"/>
    <n v="200000000"/>
    <m/>
    <m/>
    <m/>
    <m/>
    <m/>
    <m/>
    <m/>
    <m/>
    <m/>
    <m/>
    <m/>
    <n v="6420000"/>
    <n v="12583331"/>
    <n v="6916665"/>
    <n v="72374999"/>
    <m/>
    <m/>
    <m/>
    <m/>
    <n v="98294995"/>
    <n v="0.49147497499999998"/>
    <n v="3"/>
    <d v="2022-11-01T00:00:00"/>
    <n v="101705005"/>
    <s v="EN EJECUCIÓN"/>
    <n v="4"/>
  </r>
  <r>
    <x v="2"/>
    <s v="FORJADORES DE PAZ"/>
    <x v="2"/>
    <s v="05-020-21"/>
    <n v="303784"/>
    <s v="CUNDINAMARCA"/>
    <d v="2022-01-27T00:00:00"/>
    <n v="193338000"/>
    <m/>
    <m/>
    <m/>
    <m/>
    <m/>
    <m/>
    <m/>
    <m/>
    <m/>
    <m/>
    <m/>
    <m/>
    <n v="6420000"/>
    <n v="2500000"/>
    <n v="8408500"/>
    <n v="77486250"/>
    <m/>
    <m/>
    <m/>
    <n v="94814750"/>
    <n v="0.49040928322419802"/>
    <n v="2"/>
    <d v="2022-11-09T00:00:00"/>
    <n v="98523250"/>
    <s v="EN EJECUCIÓN"/>
    <n v="4"/>
  </r>
  <r>
    <x v="1"/>
    <s v="ASOMUCA"/>
    <x v="2"/>
    <s v="03-028-21"/>
    <n v="302765"/>
    <s v="CESAR"/>
    <d v="2021-12-14T00:00:00"/>
    <n v="200000000"/>
    <m/>
    <m/>
    <m/>
    <m/>
    <m/>
    <m/>
    <m/>
    <m/>
    <m/>
    <m/>
    <m/>
    <n v="6420000"/>
    <m/>
    <m/>
    <n v="908500"/>
    <n v="90108500"/>
    <m/>
    <m/>
    <m/>
    <n v="97437000"/>
    <n v="0.48718499999999998"/>
    <n v="3"/>
    <m/>
    <n v="102563000"/>
    <s v="EN EJECUCIÓN"/>
    <n v="3"/>
  </r>
  <r>
    <x v="1"/>
    <s v="ASOIMCULT"/>
    <x v="2"/>
    <s v="03-029-21"/>
    <n v="303789"/>
    <s v="CESAR"/>
    <d v="2022-01-27T00:00:00"/>
    <n v="195534000"/>
    <m/>
    <m/>
    <m/>
    <m/>
    <m/>
    <m/>
    <m/>
    <m/>
    <m/>
    <m/>
    <m/>
    <m/>
    <n v="6420000"/>
    <m/>
    <m/>
    <n v="86547460"/>
    <m/>
    <m/>
    <m/>
    <n v="92967460"/>
    <n v="0.4754541921098121"/>
    <n v="3"/>
    <m/>
    <n v="102566540"/>
    <s v="EN EJECUCIÓN"/>
    <n v="2"/>
  </r>
  <r>
    <x v="3"/>
    <s v="ASDEGEQUIN"/>
    <x v="2"/>
    <s v="02-030-21"/>
    <n v="302808"/>
    <s v="QUINDÍO"/>
    <d v="2022-01-27T00:00:00"/>
    <n v="200000000"/>
    <m/>
    <m/>
    <m/>
    <m/>
    <m/>
    <m/>
    <m/>
    <m/>
    <m/>
    <m/>
    <m/>
    <n v="6420000"/>
    <n v="4499000"/>
    <n v="3500000"/>
    <n v="11499000"/>
    <n v="68129700"/>
    <m/>
    <m/>
    <m/>
    <n v="94047700"/>
    <n v="0.4702385"/>
    <n v="5"/>
    <d v="2022-11-10T00:00:00"/>
    <n v="105952300"/>
    <s v="EN EJECUCIÓN"/>
    <n v="5"/>
  </r>
  <r>
    <x v="0"/>
    <s v="ASOPIEP"/>
    <x v="2"/>
    <s v="08-007-21"/>
    <n v="302549"/>
    <s v="PUTUMAYO"/>
    <d v="2021-12-14T00:00:00"/>
    <n v="199659000"/>
    <m/>
    <m/>
    <m/>
    <m/>
    <m/>
    <m/>
    <m/>
    <m/>
    <m/>
    <m/>
    <m/>
    <n v="6420000"/>
    <m/>
    <n v="908500"/>
    <n v="26601000"/>
    <n v="59474000"/>
    <m/>
    <m/>
    <m/>
    <n v="93403500"/>
    <n v="0.46781512478776316"/>
    <n v="3"/>
    <d v="2022-10-27T00:00:00"/>
    <n v="106255500"/>
    <s v="EN EJECUCIÓN"/>
    <n v="4"/>
  </r>
  <r>
    <x v="0"/>
    <s v="ASOALICUSAN"/>
    <x v="2"/>
    <s v="08-044-21"/>
    <n v="302779"/>
    <s v="PUTUMAYO"/>
    <d v="2021-12-14T00:00:00"/>
    <n v="195302000"/>
    <m/>
    <m/>
    <m/>
    <m/>
    <m/>
    <m/>
    <m/>
    <m/>
    <m/>
    <m/>
    <m/>
    <m/>
    <n v="6000000"/>
    <n v="11817000"/>
    <n v="12908500"/>
    <n v="59892500"/>
    <m/>
    <m/>
    <m/>
    <n v="90618000"/>
    <n v="0.46398910405423394"/>
    <n v="4"/>
    <d v="2022-10-09T00:00:00"/>
    <n v="104684000"/>
    <s v="EN EJECUCIÓN"/>
    <n v="4"/>
  </r>
  <r>
    <x v="0"/>
    <s v="APROCOAGRO"/>
    <x v="2"/>
    <s v="08-002-21"/>
    <n v="302892"/>
    <s v="PUTUMAYO"/>
    <d v="2021-12-14T00:00:00"/>
    <n v="199978000"/>
    <m/>
    <m/>
    <m/>
    <m/>
    <m/>
    <m/>
    <m/>
    <m/>
    <m/>
    <m/>
    <m/>
    <m/>
    <n v="6420000"/>
    <n v="908500"/>
    <n v="63716000"/>
    <n v="21417000"/>
    <m/>
    <m/>
    <m/>
    <n v="92461500"/>
    <n v="0.46235835941953612"/>
    <n v="3"/>
    <d v="2022-10-27T00:00:00"/>
    <n v="107516500"/>
    <s v="EN EJECUCIÓN"/>
    <n v="4"/>
  </r>
  <r>
    <x v="1"/>
    <s v="AMUVIDAS"/>
    <x v="2"/>
    <s v="03-002-21"/>
    <n v="302708"/>
    <s v="BOLÍVAR"/>
    <d v="2021-12-14T00:00:00"/>
    <n v="200000000"/>
    <m/>
    <m/>
    <m/>
    <m/>
    <m/>
    <m/>
    <m/>
    <m/>
    <m/>
    <m/>
    <m/>
    <n v="6420000"/>
    <m/>
    <n v="11650000"/>
    <n v="22478500"/>
    <n v="51328500"/>
    <m/>
    <m/>
    <m/>
    <n v="91877000"/>
    <n v="0.45938499999999999"/>
    <n v="3"/>
    <d v="2022-10-26T00:00:00"/>
    <n v="108123000"/>
    <s v="EN EJECUCIÓN"/>
    <n v="4"/>
  </r>
  <r>
    <x v="0"/>
    <s v="ACUIMOC"/>
    <x v="2"/>
    <s v="08-022-21"/>
    <n v="302535"/>
    <s v="CAQUETÁ"/>
    <d v="2021-12-14T00:00:00"/>
    <n v="165922000"/>
    <m/>
    <m/>
    <m/>
    <m/>
    <m/>
    <m/>
    <m/>
    <m/>
    <m/>
    <m/>
    <m/>
    <m/>
    <n v="6420000"/>
    <n v="48926500"/>
    <n v="16200000"/>
    <n v="4317000"/>
    <m/>
    <m/>
    <m/>
    <n v="75863500"/>
    <n v="0.45722387627921551"/>
    <n v="4"/>
    <d v="2022-11-09T00:00:00"/>
    <n v="90058500"/>
    <s v="EN EJECUCIÓN"/>
    <n v="4"/>
  </r>
  <r>
    <x v="0"/>
    <s v="ASOAGROP"/>
    <x v="2"/>
    <s v="08-009-21"/>
    <n v="302735"/>
    <s v="PUTUMAYO"/>
    <d v="2021-12-14T00:00:00"/>
    <n v="191127000"/>
    <m/>
    <m/>
    <m/>
    <m/>
    <m/>
    <m/>
    <m/>
    <m/>
    <m/>
    <m/>
    <m/>
    <n v="6000000"/>
    <m/>
    <n v="2400000"/>
    <n v="22217000"/>
    <n v="56512000"/>
    <m/>
    <m/>
    <m/>
    <n v="87129000"/>
    <n v="0.45586965734825535"/>
    <n v="3"/>
    <d v="2022-10-25T00:00:00"/>
    <n v="103998000"/>
    <s v="EN EJECUCIÓN"/>
    <n v="4"/>
  </r>
  <r>
    <x v="7"/>
    <s v="ASOPORKLOCO"/>
    <x v="2"/>
    <s v="04-019-21"/>
    <n v="302769"/>
    <s v="CÓRDOBA"/>
    <d v="2021-12-14T00:00:00"/>
    <n v="200000000"/>
    <m/>
    <m/>
    <m/>
    <m/>
    <m/>
    <m/>
    <m/>
    <m/>
    <m/>
    <m/>
    <m/>
    <m/>
    <m/>
    <n v="40408500"/>
    <n v="15217000"/>
    <n v="34772000"/>
    <m/>
    <m/>
    <m/>
    <n v="90397500"/>
    <n v="0.45198749999999999"/>
    <n v="2"/>
    <m/>
    <n v="109602500"/>
    <s v="EN EJECUCIÓN"/>
    <n v="3"/>
  </r>
  <r>
    <x v="0"/>
    <s v="ASPRAG"/>
    <x v="2"/>
    <s v="08-010-21"/>
    <n v="302733"/>
    <s v="PUTUMAYO"/>
    <d v="2021-12-14T00:00:00"/>
    <n v="189778000"/>
    <m/>
    <m/>
    <m/>
    <m/>
    <m/>
    <m/>
    <m/>
    <m/>
    <m/>
    <m/>
    <m/>
    <n v="6300000"/>
    <m/>
    <n v="14820000"/>
    <n v="5708500"/>
    <n v="58874998.689999998"/>
    <m/>
    <m/>
    <m/>
    <n v="85703498.689999998"/>
    <n v="0.45159870316896583"/>
    <n v="4"/>
    <d v="2022-10-26T00:00:00"/>
    <n v="104074501.31"/>
    <s v="EN EJECUCIÓN"/>
    <n v="4"/>
  </r>
  <r>
    <x v="0"/>
    <s v="CORPISCICOLA"/>
    <x v="2"/>
    <s v="08-005-21"/>
    <n v="302747"/>
    <s v="PUTUMAYO"/>
    <d v="2021-12-14T00:00:00"/>
    <n v="190907000"/>
    <m/>
    <m/>
    <m/>
    <m/>
    <m/>
    <m/>
    <m/>
    <m/>
    <m/>
    <m/>
    <m/>
    <n v="6420000"/>
    <m/>
    <n v="15600000"/>
    <n v="13117000"/>
    <n v="50596000"/>
    <m/>
    <m/>
    <m/>
    <n v="85733000"/>
    <n v="0.44908253757064959"/>
    <n v="4"/>
    <d v="2022-10-26T00:00:00"/>
    <n v="105174000"/>
    <s v="EN EJECUCIÓN"/>
    <n v="4"/>
  </r>
  <r>
    <x v="7"/>
    <s v="AGROPESMUP"/>
    <x v="2"/>
    <s v="04-016-21"/>
    <n v="302785"/>
    <s v="CÓRDOBA"/>
    <d v="2021-12-14T00:00:00"/>
    <n v="200000000"/>
    <m/>
    <m/>
    <m/>
    <m/>
    <m/>
    <m/>
    <m/>
    <m/>
    <m/>
    <m/>
    <m/>
    <m/>
    <m/>
    <n v="76703550"/>
    <n v="3600000"/>
    <n v="9508500"/>
    <m/>
    <m/>
    <m/>
    <n v="89812050"/>
    <n v="0.44906024999999999"/>
    <n v="2"/>
    <d v="2022-10-26T00:00:00"/>
    <n v="110187950"/>
    <s v="EN EJECUCIÓN"/>
    <n v="3"/>
  </r>
  <r>
    <x v="1"/>
    <s v="ASOAGROPLASAN"/>
    <x v="2"/>
    <s v="03-011-21"/>
    <n v="303730"/>
    <s v="BOLÍVAR"/>
    <d v="2022-01-27T00:00:00"/>
    <n v="200000000"/>
    <m/>
    <m/>
    <m/>
    <m/>
    <m/>
    <m/>
    <m/>
    <m/>
    <m/>
    <m/>
    <m/>
    <n v="6420000"/>
    <m/>
    <n v="83100000"/>
    <m/>
    <m/>
    <m/>
    <m/>
    <m/>
    <n v="89520000"/>
    <n v="0.4476"/>
    <n v="3"/>
    <d v="2022-10-06T00:00:00"/>
    <n v="110480000"/>
    <s v="EN EJECUCIÓN"/>
    <n v="2"/>
  </r>
  <r>
    <x v="1"/>
    <s v="ASOCIACIÓN DE APICULTORES ALIANZA MANAURE"/>
    <x v="2"/>
    <s v="03-030-21"/>
    <n v="302766"/>
    <s v="CESAR"/>
    <d v="2021-12-14T00:00:00"/>
    <n v="175925000"/>
    <m/>
    <m/>
    <m/>
    <m/>
    <m/>
    <m/>
    <m/>
    <m/>
    <m/>
    <m/>
    <m/>
    <n v="6420000"/>
    <m/>
    <m/>
    <n v="1817000"/>
    <n v="69235000"/>
    <m/>
    <m/>
    <m/>
    <n v="77472000"/>
    <n v="0.44036947562881912"/>
    <n v="3"/>
    <m/>
    <n v="98453000"/>
    <s v="EN EJECUCIÓN"/>
    <n v="3"/>
  </r>
  <r>
    <x v="3"/>
    <s v="APROAGUAN"/>
    <x v="2"/>
    <s v="02-034-21"/>
    <n v="302793"/>
    <s v="QUINDÍO"/>
    <d v="2021-12-14T00:00:00"/>
    <n v="200000000"/>
    <m/>
    <m/>
    <m/>
    <m/>
    <m/>
    <m/>
    <m/>
    <m/>
    <m/>
    <m/>
    <m/>
    <n v="6420000"/>
    <n v="3500000"/>
    <n v="7999000"/>
    <n v="7999000"/>
    <n v="60649540"/>
    <m/>
    <m/>
    <m/>
    <n v="86567540"/>
    <n v="0.43283769999999999"/>
    <n v="5"/>
    <d v="2022-11-09T00:00:00"/>
    <n v="113432460"/>
    <s v="EN EJECUCIÓN"/>
    <n v="5"/>
  </r>
  <r>
    <x v="0"/>
    <s v="ASOMAYO"/>
    <x v="2"/>
    <s v="08-008-21"/>
    <n v="302812"/>
    <s v="PUTUMAYO"/>
    <d v="2021-12-14T00:00:00"/>
    <n v="198922000"/>
    <m/>
    <m/>
    <m/>
    <m/>
    <m/>
    <m/>
    <m/>
    <m/>
    <m/>
    <m/>
    <m/>
    <m/>
    <m/>
    <m/>
    <n v="10820000"/>
    <n v="73441000"/>
    <m/>
    <m/>
    <m/>
    <n v="84261000"/>
    <n v="0.42358814007500428"/>
    <n v="2"/>
    <d v="2022-10-11T00:00:00"/>
    <n v="114661000"/>
    <s v="EN EJECUCIÓN"/>
    <n v="2"/>
  </r>
  <r>
    <x v="5"/>
    <s v="ASOAPORTAR"/>
    <x v="2"/>
    <s v="07-004-21"/>
    <n v="302819"/>
    <s v="ARAUCA"/>
    <d v="2021-12-14T00:00:00"/>
    <n v="200000000"/>
    <m/>
    <m/>
    <m/>
    <m/>
    <m/>
    <m/>
    <m/>
    <m/>
    <m/>
    <m/>
    <m/>
    <n v="6420000"/>
    <m/>
    <n v="1362750"/>
    <n v="27154250"/>
    <n v="49460250"/>
    <m/>
    <m/>
    <m/>
    <n v="84397250"/>
    <n v="0.42198625000000001"/>
    <n v="3"/>
    <m/>
    <n v="115602750"/>
    <s v="EN EJECUCIÓN"/>
    <n v="4"/>
  </r>
  <r>
    <x v="5"/>
    <s v="AGROGAN"/>
    <x v="2"/>
    <s v="07-041-21"/>
    <n v="302860"/>
    <s v="META"/>
    <d v="2021-12-14T00:00:00"/>
    <n v="200000000"/>
    <m/>
    <m/>
    <m/>
    <m/>
    <m/>
    <m/>
    <m/>
    <m/>
    <m/>
    <m/>
    <m/>
    <n v="6420000"/>
    <m/>
    <n v="908500"/>
    <n v="76792000"/>
    <m/>
    <m/>
    <m/>
    <m/>
    <n v="84120500"/>
    <n v="0.42060249999999999"/>
    <n v="5"/>
    <d v="2022-10-04T00:00:00"/>
    <n v="115879500"/>
    <s v="EN EJECUCIÓN"/>
    <n v="3"/>
  </r>
  <r>
    <x v="1"/>
    <s v="ASOCOSTERA"/>
    <x v="2"/>
    <s v="03-053-21"/>
    <n v="303597"/>
    <s v="ATLÁNTICO"/>
    <d v="2022-01-27T00:00:00"/>
    <n v="200000000"/>
    <m/>
    <m/>
    <m/>
    <m/>
    <m/>
    <m/>
    <m/>
    <m/>
    <m/>
    <m/>
    <m/>
    <m/>
    <m/>
    <m/>
    <n v="6420000"/>
    <n v="77445832"/>
    <m/>
    <m/>
    <m/>
    <n v="83865832"/>
    <n v="0.41932915999999998"/>
    <n v="2"/>
    <m/>
    <n v="116134168"/>
    <s v="EN EJECUCIÓN"/>
    <n v="2"/>
  </r>
  <r>
    <x v="0"/>
    <s v="ASOCUDIT"/>
    <x v="2"/>
    <s v="08-021-21"/>
    <n v="302531"/>
    <s v="CAQUETÁ"/>
    <d v="2021-12-14T00:00:00"/>
    <n v="149996000"/>
    <m/>
    <m/>
    <m/>
    <m/>
    <m/>
    <m/>
    <m/>
    <m/>
    <m/>
    <m/>
    <m/>
    <m/>
    <n v="6420000"/>
    <n v="10700000"/>
    <n v="12972727"/>
    <n v="32712000"/>
    <m/>
    <m/>
    <m/>
    <n v="62804727"/>
    <n v="0.41870934558254885"/>
    <n v="4"/>
    <m/>
    <n v="87191273"/>
    <s v="EN EJECUCIÓN"/>
    <n v="4"/>
  </r>
  <r>
    <x v="7"/>
    <s v="ASPROAPIBI"/>
    <x v="2"/>
    <s v="04-018-21"/>
    <n v="303031"/>
    <s v="CÓRDOBA"/>
    <d v="2022-01-27T00:00:00"/>
    <n v="200000000"/>
    <m/>
    <m/>
    <m/>
    <m/>
    <m/>
    <m/>
    <m/>
    <m/>
    <m/>
    <m/>
    <m/>
    <m/>
    <m/>
    <m/>
    <n v="48857083.319999993"/>
    <n v="34059801"/>
    <m/>
    <m/>
    <m/>
    <n v="82916884.319999993"/>
    <n v="0.41458442159999997"/>
    <n v="2"/>
    <m/>
    <n v="117083115.68000001"/>
    <s v="EN EJECUCIÓN"/>
    <n v="2"/>
  </r>
  <r>
    <x v="0"/>
    <s v="ASOAGROTRES-TEJAS"/>
    <x v="2"/>
    <s v="08-014-21"/>
    <n v="302539"/>
    <s v="GUAVIARE"/>
    <d v="2021-12-14T00:00:00"/>
    <n v="175422000"/>
    <m/>
    <m/>
    <m/>
    <m/>
    <m/>
    <m/>
    <m/>
    <m/>
    <m/>
    <m/>
    <m/>
    <m/>
    <n v="6420000"/>
    <n v="52212000"/>
    <n v="7442000"/>
    <n v="5908500"/>
    <m/>
    <m/>
    <m/>
    <n v="71982500"/>
    <n v="0.41033906807583997"/>
    <n v="4"/>
    <m/>
    <n v="103439500"/>
    <s v="EN EJECUCIÓN"/>
    <n v="4"/>
  </r>
  <r>
    <x v="3"/>
    <s v="ASOJOCA"/>
    <x v="2"/>
    <s v="02-029-21"/>
    <n v="302032"/>
    <s v="QUINDÍO"/>
    <d v="2021-12-14T00:00:00"/>
    <n v="200000000"/>
    <m/>
    <m/>
    <m/>
    <m/>
    <m/>
    <m/>
    <m/>
    <m/>
    <m/>
    <m/>
    <m/>
    <m/>
    <n v="6420000"/>
    <n v="7000000"/>
    <n v="8998000"/>
    <n v="58700000"/>
    <m/>
    <m/>
    <m/>
    <n v="81118000"/>
    <n v="0.40559000000000001"/>
    <n v="4"/>
    <d v="2022-11-08T00:00:00"/>
    <n v="118882000"/>
    <s v="EN EJECUCIÓN"/>
    <n v="4"/>
  </r>
  <r>
    <x v="0"/>
    <s v="ASOPROAPICS"/>
    <x v="2"/>
    <s v="08-027-21"/>
    <n v="302520"/>
    <s v="CAQUETÁ"/>
    <d v="2021-12-14T00:00:00"/>
    <n v="199334000"/>
    <m/>
    <m/>
    <m/>
    <m/>
    <m/>
    <m/>
    <m/>
    <m/>
    <m/>
    <m/>
    <m/>
    <m/>
    <n v="6420000"/>
    <n v="33730500"/>
    <n v="20326400"/>
    <n v="20017000"/>
    <m/>
    <m/>
    <m/>
    <n v="80493900"/>
    <n v="0.40381420129029671"/>
    <n v="4"/>
    <d v="2022-11-10T00:00:00"/>
    <n v="118840100"/>
    <s v="EN EJECUCIÓN"/>
    <n v="4"/>
  </r>
  <r>
    <x v="3"/>
    <s v="ASOHASSPEN"/>
    <x v="2"/>
    <s v="02-010-21"/>
    <n v="302139"/>
    <s v="CALDAS"/>
    <d v="2021-12-14T00:00:00"/>
    <n v="200000000"/>
    <m/>
    <m/>
    <m/>
    <m/>
    <m/>
    <m/>
    <m/>
    <m/>
    <m/>
    <m/>
    <m/>
    <n v="6420000"/>
    <n v="17608500"/>
    <n v="12488500"/>
    <n v="36932650"/>
    <n v="6908500"/>
    <m/>
    <m/>
    <m/>
    <n v="80358150"/>
    <n v="0.40179074999999997"/>
    <n v="6"/>
    <d v="2022-09-21T00:00:00"/>
    <n v="119641850"/>
    <s v="EN EJECUCIÓN"/>
    <n v="5"/>
  </r>
  <r>
    <x v="4"/>
    <s v="ASOMUBO"/>
    <x v="2"/>
    <s v="01-004-21"/>
    <n v="303664"/>
    <s v="CAUCA"/>
    <d v="2022-01-27T00:00:00"/>
    <n v="199469000"/>
    <m/>
    <m/>
    <m/>
    <m/>
    <m/>
    <m/>
    <m/>
    <m/>
    <m/>
    <m/>
    <m/>
    <m/>
    <n v="6420000"/>
    <n v="53963500"/>
    <n v="16437750"/>
    <n v="3237750"/>
    <m/>
    <m/>
    <m/>
    <n v="80059000"/>
    <n v="0.40136061242599103"/>
    <n v="3"/>
    <d v="2022-09-30T00:00:00"/>
    <n v="119410000"/>
    <s v="EN EJECUCIÓN"/>
    <n v="4"/>
  </r>
  <r>
    <x v="1"/>
    <s v="ASOGAPOL"/>
    <x v="2"/>
    <s v="03-054-21"/>
    <n v="303599"/>
    <s v="ATLÁNTICO"/>
    <d v="2022-01-27T00:00:00"/>
    <n v="200000000"/>
    <m/>
    <m/>
    <m/>
    <m/>
    <m/>
    <m/>
    <m/>
    <m/>
    <m/>
    <m/>
    <m/>
    <m/>
    <m/>
    <n v="41546500"/>
    <n v="14153666"/>
    <n v="23725166"/>
    <m/>
    <m/>
    <m/>
    <n v="79425332"/>
    <n v="0.39712666000000002"/>
    <n v="2"/>
    <m/>
    <n v="120574668"/>
    <s v="EN EJECUCIÓN"/>
    <n v="3"/>
  </r>
  <r>
    <x v="7"/>
    <s v="ASOPROANA"/>
    <x v="2"/>
    <s v="04-012-21"/>
    <n v="302783"/>
    <s v="SUCRE"/>
    <d v="2021-12-14T00:00:00"/>
    <n v="200000000"/>
    <m/>
    <m/>
    <m/>
    <m/>
    <m/>
    <m/>
    <m/>
    <m/>
    <m/>
    <m/>
    <m/>
    <m/>
    <m/>
    <m/>
    <n v="23800000"/>
    <n v="55190100"/>
    <m/>
    <m/>
    <m/>
    <n v="78990100"/>
    <n v="0.39495049999999998"/>
    <n v="2"/>
    <m/>
    <n v="121009900"/>
    <s v="EN EJECUCIÓN"/>
    <n v="2"/>
  </r>
  <r>
    <x v="3"/>
    <s v="ASOCAFE MANANTIAL"/>
    <x v="2"/>
    <s v="02-014-21"/>
    <n v="303290"/>
    <s v="RISARALDA"/>
    <d v="2022-01-27T00:00:00"/>
    <n v="200000000"/>
    <m/>
    <m/>
    <m/>
    <m/>
    <m/>
    <m/>
    <m/>
    <m/>
    <m/>
    <m/>
    <m/>
    <m/>
    <m/>
    <m/>
    <m/>
    <n v="77600012"/>
    <m/>
    <m/>
    <m/>
    <n v="77600012"/>
    <n v="0.38800005999999998"/>
    <n v="2"/>
    <m/>
    <n v="122399988"/>
    <s v="EN EJECUCIÓN"/>
    <n v="1"/>
  </r>
  <r>
    <x v="2"/>
    <s v="ASOCIACIÓN MUJER RURAL TOCAIMA"/>
    <x v="2"/>
    <s v="05-013-21"/>
    <n v="303252"/>
    <s v="CUNDINAMARCA"/>
    <d v="2021-12-14T00:00:00"/>
    <n v="184376000"/>
    <m/>
    <m/>
    <m/>
    <m/>
    <m/>
    <m/>
    <m/>
    <m/>
    <m/>
    <m/>
    <m/>
    <m/>
    <n v="9420000"/>
    <n v="5830000"/>
    <n v="9115083"/>
    <n v="46403940"/>
    <m/>
    <m/>
    <m/>
    <n v="70769023"/>
    <n v="0.38382990736321432"/>
    <n v="1"/>
    <d v="2022-10-28T00:00:00"/>
    <n v="113606977"/>
    <s v="EN EJECUCIÓN"/>
    <n v="4"/>
  </r>
  <r>
    <x v="0"/>
    <s v="ASOPROLVAL"/>
    <x v="2"/>
    <s v="08-043-21"/>
    <n v="302557"/>
    <s v="PUTUMAYO"/>
    <d v="2021-12-14T00:00:00"/>
    <n v="198962000"/>
    <m/>
    <m/>
    <m/>
    <m/>
    <m/>
    <m/>
    <m/>
    <m/>
    <m/>
    <m/>
    <m/>
    <n v="6420000"/>
    <m/>
    <n v="16517000"/>
    <n v="2908500"/>
    <n v="49202500"/>
    <m/>
    <m/>
    <m/>
    <n v="75048000"/>
    <n v="0.37719765583377729"/>
    <n v="4"/>
    <d v="2022-10-08T00:00:00"/>
    <n v="123914000"/>
    <s v="EN EJECUCIÓN"/>
    <n v="4"/>
  </r>
  <r>
    <x v="0"/>
    <s v="ASOPISFRAGUA"/>
    <x v="2"/>
    <s v="08-030-21"/>
    <n v="302894"/>
    <s v="CAQUETÁ"/>
    <d v="2021-12-14T00:00:00"/>
    <n v="190922000"/>
    <m/>
    <m/>
    <m/>
    <m/>
    <m/>
    <m/>
    <m/>
    <m/>
    <m/>
    <m/>
    <m/>
    <m/>
    <n v="6420000"/>
    <n v="40254000"/>
    <n v="3000000"/>
    <n v="22108500"/>
    <m/>
    <m/>
    <m/>
    <n v="71782500"/>
    <n v="0.37597814814426833"/>
    <n v="4"/>
    <d v="2022-11-09T00:00:00"/>
    <n v="119139500"/>
    <s v="EN EJECUCIÓN"/>
    <n v="4"/>
  </r>
  <r>
    <x v="2"/>
    <s v="COAGROGUAVIO"/>
    <x v="2"/>
    <s v="05-076-21"/>
    <n v="304270"/>
    <s v="CUNDINAMARCA"/>
    <d v="2022-02-08T00:00:00"/>
    <n v="154876000"/>
    <m/>
    <m/>
    <m/>
    <m/>
    <m/>
    <m/>
    <m/>
    <m/>
    <m/>
    <m/>
    <m/>
    <m/>
    <n v="12620000"/>
    <n v="17148997"/>
    <n v="21717000"/>
    <n v="6654250"/>
    <m/>
    <m/>
    <m/>
    <n v="58140247"/>
    <n v="0.37539868669128851"/>
    <n v="3"/>
    <d v="2022-10-26T00:00:00"/>
    <n v="96735753"/>
    <s v="EN EJECUCIÓN"/>
    <n v="4"/>
  </r>
  <r>
    <x v="4"/>
    <s v="ASOCIACIÓN AGROPECUARIA LA FLORIDA"/>
    <x v="2"/>
    <s v="01-033-21"/>
    <n v="303445"/>
    <s v="NARIÑO"/>
    <d v="2022-01-27T00:00:00"/>
    <n v="122747000"/>
    <m/>
    <m/>
    <m/>
    <m/>
    <m/>
    <m/>
    <m/>
    <m/>
    <m/>
    <m/>
    <m/>
    <m/>
    <n v="3240000"/>
    <m/>
    <m/>
    <n v="42499000"/>
    <m/>
    <m/>
    <m/>
    <n v="45739000"/>
    <n v="0.37262825160696394"/>
    <n v="3"/>
    <m/>
    <n v="77008000"/>
    <s v="EN EJECUCIÓN"/>
    <n v="2"/>
  </r>
  <r>
    <x v="1"/>
    <s v="AMOR A MI TIERRA"/>
    <x v="2"/>
    <s v="03-057-21"/>
    <n v="404697"/>
    <s v="BOLÍVAR"/>
    <d v="2022-03-23T00:00:00"/>
    <n v="200000000"/>
    <m/>
    <m/>
    <m/>
    <m/>
    <m/>
    <m/>
    <m/>
    <m/>
    <m/>
    <m/>
    <m/>
    <m/>
    <m/>
    <m/>
    <n v="5713800"/>
    <n v="68408000"/>
    <m/>
    <m/>
    <m/>
    <n v="74121800"/>
    <n v="0.37060900000000002"/>
    <n v="2"/>
    <m/>
    <n v="125878200"/>
    <s v="EN EJECUCIÓN"/>
    <n v="2"/>
  </r>
  <r>
    <x v="5"/>
    <s v="AGROSABANA"/>
    <x v="2"/>
    <s v="07-047-21"/>
    <n v="302868"/>
    <s v="META"/>
    <d v="2021-12-14T00:00:00"/>
    <n v="195000000"/>
    <m/>
    <m/>
    <m/>
    <m/>
    <m/>
    <m/>
    <m/>
    <m/>
    <m/>
    <m/>
    <m/>
    <n v="6420000"/>
    <m/>
    <n v="5462500"/>
    <n v="55408500"/>
    <n v="3000000"/>
    <m/>
    <m/>
    <m/>
    <n v="70291000"/>
    <n v="0.36046666666666666"/>
    <n v="3"/>
    <d v="2022-11-09T00:00:00"/>
    <n v="124709000"/>
    <s v="EN EJECUCIÓN"/>
    <n v="4"/>
  </r>
  <r>
    <x v="5"/>
    <s v="ASOPESCARIA"/>
    <x v="2"/>
    <s v="07-009-21"/>
    <n v="302971"/>
    <s v="ARAUCA"/>
    <d v="2021-12-14T00:00:00"/>
    <n v="195000000"/>
    <m/>
    <m/>
    <m/>
    <m/>
    <m/>
    <m/>
    <m/>
    <m/>
    <m/>
    <m/>
    <m/>
    <m/>
    <n v="6420000"/>
    <n v="5000000"/>
    <m/>
    <n v="58643355"/>
    <m/>
    <m/>
    <m/>
    <n v="70063355"/>
    <n v="0.3592992564102564"/>
    <n v="3"/>
    <m/>
    <n v="124936645"/>
    <s v="EN EJECUCIÓN"/>
    <n v="3"/>
  </r>
  <r>
    <x v="3"/>
    <s v="FORJANDO FUTURO"/>
    <x v="2"/>
    <s v="02-064-21"/>
    <n v="302863"/>
    <s v="CALDAS"/>
    <d v="2021-12-14T00:00:00"/>
    <n v="200000000"/>
    <m/>
    <m/>
    <m/>
    <m/>
    <m/>
    <m/>
    <m/>
    <m/>
    <m/>
    <m/>
    <m/>
    <m/>
    <m/>
    <n v="6420000"/>
    <n v="16700000"/>
    <n v="48573400"/>
    <m/>
    <m/>
    <m/>
    <n v="71693400"/>
    <n v="0.35846699999999998"/>
    <n v="2"/>
    <d v="2022-10-24T00:00:00"/>
    <n v="128306600"/>
    <s v="EN EJECUCIÓN"/>
    <n v="3"/>
  </r>
  <r>
    <x v="7"/>
    <s v="ASPRAVECOL"/>
    <x v="2"/>
    <s v="04-020-21"/>
    <n v="303238"/>
    <s v="CÓRDOBA"/>
    <d v="2021-12-14T00:00:00"/>
    <n v="150000000"/>
    <m/>
    <m/>
    <m/>
    <m/>
    <m/>
    <m/>
    <m/>
    <m/>
    <m/>
    <m/>
    <m/>
    <m/>
    <m/>
    <n v="32407301"/>
    <n v="17608500"/>
    <n v="3608500"/>
    <m/>
    <m/>
    <m/>
    <n v="53624301"/>
    <n v="0.35749533999999999"/>
    <n v="2"/>
    <m/>
    <n v="96375699"/>
    <s v="EN EJECUCIÓN"/>
    <n v="3"/>
  </r>
  <r>
    <x v="3"/>
    <s v="ASOPROASA"/>
    <x v="2"/>
    <s v="02-062-21"/>
    <n v="302635"/>
    <s v="CALDAS"/>
    <d v="2021-12-14T00:00:00"/>
    <n v="200000000"/>
    <m/>
    <m/>
    <m/>
    <m/>
    <m/>
    <m/>
    <m/>
    <m/>
    <m/>
    <m/>
    <m/>
    <n v="6420000"/>
    <m/>
    <n v="13700000"/>
    <n v="11248500"/>
    <n v="39220316"/>
    <m/>
    <m/>
    <m/>
    <n v="70588816"/>
    <n v="0.35294407999999999"/>
    <n v="5"/>
    <d v="2022-10-24T00:00:00"/>
    <n v="129411184"/>
    <s v="EN EJECUCIÓN"/>
    <n v="4"/>
  </r>
  <r>
    <x v="0"/>
    <s v="ASOCAMUCAMU"/>
    <x v="2"/>
    <s v="08-011-21"/>
    <n v="302770"/>
    <s v="PUTUMAYO"/>
    <d v="2021-12-14T00:00:00"/>
    <n v="159469000"/>
    <m/>
    <m/>
    <m/>
    <m/>
    <m/>
    <m/>
    <m/>
    <m/>
    <m/>
    <m/>
    <m/>
    <m/>
    <m/>
    <n v="6300000"/>
    <n v="1817000"/>
    <n v="47974528"/>
    <m/>
    <m/>
    <m/>
    <n v="56091528"/>
    <n v="0.35173938508424835"/>
    <n v="3"/>
    <m/>
    <n v="103377472"/>
    <s v="EN EJECUCIÓN"/>
    <n v="3"/>
  </r>
  <r>
    <x v="7"/>
    <s v="APROASA"/>
    <x v="2"/>
    <s v="04-053-21"/>
    <n v="303486"/>
    <s v="SUCRE"/>
    <d v="2022-01-27T00:00:00"/>
    <n v="200000000"/>
    <m/>
    <m/>
    <m/>
    <m/>
    <m/>
    <m/>
    <m/>
    <m/>
    <m/>
    <m/>
    <m/>
    <m/>
    <m/>
    <n v="6420000"/>
    <n v="20548500"/>
    <n v="43208500"/>
    <m/>
    <m/>
    <m/>
    <n v="70177000"/>
    <n v="0.350885"/>
    <n v="2"/>
    <m/>
    <n v="129823000"/>
    <s v="EN EJECUCIÓN"/>
    <n v="3"/>
  </r>
  <r>
    <x v="1"/>
    <s v="ASOCIACIÓN DE MUJERES EMPRENDEDORAS DE CARACOLÍ - AMEC"/>
    <x v="2"/>
    <s v="03-004-21"/>
    <n v="302807"/>
    <s v="BOLÍVAR"/>
    <d v="2021-12-14T00:00:00"/>
    <n v="150000000"/>
    <m/>
    <m/>
    <m/>
    <m/>
    <m/>
    <m/>
    <m/>
    <m/>
    <m/>
    <m/>
    <m/>
    <m/>
    <n v="34191000"/>
    <n v="6420000"/>
    <n v="908000"/>
    <n v="10886072.890000001"/>
    <m/>
    <m/>
    <m/>
    <n v="52405072.890000001"/>
    <n v="0.34936715260000001"/>
    <n v="4"/>
    <m/>
    <n v="97594927.109999999"/>
    <s v="EN EJECUCIÓN"/>
    <n v="4"/>
  </r>
  <r>
    <x v="6"/>
    <s v="ASOAGUACANOR"/>
    <x v="2"/>
    <s v="06-023-21"/>
    <n v="302840"/>
    <s v="NORTE_DE_SANTANDER"/>
    <d v="2021-12-14T00:00:00"/>
    <n v="175000000"/>
    <m/>
    <m/>
    <m/>
    <m/>
    <m/>
    <m/>
    <m/>
    <m/>
    <m/>
    <m/>
    <m/>
    <n v="6420000"/>
    <n v="3120000"/>
    <n v="37270000.100000001"/>
    <n v="6620000"/>
    <n v="7120000"/>
    <m/>
    <m/>
    <m/>
    <n v="60550000.100000001"/>
    <n v="0.3460000005714286"/>
    <n v="4"/>
    <m/>
    <n v="114449999.90000001"/>
    <s v="EN EJECUCIÓN"/>
    <n v="5"/>
  </r>
  <r>
    <x v="4"/>
    <s v="ASOCIACIÓN DE PARA EL FORTALECIMIENTO DE LA PRODUCCIÓN PISCICOLA"/>
    <x v="2"/>
    <s v="01-054-21"/>
    <n v="303666"/>
    <s v="CHOCÓ"/>
    <d v="2022-01-27T00:00:00"/>
    <n v="179902000"/>
    <m/>
    <m/>
    <m/>
    <m/>
    <m/>
    <m/>
    <m/>
    <m/>
    <m/>
    <m/>
    <m/>
    <m/>
    <m/>
    <n v="6420000"/>
    <n v="830000"/>
    <n v="54933579"/>
    <m/>
    <m/>
    <m/>
    <n v="62183579"/>
    <n v="0.3456525163700237"/>
    <n v="3"/>
    <m/>
    <n v="117718421"/>
    <s v="EN EJECUCIÓN"/>
    <n v="3"/>
  </r>
  <r>
    <x v="1"/>
    <s v="ASOJEMMA"/>
    <x v="2"/>
    <s v="03-020-21"/>
    <n v="302754"/>
    <s v="BOLÍVAR"/>
    <d v="2021-12-14T00:00:00"/>
    <n v="200000000"/>
    <m/>
    <m/>
    <m/>
    <m/>
    <m/>
    <m/>
    <m/>
    <m/>
    <m/>
    <m/>
    <m/>
    <n v="6420000"/>
    <m/>
    <m/>
    <m/>
    <n v="60460000"/>
    <m/>
    <m/>
    <m/>
    <n v="66880000"/>
    <n v="0.33439999999999998"/>
    <n v="3"/>
    <m/>
    <n v="133120000"/>
    <s v="EN EJECUCIÓN"/>
    <n v="2"/>
  </r>
  <r>
    <x v="0"/>
    <s v="ASOCIACION GRANJA ANDAQUI"/>
    <x v="2"/>
    <s v="08-028-21"/>
    <n v="302893"/>
    <s v="CAQUETÁ"/>
    <d v="2021-12-14T00:00:00"/>
    <n v="200000000"/>
    <m/>
    <m/>
    <m/>
    <m/>
    <m/>
    <m/>
    <m/>
    <m/>
    <m/>
    <m/>
    <m/>
    <m/>
    <n v="6420000"/>
    <n v="43416000"/>
    <n v="3000000"/>
    <n v="13700000"/>
    <m/>
    <m/>
    <m/>
    <n v="66536000"/>
    <n v="0.33267999999999998"/>
    <n v="4"/>
    <d v="2022-11-11T00:00:00"/>
    <n v="133464000"/>
    <s v="EN EJECUCIÓN"/>
    <n v="4"/>
  </r>
  <r>
    <x v="2"/>
    <s v="CAPN"/>
    <x v="2"/>
    <s v="05-029-21"/>
    <n v="303782"/>
    <s v="TOLIMA"/>
    <d v="2022-01-27T00:00:00"/>
    <n v="198651000"/>
    <m/>
    <m/>
    <m/>
    <m/>
    <m/>
    <m/>
    <m/>
    <m/>
    <m/>
    <m/>
    <m/>
    <n v="6420000"/>
    <m/>
    <n v="11266000"/>
    <n v="1362750"/>
    <n v="46091056"/>
    <m/>
    <m/>
    <m/>
    <n v="65139806"/>
    <n v="0.32791078826685999"/>
    <n v="3"/>
    <m/>
    <n v="133511194"/>
    <s v="EN EJECUCIÓN"/>
    <n v="4"/>
  </r>
  <r>
    <x v="2"/>
    <s v="SAT"/>
    <x v="2"/>
    <s v="05-070-21"/>
    <n v="303910"/>
    <s v="CUNDINAMARCA"/>
    <d v="2022-01-27T00:00:00"/>
    <n v="163006000"/>
    <m/>
    <m/>
    <m/>
    <m/>
    <m/>
    <m/>
    <m/>
    <m/>
    <m/>
    <m/>
    <m/>
    <m/>
    <n v="42222000"/>
    <n v="10200000"/>
    <m/>
    <m/>
    <m/>
    <m/>
    <m/>
    <n v="52422000"/>
    <n v="0.32159552409113773"/>
    <n v="3"/>
    <m/>
    <n v="110584000"/>
    <s v="EN EJECUCIÓN"/>
    <n v="2"/>
  </r>
  <r>
    <x v="5"/>
    <s v="CPT"/>
    <x v="2"/>
    <s v="07-017-21"/>
    <n v="302642"/>
    <s v="CASANARE"/>
    <d v="2021-12-14T00:00:00"/>
    <n v="180000000"/>
    <m/>
    <m/>
    <m/>
    <m/>
    <m/>
    <m/>
    <m/>
    <m/>
    <m/>
    <m/>
    <m/>
    <n v="6420000"/>
    <m/>
    <n v="14273250"/>
    <n v="9908500"/>
    <n v="27243000"/>
    <m/>
    <m/>
    <m/>
    <n v="57844750"/>
    <n v="0.3213597222222222"/>
    <n v="4"/>
    <m/>
    <n v="122155250"/>
    <s v="EN EJECUCIÓN"/>
    <n v="4"/>
  </r>
  <r>
    <x v="3"/>
    <s v="ASMUGAN"/>
    <x v="2"/>
    <s v="02-065-21"/>
    <n v="303522"/>
    <s v="ANTIOQUIA"/>
    <d v="2022-01-27T00:00:00"/>
    <n v="164897000"/>
    <m/>
    <m/>
    <m/>
    <m/>
    <m/>
    <m/>
    <m/>
    <m/>
    <m/>
    <m/>
    <m/>
    <m/>
    <m/>
    <n v="6420000"/>
    <n v="24277000"/>
    <n v="21974400"/>
    <m/>
    <m/>
    <m/>
    <n v="52671400"/>
    <n v="0.31942000157674183"/>
    <n v="4"/>
    <m/>
    <n v="112225600"/>
    <s v="EN EJECUCIÓN"/>
    <n v="3"/>
  </r>
  <r>
    <x v="0"/>
    <s v="ASOMURG"/>
    <x v="2"/>
    <s v="08-012-21"/>
    <n v="303410"/>
    <s v="GUAVIARE"/>
    <d v="2022-01-27T00:00:00"/>
    <n v="142435000"/>
    <m/>
    <m/>
    <m/>
    <m/>
    <m/>
    <m/>
    <m/>
    <m/>
    <m/>
    <n v="7328500"/>
    <n v="16117000"/>
    <m/>
    <n v="7500000"/>
    <n v="3267000"/>
    <m/>
    <n v="10495000"/>
    <m/>
    <m/>
    <m/>
    <n v="44707500"/>
    <n v="0.31388001544564187"/>
    <n v="5"/>
    <m/>
    <n v="97727500"/>
    <s v="EN EJECUCIÓN"/>
    <n v="5"/>
  </r>
  <r>
    <x v="3"/>
    <s v="AMII "/>
    <x v="2"/>
    <s v="02-050-21"/>
    <n v="302725"/>
    <s v="ANTIOQUIA"/>
    <d v="2021-12-14T00:00:00"/>
    <n v="198342000"/>
    <m/>
    <m/>
    <m/>
    <m/>
    <m/>
    <m/>
    <m/>
    <m/>
    <m/>
    <m/>
    <m/>
    <m/>
    <m/>
    <m/>
    <n v="6420000"/>
    <n v="54757000"/>
    <m/>
    <m/>
    <m/>
    <n v="61177000"/>
    <n v="0.30844198404775591"/>
    <n v="2"/>
    <m/>
    <n v="137165000"/>
    <s v="EN EJECUCIÓN"/>
    <n v="2"/>
  </r>
  <r>
    <x v="4"/>
    <s v="ASOAGROAM"/>
    <x v="2"/>
    <s v="01-007-21"/>
    <n v="303354"/>
    <s v="CAUCA"/>
    <d v="2022-01-27T00:00:00"/>
    <n v="187779000"/>
    <m/>
    <m/>
    <m/>
    <m/>
    <m/>
    <m/>
    <m/>
    <m/>
    <m/>
    <m/>
    <m/>
    <m/>
    <n v="7157750"/>
    <n v="737750"/>
    <n v="32871100"/>
    <n v="16437750"/>
    <m/>
    <m/>
    <m/>
    <n v="57204350"/>
    <n v="0.30463656745429468"/>
    <n v="3"/>
    <m/>
    <n v="130574650"/>
    <s v="EN EJECUCIÓN"/>
    <n v="4"/>
  </r>
  <r>
    <x v="0"/>
    <s v="ASMUJIMA"/>
    <x v="2"/>
    <s v="08-019-21"/>
    <n v="302528"/>
    <s v="CAQUETÁ"/>
    <d v="2021-12-14T00:00:00"/>
    <n v="150000000"/>
    <m/>
    <m/>
    <m/>
    <m/>
    <m/>
    <m/>
    <m/>
    <m/>
    <m/>
    <m/>
    <m/>
    <m/>
    <n v="6420000"/>
    <n v="12681818"/>
    <n v="8480909"/>
    <n v="17639909"/>
    <m/>
    <m/>
    <m/>
    <n v="45222636"/>
    <n v="0.30148424000000001"/>
    <n v="4"/>
    <m/>
    <n v="104777364"/>
    <s v="EN EJECUCIÓN"/>
    <n v="4"/>
  </r>
  <r>
    <x v="0"/>
    <s v="ASOPROTRIUNFO"/>
    <x v="2"/>
    <s v="08-013-21"/>
    <n v="303303"/>
    <s v="GUAVIARE"/>
    <d v="2022-01-27T00:00:00"/>
    <n v="180702000"/>
    <m/>
    <m/>
    <m/>
    <m/>
    <m/>
    <m/>
    <m/>
    <m/>
    <m/>
    <m/>
    <m/>
    <m/>
    <n v="6420000"/>
    <n v="38062000"/>
    <n v="3408500"/>
    <n v="5625000"/>
    <m/>
    <m/>
    <m/>
    <n v="53515500"/>
    <n v="0.29615333532556365"/>
    <n v="4"/>
    <m/>
    <n v="127186500"/>
    <s v="EN EJECUCIÓN"/>
    <n v="4"/>
  </r>
  <r>
    <x v="3"/>
    <s v="ASOGREPACA"/>
    <x v="2"/>
    <s v="02-048-21"/>
    <n v="302577"/>
    <s v="ANTIOQUIA"/>
    <d v="2021-12-14T00:00:00"/>
    <n v="174592000"/>
    <m/>
    <m/>
    <m/>
    <m/>
    <m/>
    <m/>
    <m/>
    <m/>
    <m/>
    <m/>
    <m/>
    <n v="6420000"/>
    <n v="17508500"/>
    <n v="5900000"/>
    <n v="13807000"/>
    <n v="6808500"/>
    <m/>
    <m/>
    <m/>
    <n v="50444000"/>
    <n v="0.28892503665689151"/>
    <n v="4"/>
    <m/>
    <n v="124148000"/>
    <s v="EN EJECUCIÓN"/>
    <n v="5"/>
  </r>
  <r>
    <x v="2"/>
    <s v="AGROCHAC"/>
    <x v="2"/>
    <s v="05-032-21"/>
    <n v="303200"/>
    <s v="TOLIMA"/>
    <d v="2022-01-27T00:00:00"/>
    <n v="190000000"/>
    <m/>
    <m/>
    <m/>
    <m/>
    <m/>
    <m/>
    <m/>
    <m/>
    <m/>
    <m/>
    <m/>
    <n v="6420000"/>
    <m/>
    <m/>
    <m/>
    <n v="48446350"/>
    <m/>
    <m/>
    <m/>
    <n v="54866350"/>
    <n v="0.28877026315789472"/>
    <n v="2"/>
    <m/>
    <n v="135133650"/>
    <s v="EN EJECUCIÓN"/>
    <n v="2"/>
  </r>
  <r>
    <x v="0"/>
    <s v="ASOJICCA"/>
    <x v="2"/>
    <s v="08-034-21"/>
    <n v="303432"/>
    <s v="GUAINÍA"/>
    <d v="2022-01-27T00:00:00"/>
    <n v="154410000"/>
    <m/>
    <m/>
    <m/>
    <m/>
    <m/>
    <m/>
    <m/>
    <m/>
    <m/>
    <m/>
    <m/>
    <n v="6420000"/>
    <n v="26529600"/>
    <n v="11608500"/>
    <m/>
    <m/>
    <m/>
    <m/>
    <m/>
    <n v="44558100"/>
    <n v="0.28857004080046628"/>
    <n v="4"/>
    <m/>
    <n v="109851900"/>
    <s v="EN EJECUCIÓN"/>
    <n v="3"/>
  </r>
  <r>
    <x v="4"/>
    <s v="APROHORFRUA"/>
    <x v="2"/>
    <s v="01-049-21"/>
    <n v="303476"/>
    <s v="CHOCÓ"/>
    <d v="2022-01-27T00:00:00"/>
    <n v="200000000"/>
    <m/>
    <m/>
    <m/>
    <m/>
    <m/>
    <m/>
    <m/>
    <m/>
    <m/>
    <m/>
    <m/>
    <m/>
    <n v="6420000"/>
    <m/>
    <n v="500000"/>
    <n v="50629876"/>
    <m/>
    <m/>
    <m/>
    <n v="57549876"/>
    <n v="0.28774938"/>
    <n v="3"/>
    <m/>
    <n v="142450124"/>
    <s v="EN EJECUCIÓN"/>
    <n v="3"/>
  </r>
  <r>
    <x v="7"/>
    <s v="ASPARCOL"/>
    <x v="2"/>
    <s v="04-041-21"/>
    <n v="303255"/>
    <s v="CÓRDOBA"/>
    <d v="2022-01-27T00:00:00"/>
    <n v="200000000"/>
    <m/>
    <m/>
    <m/>
    <m/>
    <m/>
    <m/>
    <m/>
    <m/>
    <m/>
    <m/>
    <m/>
    <m/>
    <m/>
    <n v="43927600"/>
    <n v="8954000"/>
    <n v="4400000"/>
    <m/>
    <m/>
    <m/>
    <n v="57281600"/>
    <n v="0.286408"/>
    <n v="2"/>
    <m/>
    <n v="142718400"/>
    <s v="EN EJECUCIÓN"/>
    <n v="3"/>
  </r>
  <r>
    <x v="5"/>
    <s v="APROMARA"/>
    <x v="2"/>
    <s v="07-006-21"/>
    <n v="302472"/>
    <s v="ARAUCA"/>
    <d v="2021-12-14T00:00:00"/>
    <n v="200000000"/>
    <m/>
    <m/>
    <m/>
    <m/>
    <m/>
    <m/>
    <m/>
    <m/>
    <m/>
    <m/>
    <m/>
    <n v="6420000"/>
    <m/>
    <m/>
    <n v="24154250"/>
    <n v="26674250"/>
    <m/>
    <m/>
    <m/>
    <n v="57248500"/>
    <n v="0.28624250000000001"/>
    <n v="4"/>
    <m/>
    <n v="142751500"/>
    <s v="EN EJECUCIÓN"/>
    <n v="3"/>
  </r>
  <r>
    <x v="7"/>
    <s v="ASAGAPEG"/>
    <x v="2"/>
    <s v="04-013-21"/>
    <n v="302803"/>
    <s v="SUCRE"/>
    <d v="2022-01-27T00:00:00"/>
    <n v="200000000"/>
    <m/>
    <m/>
    <m/>
    <m/>
    <m/>
    <m/>
    <m/>
    <m/>
    <m/>
    <m/>
    <m/>
    <m/>
    <m/>
    <m/>
    <n v="8237000"/>
    <n v="48710000"/>
    <m/>
    <m/>
    <m/>
    <n v="56947000"/>
    <n v="0.28473500000000002"/>
    <n v="2"/>
    <m/>
    <n v="143053000"/>
    <s v="EN EJECUCIÓN"/>
    <n v="2"/>
  </r>
  <r>
    <x v="0"/>
    <s v="ASPROABELEN"/>
    <x v="2"/>
    <s v="08-026-21"/>
    <n v="302518"/>
    <s v="CAQUETÁ"/>
    <d v="2021-12-14T00:00:00"/>
    <n v="180000000"/>
    <m/>
    <m/>
    <m/>
    <m/>
    <m/>
    <m/>
    <m/>
    <m/>
    <m/>
    <m/>
    <m/>
    <m/>
    <n v="6420000"/>
    <n v="6000000"/>
    <n v="34700000"/>
    <n v="3908500"/>
    <m/>
    <m/>
    <m/>
    <n v="51028500"/>
    <n v="0.28349166666666664"/>
    <n v="4"/>
    <d v="2022-11-11T00:00:00"/>
    <n v="128971500"/>
    <s v="EN EJECUCIÓN"/>
    <n v="4"/>
  </r>
  <r>
    <x v="4"/>
    <s v="ASOTAP"/>
    <x v="2"/>
    <s v="01-060-21"/>
    <n v="303790"/>
    <s v="VALLE_DEL_CAUCA"/>
    <d v="2022-01-27T00:00:00"/>
    <n v="140991000"/>
    <m/>
    <m/>
    <m/>
    <m/>
    <m/>
    <m/>
    <m/>
    <m/>
    <m/>
    <m/>
    <m/>
    <m/>
    <m/>
    <n v="6420000"/>
    <n v="3634000"/>
    <n v="29840500"/>
    <m/>
    <m/>
    <m/>
    <n v="39894500"/>
    <n v="0.28295777744678741"/>
    <n v="3"/>
    <m/>
    <n v="101096500"/>
    <s v="EN EJECUCIÓN"/>
    <n v="3"/>
  </r>
  <r>
    <x v="6"/>
    <s v="ASOCAP"/>
    <x v="2"/>
    <s v="06-027-21"/>
    <n v="303441"/>
    <s v="SANTANDER"/>
    <d v="2022-01-27T00:00:00"/>
    <n v="190000000"/>
    <m/>
    <m/>
    <m/>
    <m/>
    <m/>
    <m/>
    <m/>
    <m/>
    <m/>
    <m/>
    <m/>
    <m/>
    <m/>
    <n v="27932000"/>
    <m/>
    <n v="25527000"/>
    <m/>
    <m/>
    <m/>
    <n v="53459000"/>
    <n v="0.28136315789473682"/>
    <n v="4"/>
    <m/>
    <n v="136541000"/>
    <s v="EN EJECUCIÓN"/>
    <n v="2"/>
  </r>
  <r>
    <x v="6"/>
    <s v="ASOPROCOCOA"/>
    <x v="2"/>
    <s v="06-006-21"/>
    <n v="302640"/>
    <s v="NORTE_DE_SANTANDER"/>
    <d v="2021-12-14T00:00:00"/>
    <n v="194000000"/>
    <m/>
    <m/>
    <m/>
    <m/>
    <m/>
    <m/>
    <m/>
    <m/>
    <m/>
    <m/>
    <m/>
    <n v="6420000"/>
    <n v="6120000"/>
    <n v="29434072"/>
    <n v="6120000"/>
    <n v="6120000"/>
    <m/>
    <m/>
    <m/>
    <n v="54214072"/>
    <n v="0.27945397938144328"/>
    <n v="4"/>
    <m/>
    <n v="139785928"/>
    <s v="EN EJECUCIÓN"/>
    <n v="5"/>
  </r>
  <r>
    <x v="2"/>
    <s v="ASOFRIG"/>
    <x v="2"/>
    <s v="05-038-21"/>
    <n v="303830"/>
    <s v="TOLIMA"/>
    <d v="2022-01-27T00:00:00"/>
    <n v="199582000"/>
    <m/>
    <m/>
    <m/>
    <m/>
    <m/>
    <m/>
    <m/>
    <m/>
    <m/>
    <m/>
    <m/>
    <n v="6420000"/>
    <m/>
    <m/>
    <m/>
    <n v="48628500"/>
    <m/>
    <m/>
    <m/>
    <n v="55048500"/>
    <n v="0.27581896162980629"/>
    <n v="2"/>
    <m/>
    <n v="144533500"/>
    <s v="EN EJECUCIÓN"/>
    <n v="2"/>
  </r>
  <r>
    <x v="3"/>
    <s v="ASOVILACEL"/>
    <x v="2"/>
    <s v="02-015-21"/>
    <n v="302834"/>
    <s v="RISARALDA"/>
    <d v="2021-12-14T00:00:00"/>
    <n v="200000000"/>
    <m/>
    <m/>
    <m/>
    <m/>
    <m/>
    <m/>
    <m/>
    <m/>
    <m/>
    <m/>
    <m/>
    <m/>
    <m/>
    <m/>
    <n v="16328500"/>
    <n v="38608500"/>
    <m/>
    <m/>
    <m/>
    <n v="54937000"/>
    <n v="0.27468500000000001"/>
    <n v="3"/>
    <m/>
    <n v="145063000"/>
    <s v="EN EJECUCIÓN"/>
    <n v="2"/>
  </r>
  <r>
    <x v="3"/>
    <s v="ASOMORRITOS"/>
    <x v="2"/>
    <s v="02-049-21"/>
    <n v="302859"/>
    <s v="ANTIOQUIA"/>
    <d v="2021-12-14T00:00:00"/>
    <n v="150914000"/>
    <m/>
    <m/>
    <m/>
    <m/>
    <m/>
    <m/>
    <m/>
    <m/>
    <m/>
    <m/>
    <m/>
    <m/>
    <m/>
    <n v="6420000"/>
    <n v="27935022.399999999"/>
    <n v="6808500"/>
    <m/>
    <m/>
    <m/>
    <n v="41163522.399999999"/>
    <n v="0.27276145619359371"/>
    <n v="3"/>
    <m/>
    <n v="109750477.59999999"/>
    <s v="EN EJECUCIÓN"/>
    <n v="3"/>
  </r>
  <r>
    <x v="4"/>
    <s v="LACTEOS SANTA ROSA DE ILES"/>
    <x v="2"/>
    <s v="01-010-21"/>
    <n v="303365"/>
    <s v="NARIÑO"/>
    <d v="2022-01-27T00:00:00"/>
    <n v="79251000"/>
    <m/>
    <m/>
    <m/>
    <m/>
    <m/>
    <m/>
    <m/>
    <m/>
    <m/>
    <m/>
    <m/>
    <m/>
    <n v="3675000"/>
    <m/>
    <n v="1817000"/>
    <n v="16033500"/>
    <m/>
    <m/>
    <m/>
    <n v="21525500"/>
    <n v="0.27161171467867912"/>
    <n v="3"/>
    <m/>
    <n v="57725500"/>
    <s v="EN EJECUCIÓN"/>
    <n v="3"/>
  </r>
  <r>
    <x v="5"/>
    <s v="ASMUC"/>
    <x v="2"/>
    <s v="07-038-21"/>
    <n v="302451"/>
    <s v="META"/>
    <d v="2021-12-14T00:00:00"/>
    <n v="195000000"/>
    <m/>
    <m/>
    <m/>
    <m/>
    <m/>
    <m/>
    <m/>
    <m/>
    <m/>
    <m/>
    <m/>
    <m/>
    <n v="6420000"/>
    <n v="17608500"/>
    <n v="2554250"/>
    <n v="26257000"/>
    <m/>
    <m/>
    <m/>
    <n v="52839750"/>
    <n v="0.27097307692307693"/>
    <n v="4"/>
    <m/>
    <n v="142160250"/>
    <s v="EN EJECUCIÓN"/>
    <n v="4"/>
  </r>
  <r>
    <x v="4"/>
    <s v="ASOCIACIÓN DE PRODUCTORES AGROPECUARIA DEL MUNICIPIO DEL MEDIO ATRATO"/>
    <x v="2"/>
    <s v="01-048-21"/>
    <n v="303189"/>
    <s v="CHOCÓ"/>
    <d v="2022-01-27T00:00:00"/>
    <n v="187700000"/>
    <m/>
    <m/>
    <m/>
    <m/>
    <m/>
    <m/>
    <m/>
    <m/>
    <m/>
    <m/>
    <m/>
    <m/>
    <n v="6420000"/>
    <m/>
    <m/>
    <n v="44048593.799999997"/>
    <m/>
    <m/>
    <m/>
    <n v="50468593.799999997"/>
    <n v="0.26887902930207774"/>
    <n v="3"/>
    <m/>
    <n v="137231406.19999999"/>
    <s v="EN EJECUCIÓN"/>
    <n v="2"/>
  </r>
  <r>
    <x v="0"/>
    <s v="ASOES"/>
    <x v="2"/>
    <s v="08-029-21"/>
    <n v="303415"/>
    <s v="CAQUETÁ"/>
    <d v="2022-01-27T00:00:00"/>
    <n v="169844000"/>
    <m/>
    <m/>
    <m/>
    <m/>
    <m/>
    <m/>
    <m/>
    <m/>
    <m/>
    <m/>
    <m/>
    <m/>
    <n v="6420000"/>
    <n v="10700000"/>
    <n v="11801818"/>
    <n v="14531818"/>
    <m/>
    <m/>
    <m/>
    <n v="43453636"/>
    <n v="0.25584439838910999"/>
    <n v="4"/>
    <m/>
    <n v="126390364"/>
    <s v="EN EJECUCIÓN"/>
    <n v="4"/>
  </r>
  <r>
    <x v="0"/>
    <s v="ASOARTEPANELA"/>
    <x v="2"/>
    <s v="08-047-21"/>
    <n v="304082"/>
    <s v="PUTUMAYO"/>
    <d v="2022-02-08T00:00:00"/>
    <n v="147322000"/>
    <m/>
    <m/>
    <m/>
    <m/>
    <m/>
    <m/>
    <m/>
    <m/>
    <m/>
    <m/>
    <m/>
    <m/>
    <m/>
    <n v="6420000"/>
    <m/>
    <n v="30973500"/>
    <m/>
    <m/>
    <m/>
    <n v="37393500"/>
    <n v="0.25382156093455155"/>
    <n v="3"/>
    <m/>
    <n v="109928500"/>
    <s v="EN EJECUCIÓN"/>
    <n v="2"/>
  </r>
  <r>
    <x v="3"/>
    <s v="ASOMERGEN"/>
    <x v="2"/>
    <s v="02-001-21"/>
    <n v="302780"/>
    <s v="QUINDÍO"/>
    <d v="2021-12-14T00:00:00"/>
    <n v="200000000"/>
    <m/>
    <m/>
    <m/>
    <m/>
    <m/>
    <m/>
    <m/>
    <m/>
    <m/>
    <m/>
    <m/>
    <m/>
    <n v="9920000"/>
    <n v="3500000"/>
    <n v="5498000"/>
    <n v="31686000"/>
    <m/>
    <m/>
    <m/>
    <n v="50604000"/>
    <n v="0.25302000000000002"/>
    <n v="5"/>
    <m/>
    <n v="149396000"/>
    <s v="EN EJECUCIÓN"/>
    <n v="4"/>
  </r>
  <r>
    <x v="2"/>
    <s v="ASOPG"/>
    <x v="2"/>
    <s v="05-019-21"/>
    <n v="302875"/>
    <s v="TOLIMA"/>
    <d v="2021-12-14T00:00:00"/>
    <n v="179999230"/>
    <m/>
    <m/>
    <m/>
    <m/>
    <m/>
    <m/>
    <m/>
    <m/>
    <m/>
    <m/>
    <n v="6420000"/>
    <m/>
    <m/>
    <m/>
    <m/>
    <n v="37986999.950000003"/>
    <m/>
    <m/>
    <m/>
    <n v="44406999.950000003"/>
    <n v="0.24670661063383439"/>
    <n v="2"/>
    <m/>
    <n v="135592230.05000001"/>
    <s v="EN EJECUCIÓN"/>
    <n v="2"/>
  </r>
  <r>
    <x v="5"/>
    <s v="ASOPROMORSA"/>
    <x v="2"/>
    <s v="07-015-21"/>
    <n v="302781"/>
    <s v="CASANARE"/>
    <d v="2021-12-14T00:00:00"/>
    <n v="160000000"/>
    <m/>
    <m/>
    <m/>
    <m/>
    <m/>
    <m/>
    <m/>
    <m/>
    <m/>
    <m/>
    <m/>
    <m/>
    <n v="6420000"/>
    <n v="7454250"/>
    <n v="22448500"/>
    <n v="3000000"/>
    <m/>
    <m/>
    <m/>
    <n v="39322750"/>
    <n v="0.24576718750000001"/>
    <n v="3"/>
    <m/>
    <n v="120677250"/>
    <s v="EN EJECUCIÓN"/>
    <n v="4"/>
  </r>
  <r>
    <x v="4"/>
    <s v="RITCP - TRIUNFO CRISTAL PAEZ"/>
    <x v="2"/>
    <s v="01-066-21"/>
    <n v="303482"/>
    <s v="VALLE_DEL_CAUCA"/>
    <d v="2022-01-27T00:00:00"/>
    <n v="154537000"/>
    <m/>
    <m/>
    <m/>
    <m/>
    <m/>
    <m/>
    <m/>
    <m/>
    <m/>
    <m/>
    <m/>
    <m/>
    <m/>
    <m/>
    <n v="22702000"/>
    <n v="14732500"/>
    <m/>
    <m/>
    <m/>
    <n v="37434500"/>
    <n v="0.24223648705488007"/>
    <n v="3"/>
    <m/>
    <n v="117102500"/>
    <s v="EN EJECUCIÓN"/>
    <n v="2"/>
  </r>
  <r>
    <x v="7"/>
    <s v="ASOVICAMPRO"/>
    <x v="2"/>
    <s v="04-017-21"/>
    <n v="303661"/>
    <s v="CÓRDOBA"/>
    <d v="2022-01-27T00:00:00"/>
    <n v="199342000"/>
    <m/>
    <m/>
    <m/>
    <m/>
    <m/>
    <m/>
    <m/>
    <m/>
    <m/>
    <m/>
    <m/>
    <m/>
    <m/>
    <n v="47688600"/>
    <m/>
    <m/>
    <m/>
    <m/>
    <m/>
    <n v="47688600"/>
    <n v="0.23923006692016735"/>
    <n v="2"/>
    <m/>
    <n v="151653400"/>
    <s v="EN EJECUCIÓN"/>
    <n v="1"/>
  </r>
  <r>
    <x v="3"/>
    <s v="ASOPAMA"/>
    <x v="2"/>
    <s v="02-042-21"/>
    <n v="302573"/>
    <s v="ANTIOQUIA"/>
    <d v="2021-12-14T00:00:00"/>
    <n v="185383000"/>
    <m/>
    <m/>
    <m/>
    <m/>
    <m/>
    <m/>
    <m/>
    <m/>
    <m/>
    <m/>
    <m/>
    <m/>
    <n v="6420000"/>
    <n v="10700000"/>
    <n v="15017000"/>
    <n v="11908500"/>
    <m/>
    <m/>
    <m/>
    <n v="44045500"/>
    <n v="0.23759190432779706"/>
    <n v="5"/>
    <m/>
    <n v="141337500"/>
    <s v="EN EJECUCIÓN"/>
    <n v="4"/>
  </r>
  <r>
    <x v="0"/>
    <s v="ASOPLAMPG"/>
    <x v="2"/>
    <s v="08-006-21"/>
    <n v="302732"/>
    <s v="PUTUMAYO"/>
    <d v="2021-12-14T00:00:00"/>
    <n v="185442000"/>
    <m/>
    <m/>
    <m/>
    <m/>
    <m/>
    <m/>
    <m/>
    <m/>
    <m/>
    <m/>
    <m/>
    <m/>
    <m/>
    <n v="6420000"/>
    <n v="11525500"/>
    <n v="25700000"/>
    <m/>
    <m/>
    <m/>
    <n v="43645500"/>
    <n v="0.23535930371760444"/>
    <n v="3"/>
    <m/>
    <n v="141796500"/>
    <s v="EN EJECUCIÓN"/>
    <n v="3"/>
  </r>
  <r>
    <x v="6"/>
    <s v="ASOGANACÓN"/>
    <x v="2"/>
    <s v="06-001-21"/>
    <n v="302790"/>
    <s v="SANTANDER"/>
    <d v="2022-01-27T00:00:00"/>
    <n v="200000000"/>
    <m/>
    <m/>
    <m/>
    <m/>
    <m/>
    <m/>
    <m/>
    <m/>
    <m/>
    <m/>
    <m/>
    <m/>
    <m/>
    <m/>
    <n v="5900000"/>
    <n v="40736000"/>
    <m/>
    <m/>
    <m/>
    <n v="46636000"/>
    <n v="0.23318"/>
    <n v="3"/>
    <m/>
    <n v="153364000"/>
    <s v="EN EJECUCIÓN"/>
    <n v="2"/>
  </r>
  <r>
    <x v="0"/>
    <s v="AGROGALICIA"/>
    <x v="2"/>
    <s v="08-031-21"/>
    <n v="302488"/>
    <s v="CAQUETÁ"/>
    <d v="2021-12-14T00:00:00"/>
    <n v="186242000"/>
    <m/>
    <m/>
    <m/>
    <m/>
    <m/>
    <m/>
    <m/>
    <m/>
    <m/>
    <m/>
    <m/>
    <m/>
    <m/>
    <n v="908500"/>
    <n v="18928500"/>
    <n v="23208500"/>
    <m/>
    <m/>
    <m/>
    <n v="43045500"/>
    <n v="0.23112670611355118"/>
    <n v="2"/>
    <m/>
    <n v="143196500"/>
    <s v="EN EJECUCIÓN"/>
    <n v="3"/>
  </r>
  <r>
    <x v="3"/>
    <s v="ASITAPUR"/>
    <x v="2"/>
    <s v="02-061-21"/>
    <n v="302575"/>
    <s v="ANTIOQUIA"/>
    <d v="2021-12-14T00:00:00"/>
    <n v="179952000"/>
    <m/>
    <m/>
    <m/>
    <m/>
    <m/>
    <m/>
    <m/>
    <m/>
    <m/>
    <m/>
    <m/>
    <m/>
    <n v="6420000"/>
    <n v="2800000"/>
    <n v="32336332"/>
    <m/>
    <m/>
    <m/>
    <m/>
    <n v="41556332"/>
    <n v="0.23093009246910287"/>
    <n v="4"/>
    <m/>
    <n v="138395668"/>
    <s v="EN EJECUCIÓN"/>
    <n v="3"/>
  </r>
  <r>
    <x v="5"/>
    <s v="ASOGAFOR"/>
    <x v="2"/>
    <s v="07-007-21"/>
    <n v="302505"/>
    <s v="ARAUCA"/>
    <d v="2021-12-14T00:00:00"/>
    <n v="170000000"/>
    <m/>
    <m/>
    <m/>
    <m/>
    <m/>
    <m/>
    <m/>
    <m/>
    <m/>
    <m/>
    <m/>
    <n v="6420000"/>
    <m/>
    <n v="3954250"/>
    <n v="6908500"/>
    <n v="21413250"/>
    <m/>
    <m/>
    <m/>
    <n v="38696000"/>
    <n v="0.2276235294117647"/>
    <n v="3"/>
    <m/>
    <n v="131304000"/>
    <s v="EN EJECUCIÓN"/>
    <n v="4"/>
  </r>
  <r>
    <x v="6"/>
    <s v="ASOMUCAP"/>
    <x v="2"/>
    <s v="06-009-21"/>
    <n v="303246"/>
    <s v="SANTANDER"/>
    <d v="2022-01-27T00:00:00"/>
    <n v="175000000"/>
    <m/>
    <m/>
    <m/>
    <m/>
    <m/>
    <m/>
    <m/>
    <m/>
    <m/>
    <m/>
    <m/>
    <m/>
    <m/>
    <n v="3000000"/>
    <m/>
    <n v="36755000"/>
    <m/>
    <m/>
    <m/>
    <n v="39755000"/>
    <n v="0.22717142857142858"/>
    <n v="3"/>
    <m/>
    <n v="135245000"/>
    <s v="EN EJECUCIÓN"/>
    <n v="2"/>
  </r>
  <r>
    <x v="1"/>
    <s v="ASOPROMIXGUA"/>
    <x v="2"/>
    <s v="03-003-21"/>
    <n v="303768"/>
    <s v="BOLÍVAR"/>
    <d v="2022-01-27T00:00:00"/>
    <n v="200000000"/>
    <m/>
    <m/>
    <m/>
    <m/>
    <m/>
    <m/>
    <m/>
    <m/>
    <m/>
    <m/>
    <m/>
    <m/>
    <m/>
    <n v="6420000"/>
    <n v="37754000"/>
    <n v="908000"/>
    <m/>
    <m/>
    <m/>
    <n v="45082000"/>
    <n v="0.22541"/>
    <n v="3"/>
    <m/>
    <n v="154918000"/>
    <s v="EN EJECUCIÓN"/>
    <n v="3"/>
  </r>
  <r>
    <x v="3"/>
    <s v="ASOCASAN C.A."/>
    <x v="2"/>
    <s v="02-052-21"/>
    <n v="302251"/>
    <s v="ANTIOQUIA"/>
    <d v="2021-12-14T00:00:00"/>
    <n v="188750000"/>
    <m/>
    <m/>
    <m/>
    <m/>
    <m/>
    <m/>
    <m/>
    <m/>
    <m/>
    <m/>
    <m/>
    <n v="6420000"/>
    <n v="6420000"/>
    <m/>
    <n v="17608500"/>
    <n v="12017000"/>
    <m/>
    <m/>
    <m/>
    <n v="42465500"/>
    <n v="0.22498278145695363"/>
    <n v="4"/>
    <m/>
    <n v="146284500"/>
    <s v="EN EJECUCIÓN"/>
    <n v="4"/>
  </r>
  <r>
    <x v="4"/>
    <s v="ACP"/>
    <x v="2"/>
    <s v="01-005-21"/>
    <n v="302838"/>
    <s v="CAUCA"/>
    <d v="2022-01-27T00:00:00"/>
    <n v="145470000"/>
    <m/>
    <m/>
    <m/>
    <m/>
    <m/>
    <m/>
    <m/>
    <m/>
    <m/>
    <m/>
    <m/>
    <m/>
    <m/>
    <n v="6420000"/>
    <m/>
    <n v="26206000"/>
    <m/>
    <m/>
    <m/>
    <n v="32626000"/>
    <n v="0.22427992025847254"/>
    <n v="3"/>
    <m/>
    <n v="112844000"/>
    <s v="EN EJECUCIÓN"/>
    <n v="2"/>
  </r>
  <r>
    <x v="2"/>
    <s v="ASOMUCASA"/>
    <x v="2"/>
    <s v="05-022-21"/>
    <n v="302953"/>
    <s v="TOLIMA"/>
    <d v="2021-12-14T00:00:00"/>
    <n v="169999600"/>
    <m/>
    <m/>
    <m/>
    <m/>
    <m/>
    <m/>
    <m/>
    <m/>
    <m/>
    <m/>
    <n v="6420000"/>
    <m/>
    <m/>
    <m/>
    <n v="30539992.120000001"/>
    <m/>
    <m/>
    <m/>
    <m/>
    <n v="36959992.120000005"/>
    <n v="0.21741222991112924"/>
    <n v="2"/>
    <m/>
    <n v="133039607.88"/>
    <s v="EN EJECUCIÓN"/>
    <n v="2"/>
  </r>
  <r>
    <x v="2"/>
    <s v="AUMUR"/>
    <x v="2"/>
    <s v="05-011-21"/>
    <n v="303262"/>
    <s v="CUNDINAMARCA"/>
    <d v="2021-12-14T00:00:00"/>
    <n v="154568000"/>
    <m/>
    <m/>
    <m/>
    <m/>
    <m/>
    <m/>
    <m/>
    <m/>
    <m/>
    <m/>
    <m/>
    <n v="6420000"/>
    <m/>
    <m/>
    <n v="16237583.33"/>
    <n v="10620916.66"/>
    <m/>
    <m/>
    <m/>
    <n v="33278499.989999998"/>
    <n v="0.21530006204389004"/>
    <n v="2"/>
    <m/>
    <n v="121289500.01000001"/>
    <s v="EN EJECUCIÓN"/>
    <n v="3"/>
  </r>
  <r>
    <x v="1"/>
    <s v="ASOPEGABOS"/>
    <x v="2"/>
    <s v="03-031-21"/>
    <n v="302877"/>
    <s v="CESAR"/>
    <d v="2021-12-14T00:00:00"/>
    <n v="169892000"/>
    <m/>
    <m/>
    <m/>
    <m/>
    <m/>
    <m/>
    <m/>
    <m/>
    <m/>
    <m/>
    <m/>
    <m/>
    <m/>
    <m/>
    <m/>
    <n v="36332900"/>
    <m/>
    <m/>
    <m/>
    <n v="36332900"/>
    <n v="0.2138588044169237"/>
    <n v="1"/>
    <m/>
    <n v="133559100"/>
    <s v="EN EJECUCIÓN"/>
    <n v="1"/>
  </r>
  <r>
    <x v="2"/>
    <s v="ASOCIACION EL CABLE  "/>
    <x v="2"/>
    <s v="05-041-21"/>
    <n v="303325"/>
    <s v="TOLIMA"/>
    <d v="2021-12-14T00:00:00"/>
    <n v="199997560"/>
    <m/>
    <m/>
    <m/>
    <m/>
    <m/>
    <m/>
    <m/>
    <m/>
    <m/>
    <m/>
    <n v="6420000"/>
    <m/>
    <m/>
    <m/>
    <n v="36054999.969999999"/>
    <m/>
    <m/>
    <m/>
    <m/>
    <n v="42474999.969999999"/>
    <n v="0.21237759085660846"/>
    <n v="2"/>
    <m/>
    <n v="157522560.03"/>
    <s v="EN EJECUCIÓN"/>
    <n v="2"/>
  </r>
  <r>
    <x v="6"/>
    <s v="AMPROCOM"/>
    <x v="2"/>
    <s v="06-004-21"/>
    <n v="302805"/>
    <s v="NORTE_DE_SANTANDER"/>
    <d v="2022-01-27T00:00:00"/>
    <n v="185000000"/>
    <m/>
    <m/>
    <m/>
    <m/>
    <m/>
    <m/>
    <m/>
    <m/>
    <m/>
    <m/>
    <m/>
    <n v="6420000"/>
    <m/>
    <n v="4070000"/>
    <n v="13300000"/>
    <n v="15439900"/>
    <m/>
    <m/>
    <m/>
    <n v="39229900"/>
    <n v="0.21205351351351351"/>
    <n v="4"/>
    <m/>
    <n v="145770100"/>
    <s v="EN EJECUCIÓN"/>
    <n v="4"/>
  </r>
  <r>
    <x v="3"/>
    <s v="ASOPROLECA"/>
    <x v="2"/>
    <s v="02-039-21"/>
    <n v="302574"/>
    <s v="ANTIOQUIA"/>
    <d v="2021-12-14T00:00:00"/>
    <n v="198302000"/>
    <m/>
    <m/>
    <m/>
    <m/>
    <m/>
    <m/>
    <m/>
    <m/>
    <m/>
    <m/>
    <m/>
    <n v="6420000"/>
    <m/>
    <n v="9140500"/>
    <n v="16408500"/>
    <n v="10049000"/>
    <m/>
    <m/>
    <m/>
    <n v="42018000"/>
    <n v="0.2118889370757733"/>
    <n v="5"/>
    <m/>
    <n v="156284000"/>
    <s v="EN EJECUCIÓN"/>
    <n v="4"/>
  </r>
  <r>
    <x v="1"/>
    <s v="ASOCOR"/>
    <x v="2"/>
    <s v="03-036-21"/>
    <n v="303660"/>
    <s v="CESAR"/>
    <d v="2022-01-27T00:00:00"/>
    <n v="184878000"/>
    <m/>
    <m/>
    <m/>
    <m/>
    <m/>
    <m/>
    <m/>
    <m/>
    <m/>
    <m/>
    <m/>
    <m/>
    <m/>
    <m/>
    <m/>
    <n v="38900000"/>
    <m/>
    <m/>
    <m/>
    <n v="38900000"/>
    <n v="0.21040902649314683"/>
    <n v="2"/>
    <m/>
    <n v="145978000"/>
    <s v="EN EJECUCIÓN"/>
    <n v="1"/>
  </r>
  <r>
    <x v="0"/>
    <s v="ASOALICERDOS"/>
    <x v="2"/>
    <s v="08-045-21"/>
    <n v="302544"/>
    <s v="PUTUMAYO"/>
    <d v="2021-12-14T00:00:00"/>
    <n v="165622000"/>
    <m/>
    <m/>
    <m/>
    <m/>
    <m/>
    <m/>
    <m/>
    <m/>
    <m/>
    <m/>
    <m/>
    <n v="6300000"/>
    <m/>
    <n v="12317000"/>
    <n v="9608500"/>
    <n v="6608500"/>
    <m/>
    <m/>
    <m/>
    <n v="34834000"/>
    <n v="0.21032230017751266"/>
    <n v="4"/>
    <d v="2022-10-10T00:00:00"/>
    <n v="130788000"/>
    <s v="EN EJECUCIÓN"/>
    <n v="4"/>
  </r>
  <r>
    <x v="3"/>
    <s v="ASOMOREROS"/>
    <x v="2"/>
    <s v="02-023-21"/>
    <n v="303297"/>
    <s v="RISARALDA"/>
    <d v="2022-01-27T00:00:00"/>
    <n v="170000000"/>
    <m/>
    <m/>
    <m/>
    <m/>
    <m/>
    <m/>
    <m/>
    <m/>
    <m/>
    <m/>
    <m/>
    <m/>
    <m/>
    <m/>
    <n v="6420000"/>
    <n v="29157800"/>
    <m/>
    <m/>
    <m/>
    <n v="35577800"/>
    <n v="0.20928117647058825"/>
    <n v="2"/>
    <m/>
    <n v="134422200"/>
    <s v="EN EJECUCIÓN"/>
    <n v="2"/>
  </r>
  <r>
    <x v="5"/>
    <s v="AGROMESACA"/>
    <x v="2"/>
    <s v="07-016-21"/>
    <n v="302796"/>
    <s v="CASANARE"/>
    <d v="2021-12-14T00:00:00"/>
    <n v="170000000"/>
    <m/>
    <m/>
    <m/>
    <m/>
    <m/>
    <m/>
    <m/>
    <m/>
    <m/>
    <m/>
    <m/>
    <n v="6420000"/>
    <m/>
    <n v="3954250"/>
    <n v="7908500"/>
    <n v="16160000"/>
    <m/>
    <m/>
    <m/>
    <n v="34442750"/>
    <n v="0.20260441176470589"/>
    <n v="3"/>
    <m/>
    <n v="135557250"/>
    <s v="EN EJECUCIÓN"/>
    <n v="4"/>
  </r>
  <r>
    <x v="3"/>
    <s v="ASOAGRO - ARANZAZU"/>
    <x v="2"/>
    <s v="02-058-21"/>
    <n v="303244"/>
    <s v="CALDAS"/>
    <d v="2022-01-27T00:00:00"/>
    <n v="155000000"/>
    <m/>
    <m/>
    <m/>
    <m/>
    <m/>
    <m/>
    <m/>
    <m/>
    <m/>
    <m/>
    <m/>
    <n v="6420000"/>
    <m/>
    <m/>
    <n v="21455600"/>
    <n v="3000000"/>
    <m/>
    <m/>
    <m/>
    <n v="30875600"/>
    <n v="0.1991974193548387"/>
    <n v="3"/>
    <m/>
    <n v="124124400"/>
    <s v="EN EJECUCIÓN"/>
    <n v="3"/>
  </r>
  <r>
    <x v="0"/>
    <s v="ASOVALLE"/>
    <x v="2"/>
    <s v="08-038-21"/>
    <n v="302541"/>
    <s v="PUTUMAYO"/>
    <d v="2021-12-14T00:00:00"/>
    <n v="198942000"/>
    <m/>
    <m/>
    <m/>
    <m/>
    <m/>
    <m/>
    <m/>
    <m/>
    <m/>
    <m/>
    <m/>
    <n v="6300000"/>
    <m/>
    <n v="16317000"/>
    <m/>
    <n v="16937000"/>
    <m/>
    <m/>
    <m/>
    <n v="39554000"/>
    <n v="0.19882176714821406"/>
    <n v="4"/>
    <m/>
    <n v="159388000"/>
    <s v="EN EJECUCIÓN"/>
    <n v="3"/>
  </r>
  <r>
    <x v="5"/>
    <s v="KUAWA WORAJU"/>
    <x v="2"/>
    <s v="07-003-21"/>
    <n v="302485"/>
    <s v="VICHADA"/>
    <d v="2021-12-14T00:00:00"/>
    <n v="200000000"/>
    <m/>
    <m/>
    <m/>
    <m/>
    <m/>
    <m/>
    <m/>
    <m/>
    <m/>
    <m/>
    <m/>
    <m/>
    <n v="4000000"/>
    <n v="6420000"/>
    <n v="23608000"/>
    <n v="4454000"/>
    <m/>
    <m/>
    <m/>
    <n v="38482000"/>
    <n v="0.19241"/>
    <n v="3"/>
    <m/>
    <n v="161518000"/>
    <s v="EN EJECUCIÓN"/>
    <n v="4"/>
  </r>
  <r>
    <x v="3"/>
    <s v="ASOCANORA"/>
    <x v="2"/>
    <s v="02-063-21"/>
    <n v="302142"/>
    <s v="CALDAS"/>
    <d v="2021-12-14T00:00:00"/>
    <n v="175000000"/>
    <m/>
    <m/>
    <m/>
    <m/>
    <m/>
    <m/>
    <m/>
    <m/>
    <m/>
    <m/>
    <m/>
    <m/>
    <m/>
    <n v="6420000"/>
    <n v="19700000"/>
    <n v="6908500"/>
    <m/>
    <m/>
    <m/>
    <n v="33028500"/>
    <n v="0.18873428571428572"/>
    <n v="3"/>
    <m/>
    <n v="141971500"/>
    <s v="EN EJECUCIÓN"/>
    <n v="3"/>
  </r>
  <r>
    <x v="4"/>
    <s v="ASOCIACIÓN AGROPECURIA DE MUJERES"/>
    <x v="2"/>
    <s v="01-035-21"/>
    <n v="303021"/>
    <s v="NARIÑO"/>
    <d v="2022-01-27T00:00:00"/>
    <n v="165620000"/>
    <m/>
    <m/>
    <m/>
    <m/>
    <m/>
    <m/>
    <m/>
    <m/>
    <m/>
    <m/>
    <m/>
    <n v="6420000"/>
    <m/>
    <n v="500000"/>
    <n v="17450000"/>
    <n v="6750000"/>
    <m/>
    <m/>
    <m/>
    <n v="31120000"/>
    <n v="0.18790001207583626"/>
    <n v="3"/>
    <m/>
    <n v="134500000"/>
    <s v="EN EJECUCIÓN"/>
    <n v="4"/>
  </r>
  <r>
    <x v="6"/>
    <s v="ASOAPROCUR"/>
    <x v="2"/>
    <s v="06-008-21"/>
    <n v="302772"/>
    <s v="NORTE_DE_SANTANDER"/>
    <d v="2021-12-14T00:00:00"/>
    <n v="200000000"/>
    <m/>
    <m/>
    <m/>
    <m/>
    <m/>
    <m/>
    <m/>
    <m/>
    <m/>
    <m/>
    <m/>
    <n v="6420000"/>
    <m/>
    <n v="7200000"/>
    <n v="13225000"/>
    <n v="10600000"/>
    <m/>
    <m/>
    <m/>
    <n v="37445000"/>
    <n v="0.187225"/>
    <n v="4"/>
    <m/>
    <n v="162555000"/>
    <s v="EN EJECUCIÓN"/>
    <n v="4"/>
  </r>
  <r>
    <x v="3"/>
    <s v="PLANTAMOS FUTURO "/>
    <x v="2"/>
    <s v="02-041-21"/>
    <n v="302252"/>
    <s v="ANTIOQUIA"/>
    <d v="2021-12-14T00:00:00"/>
    <n v="145427000"/>
    <m/>
    <m/>
    <m/>
    <m/>
    <m/>
    <m/>
    <m/>
    <m/>
    <m/>
    <m/>
    <m/>
    <n v="6420000"/>
    <m/>
    <m/>
    <n v="6508500"/>
    <n v="14200000"/>
    <m/>
    <m/>
    <m/>
    <n v="27128500"/>
    <n v="0.18654376422535018"/>
    <n v="3"/>
    <m/>
    <n v="118298500"/>
    <s v="EN EJECUCIÓN"/>
    <n v="3"/>
  </r>
  <r>
    <x v="3"/>
    <s v="ASOPAGROY"/>
    <x v="2"/>
    <s v="02-051-21"/>
    <n v="302578"/>
    <s v="ANTIOQUIA"/>
    <d v="2021-12-14T00:00:00"/>
    <n v="199702000"/>
    <m/>
    <m/>
    <m/>
    <m/>
    <m/>
    <m/>
    <m/>
    <m/>
    <m/>
    <m/>
    <m/>
    <n v="6420000"/>
    <m/>
    <n v="10700000"/>
    <n v="13217000"/>
    <n v="6908500"/>
    <m/>
    <m/>
    <m/>
    <n v="37245500"/>
    <n v="0.18650539303562308"/>
    <n v="4"/>
    <m/>
    <n v="162456500"/>
    <s v="EN EJECUCIÓN"/>
    <n v="4"/>
  </r>
  <r>
    <x v="3"/>
    <s v="ASOCACAOTEROS TÁMESIS"/>
    <x v="2"/>
    <s v="02-060-21"/>
    <n v="302572"/>
    <s v="ANTIOQUIA"/>
    <d v="2021-12-14T00:00:00"/>
    <n v="157382000"/>
    <m/>
    <m/>
    <m/>
    <m/>
    <m/>
    <m/>
    <m/>
    <m/>
    <m/>
    <m/>
    <m/>
    <m/>
    <m/>
    <m/>
    <m/>
    <n v="29337000"/>
    <m/>
    <m/>
    <m/>
    <n v="29337000"/>
    <n v="0.18640632346774091"/>
    <n v="2"/>
    <m/>
    <n v="128045000"/>
    <s v="EN EJECUCIÓN"/>
    <n v="1"/>
  </r>
  <r>
    <x v="3"/>
    <s v="ASAPROL"/>
    <x v="2"/>
    <s v="02-044-21"/>
    <n v="302569"/>
    <s v="ANTIOQUIA"/>
    <d v="2021-12-14T00:00:00"/>
    <n v="199952000"/>
    <m/>
    <m/>
    <m/>
    <m/>
    <m/>
    <m/>
    <m/>
    <m/>
    <m/>
    <m/>
    <m/>
    <m/>
    <m/>
    <n v="6420000"/>
    <n v="22417000"/>
    <n v="7808500"/>
    <m/>
    <m/>
    <m/>
    <n v="36645500"/>
    <n v="0.18327148515643754"/>
    <n v="3"/>
    <m/>
    <n v="163306500"/>
    <s v="EN EJECUCIÓN"/>
    <n v="3"/>
  </r>
  <r>
    <x v="0"/>
    <s v="ASOFRUMAYO"/>
    <x v="2"/>
    <s v="08-003-21"/>
    <n v="302771"/>
    <s v="PUTUMAYO"/>
    <d v="2021-12-14T00:00:00"/>
    <n v="126022000"/>
    <m/>
    <m/>
    <m/>
    <m/>
    <m/>
    <m/>
    <m/>
    <m/>
    <m/>
    <m/>
    <m/>
    <m/>
    <m/>
    <n v="6420000"/>
    <m/>
    <n v="16312500"/>
    <m/>
    <m/>
    <m/>
    <n v="22732500"/>
    <n v="0.18038517084318612"/>
    <n v="3"/>
    <m/>
    <n v="103289500"/>
    <s v="EN EJECUCIÓN"/>
    <n v="2"/>
  </r>
  <r>
    <x v="5"/>
    <s v="ASOVICPAT"/>
    <x v="2"/>
    <s v="07-002-21"/>
    <n v="302902"/>
    <s v="ARAUCA"/>
    <d v="2021-12-14T00:00:00"/>
    <n v="200000000"/>
    <m/>
    <m/>
    <m/>
    <m/>
    <m/>
    <m/>
    <m/>
    <m/>
    <m/>
    <m/>
    <m/>
    <n v="6420000"/>
    <m/>
    <n v="15784500"/>
    <n v="13508500"/>
    <m/>
    <m/>
    <m/>
    <m/>
    <n v="35713000"/>
    <n v="0.178565"/>
    <n v="4"/>
    <m/>
    <n v="164287000"/>
    <s v="EN EJECUCIÓN"/>
    <n v="3"/>
  </r>
  <r>
    <x v="1"/>
    <s v="ASOPROAGROTRESCRUCES"/>
    <x v="2"/>
    <s v="03-009-21"/>
    <n v="302672"/>
    <s v="BOLÍVAR"/>
    <d v="2021-12-14T00:00:00"/>
    <n v="189163000"/>
    <m/>
    <m/>
    <m/>
    <m/>
    <m/>
    <m/>
    <m/>
    <m/>
    <m/>
    <m/>
    <m/>
    <m/>
    <n v="6420000"/>
    <n v="27000000"/>
    <m/>
    <m/>
    <m/>
    <m/>
    <m/>
    <n v="33420000"/>
    <n v="0.17667302802345067"/>
    <n v="3"/>
    <m/>
    <n v="155743000"/>
    <s v="EN EJECUCIÓN"/>
    <n v="2"/>
  </r>
  <r>
    <x v="5"/>
    <s v="APROLPAZ"/>
    <x v="2"/>
    <s v="07-032-21"/>
    <n v="303453"/>
    <s v="ARAUCA"/>
    <d v="2022-01-27T00:00:00"/>
    <n v="200000000"/>
    <m/>
    <m/>
    <m/>
    <m/>
    <m/>
    <m/>
    <m/>
    <m/>
    <m/>
    <m/>
    <m/>
    <m/>
    <n v="6420000"/>
    <n v="7616833"/>
    <n v="17862583"/>
    <n v="3000000"/>
    <m/>
    <m/>
    <m/>
    <n v="34899416"/>
    <n v="0.17449708"/>
    <n v="3"/>
    <m/>
    <n v="165100584"/>
    <s v="EN EJECUCIÓN"/>
    <n v="4"/>
  </r>
  <r>
    <x v="4"/>
    <s v="ASOFORCA"/>
    <x v="2"/>
    <s v="01-019-21"/>
    <n v="303398"/>
    <s v="NARIÑO"/>
    <d v="2022-01-27T00:00:00"/>
    <n v="174485000"/>
    <m/>
    <m/>
    <m/>
    <m/>
    <m/>
    <m/>
    <m/>
    <m/>
    <m/>
    <m/>
    <m/>
    <n v="6420000"/>
    <m/>
    <n v="908500"/>
    <n v="14608500"/>
    <n v="8408500"/>
    <m/>
    <m/>
    <m/>
    <n v="30345500"/>
    <n v="0.17391466315156032"/>
    <n v="3"/>
    <m/>
    <n v="144139500"/>
    <s v="EN EJECUCIÓN"/>
    <n v="4"/>
  </r>
  <r>
    <x v="1"/>
    <s v="ASOMUPPI"/>
    <x v="2"/>
    <s v="03-007-21"/>
    <n v="302809"/>
    <s v="BOLÍVAR"/>
    <d v="2021-12-14T00:00:00"/>
    <n v="194563000"/>
    <m/>
    <m/>
    <m/>
    <m/>
    <m/>
    <m/>
    <m/>
    <m/>
    <m/>
    <m/>
    <m/>
    <m/>
    <n v="6420000"/>
    <n v="27000000"/>
    <m/>
    <m/>
    <m/>
    <m/>
    <m/>
    <n v="33420000"/>
    <n v="0.17176955536253039"/>
    <n v="3"/>
    <m/>
    <n v="161143000"/>
    <s v="EN EJECUCIÓN"/>
    <n v="2"/>
  </r>
  <r>
    <x v="5"/>
    <s v="ASOPCARI"/>
    <x v="2"/>
    <s v="07-053-21"/>
    <n v="303070"/>
    <s v="META"/>
    <d v="2021-12-14T00:00:00"/>
    <n v="200000000"/>
    <m/>
    <m/>
    <m/>
    <m/>
    <m/>
    <m/>
    <m/>
    <m/>
    <m/>
    <m/>
    <m/>
    <m/>
    <m/>
    <n v="22350250"/>
    <n v="7000000"/>
    <n v="4640000"/>
    <m/>
    <m/>
    <m/>
    <n v="33990250"/>
    <n v="0.16995125"/>
    <n v="4"/>
    <m/>
    <n v="166009750"/>
    <s v="EN EJECUCIÓN"/>
    <n v="3"/>
  </r>
  <r>
    <x v="2"/>
    <s v="ASAEGRAD"/>
    <x v="2"/>
    <s v="05-007-21"/>
    <n v="302471"/>
    <s v="CUNDINAMARCA"/>
    <d v="2021-12-14T00:00:00"/>
    <n v="187118000"/>
    <m/>
    <m/>
    <m/>
    <m/>
    <m/>
    <m/>
    <m/>
    <m/>
    <m/>
    <m/>
    <n v="6420000"/>
    <m/>
    <m/>
    <m/>
    <n v="3000000"/>
    <n v="22310000"/>
    <m/>
    <m/>
    <m/>
    <n v="31730000"/>
    <n v="0.16957214164324116"/>
    <n v="3"/>
    <m/>
    <n v="155388000"/>
    <s v="EN EJECUCIÓN"/>
    <n v="3"/>
  </r>
  <r>
    <x v="0"/>
    <s v="ASOPRODEM"/>
    <x v="2"/>
    <s v="08-015-21"/>
    <n v="302524"/>
    <s v="CAQUETÁ"/>
    <d v="2021-12-14T00:00:00"/>
    <n v="200000000"/>
    <m/>
    <m/>
    <m/>
    <m/>
    <m/>
    <m/>
    <m/>
    <m/>
    <m/>
    <m/>
    <m/>
    <m/>
    <m/>
    <m/>
    <n v="6420000"/>
    <n v="27399820"/>
    <m/>
    <m/>
    <m/>
    <n v="33819820"/>
    <n v="0.1690991"/>
    <n v="2"/>
    <m/>
    <n v="166180180"/>
    <s v="EN EJECUCIÓN"/>
    <n v="2"/>
  </r>
  <r>
    <x v="2"/>
    <s v="APISUR"/>
    <x v="2"/>
    <s v="05-006-21"/>
    <n v="304081"/>
    <s v="TOLIMA"/>
    <d v="2022-01-27T00:00:00"/>
    <n v="152509000"/>
    <m/>
    <m/>
    <m/>
    <m/>
    <m/>
    <m/>
    <m/>
    <m/>
    <m/>
    <m/>
    <n v="6420000"/>
    <m/>
    <m/>
    <m/>
    <m/>
    <n v="19272000"/>
    <m/>
    <m/>
    <m/>
    <n v="25692000"/>
    <n v="0.16846218911670788"/>
    <n v="1"/>
    <m/>
    <n v="126817000"/>
    <s v="EN EJECUCIÓN"/>
    <n v="2"/>
  </r>
  <r>
    <x v="3"/>
    <s v="AMMUCID"/>
    <x v="2"/>
    <s v="02-013-21"/>
    <n v="303348"/>
    <s v="RISARALDA"/>
    <d v="2022-01-27T00:00:00"/>
    <n v="160000000"/>
    <m/>
    <m/>
    <m/>
    <m/>
    <m/>
    <m/>
    <m/>
    <m/>
    <m/>
    <m/>
    <m/>
    <m/>
    <m/>
    <m/>
    <n v="6420000"/>
    <n v="20336000"/>
    <m/>
    <m/>
    <m/>
    <n v="26756000"/>
    <n v="0.16722500000000001"/>
    <n v="2"/>
    <m/>
    <n v="133244000"/>
    <s v="EN EJECUCIÓN"/>
    <n v="2"/>
  </r>
  <r>
    <x v="4"/>
    <s v="ASOINAPRO LOS ARRAYANES"/>
    <x v="2"/>
    <s v="01-025-21"/>
    <n v="303435"/>
    <s v="NARIÑO"/>
    <d v="2022-01-27T00:00:00"/>
    <n v="199862000"/>
    <m/>
    <m/>
    <m/>
    <m/>
    <m/>
    <m/>
    <m/>
    <m/>
    <m/>
    <m/>
    <m/>
    <n v="6420000"/>
    <m/>
    <m/>
    <n v="1817000"/>
    <n v="25108500"/>
    <m/>
    <m/>
    <m/>
    <n v="33345500"/>
    <n v="0.16684262140877204"/>
    <n v="3"/>
    <m/>
    <n v="166516500"/>
    <s v="EN EJECUCIÓN"/>
    <n v="3"/>
  </r>
  <r>
    <x v="2"/>
    <s v="ASOMUJERCAFÉ"/>
    <x v="2"/>
    <s v="05-060-21"/>
    <n v="303803"/>
    <s v="HUILA"/>
    <d v="2022-01-27T00:00:00"/>
    <n v="78251000"/>
    <m/>
    <m/>
    <m/>
    <m/>
    <m/>
    <m/>
    <m/>
    <m/>
    <m/>
    <m/>
    <m/>
    <m/>
    <m/>
    <m/>
    <n v="6420000"/>
    <n v="6500000"/>
    <m/>
    <m/>
    <m/>
    <n v="12920000"/>
    <n v="0.16510971105800565"/>
    <n v="2"/>
    <m/>
    <n v="65331000"/>
    <s v="EN EJECUCIÓN"/>
    <n v="2"/>
  </r>
  <r>
    <x v="6"/>
    <s v="FUINMUCAR"/>
    <x v="2"/>
    <s v="06-026-21"/>
    <n v="303232"/>
    <s v="SANTANDER"/>
    <d v="2021-12-14T00:00:00"/>
    <n v="200000000"/>
    <m/>
    <m/>
    <m/>
    <m/>
    <m/>
    <m/>
    <m/>
    <m/>
    <m/>
    <m/>
    <m/>
    <n v="6420000"/>
    <n v="10700000"/>
    <n v="10100000"/>
    <n v="5200000"/>
    <n v="500000"/>
    <m/>
    <m/>
    <m/>
    <n v="32920000"/>
    <n v="0.1646"/>
    <n v="4"/>
    <m/>
    <n v="167080000"/>
    <s v="EN EJECUCIÓN"/>
    <n v="5"/>
  </r>
  <r>
    <x v="5"/>
    <s v="ASOAGROGUAPAYA"/>
    <x v="2"/>
    <s v="07-054-21"/>
    <n v="303841"/>
    <s v="META"/>
    <d v="2022-01-27T00:00:00"/>
    <n v="200000000"/>
    <m/>
    <m/>
    <m/>
    <m/>
    <m/>
    <m/>
    <m/>
    <m/>
    <m/>
    <m/>
    <m/>
    <m/>
    <m/>
    <n v="6420000"/>
    <n v="14417000"/>
    <n v="11760000"/>
    <m/>
    <m/>
    <m/>
    <n v="32597000"/>
    <n v="0.16298499999999999"/>
    <n v="3"/>
    <m/>
    <n v="167403000"/>
    <s v="EN EJECUCIÓN"/>
    <n v="3"/>
  </r>
  <r>
    <x v="1"/>
    <s v="COOPIMARES"/>
    <x v="2"/>
    <s v="03-018-21"/>
    <n v="302951"/>
    <s v="BOLÍVAR"/>
    <d v="2021-12-14T00:00:00"/>
    <n v="200000000"/>
    <m/>
    <m/>
    <m/>
    <m/>
    <m/>
    <m/>
    <m/>
    <m/>
    <m/>
    <m/>
    <m/>
    <m/>
    <n v="908000"/>
    <n v="7328000"/>
    <n v="22160000"/>
    <n v="2126087.71"/>
    <m/>
    <m/>
    <m/>
    <n v="32522087.710000001"/>
    <n v="0.16261043855000001"/>
    <n v="3"/>
    <m/>
    <n v="167477912.28999999"/>
    <s v="EN EJECUCIÓN"/>
    <n v="4"/>
  </r>
  <r>
    <x v="1"/>
    <s v="ASOAGROMULTISANJC"/>
    <x v="2"/>
    <s v="03-008-21"/>
    <n v="302822"/>
    <s v="BOLÍVAR"/>
    <d v="2021-12-14T00:00:00"/>
    <n v="154192000"/>
    <m/>
    <m/>
    <m/>
    <m/>
    <m/>
    <m/>
    <m/>
    <m/>
    <m/>
    <m/>
    <m/>
    <m/>
    <m/>
    <n v="6420000"/>
    <n v="18559960"/>
    <m/>
    <m/>
    <m/>
    <m/>
    <n v="24979960"/>
    <n v="0.16200555152018262"/>
    <n v="3"/>
    <m/>
    <n v="129212040"/>
    <s v="EN EJECUCIÓN"/>
    <n v="2"/>
  </r>
  <r>
    <x v="5"/>
    <s v="ASOAGROAMA "/>
    <x v="2"/>
    <s v="07-033-21"/>
    <n v="303505"/>
    <s v="ARAUCA"/>
    <d v="2022-01-27T00:00:00"/>
    <n v="195000000"/>
    <m/>
    <m/>
    <m/>
    <m/>
    <m/>
    <m/>
    <m/>
    <m/>
    <m/>
    <m/>
    <m/>
    <m/>
    <m/>
    <n v="6874250"/>
    <n v="454250"/>
    <n v="23333500"/>
    <m/>
    <m/>
    <m/>
    <n v="30662000"/>
    <n v="0.15724102564102563"/>
    <n v="3"/>
    <m/>
    <n v="164338000"/>
    <s v="EN EJECUCIÓN"/>
    <n v="3"/>
  </r>
  <r>
    <x v="3"/>
    <s v="HASSFILANDIA"/>
    <x v="2"/>
    <s v="02-057-21"/>
    <n v="303011"/>
    <s v="QUINDÍO"/>
    <d v="2022-01-27T00:00:00"/>
    <n v="154996000"/>
    <m/>
    <m/>
    <m/>
    <m/>
    <m/>
    <m/>
    <m/>
    <m/>
    <m/>
    <m/>
    <m/>
    <m/>
    <m/>
    <m/>
    <n v="6420000"/>
    <n v="17825000"/>
    <m/>
    <m/>
    <m/>
    <n v="24245000"/>
    <n v="0.1564233915713954"/>
    <n v="2"/>
    <m/>
    <n v="130751000"/>
    <s v="EN EJECUCIÓN"/>
    <n v="2"/>
  </r>
  <r>
    <x v="5"/>
    <s v="AGRICOLA BUENAHORA"/>
    <x v="2"/>
    <s v="07-021-21"/>
    <n v="302608"/>
    <s v="CASANARE"/>
    <d v="2021-12-14T00:00:00"/>
    <n v="200000000"/>
    <m/>
    <m/>
    <m/>
    <m/>
    <m/>
    <m/>
    <m/>
    <m/>
    <m/>
    <m/>
    <m/>
    <n v="6420000"/>
    <m/>
    <m/>
    <n v="24154250"/>
    <n v="454250"/>
    <m/>
    <m/>
    <m/>
    <n v="31028500"/>
    <n v="0.15514249999999999"/>
    <n v="4"/>
    <m/>
    <n v="168971500"/>
    <s v="EN EJECUCIÓN"/>
    <n v="3"/>
  </r>
  <r>
    <x v="0"/>
    <s v="ÑAMSIMAY"/>
    <x v="2"/>
    <s v="08-035-21"/>
    <n v="302705"/>
    <s v="GUAINÍA"/>
    <d v="2021-12-14T00:00:00"/>
    <n v="176413000"/>
    <m/>
    <m/>
    <m/>
    <m/>
    <m/>
    <m/>
    <m/>
    <m/>
    <m/>
    <m/>
    <m/>
    <m/>
    <m/>
    <n v="6420000"/>
    <n v="17300000"/>
    <n v="3634000"/>
    <m/>
    <m/>
    <m/>
    <n v="27354000"/>
    <n v="0.15505660013717809"/>
    <n v="3"/>
    <m/>
    <n v="149059000"/>
    <s v="EN EJECUCIÓN"/>
    <n v="3"/>
  </r>
  <r>
    <x v="2"/>
    <s v="APAMAP"/>
    <x v="2"/>
    <s v="05-024-21"/>
    <n v="303818"/>
    <s v="CUNDINAMARCA"/>
    <d v="2022-01-27T00:00:00"/>
    <n v="198121000"/>
    <m/>
    <m/>
    <m/>
    <m/>
    <m/>
    <m/>
    <m/>
    <m/>
    <m/>
    <m/>
    <m/>
    <m/>
    <n v="6420000"/>
    <m/>
    <m/>
    <n v="23950250"/>
    <m/>
    <m/>
    <m/>
    <n v="30370250"/>
    <n v="0.1532914229183176"/>
    <n v="1"/>
    <m/>
    <n v="167750750"/>
    <s v="EN EJECUCIÓN"/>
    <n v="2"/>
  </r>
  <r>
    <x v="5"/>
    <s v="ASPROINCO"/>
    <x v="2"/>
    <s v="07-039-21"/>
    <n v="302811"/>
    <s v="META"/>
    <d v="2022-01-27T00:00:00"/>
    <n v="200000000"/>
    <m/>
    <m/>
    <m/>
    <m/>
    <m/>
    <m/>
    <m/>
    <m/>
    <m/>
    <m/>
    <m/>
    <m/>
    <m/>
    <n v="25910250"/>
    <m/>
    <n v="4640000"/>
    <m/>
    <m/>
    <m/>
    <n v="30550250"/>
    <n v="0.15275125000000001"/>
    <n v="4"/>
    <m/>
    <n v="169449750"/>
    <s v="EN EJECUCIÓN"/>
    <n v="2"/>
  </r>
  <r>
    <x v="3"/>
    <s v="ASOCAMAR"/>
    <x v="2"/>
    <s v="02-021-21"/>
    <n v="303239"/>
    <s v="CALDAS"/>
    <d v="2021-12-14T00:00:00"/>
    <n v="200000000"/>
    <m/>
    <m/>
    <m/>
    <m/>
    <m/>
    <m/>
    <m/>
    <m/>
    <m/>
    <m/>
    <m/>
    <m/>
    <n v="6420000"/>
    <m/>
    <n v="5500000"/>
    <n v="18016666"/>
    <m/>
    <m/>
    <m/>
    <n v="29936666"/>
    <n v="0.14968333"/>
    <n v="2"/>
    <m/>
    <n v="170063334"/>
    <s v="EN EJECUCIÓN"/>
    <n v="3"/>
  </r>
  <r>
    <x v="3"/>
    <s v="ASOHASS NORTE"/>
    <x v="2"/>
    <s v="02-045-21"/>
    <n v="302576"/>
    <s v="ANTIOQUIA"/>
    <d v="2021-12-14T00:00:00"/>
    <n v="194862000"/>
    <m/>
    <m/>
    <m/>
    <m/>
    <m/>
    <m/>
    <m/>
    <m/>
    <m/>
    <m/>
    <m/>
    <m/>
    <n v="6420000"/>
    <m/>
    <m/>
    <n v="22208500"/>
    <m/>
    <m/>
    <m/>
    <n v="28628500"/>
    <n v="0.14691679239667046"/>
    <n v="3"/>
    <m/>
    <n v="166233500"/>
    <s v="EN EJECUCIÓN"/>
    <n v="2"/>
  </r>
  <r>
    <x v="0"/>
    <s v="AGROCARTAGENA"/>
    <x v="2"/>
    <s v="08-023-21"/>
    <n v="302666"/>
    <s v="CAQUETÁ"/>
    <d v="2021-12-14T00:00:00"/>
    <n v="199960000"/>
    <m/>
    <m/>
    <m/>
    <m/>
    <m/>
    <m/>
    <m/>
    <m/>
    <m/>
    <m/>
    <m/>
    <n v="6420000"/>
    <m/>
    <n v="10700000"/>
    <n v="5000000"/>
    <n v="7000000"/>
    <m/>
    <m/>
    <m/>
    <n v="29120000"/>
    <n v="0.14562912582516505"/>
    <n v="4"/>
    <m/>
    <n v="170840000"/>
    <s v="EN EJECUCIÓN"/>
    <n v="4"/>
  </r>
  <r>
    <x v="4"/>
    <s v="AGROPROGRESO"/>
    <x v="2"/>
    <s v="01-021-21"/>
    <n v="303245"/>
    <s v="NARIÑO"/>
    <d v="2022-01-27T00:00:00"/>
    <n v="199682000"/>
    <m/>
    <m/>
    <m/>
    <m/>
    <m/>
    <m/>
    <m/>
    <m/>
    <m/>
    <m/>
    <m/>
    <m/>
    <n v="6420000"/>
    <m/>
    <n v="16608500"/>
    <n v="5908500"/>
    <m/>
    <m/>
    <m/>
    <n v="28937000"/>
    <n v="0.14491541551066195"/>
    <n v="3"/>
    <m/>
    <n v="170745000"/>
    <s v="EN EJECUCIÓN"/>
    <n v="3"/>
  </r>
  <r>
    <x v="0"/>
    <s v="ASPRODECA"/>
    <x v="2"/>
    <s v="08-018-21"/>
    <n v="303369"/>
    <s v="CAQUETÁ"/>
    <d v="2022-01-27T00:00:00"/>
    <n v="199840000"/>
    <m/>
    <m/>
    <m/>
    <m/>
    <m/>
    <m/>
    <m/>
    <m/>
    <m/>
    <m/>
    <m/>
    <n v="6420000"/>
    <m/>
    <n v="10700000"/>
    <n v="4900000"/>
    <n v="6800000"/>
    <m/>
    <m/>
    <m/>
    <n v="28820000"/>
    <n v="0.14421537229783826"/>
    <n v="4"/>
    <m/>
    <n v="171020000"/>
    <s v="EN EJECUCIÓN"/>
    <n v="4"/>
  </r>
  <r>
    <x v="6"/>
    <s v="ASOMUCEFUC"/>
    <x v="2"/>
    <s v="06-015-21"/>
    <n v="303231"/>
    <s v="SANTANDER"/>
    <d v="2021-12-14T00:00:00"/>
    <n v="150000000"/>
    <m/>
    <m/>
    <m/>
    <m/>
    <m/>
    <m/>
    <m/>
    <m/>
    <m/>
    <m/>
    <m/>
    <m/>
    <m/>
    <n v="11820000"/>
    <n v="6400000"/>
    <n v="3200000"/>
    <m/>
    <m/>
    <m/>
    <n v="21420000"/>
    <n v="0.14280000000000001"/>
    <n v="4"/>
    <m/>
    <n v="128580000"/>
    <s v="EN EJECUCIÓN"/>
    <n v="3"/>
  </r>
  <r>
    <x v="5"/>
    <s v="SALVACAMPO"/>
    <x v="2"/>
    <s v="07-023-21"/>
    <n v="302636"/>
    <s v="CASANARE"/>
    <d v="2021-12-14T00:00:00"/>
    <n v="150000000"/>
    <m/>
    <m/>
    <m/>
    <m/>
    <m/>
    <m/>
    <m/>
    <m/>
    <m/>
    <m/>
    <m/>
    <m/>
    <n v="6420000"/>
    <m/>
    <n v="14608500"/>
    <m/>
    <m/>
    <m/>
    <m/>
    <n v="21028500"/>
    <n v="0.14019000000000001"/>
    <n v="3"/>
    <m/>
    <n v="128971500"/>
    <s v="EN EJECUCIÓN"/>
    <n v="2"/>
  </r>
  <r>
    <x v="5"/>
    <s v="ANUGAN"/>
    <x v="2"/>
    <s v="07-020-21"/>
    <n v="303004"/>
    <s v="CASANARE"/>
    <d v="2021-12-14T00:00:00"/>
    <n v="175000000"/>
    <m/>
    <m/>
    <m/>
    <m/>
    <m/>
    <m/>
    <m/>
    <m/>
    <m/>
    <m/>
    <m/>
    <m/>
    <n v="6420000"/>
    <n v="10629250"/>
    <n v="3908500"/>
    <n v="3500000"/>
    <m/>
    <m/>
    <m/>
    <n v="24457750"/>
    <n v="0.13975857142857143"/>
    <n v="3"/>
    <m/>
    <n v="150542250"/>
    <s v="EN EJECUCIÓN"/>
    <n v="4"/>
  </r>
  <r>
    <x v="5"/>
    <s v="COGAMANI"/>
    <x v="2"/>
    <s v="07-013-21"/>
    <n v="303363"/>
    <s v="CASANARE"/>
    <d v="2022-01-27T00:00:00"/>
    <n v="200000000"/>
    <m/>
    <m/>
    <m/>
    <m/>
    <m/>
    <m/>
    <m/>
    <m/>
    <m/>
    <m/>
    <m/>
    <n v="6420000"/>
    <m/>
    <m/>
    <n v="10000000"/>
    <n v="11290000"/>
    <m/>
    <m/>
    <m/>
    <n v="27710000"/>
    <n v="0.13855000000000001"/>
    <n v="3"/>
    <m/>
    <n v="172290000"/>
    <s v="EN EJECUCIÓN"/>
    <n v="3"/>
  </r>
  <r>
    <x v="4"/>
    <s v="ASOPROMORA"/>
    <x v="2"/>
    <s v="01-027-21"/>
    <n v="303362"/>
    <s v="CAUCA"/>
    <d v="2022-01-27T00:00:00"/>
    <n v="167900000"/>
    <m/>
    <m/>
    <m/>
    <m/>
    <m/>
    <m/>
    <m/>
    <m/>
    <m/>
    <m/>
    <m/>
    <m/>
    <m/>
    <n v="6420000"/>
    <m/>
    <n v="16700000"/>
    <m/>
    <m/>
    <m/>
    <n v="23120000"/>
    <n v="0.1377010125074449"/>
    <n v="3"/>
    <m/>
    <n v="144780000"/>
    <s v="EN EJECUCIÓN"/>
    <n v="2"/>
  </r>
  <r>
    <x v="5"/>
    <s v="ASOVIOR"/>
    <x v="2"/>
    <s v="07-028-21"/>
    <n v="303017"/>
    <s v="CASANARE"/>
    <d v="2021-12-14T00:00:00"/>
    <n v="180000000"/>
    <m/>
    <m/>
    <m/>
    <m/>
    <m/>
    <m/>
    <m/>
    <m/>
    <m/>
    <m/>
    <m/>
    <n v="6420000"/>
    <m/>
    <n v="18346500"/>
    <m/>
    <m/>
    <m/>
    <m/>
    <m/>
    <n v="24766500"/>
    <n v="0.13759166666666667"/>
    <n v="4"/>
    <m/>
    <n v="155233500"/>
    <s v="EN EJECUCIÓN"/>
    <n v="2"/>
  </r>
  <r>
    <x v="3"/>
    <s v="ASOFAGUA"/>
    <x v="2"/>
    <s v="02-059-21"/>
    <n v="303289"/>
    <s v="ANTIOQUIA"/>
    <d v="2022-01-27T00:00:00"/>
    <n v="199902000"/>
    <m/>
    <m/>
    <m/>
    <m/>
    <m/>
    <m/>
    <m/>
    <m/>
    <m/>
    <m/>
    <m/>
    <m/>
    <m/>
    <n v="6420000"/>
    <m/>
    <n v="20517000"/>
    <m/>
    <m/>
    <m/>
    <n v="26937000"/>
    <n v="0.13475102800372182"/>
    <n v="4"/>
    <m/>
    <n v="172965000"/>
    <s v="EN EJECUCIÓN"/>
    <n v="2"/>
  </r>
  <r>
    <x v="4"/>
    <s v="ASOCAMFLORES"/>
    <x v="2"/>
    <s v="01-001-21"/>
    <n v="302792"/>
    <s v="CAUCA"/>
    <d v="2021-12-14T00:00:00"/>
    <n v="160000000"/>
    <m/>
    <m/>
    <m/>
    <m/>
    <m/>
    <m/>
    <m/>
    <m/>
    <m/>
    <m/>
    <m/>
    <m/>
    <m/>
    <n v="6420000"/>
    <n v="15000000"/>
    <m/>
    <m/>
    <m/>
    <m/>
    <n v="21420000"/>
    <n v="0.13387499999999999"/>
    <n v="3"/>
    <m/>
    <n v="138580000"/>
    <s v="EN EJECUCIÓN"/>
    <n v="2"/>
  </r>
  <r>
    <x v="3"/>
    <s v="ASPABRIC"/>
    <x v="2"/>
    <s v="02-043-21"/>
    <n v="302962"/>
    <s v="ANTIOQUIA"/>
    <d v="2021-12-14T00:00:00"/>
    <n v="198902000"/>
    <m/>
    <m/>
    <m/>
    <m/>
    <m/>
    <m/>
    <m/>
    <m/>
    <m/>
    <m/>
    <m/>
    <m/>
    <n v="6420000"/>
    <m/>
    <m/>
    <n v="20000000"/>
    <m/>
    <m/>
    <m/>
    <n v="26420000"/>
    <n v="0.13282923248635006"/>
    <n v="4"/>
    <m/>
    <n v="172482000"/>
    <s v="EN EJECUCIÓN"/>
    <n v="2"/>
  </r>
  <r>
    <x v="5"/>
    <s v="ASPROMERCAR"/>
    <x v="2"/>
    <s v="07-048-21"/>
    <n v="303657"/>
    <s v="META"/>
    <d v="2022-01-27T00:00:00"/>
    <n v="200000000"/>
    <m/>
    <m/>
    <m/>
    <m/>
    <m/>
    <m/>
    <m/>
    <m/>
    <m/>
    <m/>
    <m/>
    <m/>
    <m/>
    <n v="6420000"/>
    <n v="3500000"/>
    <n v="16608500"/>
    <m/>
    <m/>
    <m/>
    <n v="26528500"/>
    <n v="0.1326425"/>
    <n v="2"/>
    <m/>
    <n v="173471500"/>
    <s v="EN EJECUCIÓN"/>
    <n v="3"/>
  </r>
  <r>
    <x v="2"/>
    <s v="ASOAMERICAS"/>
    <x v="2"/>
    <s v="05-030-21"/>
    <n v="303229"/>
    <s v="TOLIMA"/>
    <d v="2021-12-14T00:00:00"/>
    <n v="154994920"/>
    <m/>
    <m/>
    <m/>
    <m/>
    <m/>
    <m/>
    <m/>
    <m/>
    <m/>
    <m/>
    <n v="6420000"/>
    <m/>
    <m/>
    <m/>
    <n v="14030049.879999999"/>
    <m/>
    <m/>
    <m/>
    <m/>
    <n v="20450049.879999999"/>
    <n v="0.13194012990877377"/>
    <n v="2"/>
    <m/>
    <n v="134544870.12"/>
    <s v="EN EJECUCIÓN"/>
    <n v="2"/>
  </r>
  <r>
    <x v="3"/>
    <s v="ASOCAMPO"/>
    <x v="2"/>
    <s v="02-004-21"/>
    <n v="303014"/>
    <s v="QUINDÍO"/>
    <d v="2022-01-27T00:00:00"/>
    <n v="180000000"/>
    <m/>
    <m/>
    <m/>
    <m/>
    <m/>
    <m/>
    <m/>
    <m/>
    <m/>
    <m/>
    <m/>
    <m/>
    <m/>
    <m/>
    <n v="6420000"/>
    <n v="17300000"/>
    <m/>
    <m/>
    <m/>
    <n v="23720000"/>
    <n v="0.13177777777777777"/>
    <n v="2"/>
    <m/>
    <n v="156280000"/>
    <s v="EN EJECUCIÓN"/>
    <n v="2"/>
  </r>
  <r>
    <x v="3"/>
    <s v="ASOAPIVIC"/>
    <x v="2"/>
    <s v="02-031-21"/>
    <n v="302843"/>
    <s v="CALDAS"/>
    <d v="2021-12-14T00:00:00"/>
    <n v="185000000"/>
    <m/>
    <m/>
    <m/>
    <m/>
    <m/>
    <m/>
    <m/>
    <m/>
    <m/>
    <m/>
    <m/>
    <m/>
    <m/>
    <m/>
    <n v="3877833"/>
    <n v="20120000"/>
    <m/>
    <m/>
    <m/>
    <n v="23997833"/>
    <n v="0.1297180162162162"/>
    <n v="2"/>
    <m/>
    <n v="161002167"/>
    <s v="EN EJECUCIÓN"/>
    <n v="2"/>
  </r>
  <r>
    <x v="2"/>
    <s v="ASOTRASIL"/>
    <x v="2"/>
    <s v="05-012-21"/>
    <n v="302459"/>
    <s v="CUNDINAMARCA"/>
    <d v="2021-12-14T00:00:00"/>
    <n v="159365000"/>
    <m/>
    <m/>
    <m/>
    <m/>
    <m/>
    <m/>
    <m/>
    <m/>
    <m/>
    <m/>
    <n v="6420000"/>
    <m/>
    <m/>
    <m/>
    <m/>
    <n v="14154250"/>
    <m/>
    <m/>
    <m/>
    <n v="20574250"/>
    <n v="0.12910143381545508"/>
    <n v="3"/>
    <m/>
    <n v="138790750"/>
    <s v="EN EJECUCIÓN"/>
    <n v="2"/>
  </r>
  <r>
    <x v="2"/>
    <s v="ASOGAMU"/>
    <x v="2"/>
    <s v="05-072-21"/>
    <n v="303884"/>
    <s v="CUNDINAMARCA"/>
    <d v="2022-01-27T00:00:00"/>
    <n v="156508000"/>
    <m/>
    <m/>
    <m/>
    <m/>
    <m/>
    <m/>
    <m/>
    <m/>
    <m/>
    <m/>
    <m/>
    <m/>
    <n v="6420000"/>
    <m/>
    <m/>
    <n v="13700000"/>
    <m/>
    <m/>
    <m/>
    <n v="20120000"/>
    <n v="0.12855572878063742"/>
    <n v="1"/>
    <m/>
    <n v="136388000"/>
    <s v="EN EJECUCIÓN"/>
    <n v="2"/>
  </r>
  <r>
    <x v="3"/>
    <s v="APROLEHAN"/>
    <x v="2"/>
    <s v="02-028-21"/>
    <n v="303298"/>
    <s v="CALDAS"/>
    <d v="2022-01-27T00:00:00"/>
    <n v="180000000"/>
    <m/>
    <m/>
    <m/>
    <m/>
    <m/>
    <m/>
    <m/>
    <m/>
    <m/>
    <m/>
    <m/>
    <m/>
    <m/>
    <n v="6420000"/>
    <m/>
    <n v="16700000"/>
    <m/>
    <m/>
    <m/>
    <n v="23120000"/>
    <n v="0.12844444444444444"/>
    <n v="2"/>
    <m/>
    <n v="156880000"/>
    <s v="EN EJECUCIÓN"/>
    <n v="2"/>
  </r>
  <r>
    <x v="2"/>
    <s v="ASOPROCHILI"/>
    <x v="2"/>
    <s v="05-031-21"/>
    <n v="303795"/>
    <s v="TOLIMA"/>
    <d v="2022-01-27T00:00:00"/>
    <n v="149998000"/>
    <m/>
    <m/>
    <m/>
    <m/>
    <m/>
    <m/>
    <m/>
    <m/>
    <m/>
    <m/>
    <n v="6420000"/>
    <m/>
    <m/>
    <m/>
    <n v="12780999.82"/>
    <m/>
    <m/>
    <m/>
    <m/>
    <n v="19200999.82"/>
    <n v="0.12800837224496328"/>
    <n v="3"/>
    <m/>
    <n v="130797000.18000001"/>
    <s v="EN EJECUCIÓN"/>
    <n v="2"/>
  </r>
  <r>
    <x v="5"/>
    <s v="ASPROALE"/>
    <x v="2"/>
    <s v="07-050-21"/>
    <n v="303653"/>
    <s v="META"/>
    <d v="2022-01-27T00:00:00"/>
    <n v="200000000"/>
    <m/>
    <m/>
    <m/>
    <m/>
    <m/>
    <m/>
    <m/>
    <m/>
    <m/>
    <m/>
    <m/>
    <n v="6420000"/>
    <m/>
    <m/>
    <n v="8362750"/>
    <n v="10700000"/>
    <m/>
    <m/>
    <m/>
    <n v="25482750"/>
    <n v="0.12741374999999999"/>
    <n v="3"/>
    <m/>
    <n v="174517250"/>
    <s v="EN EJECUCIÓN"/>
    <n v="3"/>
  </r>
  <r>
    <x v="4"/>
    <s v="ASOCIACIÓN DIGNIDAD Y VIDA POBLACIÓN DESPLAZADA"/>
    <x v="2"/>
    <s v="01-051-21"/>
    <n v="303665"/>
    <s v="NARIÑO"/>
    <d v="2022-01-27T00:00:00"/>
    <n v="149277000"/>
    <m/>
    <m/>
    <m/>
    <m/>
    <m/>
    <m/>
    <m/>
    <m/>
    <m/>
    <m/>
    <m/>
    <m/>
    <m/>
    <m/>
    <n v="8237000"/>
    <n v="10425000"/>
    <m/>
    <m/>
    <m/>
    <n v="18662000"/>
    <n v="0.12501591001962795"/>
    <n v="3"/>
    <m/>
    <n v="130615000"/>
    <s v="EN EJECUCIÓN"/>
    <n v="2"/>
  </r>
  <r>
    <x v="5"/>
    <s v="ASOPROAGRAR"/>
    <x v="2"/>
    <s v="07-005-21"/>
    <n v="303367"/>
    <s v="ARAUCA"/>
    <d v="2022-01-27T00:00:00"/>
    <n v="160000000"/>
    <m/>
    <m/>
    <m/>
    <m/>
    <m/>
    <m/>
    <m/>
    <m/>
    <m/>
    <m/>
    <m/>
    <n v="6420000"/>
    <m/>
    <n v="454250"/>
    <n v="3408500"/>
    <n v="9554250"/>
    <m/>
    <m/>
    <m/>
    <n v="19837000"/>
    <n v="0.12398125"/>
    <n v="3"/>
    <m/>
    <n v="140163000"/>
    <s v="EN EJECUCIÓN"/>
    <n v="4"/>
  </r>
  <r>
    <x v="5"/>
    <s v="ASOFCASAR"/>
    <x v="2"/>
    <s v="07-029-21"/>
    <n v="302641"/>
    <s v="ARAUCA"/>
    <d v="2021-12-14T00:00:00"/>
    <n v="194999000"/>
    <m/>
    <m/>
    <m/>
    <m/>
    <m/>
    <m/>
    <m/>
    <m/>
    <m/>
    <m/>
    <m/>
    <n v="6420000"/>
    <m/>
    <m/>
    <n v="17454250"/>
    <m/>
    <m/>
    <m/>
    <m/>
    <n v="23874250"/>
    <n v="0.12243267914194432"/>
    <n v="3"/>
    <m/>
    <n v="171124750"/>
    <s v="EN EJECUCIÓN"/>
    <n v="2"/>
  </r>
  <r>
    <x v="5"/>
    <s v="APROSANCARLOS"/>
    <x v="2"/>
    <s v="07-031-21"/>
    <n v="303240"/>
    <s v="ARAUCA"/>
    <d v="2021-12-14T00:00:00"/>
    <n v="175000000"/>
    <m/>
    <m/>
    <m/>
    <m/>
    <m/>
    <m/>
    <m/>
    <m/>
    <m/>
    <m/>
    <m/>
    <m/>
    <n v="6874250"/>
    <m/>
    <n v="454250"/>
    <n v="13908500"/>
    <m/>
    <m/>
    <m/>
    <n v="21237000"/>
    <n v="0.12135428571428572"/>
    <n v="3"/>
    <m/>
    <n v="153763000"/>
    <s v="EN EJECUCIÓN"/>
    <n v="3"/>
  </r>
  <r>
    <x v="3"/>
    <s v="AGROCOEN"/>
    <x v="2"/>
    <s v="02-018-21"/>
    <n v="303294"/>
    <s v="CALDAS"/>
    <d v="2022-01-27T00:00:00"/>
    <n v="200000000"/>
    <m/>
    <m/>
    <m/>
    <m/>
    <m/>
    <m/>
    <m/>
    <m/>
    <m/>
    <m/>
    <m/>
    <n v="6420000"/>
    <m/>
    <m/>
    <m/>
    <n v="17608500"/>
    <m/>
    <m/>
    <m/>
    <n v="24028500"/>
    <n v="0.1201425"/>
    <n v="2"/>
    <m/>
    <n v="175971500"/>
    <s v="EN EJECUCIÓN"/>
    <n v="2"/>
  </r>
  <r>
    <x v="3"/>
    <s v="COOPROGUASAN"/>
    <x v="2"/>
    <s v="02-066-21"/>
    <n v="303889"/>
    <s v="CALDAS"/>
    <d v="2022-01-27T00:00:00"/>
    <n v="200000000"/>
    <m/>
    <m/>
    <m/>
    <m/>
    <m/>
    <m/>
    <m/>
    <m/>
    <m/>
    <m/>
    <m/>
    <n v="6420000"/>
    <m/>
    <m/>
    <m/>
    <n v="17608500"/>
    <m/>
    <m/>
    <m/>
    <n v="24028500"/>
    <n v="0.1201425"/>
    <n v="3"/>
    <m/>
    <n v="175971500"/>
    <s v="EN EJECUCIÓN"/>
    <n v="2"/>
  </r>
  <r>
    <x v="3"/>
    <s v="ASOAGROVIC"/>
    <x v="2"/>
    <s v="02-012-21"/>
    <n v="302682"/>
    <s v="CALDAS"/>
    <d v="2021-12-14T00:00:00"/>
    <n v="200000000"/>
    <m/>
    <m/>
    <m/>
    <m/>
    <m/>
    <m/>
    <m/>
    <m/>
    <m/>
    <m/>
    <m/>
    <m/>
    <m/>
    <m/>
    <n v="6420000"/>
    <n v="17608500"/>
    <m/>
    <m/>
    <m/>
    <n v="24028500"/>
    <n v="0.1201425"/>
    <n v="2"/>
    <m/>
    <n v="175971500"/>
    <s v="EN EJECUCIÓN"/>
    <n v="2"/>
  </r>
  <r>
    <x v="3"/>
    <s v="ASOBOSQUES   "/>
    <x v="2"/>
    <s v="02-038-21"/>
    <n v="302568"/>
    <s v="ANTIOQUIA"/>
    <d v="2021-12-14T00:00:00"/>
    <n v="199972000"/>
    <m/>
    <m/>
    <m/>
    <m/>
    <m/>
    <m/>
    <m/>
    <m/>
    <m/>
    <m/>
    <m/>
    <m/>
    <m/>
    <n v="6420000"/>
    <n v="13718500"/>
    <n v="3408500"/>
    <m/>
    <m/>
    <m/>
    <n v="23547000"/>
    <n v="0.11775148520792911"/>
    <n v="3"/>
    <m/>
    <n v="176425000"/>
    <s v="EN EJECUCIÓN"/>
    <n v="3"/>
  </r>
  <r>
    <x v="0"/>
    <s v="ASOJIOBA"/>
    <x v="2"/>
    <s v="08-042-21"/>
    <n v="303649"/>
    <s v="VAUPÉS"/>
    <d v="2022-01-27T00:00:00"/>
    <n v="145602000"/>
    <m/>
    <m/>
    <m/>
    <m/>
    <m/>
    <m/>
    <m/>
    <m/>
    <m/>
    <m/>
    <m/>
    <m/>
    <m/>
    <m/>
    <n v="6420000"/>
    <n v="10700000"/>
    <m/>
    <m/>
    <m/>
    <n v="17120000"/>
    <n v="0.11758080246150465"/>
    <n v="1"/>
    <m/>
    <n v="128482000"/>
    <s v="EN EJECUCIÓN"/>
    <n v="2"/>
  </r>
  <r>
    <x v="7"/>
    <s v="ASCADEL"/>
    <x v="2"/>
    <s v="04-039-21"/>
    <n v="303236"/>
    <s v="CÓRDOBA"/>
    <d v="2021-12-14T00:00:00"/>
    <n v="200000000"/>
    <m/>
    <m/>
    <m/>
    <m/>
    <m/>
    <m/>
    <m/>
    <m/>
    <m/>
    <m/>
    <m/>
    <m/>
    <m/>
    <n v="5400000"/>
    <n v="4454250"/>
    <n v="13454250"/>
    <m/>
    <m/>
    <m/>
    <n v="23308500"/>
    <n v="0.11654249999999999"/>
    <n v="2"/>
    <m/>
    <n v="176691500"/>
    <s v="EN EJECUCIÓN"/>
    <n v="3"/>
  </r>
  <r>
    <x v="0"/>
    <s v="ASOYUPGUZ"/>
    <x v="2"/>
    <s v="08-001-21"/>
    <n v="302547"/>
    <s v="PUTUMAYO"/>
    <d v="2021-12-14T00:00:00"/>
    <n v="177132000"/>
    <m/>
    <m/>
    <m/>
    <m/>
    <m/>
    <m/>
    <m/>
    <m/>
    <m/>
    <m/>
    <m/>
    <m/>
    <m/>
    <n v="6420000"/>
    <n v="908500"/>
    <n v="13200000"/>
    <m/>
    <m/>
    <m/>
    <n v="20528500"/>
    <n v="0.11589379671657295"/>
    <n v="3"/>
    <m/>
    <n v="156603500"/>
    <s v="EN EJECUCIÓN"/>
    <n v="3"/>
  </r>
  <r>
    <x v="4"/>
    <s v="CORTEPAZ"/>
    <x v="2"/>
    <s v="01-038-21"/>
    <n v="303026"/>
    <s v="NARIÑO"/>
    <d v="2021-12-14T00:00:00"/>
    <n v="119392000"/>
    <m/>
    <m/>
    <m/>
    <m/>
    <m/>
    <m/>
    <m/>
    <m/>
    <m/>
    <m/>
    <m/>
    <m/>
    <n v="3270000"/>
    <m/>
    <n v="4000000"/>
    <n v="6450000"/>
    <m/>
    <m/>
    <m/>
    <n v="13720000"/>
    <n v="0.1149155722326454"/>
    <n v="2"/>
    <m/>
    <n v="105672000"/>
    <s v="EN EJECUCIÓN"/>
    <n v="3"/>
  </r>
  <r>
    <x v="4"/>
    <s v="MERCOPAZ"/>
    <x v="2"/>
    <s v="01-070-21"/>
    <n v="303510"/>
    <s v="CAUCA"/>
    <d v="2022-01-27T00:00:00"/>
    <n v="199853000"/>
    <m/>
    <m/>
    <m/>
    <m/>
    <m/>
    <m/>
    <m/>
    <m/>
    <m/>
    <m/>
    <m/>
    <m/>
    <m/>
    <m/>
    <n v="7305300"/>
    <n v="15200000"/>
    <m/>
    <m/>
    <m/>
    <n v="22505300"/>
    <n v="0.1126092678118417"/>
    <n v="2"/>
    <m/>
    <n v="177347700"/>
    <s v="EN EJECUCIÓN"/>
    <n v="2"/>
  </r>
  <r>
    <x v="6"/>
    <s v="ASOPRAGAL"/>
    <x v="2"/>
    <s v="06-005-21"/>
    <n v="303261"/>
    <s v="SANTANDER"/>
    <d v="2021-12-14T00:00:00"/>
    <n v="155000000"/>
    <m/>
    <m/>
    <m/>
    <m/>
    <m/>
    <m/>
    <m/>
    <m/>
    <m/>
    <m/>
    <m/>
    <m/>
    <m/>
    <n v="6420000"/>
    <m/>
    <n v="11000000"/>
    <m/>
    <m/>
    <m/>
    <n v="17420000"/>
    <n v="0.11238709677419355"/>
    <n v="3"/>
    <m/>
    <n v="137580000"/>
    <s v="EN EJECUCIÓN"/>
    <n v="2"/>
  </r>
  <r>
    <x v="3"/>
    <s v="ASOPROGUASCAL"/>
    <x v="2"/>
    <s v="02-008-21"/>
    <n v="302788"/>
    <s v="CALDAS"/>
    <d v="2021-12-14T00:00:00"/>
    <n v="155000000"/>
    <m/>
    <m/>
    <m/>
    <m/>
    <m/>
    <m/>
    <m/>
    <m/>
    <m/>
    <m/>
    <m/>
    <m/>
    <n v="6420000"/>
    <m/>
    <m/>
    <n v="10700000"/>
    <m/>
    <m/>
    <m/>
    <n v="17120000"/>
    <n v="0.1104516129032258"/>
    <n v="2"/>
    <m/>
    <n v="137880000"/>
    <s v="EN EJECUCIÓN"/>
    <n v="2"/>
  </r>
  <r>
    <x v="4"/>
    <s v="ASOAGRAB"/>
    <x v="2"/>
    <s v="01-041-21"/>
    <n v="303470"/>
    <s v="CHOCÓ"/>
    <d v="2022-01-27T00:00:00"/>
    <n v="186757000"/>
    <m/>
    <m/>
    <m/>
    <m/>
    <m/>
    <m/>
    <m/>
    <m/>
    <m/>
    <m/>
    <m/>
    <m/>
    <n v="6420000"/>
    <m/>
    <n v="500000"/>
    <n v="13580000"/>
    <m/>
    <m/>
    <m/>
    <n v="20500000"/>
    <n v="0.10976830855068351"/>
    <n v="3"/>
    <m/>
    <n v="166257000"/>
    <s v="EN EJECUCIÓN"/>
    <n v="3"/>
  </r>
  <r>
    <x v="7"/>
    <s v="ASOPEGZOMN"/>
    <x v="2"/>
    <s v="04-064-21"/>
    <n v="303881"/>
    <s v="CÓRDOBA"/>
    <d v="2022-01-27T00:00:00"/>
    <n v="184997000"/>
    <m/>
    <m/>
    <m/>
    <m/>
    <m/>
    <m/>
    <m/>
    <m/>
    <m/>
    <m/>
    <m/>
    <m/>
    <m/>
    <m/>
    <n v="6420000"/>
    <n v="13660000"/>
    <m/>
    <m/>
    <m/>
    <n v="20080000"/>
    <n v="0.10854230068595706"/>
    <n v="2"/>
    <m/>
    <n v="164917000"/>
    <s v="EN EJECUCIÓN"/>
    <n v="2"/>
  </r>
  <r>
    <x v="4"/>
    <s v="APRODESME"/>
    <x v="2"/>
    <s v="01-006-21"/>
    <n v="302963"/>
    <s v="CAUCA"/>
    <d v="2021-12-14T00:00:00"/>
    <n v="200000000"/>
    <m/>
    <m/>
    <m/>
    <m/>
    <m/>
    <m/>
    <m/>
    <m/>
    <m/>
    <m/>
    <m/>
    <m/>
    <n v="6420000"/>
    <m/>
    <n v="12500000"/>
    <n v="2500000"/>
    <m/>
    <m/>
    <m/>
    <n v="21420000"/>
    <n v="0.1071"/>
    <n v="3"/>
    <m/>
    <n v="178580000"/>
    <s v="EN EJECUCIÓN"/>
    <n v="3"/>
  </r>
  <r>
    <x v="3"/>
    <s v="ASOPROA"/>
    <x v="2"/>
    <s v="02-037-21"/>
    <n v="302832"/>
    <s v="ANTIOQUIA"/>
    <d v="2021-12-14T00:00:00"/>
    <n v="179142000"/>
    <m/>
    <m/>
    <m/>
    <m/>
    <m/>
    <m/>
    <m/>
    <m/>
    <m/>
    <m/>
    <m/>
    <m/>
    <m/>
    <m/>
    <n v="6420000"/>
    <n v="12517000"/>
    <m/>
    <m/>
    <m/>
    <n v="18937000"/>
    <n v="0.10570943720623863"/>
    <n v="3"/>
    <m/>
    <n v="160205000"/>
    <s v="EN EJECUCIÓN"/>
    <n v="2"/>
  </r>
  <r>
    <x v="0"/>
    <s v="AMITLI"/>
    <x v="2"/>
    <s v="08-040-21"/>
    <n v="303359"/>
    <s v="VAUPÉS"/>
    <d v="2022-01-27T00:00:00"/>
    <n v="184490000"/>
    <m/>
    <m/>
    <m/>
    <m/>
    <m/>
    <m/>
    <m/>
    <m/>
    <m/>
    <m/>
    <m/>
    <m/>
    <m/>
    <n v="6420000"/>
    <n v="991000"/>
    <n v="11691000"/>
    <m/>
    <m/>
    <m/>
    <n v="19102000"/>
    <n v="0.1035394872350805"/>
    <n v="3"/>
    <m/>
    <n v="165388000"/>
    <s v="EN EJECUCIÓN"/>
    <n v="3"/>
  </r>
  <r>
    <x v="5"/>
    <s v="ASOCACUMANI"/>
    <x v="2"/>
    <s v="07-014-21"/>
    <n v="303405"/>
    <s v="CASANARE"/>
    <d v="2022-01-27T00:00:00"/>
    <n v="175000000"/>
    <m/>
    <m/>
    <m/>
    <m/>
    <m/>
    <m/>
    <m/>
    <m/>
    <m/>
    <m/>
    <m/>
    <n v="6420000"/>
    <m/>
    <n v="908500"/>
    <m/>
    <n v="10700000"/>
    <m/>
    <m/>
    <m/>
    <n v="18028500"/>
    <n v="0.10302"/>
    <n v="3"/>
    <m/>
    <n v="156971500"/>
    <s v="EN EJECUCIÓN"/>
    <n v="3"/>
  </r>
  <r>
    <x v="5"/>
    <s v="APIYOPAL"/>
    <x v="2"/>
    <s v="07-027-21"/>
    <n v="302638"/>
    <s v="CASANARE"/>
    <d v="2021-12-14T00:00:00"/>
    <n v="200000000"/>
    <m/>
    <m/>
    <m/>
    <m/>
    <m/>
    <m/>
    <m/>
    <m/>
    <m/>
    <m/>
    <m/>
    <n v="6420000"/>
    <m/>
    <m/>
    <n v="11000000"/>
    <n v="3000000"/>
    <m/>
    <m/>
    <m/>
    <n v="20420000"/>
    <n v="0.1021"/>
    <n v="3"/>
    <m/>
    <n v="179580000"/>
    <s v="EN EJECUCIÓN"/>
    <n v="3"/>
  </r>
  <r>
    <x v="6"/>
    <s v="ASOMUCAO"/>
    <x v="2"/>
    <s v="06-029-21"/>
    <n v="303101"/>
    <s v="SANTANDER"/>
    <d v="2021-12-14T00:00:00"/>
    <n v="200000000"/>
    <m/>
    <m/>
    <m/>
    <m/>
    <m/>
    <m/>
    <m/>
    <m/>
    <m/>
    <m/>
    <m/>
    <m/>
    <m/>
    <m/>
    <n v="6420000"/>
    <n v="13980000"/>
    <m/>
    <m/>
    <m/>
    <n v="20400000"/>
    <n v="0.10199999999999999"/>
    <n v="3"/>
    <m/>
    <n v="179600000"/>
    <s v="EN EJECUCIÓN"/>
    <n v="2"/>
  </r>
  <r>
    <x v="4"/>
    <s v="ASOCOCAR"/>
    <x v="2"/>
    <s v="01-037-21"/>
    <n v="303183"/>
    <s v="CAUCA"/>
    <d v="2022-01-27T00:00:00"/>
    <n v="197702000"/>
    <m/>
    <m/>
    <m/>
    <m/>
    <m/>
    <m/>
    <m/>
    <m/>
    <m/>
    <m/>
    <m/>
    <m/>
    <m/>
    <n v="6420000"/>
    <n v="6816600"/>
    <n v="6816600"/>
    <m/>
    <m/>
    <m/>
    <n v="20053200"/>
    <n v="0.10143144732981962"/>
    <n v="3"/>
    <m/>
    <n v="177648800"/>
    <s v="EN EJECUCIÓN"/>
    <n v="3"/>
  </r>
  <r>
    <x v="1"/>
    <s v="ASOPROPERIJA"/>
    <x v="2"/>
    <s v="03-041-21"/>
    <n v="303529"/>
    <s v="CESAR"/>
    <d v="2022-01-27T00:00:00"/>
    <n v="199608000"/>
    <m/>
    <m/>
    <m/>
    <m/>
    <m/>
    <m/>
    <m/>
    <m/>
    <m/>
    <m/>
    <m/>
    <n v="6420000"/>
    <n v="6420000"/>
    <m/>
    <m/>
    <n v="7280000"/>
    <m/>
    <m/>
    <m/>
    <n v="20120000"/>
    <n v="0.10079756322391888"/>
    <n v="3"/>
    <m/>
    <n v="179488000"/>
    <s v="EN EJECUCIÓN"/>
    <n v="3"/>
  </r>
  <r>
    <x v="4"/>
    <s v="ASOCIACIÓN DE PRODUCTORES CAMPESINOS CERTEGUEÑOS"/>
    <x v="2"/>
    <s v="01-040-21"/>
    <n v="302799"/>
    <s v="CHOCÓ"/>
    <d v="2022-01-27T00:00:00"/>
    <n v="198542000"/>
    <m/>
    <m/>
    <m/>
    <m/>
    <m/>
    <m/>
    <m/>
    <m/>
    <m/>
    <m/>
    <m/>
    <m/>
    <n v="6420000"/>
    <m/>
    <n v="830000"/>
    <n v="12601916.67"/>
    <m/>
    <m/>
    <m/>
    <n v="19851916.670000002"/>
    <n v="9.99884995114384E-2"/>
    <n v="3"/>
    <m/>
    <n v="178690083.32999998"/>
    <s v="EN EJECUCIÓN"/>
    <n v="3"/>
  </r>
  <r>
    <x v="0"/>
    <s v="COOPERAGRO"/>
    <x v="2"/>
    <s v="08-004-21"/>
    <n v="302691"/>
    <s v="PUTUMAYO"/>
    <d v="2021-12-14T00:00:00"/>
    <n v="189668000"/>
    <m/>
    <m/>
    <m/>
    <m/>
    <m/>
    <m/>
    <m/>
    <m/>
    <m/>
    <m/>
    <m/>
    <m/>
    <m/>
    <n v="6420000"/>
    <n v="1817000"/>
    <n v="10700000"/>
    <m/>
    <m/>
    <m/>
    <n v="18937000"/>
    <n v="9.9842883354071321E-2"/>
    <n v="3"/>
    <m/>
    <n v="170731000"/>
    <s v="EN EJECUCIÓN"/>
    <n v="3"/>
  </r>
  <r>
    <x v="1"/>
    <s v="APÍCOLA LA SERRANIA"/>
    <x v="2"/>
    <s v="03-006-21"/>
    <n v="303249"/>
    <s v="BOLÍVAR"/>
    <d v="2022-01-27T00:00:00"/>
    <n v="199816000"/>
    <m/>
    <m/>
    <m/>
    <m/>
    <m/>
    <m/>
    <m/>
    <m/>
    <m/>
    <m/>
    <m/>
    <n v="6390000"/>
    <m/>
    <m/>
    <n v="6575192"/>
    <n v="6908526"/>
    <m/>
    <m/>
    <m/>
    <n v="19873718"/>
    <n v="9.9460093285822962E-2"/>
    <n v="3"/>
    <m/>
    <n v="179942282"/>
    <s v="EN EJECUCIÓN"/>
    <n v="3"/>
  </r>
  <r>
    <x v="2"/>
    <s v="ASOLECHEROS"/>
    <x v="2"/>
    <s v="05-077-21"/>
    <n v="303883"/>
    <s v="BOYACÁ"/>
    <d v="2022-01-27T00:00:00"/>
    <n v="199095000"/>
    <m/>
    <m/>
    <m/>
    <m/>
    <m/>
    <m/>
    <m/>
    <m/>
    <m/>
    <m/>
    <m/>
    <m/>
    <n v="6420000"/>
    <m/>
    <n v="6854250"/>
    <n v="6400000"/>
    <m/>
    <m/>
    <m/>
    <n v="19674250"/>
    <n v="9.8818403274818556E-2"/>
    <n v="1"/>
    <m/>
    <n v="179420750"/>
    <s v="EN EJECUCIÓN"/>
    <n v="3"/>
  </r>
  <r>
    <x v="1"/>
    <s v="ASOGABALLE"/>
    <x v="2"/>
    <s v="03-005-21"/>
    <n v="303408"/>
    <s v="BOLÍVAR"/>
    <d v="2022-02-08T00:00:00"/>
    <n v="200000000"/>
    <m/>
    <m/>
    <m/>
    <m/>
    <m/>
    <m/>
    <m/>
    <m/>
    <m/>
    <m/>
    <m/>
    <n v="6420000"/>
    <m/>
    <m/>
    <n v="2725500"/>
    <n v="10500000"/>
    <m/>
    <m/>
    <m/>
    <n v="19645500"/>
    <n v="9.8227499999999995E-2"/>
    <n v="3"/>
    <m/>
    <n v="180354500"/>
    <s v="EN EJECUCIÓN"/>
    <n v="3"/>
  </r>
  <r>
    <x v="2"/>
    <s v="ASOADECER"/>
    <x v="2"/>
    <s v="05-066-21"/>
    <n v="303815"/>
    <s v="BOYACÁ"/>
    <d v="2022-01-27T00:00:00"/>
    <n v="180000000"/>
    <m/>
    <m/>
    <m/>
    <m/>
    <m/>
    <m/>
    <m/>
    <m/>
    <m/>
    <m/>
    <m/>
    <n v="6420000"/>
    <m/>
    <m/>
    <m/>
    <n v="10227000"/>
    <m/>
    <m/>
    <m/>
    <n v="16647000"/>
    <n v="9.2483333333333334E-2"/>
    <n v="2"/>
    <m/>
    <n v="163353000"/>
    <s v="EN EJECUCIÓN"/>
    <n v="2"/>
  </r>
  <r>
    <x v="7"/>
    <s v="ASOREAGRO"/>
    <x v="2"/>
    <s v="04-001-21"/>
    <n v="302564"/>
    <s v="LA_GUAJIRA"/>
    <d v="2021-12-14T00:00:00"/>
    <n v="198800000"/>
    <m/>
    <m/>
    <m/>
    <m/>
    <m/>
    <m/>
    <m/>
    <m/>
    <m/>
    <m/>
    <m/>
    <m/>
    <m/>
    <m/>
    <m/>
    <n v="18160000"/>
    <m/>
    <m/>
    <m/>
    <n v="18160000"/>
    <n v="9.1348088531187116E-2"/>
    <n v="2"/>
    <m/>
    <n v="180640000"/>
    <s v="EN EJECUCIÓN"/>
    <n v="1"/>
  </r>
  <r>
    <x v="4"/>
    <s v="ASOMAMOCUER"/>
    <x v="2"/>
    <s v="01-073-21"/>
    <n v="303894"/>
    <s v="CAUCA"/>
    <d v="2022-01-27T00:00:00"/>
    <n v="124302000"/>
    <m/>
    <m/>
    <m/>
    <m/>
    <m/>
    <m/>
    <m/>
    <m/>
    <m/>
    <m/>
    <m/>
    <m/>
    <m/>
    <m/>
    <n v="6420000"/>
    <n v="4727636"/>
    <m/>
    <m/>
    <m/>
    <n v="11147636"/>
    <n v="8.968187157085164E-2"/>
    <n v="3"/>
    <m/>
    <n v="113154364"/>
    <s v="EN EJECUCIÓN"/>
    <n v="2"/>
  </r>
  <r>
    <x v="3"/>
    <s v=" ASOCIACIÓN AGROPECUARIA TIERRA GRANDE"/>
    <x v="2"/>
    <s v="02-047-21"/>
    <n v="302249"/>
    <s v="ANTIOQUIA"/>
    <d v="2021-12-14T00:00:00"/>
    <n v="193892000"/>
    <m/>
    <m/>
    <m/>
    <m/>
    <m/>
    <m/>
    <m/>
    <m/>
    <m/>
    <m/>
    <m/>
    <m/>
    <m/>
    <n v="6323700"/>
    <m/>
    <n v="10989500"/>
    <m/>
    <m/>
    <m/>
    <n v="17313200"/>
    <n v="8.9293008478947042E-2"/>
    <n v="2"/>
    <m/>
    <n v="176578800"/>
    <s v="EN EJECUCIÓN"/>
    <n v="2"/>
  </r>
  <r>
    <x v="6"/>
    <s v="APRIMUJER"/>
    <x v="2"/>
    <s v="06-025-21"/>
    <n v="303785"/>
    <s v="SANTANDER"/>
    <d v="2022-01-27T00:00:00"/>
    <n v="200000000"/>
    <m/>
    <m/>
    <m/>
    <m/>
    <m/>
    <m/>
    <m/>
    <m/>
    <m/>
    <m/>
    <m/>
    <m/>
    <m/>
    <m/>
    <n v="6420000"/>
    <n v="11400000"/>
    <m/>
    <m/>
    <m/>
    <n v="17820000"/>
    <n v="8.9099999999999999E-2"/>
    <n v="3"/>
    <m/>
    <n v="182180000"/>
    <s v="EN EJECUCIÓN"/>
    <n v="2"/>
  </r>
  <r>
    <x v="6"/>
    <s v="ASOPROMAFRUC"/>
    <x v="2"/>
    <s v="06-007-21"/>
    <n v="302898"/>
    <s v="NORTE_DE_SANTANDER"/>
    <d v="2021-12-14T00:00:00"/>
    <n v="200000000"/>
    <m/>
    <m/>
    <m/>
    <m/>
    <m/>
    <m/>
    <m/>
    <m/>
    <m/>
    <m/>
    <m/>
    <m/>
    <m/>
    <m/>
    <n v="6420000"/>
    <n v="10900000"/>
    <m/>
    <m/>
    <m/>
    <n v="17320000"/>
    <n v="8.6599999999999996E-2"/>
    <n v="4"/>
    <m/>
    <n v="182680000"/>
    <s v="EN EJECUCIÓN"/>
    <n v="2"/>
  </r>
  <r>
    <x v="2"/>
    <s v="ASOGAPRADO"/>
    <x v="2"/>
    <s v="05-017-21"/>
    <n v="303731"/>
    <s v="TOLIMA"/>
    <d v="2022-01-27T00:00:00"/>
    <n v="198210830"/>
    <m/>
    <m/>
    <m/>
    <m/>
    <m/>
    <m/>
    <m/>
    <m/>
    <m/>
    <m/>
    <n v="6420000"/>
    <m/>
    <m/>
    <m/>
    <m/>
    <n v="10700000"/>
    <m/>
    <m/>
    <m/>
    <n v="17120000"/>
    <n v="8.6372677012653651E-2"/>
    <n v="2"/>
    <m/>
    <n v="181090830"/>
    <s v="EN EJECUCIÓN"/>
    <n v="2"/>
  </r>
  <r>
    <x v="2"/>
    <s v="RESGUARDO VUELTA DEL RIO"/>
    <x v="2"/>
    <s v="05-023-21"/>
    <n v="303786"/>
    <s v="TOLIMA"/>
    <d v="2022-01-27T00:00:00"/>
    <n v="199798000"/>
    <m/>
    <m/>
    <m/>
    <m/>
    <m/>
    <m/>
    <m/>
    <m/>
    <m/>
    <m/>
    <n v="6420000"/>
    <m/>
    <m/>
    <m/>
    <n v="10700000"/>
    <m/>
    <m/>
    <m/>
    <m/>
    <n v="17120000"/>
    <n v="8.5686543408842936E-2"/>
    <n v="1"/>
    <m/>
    <n v="182678000"/>
    <s v="EN EJECUCIÓN"/>
    <n v="2"/>
  </r>
  <r>
    <x v="2"/>
    <s v="AMOYA"/>
    <x v="2"/>
    <s v="05-033-21"/>
    <n v="303100"/>
    <s v="TOLIMA"/>
    <d v="2021-12-14T00:00:00"/>
    <n v="199973636"/>
    <m/>
    <m/>
    <m/>
    <m/>
    <m/>
    <m/>
    <m/>
    <m/>
    <m/>
    <m/>
    <n v="6420000"/>
    <m/>
    <m/>
    <m/>
    <m/>
    <n v="10700000"/>
    <m/>
    <m/>
    <m/>
    <n v="17120000"/>
    <n v="8.5611285279625554E-2"/>
    <n v="1"/>
    <m/>
    <n v="182853636"/>
    <s v="EN EJECUCIÓN"/>
    <n v="2"/>
  </r>
  <r>
    <x v="4"/>
    <s v="ASOCIACIÓN RURAL DE PRODUCTORES DEL MUNICIPIO DE JURADÒ"/>
    <x v="2"/>
    <s v="01-030-21"/>
    <n v="303250"/>
    <s v="CHOCÓ"/>
    <d v="2022-01-27T00:00:00"/>
    <n v="199978000"/>
    <m/>
    <m/>
    <m/>
    <m/>
    <m/>
    <m/>
    <m/>
    <m/>
    <m/>
    <m/>
    <m/>
    <m/>
    <n v="6420000"/>
    <m/>
    <m/>
    <n v="10700000"/>
    <m/>
    <m/>
    <m/>
    <n v="17120000"/>
    <n v="8.560941703587395E-2"/>
    <n v="3"/>
    <m/>
    <n v="182858000"/>
    <s v="EN EJECUCIÓN"/>
    <n v="2"/>
  </r>
  <r>
    <x v="3"/>
    <s v="PROAGUADAS"/>
    <x v="2"/>
    <s v="02-067-21"/>
    <n v="303888"/>
    <s v="CALDAS"/>
    <d v="2022-01-27T00:00:00"/>
    <n v="200000000"/>
    <m/>
    <m/>
    <m/>
    <m/>
    <m/>
    <m/>
    <m/>
    <m/>
    <m/>
    <m/>
    <m/>
    <m/>
    <m/>
    <m/>
    <m/>
    <n v="17120000"/>
    <m/>
    <m/>
    <m/>
    <n v="17120000"/>
    <n v="8.5599999999999996E-2"/>
    <n v="2"/>
    <m/>
    <n v="182880000"/>
    <s v="EN EJECUCIÓN"/>
    <n v="1"/>
  </r>
  <r>
    <x v="5"/>
    <s v="ACAPIMOR"/>
    <x v="2"/>
    <s v="07-024-21"/>
    <n v="302617"/>
    <s v="CASANARE"/>
    <d v="2021-12-14T00:00:00"/>
    <n v="200000000"/>
    <m/>
    <m/>
    <m/>
    <m/>
    <m/>
    <m/>
    <m/>
    <m/>
    <m/>
    <m/>
    <m/>
    <m/>
    <m/>
    <n v="6420000"/>
    <n v="4000000"/>
    <n v="6454250"/>
    <m/>
    <m/>
    <m/>
    <n v="16874250"/>
    <n v="8.4371249999999995E-2"/>
    <n v="3"/>
    <m/>
    <n v="183125750"/>
    <s v="EN EJECUCIÓN"/>
    <n v="3"/>
  </r>
  <r>
    <x v="2"/>
    <s v="APROCMU"/>
    <x v="2"/>
    <s v="05-026-21"/>
    <n v="303663"/>
    <s v="BOYACÁ"/>
    <d v="2022-01-27T00:00:00"/>
    <n v="200000000"/>
    <m/>
    <m/>
    <m/>
    <m/>
    <m/>
    <m/>
    <m/>
    <m/>
    <m/>
    <m/>
    <m/>
    <m/>
    <m/>
    <n v="6420000"/>
    <n v="10157250"/>
    <m/>
    <m/>
    <m/>
    <m/>
    <n v="16577250"/>
    <n v="8.2886249999999995E-2"/>
    <n v="2"/>
    <m/>
    <n v="183422750"/>
    <s v="EN EJECUCIÓN"/>
    <n v="2"/>
  </r>
  <r>
    <x v="4"/>
    <s v="ASOMUJERES"/>
    <x v="2"/>
    <s v="01-020-21"/>
    <n v="302967"/>
    <s v="NARIÑO"/>
    <d v="2021-12-14T00:00:00"/>
    <n v="159681000"/>
    <m/>
    <m/>
    <m/>
    <m/>
    <m/>
    <m/>
    <m/>
    <m/>
    <m/>
    <m/>
    <m/>
    <m/>
    <n v="4938450"/>
    <m/>
    <n v="8230750"/>
    <m/>
    <m/>
    <m/>
    <m/>
    <n v="13169200"/>
    <n v="8.2471928407261974E-2"/>
    <n v="3"/>
    <m/>
    <n v="146511800"/>
    <s v="EN EJECUCIÓN"/>
    <n v="2"/>
  </r>
  <r>
    <x v="4"/>
    <s v="COOPBASAN"/>
    <x v="2"/>
    <s v="01-068-21"/>
    <n v="303866"/>
    <s v="VALLE_DEL_CAUCA"/>
    <d v="2022-01-27T00:00:00"/>
    <n v="194662000"/>
    <m/>
    <m/>
    <m/>
    <m/>
    <m/>
    <m/>
    <m/>
    <m/>
    <m/>
    <m/>
    <m/>
    <m/>
    <m/>
    <n v="6420000"/>
    <n v="1817000"/>
    <n v="7817000"/>
    <m/>
    <m/>
    <m/>
    <n v="16054000"/>
    <n v="8.2471155130431212E-2"/>
    <n v="3"/>
    <m/>
    <n v="178608000"/>
    <s v="EN EJECUCIÓN"/>
    <n v="3"/>
  </r>
  <r>
    <x v="6"/>
    <s v="ASMUCACON"/>
    <x v="2"/>
    <s v="06-028-21"/>
    <n v="302777"/>
    <s v="SANTANDER"/>
    <d v="2021-12-14T00:00:00"/>
    <n v="180000000"/>
    <m/>
    <m/>
    <m/>
    <m/>
    <m/>
    <m/>
    <m/>
    <m/>
    <m/>
    <m/>
    <m/>
    <m/>
    <m/>
    <m/>
    <n v="6420000"/>
    <n v="8300000"/>
    <m/>
    <m/>
    <m/>
    <n v="14720000"/>
    <n v="8.1777777777777783E-2"/>
    <n v="4"/>
    <m/>
    <n v="165280000"/>
    <s v="EN EJECUCIÓN"/>
    <n v="2"/>
  </r>
  <r>
    <x v="3"/>
    <s v="CORPASSQUIN"/>
    <x v="2"/>
    <s v="02-068-21"/>
    <n v="303899"/>
    <s v="QUINDÍO"/>
    <d v="2022-01-27T00:00:00"/>
    <n v="150000000"/>
    <m/>
    <m/>
    <m/>
    <m/>
    <m/>
    <m/>
    <m/>
    <m/>
    <m/>
    <m/>
    <m/>
    <m/>
    <m/>
    <n v="6420000"/>
    <m/>
    <n v="5000000"/>
    <m/>
    <m/>
    <m/>
    <n v="11420000"/>
    <n v="7.6133333333333331E-2"/>
    <n v="3"/>
    <m/>
    <n v="138580000"/>
    <s v="EN EJECUCIÓN"/>
    <n v="2"/>
  </r>
  <r>
    <x v="6"/>
    <s v="ASOMEA"/>
    <x v="2"/>
    <s v="06-014-21"/>
    <n v="303402"/>
    <s v="NORTE_DE_SANTANDER"/>
    <d v="2022-01-27T00:00:00"/>
    <n v="200000000"/>
    <m/>
    <m/>
    <m/>
    <m/>
    <m/>
    <m/>
    <m/>
    <m/>
    <m/>
    <m/>
    <m/>
    <m/>
    <m/>
    <m/>
    <m/>
    <n v="15020000"/>
    <m/>
    <m/>
    <m/>
    <n v="15020000"/>
    <n v="7.51E-2"/>
    <n v="3"/>
    <m/>
    <n v="184980000"/>
    <s v="EN EJECUCIÓN"/>
    <n v="1"/>
  </r>
  <r>
    <x v="5"/>
    <s v="APROCOLEDA"/>
    <x v="2"/>
    <s v="07-051-21"/>
    <n v="303496"/>
    <s v="ARAUCA"/>
    <d v="2022-01-27T00:00:00"/>
    <n v="180000000"/>
    <m/>
    <m/>
    <m/>
    <m/>
    <m/>
    <m/>
    <m/>
    <m/>
    <m/>
    <m/>
    <m/>
    <n v="6420000"/>
    <m/>
    <m/>
    <m/>
    <n v="7000000"/>
    <m/>
    <m/>
    <m/>
    <n v="13420000"/>
    <n v="7.4555555555555555E-2"/>
    <n v="3"/>
    <m/>
    <n v="166580000"/>
    <s v="EN EJECUCIÓN"/>
    <n v="2"/>
  </r>
  <r>
    <x v="2"/>
    <s v="ASAGUACA"/>
    <x v="2"/>
    <s v="05-045-21"/>
    <n v="303783"/>
    <s v="HUILA"/>
    <d v="2022-01-27T00:00:00"/>
    <n v="183049000"/>
    <m/>
    <m/>
    <m/>
    <m/>
    <m/>
    <m/>
    <m/>
    <m/>
    <m/>
    <m/>
    <m/>
    <m/>
    <m/>
    <n v="6420000"/>
    <m/>
    <n v="7000000"/>
    <m/>
    <m/>
    <m/>
    <n v="13420000"/>
    <n v="7.3313702888297666E-2"/>
    <n v="2"/>
    <m/>
    <n v="169629000"/>
    <s v="EN EJECUCIÓN"/>
    <n v="2"/>
  </r>
  <r>
    <x v="7"/>
    <s v="ASUPROGAL"/>
    <x v="2"/>
    <s v="04-062-21"/>
    <n v="303833"/>
    <s v="SUCRE"/>
    <d v="2022-01-27T00:00:00"/>
    <n v="200000000"/>
    <m/>
    <m/>
    <m/>
    <m/>
    <m/>
    <m/>
    <m/>
    <m/>
    <m/>
    <m/>
    <m/>
    <m/>
    <m/>
    <m/>
    <n v="6725500"/>
    <n v="7200000"/>
    <m/>
    <m/>
    <m/>
    <n v="13925500"/>
    <n v="6.9627499999999995E-2"/>
    <n v="2"/>
    <m/>
    <n v="186074500"/>
    <s v="EN EJECUCIÓN"/>
    <n v="2"/>
  </r>
  <r>
    <x v="6"/>
    <s v="ASOAGROPALCAT"/>
    <x v="2"/>
    <s v="06-032-21"/>
    <n v="303242"/>
    <s v="NORTE_DE_SANTANDER"/>
    <d v="2021-12-14T00:00:00"/>
    <n v="190000000"/>
    <m/>
    <m/>
    <m/>
    <m/>
    <m/>
    <m/>
    <m/>
    <m/>
    <m/>
    <m/>
    <m/>
    <m/>
    <m/>
    <m/>
    <n v="12220000"/>
    <n v="879000"/>
    <m/>
    <m/>
    <m/>
    <n v="13099000"/>
    <n v="6.8942105263157888E-2"/>
    <n v="3"/>
    <m/>
    <n v="176901000"/>
    <s v="EN EJECUCIÓN"/>
    <n v="2"/>
  </r>
  <r>
    <x v="4"/>
    <s v="AGROARTE"/>
    <x v="2"/>
    <s v="01-061-21"/>
    <n v="303791"/>
    <s v="VALLE_DEL_CAUCA"/>
    <d v="2022-01-27T00:00:00"/>
    <n v="182622000"/>
    <m/>
    <m/>
    <m/>
    <m/>
    <m/>
    <m/>
    <m/>
    <m/>
    <m/>
    <m/>
    <m/>
    <m/>
    <m/>
    <m/>
    <n v="6420000"/>
    <n v="6108500"/>
    <m/>
    <m/>
    <m/>
    <n v="12528500"/>
    <n v="6.8603454129294389E-2"/>
    <n v="3"/>
    <m/>
    <n v="170093500"/>
    <s v="EN EJECUCIÓN"/>
    <n v="2"/>
  </r>
  <r>
    <x v="2"/>
    <s v="APASAN"/>
    <x v="2"/>
    <s v="05-058-21"/>
    <n v="303492"/>
    <s v="BOYACÁ"/>
    <d v="2022-01-27T00:00:00"/>
    <n v="200000000"/>
    <m/>
    <m/>
    <m/>
    <m/>
    <m/>
    <m/>
    <m/>
    <m/>
    <m/>
    <m/>
    <m/>
    <m/>
    <m/>
    <n v="6420000"/>
    <n v="3100000"/>
    <n v="4200000"/>
    <m/>
    <m/>
    <m/>
    <n v="13720000"/>
    <n v="6.8599999999999994E-2"/>
    <n v="1"/>
    <m/>
    <n v="186280000"/>
    <s v="EN EJECUCIÓN"/>
    <n v="3"/>
  </r>
  <r>
    <x v="5"/>
    <s v="AGROEMPO"/>
    <x v="2"/>
    <s v="07-037-21"/>
    <n v="303241"/>
    <s v="META"/>
    <d v="2021-12-14T00:00:00"/>
    <n v="200000000"/>
    <m/>
    <m/>
    <m/>
    <m/>
    <m/>
    <m/>
    <m/>
    <m/>
    <m/>
    <m/>
    <m/>
    <m/>
    <m/>
    <m/>
    <n v="6420000"/>
    <n v="7090200"/>
    <m/>
    <m/>
    <m/>
    <n v="13510200"/>
    <n v="6.7551E-2"/>
    <n v="2"/>
    <m/>
    <n v="186489800"/>
    <s v="EN EJECUCIÓN"/>
    <n v="2"/>
  </r>
  <r>
    <x v="4"/>
    <s v="FRESAS LOMA"/>
    <x v="2"/>
    <s v="01-008-21"/>
    <n v="302701"/>
    <s v="CAUCA"/>
    <d v="2021-12-14T00:00:00"/>
    <n v="195000000"/>
    <m/>
    <m/>
    <m/>
    <m/>
    <m/>
    <m/>
    <m/>
    <m/>
    <m/>
    <m/>
    <m/>
    <m/>
    <m/>
    <m/>
    <n v="8920000"/>
    <n v="4133334"/>
    <m/>
    <m/>
    <m/>
    <n v="13053334"/>
    <n v="6.6940174358974355E-2"/>
    <n v="2"/>
    <m/>
    <n v="181946666"/>
    <s v="EN EJECUCIÓN"/>
    <n v="2"/>
  </r>
  <r>
    <x v="5"/>
    <s v="PROAGRO PSCW KUYUVI"/>
    <x v="2"/>
    <s v="07-030-21"/>
    <n v="302974"/>
    <s v="VICHADA"/>
    <d v="2021-12-14T00:00:00"/>
    <n v="195000000"/>
    <m/>
    <m/>
    <m/>
    <m/>
    <m/>
    <m/>
    <m/>
    <m/>
    <m/>
    <m/>
    <m/>
    <m/>
    <m/>
    <n v="6420000"/>
    <n v="6600000"/>
    <m/>
    <m/>
    <m/>
    <m/>
    <n v="13020000"/>
    <n v="6.6769230769230775E-2"/>
    <n v="3"/>
    <m/>
    <n v="181980000"/>
    <s v="EN EJECUCIÓN"/>
    <n v="2"/>
  </r>
  <r>
    <x v="5"/>
    <s v="ACAPRADIV"/>
    <x v="2"/>
    <s v="07-045-21"/>
    <n v="302647"/>
    <s v="META"/>
    <d v="2021-12-14T00:00:00"/>
    <n v="200000000"/>
    <m/>
    <m/>
    <m/>
    <m/>
    <m/>
    <m/>
    <m/>
    <m/>
    <m/>
    <m/>
    <m/>
    <n v="6420000"/>
    <m/>
    <m/>
    <m/>
    <n v="6908500"/>
    <m/>
    <m/>
    <m/>
    <n v="13328500"/>
    <n v="6.6642499999999993E-2"/>
    <n v="3"/>
    <m/>
    <n v="186671500"/>
    <s v="EN EJECUCIÓN"/>
    <n v="2"/>
  </r>
  <r>
    <x v="3"/>
    <s v="ASPROPASA"/>
    <x v="2"/>
    <s v="02-011-21"/>
    <n v="302833"/>
    <s v="CALDAS"/>
    <d v="2021-12-14T00:00:00"/>
    <n v="200000000"/>
    <m/>
    <m/>
    <m/>
    <m/>
    <m/>
    <m/>
    <m/>
    <m/>
    <m/>
    <m/>
    <m/>
    <m/>
    <m/>
    <m/>
    <m/>
    <n v="13328500"/>
    <m/>
    <m/>
    <m/>
    <n v="13328500"/>
    <n v="6.6642499999999993E-2"/>
    <n v="3"/>
    <m/>
    <n v="186671500"/>
    <s v="EN EJECUCIÓN"/>
    <n v="1"/>
  </r>
  <r>
    <x v="2"/>
    <s v="GRUPO ASOCIATIVO DE TRABAJO LA PAZ DEL PESCADOR "/>
    <x v="2"/>
    <s v="05-046-21"/>
    <n v="303844"/>
    <s v="HUILA"/>
    <d v="2022-01-27T00:00:00"/>
    <n v="145744300"/>
    <m/>
    <m/>
    <m/>
    <m/>
    <m/>
    <m/>
    <m/>
    <m/>
    <m/>
    <m/>
    <m/>
    <m/>
    <m/>
    <n v="6420000"/>
    <n v="908500"/>
    <n v="2250000"/>
    <m/>
    <m/>
    <m/>
    <n v="9578500"/>
    <n v="6.5721266629295283E-2"/>
    <n v="1"/>
    <m/>
    <n v="136165800"/>
    <s v="EN EJECUCIÓN"/>
    <n v="3"/>
  </r>
  <r>
    <x v="4"/>
    <s v="ASOFRESASBUESACO"/>
    <x v="2"/>
    <s v="01-016-21"/>
    <n v="303374"/>
    <s v="NARIÑO"/>
    <d v="2022-01-27T00:00:00"/>
    <n v="200000000"/>
    <m/>
    <m/>
    <m/>
    <m/>
    <m/>
    <m/>
    <m/>
    <m/>
    <m/>
    <m/>
    <m/>
    <m/>
    <m/>
    <n v="4800000"/>
    <m/>
    <n v="8000000"/>
    <m/>
    <m/>
    <m/>
    <n v="12800000"/>
    <n v="6.4000000000000001E-2"/>
    <n v="2"/>
    <m/>
    <n v="187200000"/>
    <s v="EN EJECUCIÓN"/>
    <n v="2"/>
  </r>
  <r>
    <x v="7"/>
    <s v="ASALMAR"/>
    <x v="2"/>
    <s v="04-024-21"/>
    <n v="302872"/>
    <s v="CÓRDOBA"/>
    <d v="2021-12-14T00:00:00"/>
    <n v="200000000"/>
    <m/>
    <m/>
    <m/>
    <m/>
    <m/>
    <m/>
    <m/>
    <m/>
    <m/>
    <m/>
    <m/>
    <m/>
    <m/>
    <n v="4800000"/>
    <n v="1986416"/>
    <n v="5986416"/>
    <m/>
    <m/>
    <m/>
    <n v="12772832"/>
    <n v="6.3864160000000003E-2"/>
    <n v="2"/>
    <m/>
    <n v="187227168"/>
    <s v="EN EJECUCIÓN"/>
    <n v="3"/>
  </r>
  <r>
    <x v="4"/>
    <s v="ASOPROBUG"/>
    <x v="2"/>
    <s v="01-069-21"/>
    <n v="303843"/>
    <s v="VALLE_DEL_CAUCA"/>
    <d v="2022-01-27T00:00:00"/>
    <n v="183641000"/>
    <m/>
    <m/>
    <m/>
    <m/>
    <m/>
    <m/>
    <m/>
    <m/>
    <m/>
    <m/>
    <m/>
    <m/>
    <m/>
    <n v="6426000"/>
    <n v="1090200"/>
    <n v="4055400"/>
    <m/>
    <m/>
    <m/>
    <n v="11571600"/>
    <n v="6.3012072467477309E-2"/>
    <n v="3"/>
    <m/>
    <n v="172069400"/>
    <s v="EN EJECUCIÓN"/>
    <n v="3"/>
  </r>
  <r>
    <x v="7"/>
    <s v="ASOAGROMIEL"/>
    <x v="2"/>
    <s v="04-026-21"/>
    <n v="303095"/>
    <s v="CÓRDOBA"/>
    <d v="2021-12-14T00:00:00"/>
    <n v="189695000"/>
    <m/>
    <m/>
    <m/>
    <m/>
    <m/>
    <m/>
    <m/>
    <m/>
    <m/>
    <m/>
    <m/>
    <m/>
    <m/>
    <m/>
    <m/>
    <n v="11828500"/>
    <m/>
    <m/>
    <m/>
    <n v="11828500"/>
    <n v="6.2355359919871373E-2"/>
    <n v="2"/>
    <m/>
    <n v="177866500"/>
    <s v="EN EJECUCIÓN"/>
    <n v="1"/>
  </r>
  <r>
    <x v="6"/>
    <s v="ASOPROLAN"/>
    <x v="2"/>
    <s v="06-011-21"/>
    <n v="302901"/>
    <s v="SANTANDER"/>
    <d v="2021-12-14T00:00:00"/>
    <n v="200000000"/>
    <m/>
    <m/>
    <m/>
    <m/>
    <m/>
    <m/>
    <m/>
    <m/>
    <m/>
    <m/>
    <m/>
    <m/>
    <m/>
    <n v="6420000"/>
    <n v="6000000"/>
    <m/>
    <m/>
    <m/>
    <m/>
    <n v="12420000"/>
    <n v="6.2100000000000002E-2"/>
    <n v="4"/>
    <m/>
    <n v="187580000"/>
    <s v="EN EJECUCIÓN"/>
    <n v="2"/>
  </r>
  <r>
    <x v="3"/>
    <s v="ASODEBEL"/>
    <x v="2"/>
    <s v="02-006-21"/>
    <n v="303352"/>
    <s v="RISARALDA"/>
    <d v="2022-01-27T00:00:00"/>
    <n v="200000000"/>
    <m/>
    <m/>
    <m/>
    <m/>
    <m/>
    <m/>
    <m/>
    <m/>
    <m/>
    <m/>
    <m/>
    <m/>
    <m/>
    <m/>
    <m/>
    <n v="11920000"/>
    <m/>
    <m/>
    <m/>
    <n v="11920000"/>
    <n v="5.96E-2"/>
    <n v="2"/>
    <m/>
    <n v="188080000"/>
    <s v="EN EJECUCIÓN"/>
    <n v="1"/>
  </r>
  <r>
    <x v="2"/>
    <s v="ASOATE"/>
    <x v="2"/>
    <s v="05-043-21"/>
    <n v="303858"/>
    <s v="HUILA"/>
    <d v="2022-01-27T00:00:00"/>
    <n v="192333000"/>
    <m/>
    <m/>
    <m/>
    <m/>
    <m/>
    <m/>
    <m/>
    <m/>
    <m/>
    <m/>
    <m/>
    <m/>
    <m/>
    <n v="6420000"/>
    <n v="908500"/>
    <n v="4000000"/>
    <m/>
    <m/>
    <m/>
    <n v="11328500"/>
    <n v="5.8900448700950958E-2"/>
    <n v="1"/>
    <m/>
    <n v="181004500"/>
    <s v="EN EJECUCIÓN"/>
    <n v="3"/>
  </r>
  <r>
    <x v="4"/>
    <s v="AGROAGUILA"/>
    <x v="2"/>
    <s v="01-046-21"/>
    <n v="303865"/>
    <s v="VALLE_DEL_CAUCA"/>
    <d v="2022-01-27T00:00:00"/>
    <n v="183002000"/>
    <m/>
    <m/>
    <m/>
    <m/>
    <m/>
    <m/>
    <m/>
    <m/>
    <m/>
    <m/>
    <m/>
    <m/>
    <m/>
    <m/>
    <n v="6420000"/>
    <n v="4317000"/>
    <m/>
    <m/>
    <m/>
    <n v="10737000"/>
    <n v="5.8671489929071813E-2"/>
    <n v="3"/>
    <m/>
    <n v="172265000"/>
    <s v="EN EJECUCIÓN"/>
    <n v="2"/>
  </r>
  <r>
    <x v="4"/>
    <s v="ANDINA DE CAMPESINOS DE POTOSI - AGROANDINA"/>
    <x v="2"/>
    <s v="01-011-21"/>
    <n v="303442"/>
    <s v="NARIÑO"/>
    <d v="2022-01-27T00:00:00"/>
    <n v="120685000"/>
    <m/>
    <m/>
    <m/>
    <m/>
    <m/>
    <m/>
    <m/>
    <m/>
    <m/>
    <m/>
    <m/>
    <m/>
    <n v="6420000"/>
    <m/>
    <m/>
    <n v="500000"/>
    <m/>
    <m/>
    <m/>
    <n v="6920000"/>
    <n v="5.7339354517959976E-2"/>
    <n v="3"/>
    <m/>
    <n v="113765000"/>
    <s v="EN EJECUCIÓN"/>
    <n v="2"/>
  </r>
  <r>
    <x v="0"/>
    <s v="COMITÉ DE CAUCHEROS DE SAN VICENTE DEL CAGUAN"/>
    <x v="2"/>
    <s v="08-024-21"/>
    <n v="302501"/>
    <s v="CAQUETÁ"/>
    <d v="2021-12-14T00:00:00"/>
    <n v="200000000"/>
    <m/>
    <m/>
    <m/>
    <m/>
    <m/>
    <m/>
    <m/>
    <m/>
    <m/>
    <m/>
    <m/>
    <n v="6420000"/>
    <m/>
    <m/>
    <m/>
    <n v="5000000"/>
    <m/>
    <m/>
    <m/>
    <n v="11420000"/>
    <n v="5.7099999999999998E-2"/>
    <n v="3"/>
    <m/>
    <n v="188580000"/>
    <s v="EN EJECUCIÓN"/>
    <n v="2"/>
  </r>
  <r>
    <x v="5"/>
    <s v="ASOPAS "/>
    <x v="2"/>
    <s v="07-010-21"/>
    <n v="303259"/>
    <s v="ARAUCA"/>
    <d v="2021-12-14T00:00:00"/>
    <n v="180000000"/>
    <m/>
    <m/>
    <m/>
    <m/>
    <m/>
    <m/>
    <m/>
    <m/>
    <m/>
    <m/>
    <m/>
    <m/>
    <m/>
    <m/>
    <m/>
    <n v="9920000"/>
    <m/>
    <m/>
    <m/>
    <n v="9920000"/>
    <n v="5.5111111111111111E-2"/>
    <n v="3"/>
    <m/>
    <n v="170080000"/>
    <s v="EN EJECUCIÓN"/>
    <n v="1"/>
  </r>
  <r>
    <x v="4"/>
    <s v="ASOAVANZAR"/>
    <x v="2"/>
    <s v="01-064-21"/>
    <n v="303806"/>
    <s v="VALLE_DEL_CAUCA"/>
    <d v="2022-01-27T00:00:00"/>
    <n v="199780000"/>
    <m/>
    <m/>
    <m/>
    <m/>
    <m/>
    <m/>
    <m/>
    <m/>
    <m/>
    <m/>
    <m/>
    <m/>
    <n v="6420000"/>
    <m/>
    <n v="500000"/>
    <n v="4000000"/>
    <m/>
    <m/>
    <m/>
    <n v="10920000"/>
    <n v="5.4660126138752631E-2"/>
    <n v="3"/>
    <m/>
    <n v="188860000"/>
    <s v="EN EJECUCIÓN"/>
    <n v="3"/>
  </r>
  <r>
    <x v="4"/>
    <s v="FUNDECAR"/>
    <x v="2"/>
    <s v="01-067-21"/>
    <n v="302786"/>
    <s v="VALLE_DEL_CAUCA"/>
    <d v="2021-12-14T00:00:00"/>
    <n v="140521000"/>
    <m/>
    <m/>
    <m/>
    <m/>
    <m/>
    <m/>
    <m/>
    <m/>
    <m/>
    <m/>
    <m/>
    <m/>
    <m/>
    <m/>
    <n v="7620000"/>
    <m/>
    <m/>
    <m/>
    <m/>
    <n v="7620000"/>
    <n v="5.4226770375958043E-2"/>
    <n v="3"/>
    <m/>
    <n v="132901000"/>
    <s v="EN EJECUCIÓN"/>
    <n v="1"/>
  </r>
  <r>
    <x v="2"/>
    <s v="ASOCIACIÓN AGROPECUARIA LA GRANJA MISAK"/>
    <x v="2"/>
    <s v="05-048-21"/>
    <n v="303847"/>
    <s v="HUILA"/>
    <d v="2022-01-27T00:00:00"/>
    <n v="135852000"/>
    <m/>
    <m/>
    <m/>
    <m/>
    <m/>
    <m/>
    <m/>
    <m/>
    <m/>
    <m/>
    <m/>
    <m/>
    <m/>
    <n v="6420000"/>
    <n v="908500"/>
    <m/>
    <m/>
    <m/>
    <m/>
    <n v="7328500"/>
    <n v="5.3944733975208312E-2"/>
    <n v="2"/>
    <m/>
    <n v="128523500"/>
    <s v="EN EJECUCIÓN"/>
    <n v="2"/>
  </r>
  <r>
    <x v="4"/>
    <s v="ALMITARA"/>
    <x v="2"/>
    <s v="01-047-21"/>
    <n v="303475"/>
    <s v="VALLE_DEL_CAUCA"/>
    <d v="2022-01-27T00:00:00"/>
    <n v="156340000"/>
    <m/>
    <m/>
    <m/>
    <m/>
    <m/>
    <m/>
    <m/>
    <m/>
    <m/>
    <m/>
    <m/>
    <m/>
    <m/>
    <m/>
    <n v="7328500"/>
    <n v="908500"/>
    <m/>
    <m/>
    <m/>
    <n v="8237000"/>
    <n v="5.2686452603300502E-2"/>
    <n v="2"/>
    <m/>
    <n v="148103000"/>
    <s v="EN EJECUCIÓN"/>
    <n v="2"/>
  </r>
  <r>
    <x v="2"/>
    <s v="COOMULTIPROSEAGRO"/>
    <x v="2"/>
    <s v="05-050-21"/>
    <n v="303885"/>
    <s v="HUILA"/>
    <d v="2022-02-08T00:00:00"/>
    <n v="199995000"/>
    <m/>
    <m/>
    <m/>
    <m/>
    <m/>
    <m/>
    <m/>
    <m/>
    <m/>
    <m/>
    <m/>
    <m/>
    <m/>
    <m/>
    <m/>
    <n v="10420000"/>
    <m/>
    <m/>
    <m/>
    <n v="10420000"/>
    <n v="5.2101302532563315E-2"/>
    <n v="2"/>
    <m/>
    <n v="189575000"/>
    <s v="EN EJECUCIÓN"/>
    <n v="1"/>
  </r>
  <r>
    <x v="7"/>
    <s v="ASOGENDES"/>
    <x v="2"/>
    <s v="04-021-21"/>
    <n v="302561"/>
    <s v="CÓRDOBA"/>
    <d v="2021-12-14T00:00:00"/>
    <n v="199942000"/>
    <m/>
    <m/>
    <m/>
    <m/>
    <m/>
    <m/>
    <m/>
    <m/>
    <m/>
    <m/>
    <m/>
    <m/>
    <m/>
    <m/>
    <n v="3817000"/>
    <n v="6420000"/>
    <m/>
    <m/>
    <m/>
    <n v="10237000"/>
    <n v="5.1199847955907214E-2"/>
    <n v="2"/>
    <m/>
    <n v="189705000"/>
    <s v="EN EJECUCIÓN"/>
    <n v="2"/>
  </r>
  <r>
    <x v="5"/>
    <s v="ASOMUAR"/>
    <x v="2"/>
    <s v="07-012-21"/>
    <n v="302504"/>
    <s v="ARAUCA"/>
    <d v="2021-12-14T00:00:00"/>
    <n v="200000000"/>
    <m/>
    <m/>
    <m/>
    <m/>
    <m/>
    <m/>
    <m/>
    <m/>
    <m/>
    <m/>
    <m/>
    <m/>
    <m/>
    <m/>
    <n v="6420000"/>
    <n v="3700000"/>
    <m/>
    <m/>
    <m/>
    <n v="10120000"/>
    <n v="5.0599999999999999E-2"/>
    <n v="3"/>
    <m/>
    <n v="189880000"/>
    <s v="EN EJECUCIÓN"/>
    <n v="2"/>
  </r>
  <r>
    <x v="2"/>
    <s v="ASOAPICAFÉ"/>
    <x v="2"/>
    <s v="05-078-21"/>
    <n v="303887"/>
    <s v="HUILA"/>
    <d v="2022-01-27T00:00:00"/>
    <n v="198491000"/>
    <m/>
    <m/>
    <m/>
    <m/>
    <m/>
    <m/>
    <m/>
    <m/>
    <m/>
    <m/>
    <m/>
    <m/>
    <m/>
    <m/>
    <n v="6420000"/>
    <n v="3500000"/>
    <m/>
    <m/>
    <m/>
    <n v="9920000"/>
    <n v="4.997707704631444E-2"/>
    <n v="2"/>
    <m/>
    <n v="188571000"/>
    <s v="EN EJECUCIÓN"/>
    <n v="2"/>
  </r>
  <r>
    <x v="0"/>
    <s v="AGROSEG"/>
    <x v="2"/>
    <s v="08-017-21"/>
    <n v="302497"/>
    <s v="CAQUETÁ"/>
    <d v="2021-12-14T00:00:00"/>
    <n v="197702000"/>
    <m/>
    <m/>
    <m/>
    <m/>
    <m/>
    <m/>
    <m/>
    <m/>
    <m/>
    <m/>
    <m/>
    <m/>
    <m/>
    <m/>
    <n v="6420000"/>
    <n v="3408500"/>
    <m/>
    <m/>
    <m/>
    <n v="9828500"/>
    <n v="4.9713710534036074E-2"/>
    <n v="2"/>
    <m/>
    <n v="187873500"/>
    <s v="EN EJECUCIÓN"/>
    <n v="2"/>
  </r>
  <r>
    <x v="2"/>
    <s v="ASOAGUACAPLAT"/>
    <x v="2"/>
    <s v="05-052-21"/>
    <n v="303848"/>
    <s v="HUILA"/>
    <d v="2022-01-27T00:00:00"/>
    <n v="199891000"/>
    <m/>
    <m/>
    <m/>
    <m/>
    <m/>
    <m/>
    <m/>
    <m/>
    <m/>
    <m/>
    <m/>
    <m/>
    <m/>
    <n v="6420000"/>
    <n v="908500"/>
    <n v="2500000"/>
    <m/>
    <m/>
    <m/>
    <n v="9828500"/>
    <n v="4.9169297267010519E-2"/>
    <n v="1"/>
    <m/>
    <n v="190062500"/>
    <s v="EN EJECUCIÓN"/>
    <n v="3"/>
  </r>
  <r>
    <x v="3"/>
    <s v="AGROPECOL"/>
    <x v="2"/>
    <s v="02-017-21"/>
    <n v="302855"/>
    <s v="QUINDÍO"/>
    <d v="2021-12-14T00:00:00"/>
    <n v="155000000"/>
    <m/>
    <m/>
    <m/>
    <m/>
    <m/>
    <m/>
    <m/>
    <m/>
    <m/>
    <m/>
    <m/>
    <m/>
    <m/>
    <m/>
    <m/>
    <n v="7620000"/>
    <m/>
    <m/>
    <m/>
    <n v="7620000"/>
    <n v="4.9161290322580646E-2"/>
    <n v="3"/>
    <m/>
    <n v="147380000"/>
    <s v="EN EJECUCIÓN"/>
    <n v="1"/>
  </r>
  <r>
    <x v="1"/>
    <s v="ASOMURACO"/>
    <x v="2"/>
    <s v="03-055-21"/>
    <n v="303602"/>
    <s v="ATLÁNTICO"/>
    <d v="2022-01-27T00:00:00"/>
    <n v="200000000"/>
    <m/>
    <m/>
    <m/>
    <m/>
    <m/>
    <m/>
    <m/>
    <m/>
    <m/>
    <m/>
    <m/>
    <m/>
    <m/>
    <m/>
    <n v="6300000"/>
    <n v="3491835"/>
    <m/>
    <m/>
    <m/>
    <n v="9791835"/>
    <n v="4.8959175000000001E-2"/>
    <n v="2"/>
    <m/>
    <n v="190208165"/>
    <s v="EN EJECUCIÓN"/>
    <n v="2"/>
  </r>
  <r>
    <x v="1"/>
    <s v="ASOMUPIASAG"/>
    <x v="2"/>
    <s v="03-056-21"/>
    <n v="303876"/>
    <s v="ATLÁNTICO"/>
    <d v="2022-01-27T00:00:00"/>
    <n v="200000000"/>
    <m/>
    <m/>
    <m/>
    <m/>
    <m/>
    <m/>
    <m/>
    <m/>
    <m/>
    <m/>
    <m/>
    <m/>
    <m/>
    <m/>
    <n v="6300000"/>
    <n v="3491835"/>
    <m/>
    <m/>
    <m/>
    <n v="9791835"/>
    <n v="4.8959175000000001E-2"/>
    <n v="2"/>
    <m/>
    <n v="190208165"/>
    <s v="EN EJECUCIÓN"/>
    <n v="2"/>
  </r>
  <r>
    <x v="2"/>
    <s v="RESGUARDO INDÍGENA ÍQUIRA RIONEGRO"/>
    <x v="2"/>
    <s v="05-054-21"/>
    <n v="303799"/>
    <s v="HUILA"/>
    <d v="2022-01-27T00:00:00"/>
    <n v="150000000"/>
    <m/>
    <m/>
    <m/>
    <m/>
    <m/>
    <m/>
    <m/>
    <m/>
    <m/>
    <m/>
    <m/>
    <m/>
    <m/>
    <n v="6420000"/>
    <n v="908500"/>
    <m/>
    <m/>
    <m/>
    <m/>
    <n v="7328500"/>
    <n v="4.8856666666666666E-2"/>
    <n v="1"/>
    <m/>
    <n v="142671500"/>
    <s v="EN EJECUCIÓN"/>
    <n v="2"/>
  </r>
  <r>
    <x v="4"/>
    <s v="ASOAGROPCIN"/>
    <x v="2"/>
    <s v="01-052-21"/>
    <n v="303029"/>
    <s v="VALLE_DEL_CAUCA"/>
    <d v="2022-01-27T00:00:00"/>
    <n v="188792000"/>
    <m/>
    <m/>
    <m/>
    <m/>
    <m/>
    <m/>
    <m/>
    <m/>
    <m/>
    <m/>
    <m/>
    <m/>
    <n v="6420000"/>
    <m/>
    <n v="908500"/>
    <n v="1817000"/>
    <m/>
    <m/>
    <m/>
    <n v="9145500"/>
    <n v="4.8442200940717828E-2"/>
    <n v="3"/>
    <m/>
    <n v="179646500"/>
    <s v="EN EJECUCIÓN"/>
    <n v="3"/>
  </r>
  <r>
    <x v="7"/>
    <s v="ASPHAS"/>
    <x v="2"/>
    <s v="04-042-21"/>
    <n v="303104"/>
    <s v="CÓRDOBA"/>
    <d v="2021-12-14T00:00:00"/>
    <n v="177982000"/>
    <m/>
    <m/>
    <m/>
    <m/>
    <m/>
    <m/>
    <m/>
    <m/>
    <m/>
    <m/>
    <m/>
    <m/>
    <m/>
    <m/>
    <n v="5100000"/>
    <n v="3500000"/>
    <m/>
    <m/>
    <m/>
    <n v="8600000"/>
    <n v="4.8319492982436429E-2"/>
    <n v="2"/>
    <m/>
    <n v="169382000"/>
    <s v="EN EJECUCIÓN"/>
    <n v="2"/>
  </r>
  <r>
    <x v="7"/>
    <s v="ASOPORCIR"/>
    <x v="2"/>
    <s v="04-043-21"/>
    <n v="303256"/>
    <s v="CÓRDOBA"/>
    <d v="2022-01-27T00:00:00"/>
    <n v="200000000"/>
    <m/>
    <m/>
    <m/>
    <m/>
    <m/>
    <m/>
    <m/>
    <m/>
    <m/>
    <m/>
    <m/>
    <m/>
    <m/>
    <m/>
    <n v="7658832"/>
    <n v="2000000"/>
    <m/>
    <m/>
    <m/>
    <n v="9658832"/>
    <n v="4.8294160000000003E-2"/>
    <n v="2"/>
    <m/>
    <n v="190341168"/>
    <s v="EN EJECUCIÓN"/>
    <n v="2"/>
  </r>
  <r>
    <x v="7"/>
    <s v="ASOPRESAB"/>
    <x v="2"/>
    <s v="04-054-21"/>
    <n v="303324"/>
    <s v="MAGDALENA"/>
    <d v="2021-12-14T00:00:00"/>
    <n v="160580000"/>
    <m/>
    <m/>
    <m/>
    <m/>
    <m/>
    <m/>
    <m/>
    <m/>
    <m/>
    <m/>
    <m/>
    <m/>
    <m/>
    <m/>
    <n v="5520000"/>
    <n v="2100000"/>
    <m/>
    <m/>
    <m/>
    <n v="7620000"/>
    <n v="4.7452982936853905E-2"/>
    <n v="2"/>
    <m/>
    <n v="152960000"/>
    <s v="EN EJECUCIÓN"/>
    <n v="2"/>
  </r>
  <r>
    <x v="2"/>
    <s v="ASOEMSAI"/>
    <x v="2"/>
    <s v="05-051-21"/>
    <n v="303859"/>
    <s v="HUILA"/>
    <d v="2022-01-27T00:00:00"/>
    <n v="195000000"/>
    <m/>
    <m/>
    <m/>
    <m/>
    <m/>
    <m/>
    <m/>
    <m/>
    <m/>
    <m/>
    <m/>
    <m/>
    <m/>
    <n v="6420000"/>
    <m/>
    <n v="2666750"/>
    <m/>
    <m/>
    <m/>
    <n v="9086750"/>
    <n v="4.6598717948717949E-2"/>
    <n v="2"/>
    <m/>
    <n v="185913250"/>
    <s v="EN EJECUCIÓN"/>
    <n v="2"/>
  </r>
  <r>
    <x v="3"/>
    <s v="ASOEXPLAR"/>
    <x v="2"/>
    <s v="02-009-21"/>
    <n v="303248"/>
    <s v="RISARALDA"/>
    <d v="2022-01-27T00:00:00"/>
    <n v="200000000"/>
    <m/>
    <m/>
    <m/>
    <m/>
    <m/>
    <m/>
    <m/>
    <m/>
    <m/>
    <m/>
    <m/>
    <m/>
    <m/>
    <m/>
    <n v="6420000"/>
    <n v="2500000"/>
    <m/>
    <m/>
    <m/>
    <n v="8920000"/>
    <n v="4.4600000000000001E-2"/>
    <n v="2"/>
    <m/>
    <n v="191080000"/>
    <s v="EN EJECUCIÓN"/>
    <n v="2"/>
  </r>
  <r>
    <x v="3"/>
    <s v="ASOPRI"/>
    <x v="2"/>
    <s v="02-025-21"/>
    <n v="302667"/>
    <s v="RISARALDA"/>
    <d v="2021-12-14T00:00:00"/>
    <n v="200000000"/>
    <m/>
    <m/>
    <m/>
    <m/>
    <m/>
    <m/>
    <m/>
    <m/>
    <m/>
    <m/>
    <m/>
    <m/>
    <m/>
    <m/>
    <m/>
    <n v="8920000"/>
    <m/>
    <m/>
    <m/>
    <n v="8920000"/>
    <n v="4.4600000000000001E-2"/>
    <n v="3"/>
    <m/>
    <n v="191080000"/>
    <s v="EN EJECUCIÓN"/>
    <n v="1"/>
  </r>
  <r>
    <x v="1"/>
    <s v="ASOMUPIASAG"/>
    <x v="2"/>
    <s v="03-049-21"/>
    <n v="303822"/>
    <s v="ATLÁNTICO"/>
    <d v="2022-01-27T00:00:00"/>
    <n v="200000000"/>
    <m/>
    <m/>
    <m/>
    <m/>
    <m/>
    <m/>
    <m/>
    <m/>
    <m/>
    <m/>
    <m/>
    <m/>
    <m/>
    <n v="6300000"/>
    <m/>
    <n v="2583333"/>
    <m/>
    <m/>
    <m/>
    <n v="8883333"/>
    <n v="4.4416665000000001E-2"/>
    <n v="2"/>
    <m/>
    <n v="191116667"/>
    <s v="EN EJECUCIÓN"/>
    <n v="2"/>
  </r>
  <r>
    <x v="2"/>
    <s v="COOPAGROBET"/>
    <x v="2"/>
    <s v="05-016-21"/>
    <n v="303440"/>
    <s v="BOYACÁ"/>
    <d v="2022-01-27T00:00:00"/>
    <n v="179955000"/>
    <m/>
    <m/>
    <m/>
    <m/>
    <m/>
    <m/>
    <m/>
    <m/>
    <m/>
    <m/>
    <m/>
    <m/>
    <m/>
    <m/>
    <n v="6920000"/>
    <n v="1000000"/>
    <m/>
    <m/>
    <m/>
    <n v="7920000"/>
    <n v="4.4011002750687672E-2"/>
    <n v="1"/>
    <m/>
    <n v="172035000"/>
    <s v="EN EJECUCIÓN"/>
    <n v="2"/>
  </r>
  <r>
    <x v="4"/>
    <s v="ASOCIACION LA PRADERA"/>
    <x v="2"/>
    <s v="01-012-21"/>
    <n v="303323"/>
    <s v="NARIÑO"/>
    <d v="2021-12-14T00:00:00"/>
    <n v="147445000"/>
    <m/>
    <m/>
    <m/>
    <m/>
    <m/>
    <m/>
    <m/>
    <m/>
    <m/>
    <m/>
    <m/>
    <m/>
    <m/>
    <n v="6420000"/>
    <m/>
    <m/>
    <m/>
    <m/>
    <m/>
    <n v="6420000"/>
    <n v="4.3541659601885448E-2"/>
    <n v="2"/>
    <m/>
    <n v="141025000"/>
    <s v="EN EJECUCIÓN"/>
    <n v="1"/>
  </r>
  <r>
    <x v="3"/>
    <s v="ASOPROGFU"/>
    <x v="2"/>
    <s v="02-046-21"/>
    <n v="302846"/>
    <s v="ANTIOQUIA"/>
    <d v="2021-12-14T00:00:00"/>
    <n v="149693000"/>
    <m/>
    <m/>
    <m/>
    <m/>
    <m/>
    <m/>
    <m/>
    <m/>
    <m/>
    <m/>
    <m/>
    <m/>
    <m/>
    <m/>
    <m/>
    <n v="6420000"/>
    <m/>
    <m/>
    <m/>
    <n v="6420000"/>
    <n v="4.2887776983559688E-2"/>
    <n v="2"/>
    <m/>
    <n v="143273000"/>
    <s v="EN EJECUCIÓN"/>
    <n v="1"/>
  </r>
  <r>
    <x v="2"/>
    <s v="PROLEAG"/>
    <x v="2"/>
    <s v="05-071-21"/>
    <n v="303838"/>
    <s v="CUNDINAMARCA"/>
    <d v="2022-01-27T00:00:00"/>
    <n v="149951000"/>
    <m/>
    <m/>
    <m/>
    <m/>
    <m/>
    <m/>
    <m/>
    <m/>
    <m/>
    <m/>
    <m/>
    <m/>
    <m/>
    <m/>
    <m/>
    <n v="6420000"/>
    <m/>
    <m/>
    <m/>
    <n v="6420000"/>
    <n v="4.2813985902061341E-2"/>
    <n v="3"/>
    <m/>
    <n v="143531000"/>
    <s v="EN EJECUCIÓN"/>
    <n v="1"/>
  </r>
  <r>
    <x v="3"/>
    <s v="FRUVIT"/>
    <x v="2"/>
    <s v="02-003-21"/>
    <n v="303243"/>
    <s v="CALDAS"/>
    <d v="2022-01-27T00:00:00"/>
    <n v="150000000"/>
    <m/>
    <m/>
    <m/>
    <m/>
    <m/>
    <m/>
    <m/>
    <m/>
    <m/>
    <m/>
    <m/>
    <m/>
    <m/>
    <n v="6420000"/>
    <m/>
    <m/>
    <m/>
    <m/>
    <m/>
    <n v="6420000"/>
    <n v="4.2799999999999998E-2"/>
    <n v="3"/>
    <m/>
    <n v="143580000"/>
    <s v="EN EJECUCIÓN"/>
    <n v="1"/>
  </r>
  <r>
    <x v="1"/>
    <s v="ASOAVIMA"/>
    <x v="2"/>
    <s v="03-015-21"/>
    <n v="303316"/>
    <s v="ATLÁNTICO"/>
    <d v="2021-12-14T00:00:00"/>
    <n v="199838000"/>
    <m/>
    <m/>
    <m/>
    <m/>
    <m/>
    <m/>
    <m/>
    <m/>
    <m/>
    <m/>
    <m/>
    <m/>
    <m/>
    <m/>
    <m/>
    <n v="8503333"/>
    <m/>
    <m/>
    <m/>
    <n v="8503333"/>
    <n v="4.255113141644732E-2"/>
    <n v="2"/>
    <m/>
    <n v="191334667"/>
    <s v="EN EJECUCIÓN"/>
    <n v="1"/>
  </r>
  <r>
    <x v="1"/>
    <s v="ASOHONDA"/>
    <x v="2"/>
    <s v="03-010-21"/>
    <n v="302810"/>
    <s v="BOLÍVAR"/>
    <d v="2021-12-14T00:00:00"/>
    <n v="196250000"/>
    <m/>
    <m/>
    <m/>
    <m/>
    <m/>
    <m/>
    <m/>
    <m/>
    <m/>
    <m/>
    <m/>
    <m/>
    <n v="6420000"/>
    <m/>
    <n v="1816500"/>
    <m/>
    <m/>
    <m/>
    <m/>
    <n v="8236500"/>
    <n v="4.1969426751592355E-2"/>
    <n v="3"/>
    <m/>
    <n v="188013500"/>
    <s v="EN EJECUCIÓN"/>
    <n v="2"/>
  </r>
  <r>
    <x v="2"/>
    <s v="COOFRUTUN"/>
    <x v="2"/>
    <s v="05-037-21"/>
    <n v="303258"/>
    <s v="BOYACÁ"/>
    <d v="2022-01-27T00:00:00"/>
    <n v="165000000"/>
    <m/>
    <m/>
    <m/>
    <m/>
    <m/>
    <m/>
    <m/>
    <m/>
    <m/>
    <m/>
    <m/>
    <m/>
    <m/>
    <m/>
    <n v="6420000"/>
    <n v="454250"/>
    <m/>
    <m/>
    <m/>
    <n v="6874250"/>
    <n v="4.1662121212121213E-2"/>
    <n v="1"/>
    <m/>
    <n v="158125750"/>
    <s v="EN EJECUCIÓN"/>
    <n v="2"/>
  </r>
  <r>
    <x v="7"/>
    <s v="GANASAN"/>
    <x v="2"/>
    <s v="04-038-21"/>
    <n v="303825"/>
    <s v="CÓRDOBA"/>
    <d v="2022-01-27T00:00:00"/>
    <n v="155000000"/>
    <m/>
    <m/>
    <m/>
    <m/>
    <m/>
    <m/>
    <m/>
    <m/>
    <m/>
    <m/>
    <m/>
    <m/>
    <m/>
    <m/>
    <m/>
    <n v="6420000"/>
    <m/>
    <m/>
    <m/>
    <n v="6420000"/>
    <n v="4.1419354838709677E-2"/>
    <n v="2"/>
    <m/>
    <n v="148580000"/>
    <s v="EN EJECUCIÓN"/>
    <n v="1"/>
  </r>
  <r>
    <x v="5"/>
    <s v="ASOMUCAPI"/>
    <x v="2"/>
    <s v="07-043-21"/>
    <n v="303655"/>
    <s v="META"/>
    <d v="2022-01-27T00:00:00"/>
    <n v="155000000"/>
    <m/>
    <m/>
    <m/>
    <m/>
    <m/>
    <m/>
    <m/>
    <m/>
    <m/>
    <m/>
    <m/>
    <m/>
    <m/>
    <m/>
    <m/>
    <n v="6420000"/>
    <m/>
    <m/>
    <m/>
    <n v="6420000"/>
    <n v="4.1419354838709677E-2"/>
    <n v="3"/>
    <m/>
    <n v="148580000"/>
    <s v="EN EJECUCIÓN"/>
    <n v="1"/>
  </r>
  <r>
    <x v="3"/>
    <s v="ASPHORTA-L"/>
    <x v="2"/>
    <s v="02-053-21"/>
    <n v="302727"/>
    <s v="ANTIOQUIA"/>
    <d v="2021-12-14T00:00:00"/>
    <n v="155342000"/>
    <m/>
    <m/>
    <m/>
    <m/>
    <m/>
    <m/>
    <m/>
    <m/>
    <m/>
    <m/>
    <m/>
    <m/>
    <n v="6420000"/>
    <m/>
    <m/>
    <m/>
    <m/>
    <m/>
    <m/>
    <n v="6420000"/>
    <n v="4.1328166239651867E-2"/>
    <n v="3"/>
    <m/>
    <n v="148922000"/>
    <s v="EN EJECUCIÓN"/>
    <n v="1"/>
  </r>
  <r>
    <x v="5"/>
    <s v="APROCACAO"/>
    <x v="2"/>
    <s v="07-052-21"/>
    <n v="303840"/>
    <s v="META"/>
    <d v="2022-01-27T00:00:00"/>
    <n v="200000000"/>
    <m/>
    <m/>
    <m/>
    <m/>
    <m/>
    <m/>
    <m/>
    <m/>
    <m/>
    <m/>
    <m/>
    <m/>
    <m/>
    <n v="6420000"/>
    <n v="908500"/>
    <n v="908500"/>
    <m/>
    <m/>
    <m/>
    <n v="8237000"/>
    <n v="4.1184999999999999E-2"/>
    <n v="2"/>
    <m/>
    <n v="191763000"/>
    <s v="EN EJECUCIÓN"/>
    <n v="3"/>
  </r>
  <r>
    <x v="1"/>
    <s v="ASMUCOSORURAL"/>
    <x v="2"/>
    <s v="03-042-21"/>
    <n v="303530"/>
    <s v="ATLÁNTICO"/>
    <d v="2022-01-27T00:00:00"/>
    <n v="199999000"/>
    <m/>
    <m/>
    <m/>
    <m/>
    <m/>
    <m/>
    <m/>
    <m/>
    <m/>
    <m/>
    <m/>
    <m/>
    <m/>
    <n v="6300000"/>
    <m/>
    <n v="1817000"/>
    <m/>
    <m/>
    <m/>
    <n v="8117000"/>
    <n v="4.0585202926014627E-2"/>
    <n v="3"/>
    <m/>
    <n v="191882000"/>
    <s v="EN EJECUCIÓN"/>
    <n v="2"/>
  </r>
  <r>
    <x v="1"/>
    <s v="ASOPROAGROGAR"/>
    <x v="2"/>
    <s v="03-040-21"/>
    <n v="303527"/>
    <s v="CESAR"/>
    <d v="2022-01-27T00:00:00"/>
    <n v="159944000"/>
    <m/>
    <m/>
    <m/>
    <m/>
    <m/>
    <m/>
    <m/>
    <m/>
    <m/>
    <m/>
    <m/>
    <n v="6420000"/>
    <m/>
    <m/>
    <m/>
    <m/>
    <m/>
    <m/>
    <m/>
    <n v="6420000"/>
    <n v="4.013904866703346E-2"/>
    <n v="3"/>
    <m/>
    <n v="153524000"/>
    <s v="EN EJECUCIÓN"/>
    <n v="1"/>
  </r>
  <r>
    <x v="0"/>
    <s v="ASVIDEVER"/>
    <x v="2"/>
    <s v="08-020-21"/>
    <n v="303247"/>
    <s v="CAQUETÁ"/>
    <d v="2022-01-27T00:00:00"/>
    <n v="160000000"/>
    <m/>
    <m/>
    <m/>
    <m/>
    <m/>
    <m/>
    <m/>
    <m/>
    <m/>
    <m/>
    <m/>
    <m/>
    <m/>
    <m/>
    <m/>
    <n v="6420000"/>
    <m/>
    <m/>
    <m/>
    <n v="6420000"/>
    <n v="4.0125000000000001E-2"/>
    <n v="2"/>
    <m/>
    <n v="153580000"/>
    <s v="EN EJECUCIÓN"/>
    <n v="1"/>
  </r>
  <r>
    <x v="7"/>
    <s v="ASODELICIA"/>
    <x v="2"/>
    <s v="04-027-21"/>
    <n v="302954"/>
    <s v="CÓRDOBA"/>
    <d v="2021-12-14T00:00:00"/>
    <n v="160000000"/>
    <m/>
    <m/>
    <m/>
    <m/>
    <m/>
    <m/>
    <m/>
    <m/>
    <m/>
    <m/>
    <m/>
    <m/>
    <m/>
    <m/>
    <m/>
    <n v="6420000"/>
    <m/>
    <m/>
    <m/>
    <n v="6420000"/>
    <n v="4.0125000000000001E-2"/>
    <n v="2"/>
    <m/>
    <n v="153580000"/>
    <s v="EN EJECUCIÓN"/>
    <n v="1"/>
  </r>
  <r>
    <x v="3"/>
    <s v="CHOCORICO ACMR"/>
    <x v="2"/>
    <s v="02-019-21"/>
    <n v="302829"/>
    <s v="RISARALDA"/>
    <d v="2021-12-14T00:00:00"/>
    <n v="160000000"/>
    <m/>
    <m/>
    <m/>
    <m/>
    <m/>
    <m/>
    <m/>
    <m/>
    <m/>
    <m/>
    <m/>
    <m/>
    <m/>
    <m/>
    <m/>
    <n v="6420000"/>
    <m/>
    <m/>
    <m/>
    <n v="6420000"/>
    <n v="4.0125000000000001E-2"/>
    <n v="2"/>
    <m/>
    <n v="153580000"/>
    <s v="EN EJECUCIÓN"/>
    <n v="1"/>
  </r>
  <r>
    <x v="0"/>
    <s v="ASOAPICAQ"/>
    <x v="2"/>
    <s v="08-016-21"/>
    <n v="302844"/>
    <s v="CAQUETÁ"/>
    <d v="2021-12-14T00:00:00"/>
    <n v="185000000"/>
    <m/>
    <m/>
    <m/>
    <m/>
    <m/>
    <m/>
    <m/>
    <m/>
    <m/>
    <m/>
    <m/>
    <m/>
    <m/>
    <m/>
    <n v="7370000"/>
    <m/>
    <m/>
    <m/>
    <m/>
    <n v="7370000"/>
    <n v="3.9837837837837835E-2"/>
    <n v="2"/>
    <m/>
    <n v="177630000"/>
    <s v="EN EJECUCIÓN"/>
    <n v="1"/>
  </r>
  <r>
    <x v="1"/>
    <s v="ASOPORCAN"/>
    <x v="2"/>
    <s v="03-027-21"/>
    <n v="303808"/>
    <s v="CESAR"/>
    <d v="2022-01-27T00:00:00"/>
    <n v="164437000"/>
    <m/>
    <m/>
    <m/>
    <m/>
    <m/>
    <m/>
    <m/>
    <m/>
    <m/>
    <m/>
    <m/>
    <m/>
    <m/>
    <m/>
    <n v="6420000"/>
    <m/>
    <m/>
    <m/>
    <m/>
    <n v="6420000"/>
    <n v="3.9042307996375508E-2"/>
    <n v="2"/>
    <m/>
    <n v="158017000"/>
    <s v="EN EJECUCIÓN"/>
    <n v="1"/>
  </r>
  <r>
    <x v="3"/>
    <s v="COOP ALAGRO"/>
    <x v="2"/>
    <s v="02-040-21"/>
    <n v="302592"/>
    <s v="ANTIOQUIA"/>
    <d v="2021-12-14T00:00:00"/>
    <n v="164782000"/>
    <m/>
    <m/>
    <m/>
    <m/>
    <m/>
    <m/>
    <m/>
    <m/>
    <m/>
    <m/>
    <m/>
    <m/>
    <m/>
    <m/>
    <m/>
    <n v="6420000"/>
    <m/>
    <m/>
    <m/>
    <n v="6420000"/>
    <n v="3.8960566081246741E-2"/>
    <n v="2"/>
    <m/>
    <n v="158362000"/>
    <s v="EN EJECUCIÓN"/>
    <n v="1"/>
  </r>
  <r>
    <x v="2"/>
    <s v="AGROSANIB"/>
    <x v="2"/>
    <s v="05-057-21"/>
    <n v="303861"/>
    <s v="HUILA"/>
    <d v="2022-01-27T00:00:00"/>
    <n v="164803000"/>
    <m/>
    <m/>
    <m/>
    <m/>
    <m/>
    <m/>
    <m/>
    <m/>
    <m/>
    <m/>
    <m/>
    <n v="6420000"/>
    <m/>
    <m/>
    <m/>
    <m/>
    <m/>
    <m/>
    <m/>
    <n v="6420000"/>
    <n v="3.8955601536379801E-2"/>
    <n v="2"/>
    <m/>
    <n v="158383000"/>
    <s v="EN EJECUCIÓN"/>
    <n v="1"/>
  </r>
  <r>
    <x v="1"/>
    <s v="ASOFUACA"/>
    <x v="2"/>
    <s v="03-035-21"/>
    <n v="302782"/>
    <s v="CESAR"/>
    <d v="2021-12-14T00:00:00"/>
    <n v="168896000"/>
    <m/>
    <m/>
    <m/>
    <m/>
    <m/>
    <m/>
    <m/>
    <m/>
    <m/>
    <m/>
    <m/>
    <m/>
    <m/>
    <m/>
    <m/>
    <n v="6420000"/>
    <m/>
    <m/>
    <m/>
    <n v="6420000"/>
    <n v="3.8011557408109131E-2"/>
    <n v="2"/>
    <m/>
    <n v="162476000"/>
    <s v="EN EJECUCIÓN"/>
    <n v="1"/>
  </r>
  <r>
    <x v="5"/>
    <s v="AMECSAR"/>
    <x v="2"/>
    <s v="07-049-21"/>
    <n v="303820"/>
    <s v="ARAUCA"/>
    <d v="2022-01-27T00:00:00"/>
    <n v="170000000"/>
    <m/>
    <m/>
    <m/>
    <m/>
    <m/>
    <m/>
    <m/>
    <m/>
    <m/>
    <m/>
    <m/>
    <m/>
    <m/>
    <m/>
    <n v="6420000"/>
    <m/>
    <m/>
    <m/>
    <m/>
    <n v="6420000"/>
    <n v="3.7764705882352943E-2"/>
    <n v="3"/>
    <m/>
    <n v="163580000"/>
    <s v="EN EJECUCIÓN"/>
    <n v="1"/>
  </r>
  <r>
    <x v="6"/>
    <s v="ASOMOCRI"/>
    <x v="2"/>
    <s v="06-024-21"/>
    <n v="303318"/>
    <s v="SANTANDER"/>
    <d v="2021-12-14T00:00:00"/>
    <n v="170000000"/>
    <m/>
    <m/>
    <m/>
    <m/>
    <m/>
    <m/>
    <m/>
    <m/>
    <m/>
    <m/>
    <m/>
    <m/>
    <m/>
    <m/>
    <m/>
    <n v="6420000"/>
    <m/>
    <m/>
    <m/>
    <n v="6420000"/>
    <n v="3.7764705882352943E-2"/>
    <n v="3"/>
    <m/>
    <n v="163580000"/>
    <s v="EN EJECUCIÓN"/>
    <n v="1"/>
  </r>
  <r>
    <x v="2"/>
    <s v="APROSPAB"/>
    <x v="2"/>
    <s v="05-018-21"/>
    <n v="302867"/>
    <s v="CUNDINAMARCA"/>
    <d v="2021-12-14T00:00:00"/>
    <n v="173352000"/>
    <m/>
    <m/>
    <m/>
    <m/>
    <m/>
    <m/>
    <m/>
    <m/>
    <m/>
    <m/>
    <m/>
    <n v="6420000"/>
    <m/>
    <m/>
    <m/>
    <m/>
    <m/>
    <m/>
    <m/>
    <n v="6420000"/>
    <n v="3.7034473210577325E-2"/>
    <n v="3"/>
    <m/>
    <n v="166932000"/>
    <s v="EN EJECUCIÓN"/>
    <n v="1"/>
  </r>
  <r>
    <x v="3"/>
    <s v="AMESAA"/>
    <x v="2"/>
    <s v="02-036-21"/>
    <n v="302571"/>
    <s v="ANTIOQUIA"/>
    <d v="2021-12-14T00:00:00"/>
    <n v="173720000"/>
    <m/>
    <m/>
    <m/>
    <m/>
    <m/>
    <m/>
    <m/>
    <m/>
    <m/>
    <m/>
    <m/>
    <m/>
    <m/>
    <n v="6420000"/>
    <m/>
    <m/>
    <m/>
    <m/>
    <m/>
    <n v="6420000"/>
    <n v="3.6956021183513703E-2"/>
    <n v="4"/>
    <m/>
    <n v="167300000"/>
    <s v="EN EJECUCIÓN"/>
    <n v="1"/>
  </r>
  <r>
    <x v="4"/>
    <s v="ASOCAMPECHAGUI"/>
    <x v="2"/>
    <s v="01-031-21"/>
    <n v="303437"/>
    <s v="NARIÑO"/>
    <d v="2022-01-27T00:00:00"/>
    <n v="171302000"/>
    <m/>
    <m/>
    <m/>
    <m/>
    <m/>
    <m/>
    <m/>
    <m/>
    <m/>
    <m/>
    <m/>
    <m/>
    <m/>
    <n v="6330000"/>
    <m/>
    <m/>
    <m/>
    <m/>
    <m/>
    <n v="6330000"/>
    <n v="3.6952283102357243E-2"/>
    <n v="3"/>
    <m/>
    <n v="164972000"/>
    <s v="EN EJECUCIÓN"/>
    <n v="1"/>
  </r>
  <r>
    <x v="2"/>
    <s v="FUNDACIÓN POLICARPA SALAVARRIETA POR LA PAZ Y NO REPETICIÓN "/>
    <x v="2"/>
    <s v="05-065-21"/>
    <n v="303851"/>
    <s v="TOLIMA"/>
    <d v="2022-01-27T00:00:00"/>
    <n v="174289570"/>
    <m/>
    <m/>
    <m/>
    <m/>
    <m/>
    <m/>
    <m/>
    <m/>
    <m/>
    <m/>
    <m/>
    <m/>
    <m/>
    <m/>
    <n v="6420000"/>
    <m/>
    <m/>
    <m/>
    <m/>
    <n v="6420000"/>
    <n v="3.6835250669331507E-2"/>
    <n v="2"/>
    <m/>
    <n v="167869570"/>
    <s v="EN EJECUCIÓN"/>
    <n v="1"/>
  </r>
  <r>
    <x v="1"/>
    <s v="AFROPALMAR"/>
    <x v="2"/>
    <s v="03-021-21"/>
    <n v="303382"/>
    <s v="ATLÁNTICO"/>
    <d v="2022-01-27T00:00:00"/>
    <n v="174997000"/>
    <m/>
    <m/>
    <m/>
    <m/>
    <m/>
    <m/>
    <m/>
    <m/>
    <m/>
    <m/>
    <m/>
    <m/>
    <n v="6420000"/>
    <m/>
    <m/>
    <m/>
    <m/>
    <m/>
    <m/>
    <n v="6420000"/>
    <n v="3.6686343194454761E-2"/>
    <n v="3"/>
    <m/>
    <n v="168577000"/>
    <s v="EN EJECUCIÓN"/>
    <n v="1"/>
  </r>
  <r>
    <x v="5"/>
    <s v="ASOGANCRAVO"/>
    <x v="2"/>
    <s v="07-001-21"/>
    <n v="302480"/>
    <s v="ARAUCA"/>
    <d v="2021-12-14T00:00:00"/>
    <n v="175000000"/>
    <m/>
    <m/>
    <m/>
    <m/>
    <m/>
    <m/>
    <m/>
    <m/>
    <m/>
    <m/>
    <m/>
    <n v="6420000"/>
    <m/>
    <m/>
    <m/>
    <m/>
    <m/>
    <m/>
    <m/>
    <n v="6420000"/>
    <n v="3.6685714285714287E-2"/>
    <n v="3"/>
    <m/>
    <n v="168580000"/>
    <s v="EN EJECUCIÓN"/>
    <n v="1"/>
  </r>
  <r>
    <x v="1"/>
    <s v="PROFUTAL EAT"/>
    <x v="2"/>
    <s v="03-052-21"/>
    <n v="303596"/>
    <s v="ATLÁNTICO"/>
    <d v="2022-01-27T00:00:00"/>
    <n v="175000000"/>
    <m/>
    <m/>
    <m/>
    <m/>
    <m/>
    <m/>
    <m/>
    <m/>
    <m/>
    <m/>
    <m/>
    <m/>
    <n v="6420000"/>
    <m/>
    <m/>
    <m/>
    <m/>
    <m/>
    <m/>
    <n v="6420000"/>
    <n v="3.6685714285714287E-2"/>
    <n v="3"/>
    <m/>
    <n v="168580000"/>
    <s v="EN EJECUCIÓN"/>
    <n v="1"/>
  </r>
  <r>
    <x v="5"/>
    <s v="APICPAZ"/>
    <x v="2"/>
    <s v="07-025-21"/>
    <n v="303015"/>
    <s v="CASANARE"/>
    <d v="2021-12-14T00:00:00"/>
    <n v="175000000"/>
    <m/>
    <m/>
    <m/>
    <m/>
    <m/>
    <m/>
    <m/>
    <m/>
    <m/>
    <m/>
    <m/>
    <m/>
    <n v="6420000"/>
    <m/>
    <m/>
    <m/>
    <m/>
    <m/>
    <m/>
    <n v="6420000"/>
    <n v="3.6685714285714287E-2"/>
    <n v="3"/>
    <m/>
    <n v="168580000"/>
    <s v="EN EJECUCIÓN"/>
    <n v="1"/>
  </r>
  <r>
    <x v="3"/>
    <s v="CACAOQUÍN"/>
    <x v="2"/>
    <s v="02-024-21"/>
    <n v="303010"/>
    <s v="QUINDÍO"/>
    <d v="2021-12-14T00:00:00"/>
    <n v="175000000"/>
    <m/>
    <m/>
    <m/>
    <m/>
    <m/>
    <m/>
    <m/>
    <m/>
    <m/>
    <m/>
    <m/>
    <m/>
    <m/>
    <m/>
    <m/>
    <n v="6420000"/>
    <m/>
    <m/>
    <m/>
    <n v="6420000"/>
    <n v="3.6685714285714287E-2"/>
    <n v="2"/>
    <m/>
    <n v="168580000"/>
    <s v="EN EJECUCIÓN"/>
    <n v="1"/>
  </r>
  <r>
    <x v="5"/>
    <s v="AFRO NUEVO VIVIR"/>
    <x v="2"/>
    <s v="07-036-21"/>
    <n v="303652"/>
    <s v="META"/>
    <d v="2022-01-27T00:00:00"/>
    <n v="175000000"/>
    <m/>
    <m/>
    <m/>
    <m/>
    <m/>
    <m/>
    <m/>
    <m/>
    <m/>
    <m/>
    <m/>
    <m/>
    <m/>
    <m/>
    <m/>
    <n v="6420000"/>
    <m/>
    <m/>
    <m/>
    <n v="6420000"/>
    <n v="3.6685714285714287E-2"/>
    <n v="3"/>
    <m/>
    <n v="168580000"/>
    <s v="EN EJECUCIÓN"/>
    <n v="1"/>
  </r>
  <r>
    <x v="1"/>
    <s v="ASMUDEVICSAR"/>
    <x v="2"/>
    <s v="03-026-21"/>
    <n v="303446"/>
    <s v="BOLÍVAR"/>
    <d v="2022-01-27T00:00:00"/>
    <n v="199969000"/>
    <m/>
    <m/>
    <m/>
    <m/>
    <m/>
    <m/>
    <m/>
    <m/>
    <m/>
    <m/>
    <m/>
    <n v="6420000"/>
    <m/>
    <m/>
    <m/>
    <n v="908500"/>
    <m/>
    <m/>
    <m/>
    <n v="7328500"/>
    <n v="3.6648180467972538E-2"/>
    <n v="3"/>
    <m/>
    <n v="192640500"/>
    <s v="EN EJECUCIÓN"/>
    <n v="2"/>
  </r>
  <r>
    <x v="5"/>
    <s v="ASOMUCASS"/>
    <x v="2"/>
    <s v="07-026-21"/>
    <n v="303434"/>
    <s v="CASANARE"/>
    <d v="2022-01-27T00:00:00"/>
    <n v="200000000"/>
    <m/>
    <m/>
    <m/>
    <m/>
    <m/>
    <m/>
    <m/>
    <m/>
    <m/>
    <m/>
    <m/>
    <m/>
    <n v="6420000"/>
    <n v="908500"/>
    <m/>
    <m/>
    <m/>
    <m/>
    <m/>
    <n v="7328500"/>
    <n v="3.6642500000000001E-2"/>
    <n v="3"/>
    <m/>
    <n v="192671500"/>
    <s v="EN EJECUCIÓN"/>
    <n v="2"/>
  </r>
  <r>
    <x v="1"/>
    <s v="ASOMUPIASAG"/>
    <x v="2"/>
    <s v="03-051-21"/>
    <n v="303821"/>
    <s v="ATLÁNTICO"/>
    <d v="2022-01-27T00:00:00"/>
    <n v="200000000"/>
    <m/>
    <m/>
    <m/>
    <m/>
    <m/>
    <m/>
    <m/>
    <m/>
    <m/>
    <m/>
    <m/>
    <m/>
    <m/>
    <m/>
    <n v="7328500"/>
    <m/>
    <m/>
    <m/>
    <m/>
    <n v="7328500"/>
    <n v="3.6642500000000001E-2"/>
    <n v="2"/>
    <m/>
    <n v="192671500"/>
    <s v="EN EJECUCIÓN"/>
    <n v="1"/>
  </r>
  <r>
    <x v="5"/>
    <s v="ASOPISAM"/>
    <x v="2"/>
    <s v="07-046-21"/>
    <n v="303658"/>
    <s v="META"/>
    <d v="2022-01-27T00:00:00"/>
    <n v="200000000"/>
    <m/>
    <m/>
    <m/>
    <m/>
    <m/>
    <m/>
    <m/>
    <m/>
    <m/>
    <m/>
    <m/>
    <n v="6420000"/>
    <m/>
    <m/>
    <m/>
    <n v="908500"/>
    <m/>
    <m/>
    <m/>
    <n v="7328500"/>
    <n v="3.6642500000000001E-2"/>
    <n v="3"/>
    <m/>
    <n v="192671500"/>
    <s v="EN EJECUCIÓN"/>
    <n v="2"/>
  </r>
  <r>
    <x v="1"/>
    <s v="ASOMUPIASAG"/>
    <x v="2"/>
    <s v="03-050-21"/>
    <n v="303831"/>
    <s v="ATLÁNTICO"/>
    <d v="2022-01-27T00:00:00"/>
    <n v="200000000"/>
    <m/>
    <m/>
    <m/>
    <m/>
    <m/>
    <m/>
    <m/>
    <m/>
    <m/>
    <m/>
    <m/>
    <m/>
    <m/>
    <m/>
    <n v="6420000"/>
    <n v="908500"/>
    <m/>
    <m/>
    <m/>
    <n v="7328500"/>
    <n v="3.6642500000000001E-2"/>
    <n v="2"/>
    <m/>
    <n v="192671500"/>
    <s v="EN EJECUCIÓN"/>
    <n v="2"/>
  </r>
  <r>
    <x v="4"/>
    <s v="ASOCIACIÓN EL BUEN DESARROLLO DE SAN ISIDRO"/>
    <x v="2"/>
    <s v="01-042-21"/>
    <n v="303322"/>
    <s v="CHOCÓ"/>
    <d v="2021-12-14T00:00:00"/>
    <n v="178895000"/>
    <m/>
    <m/>
    <m/>
    <m/>
    <m/>
    <m/>
    <m/>
    <m/>
    <m/>
    <m/>
    <m/>
    <m/>
    <n v="6420000"/>
    <m/>
    <m/>
    <m/>
    <m/>
    <m/>
    <m/>
    <n v="6420000"/>
    <n v="3.5886972805276841E-2"/>
    <n v="2"/>
    <m/>
    <n v="172475000"/>
    <s v="EN EJECUCIÓN"/>
    <n v="1"/>
  </r>
  <r>
    <x v="4"/>
    <s v="EMPRENDEDORES DIVINA LUZ"/>
    <x v="2"/>
    <s v="01-028-21"/>
    <n v="303659"/>
    <s v="NARIÑO"/>
    <d v="2022-01-27T00:00:00"/>
    <n v="179000000"/>
    <m/>
    <m/>
    <m/>
    <m/>
    <m/>
    <m/>
    <m/>
    <m/>
    <m/>
    <m/>
    <m/>
    <m/>
    <m/>
    <n v="6420000"/>
    <m/>
    <m/>
    <m/>
    <m/>
    <m/>
    <n v="6420000"/>
    <n v="3.5865921787709497E-2"/>
    <n v="2"/>
    <m/>
    <n v="172580000"/>
    <s v="EN EJECUCIÓN"/>
    <n v="1"/>
  </r>
  <r>
    <x v="5"/>
    <s v="ASOPROLAC"/>
    <x v="2"/>
    <s v="07-019-21"/>
    <n v="302643"/>
    <s v="CASANARE"/>
    <d v="2021-12-14T00:00:00"/>
    <n v="180000000"/>
    <m/>
    <m/>
    <m/>
    <m/>
    <m/>
    <m/>
    <m/>
    <m/>
    <m/>
    <m/>
    <m/>
    <m/>
    <m/>
    <m/>
    <n v="6420000"/>
    <m/>
    <m/>
    <m/>
    <m/>
    <n v="6420000"/>
    <n v="3.5666666666666666E-2"/>
    <n v="4"/>
    <m/>
    <n v="173580000"/>
    <s v="EN EJECUCIÓN"/>
    <n v="1"/>
  </r>
  <r>
    <x v="4"/>
    <s v="CREANDO SEMILLAS DE ESPERANZA "/>
    <x v="2"/>
    <s v="01-062-21"/>
    <n v="303912"/>
    <s v="VALLE_DEL_CAUCA"/>
    <d v="2022-02-08T00:00:00"/>
    <n v="181102000"/>
    <m/>
    <m/>
    <m/>
    <m/>
    <m/>
    <m/>
    <m/>
    <m/>
    <m/>
    <m/>
    <m/>
    <m/>
    <m/>
    <n v="6420000"/>
    <m/>
    <m/>
    <m/>
    <m/>
    <m/>
    <n v="6420000"/>
    <n v="3.544963611666354E-2"/>
    <n v="3"/>
    <m/>
    <n v="174682000"/>
    <s v="EN EJECUCIÓN"/>
    <n v="1"/>
  </r>
  <r>
    <x v="4"/>
    <s v="ANMUCIC"/>
    <x v="2"/>
    <s v="01-014-21"/>
    <n v="303727"/>
    <s v="NARIÑO"/>
    <d v="2022-01-27T00:00:00"/>
    <n v="199048000"/>
    <m/>
    <m/>
    <m/>
    <m/>
    <m/>
    <m/>
    <m/>
    <m/>
    <m/>
    <m/>
    <m/>
    <m/>
    <m/>
    <m/>
    <n v="500000"/>
    <n v="6420000"/>
    <m/>
    <m/>
    <m/>
    <n v="6920000"/>
    <n v="3.4765483702423536E-2"/>
    <n v="2"/>
    <m/>
    <n v="192128000"/>
    <s v="EN EJECUCIÓN"/>
    <n v="2"/>
  </r>
  <r>
    <x v="4"/>
    <s v="ASPROLG"/>
    <x v="2"/>
    <s v="01-013-21"/>
    <n v="303371"/>
    <s v="CAUCA"/>
    <d v="2022-01-27T00:00:00"/>
    <n v="184966000"/>
    <m/>
    <m/>
    <m/>
    <m/>
    <m/>
    <m/>
    <m/>
    <m/>
    <m/>
    <m/>
    <m/>
    <m/>
    <m/>
    <m/>
    <n v="6420000"/>
    <m/>
    <m/>
    <m/>
    <m/>
    <n v="6420000"/>
    <n v="3.4709081669063502E-2"/>
    <n v="3"/>
    <m/>
    <n v="178546000"/>
    <s v="EN EJECUCIÓN"/>
    <n v="1"/>
  </r>
  <r>
    <x v="6"/>
    <s v="ASPROGUAVATA"/>
    <x v="2"/>
    <s v="06-003-21"/>
    <n v="303260"/>
    <s v="SANTANDER"/>
    <d v="2021-12-14T00:00:00"/>
    <n v="200000000"/>
    <m/>
    <m/>
    <m/>
    <m/>
    <m/>
    <m/>
    <m/>
    <m/>
    <m/>
    <m/>
    <m/>
    <m/>
    <m/>
    <m/>
    <m/>
    <n v="6920000"/>
    <m/>
    <m/>
    <m/>
    <n v="6920000"/>
    <n v="3.4599999999999999E-2"/>
    <n v="3"/>
    <m/>
    <n v="193080000"/>
    <s v="EN EJECUCIÓN"/>
    <n v="1"/>
  </r>
  <r>
    <x v="1"/>
    <s v="ASPOAGRO"/>
    <x v="2"/>
    <s v="03-012-21"/>
    <n v="302825"/>
    <s v="BOLÍVAR"/>
    <d v="2021-12-14T00:00:00"/>
    <n v="186213000"/>
    <m/>
    <m/>
    <m/>
    <m/>
    <m/>
    <m/>
    <m/>
    <m/>
    <m/>
    <m/>
    <m/>
    <m/>
    <m/>
    <m/>
    <m/>
    <n v="6420000"/>
    <m/>
    <m/>
    <m/>
    <n v="6420000"/>
    <n v="3.4476647709880619E-2"/>
    <n v="2"/>
    <m/>
    <n v="179793000"/>
    <s v="EN EJECUCIÓN"/>
    <n v="1"/>
  </r>
  <r>
    <x v="5"/>
    <s v="AGROSARDI"/>
    <x v="2"/>
    <s v="07-040-21"/>
    <n v="303650"/>
    <s v="META"/>
    <d v="2022-01-27T00:00:00"/>
    <n v="200000000"/>
    <m/>
    <m/>
    <m/>
    <m/>
    <m/>
    <m/>
    <m/>
    <m/>
    <m/>
    <m/>
    <m/>
    <n v="6420000"/>
    <m/>
    <m/>
    <m/>
    <n v="454250"/>
    <m/>
    <m/>
    <m/>
    <n v="6874250"/>
    <n v="3.4371249999999999E-2"/>
    <n v="3"/>
    <m/>
    <n v="193125750"/>
    <s v="EN EJECUCIÓN"/>
    <n v="2"/>
  </r>
  <r>
    <x v="5"/>
    <s v="ASOVISAN"/>
    <x v="2"/>
    <s v="07-044-21"/>
    <n v="303651"/>
    <s v="META"/>
    <d v="2022-01-27T00:00:00"/>
    <n v="200000000"/>
    <m/>
    <m/>
    <m/>
    <m/>
    <m/>
    <m/>
    <m/>
    <m/>
    <m/>
    <m/>
    <m/>
    <n v="6420000"/>
    <m/>
    <m/>
    <m/>
    <n v="454250"/>
    <m/>
    <m/>
    <m/>
    <n v="6874250"/>
    <n v="3.4371249999999999E-2"/>
    <n v="3"/>
    <m/>
    <n v="193125750"/>
    <s v="EN EJECUCIÓN"/>
    <n v="2"/>
  </r>
  <r>
    <x v="2"/>
    <s v="ASDEPLATANO"/>
    <x v="2"/>
    <s v="05-061-21"/>
    <n v="303811"/>
    <s v="HUILA"/>
    <d v="2022-01-27T00:00:00"/>
    <n v="186933000"/>
    <m/>
    <m/>
    <m/>
    <m/>
    <m/>
    <m/>
    <m/>
    <m/>
    <m/>
    <m/>
    <m/>
    <m/>
    <m/>
    <n v="6420000"/>
    <m/>
    <m/>
    <m/>
    <m/>
    <m/>
    <n v="6420000"/>
    <n v="3.4343855819999679E-2"/>
    <n v="2"/>
    <m/>
    <n v="180513000"/>
    <s v="EN EJECUCIÓN"/>
    <n v="1"/>
  </r>
  <r>
    <x v="7"/>
    <s v="ASOMAGAM"/>
    <x v="2"/>
    <s v="04-058-21"/>
    <n v="303581"/>
    <s v="CÓRDOBA"/>
    <d v="2022-01-27T00:00:00"/>
    <n v="189829000"/>
    <m/>
    <m/>
    <m/>
    <m/>
    <m/>
    <m/>
    <m/>
    <m/>
    <m/>
    <m/>
    <m/>
    <m/>
    <m/>
    <m/>
    <m/>
    <n v="6420000"/>
    <m/>
    <m/>
    <m/>
    <n v="6420000"/>
    <n v="3.3819911604654716E-2"/>
    <n v="2"/>
    <m/>
    <n v="183409000"/>
    <s v="EN EJECUCIÓN"/>
    <n v="1"/>
  </r>
  <r>
    <x v="4"/>
    <s v="ASOPLAYBA"/>
    <x v="2"/>
    <s v="01-059-21"/>
    <n v="303669"/>
    <s v="VALLE_DEL_CAUCA"/>
    <d v="2022-01-27T00:00:00"/>
    <n v="189932000"/>
    <m/>
    <m/>
    <m/>
    <m/>
    <m/>
    <m/>
    <m/>
    <m/>
    <m/>
    <m/>
    <m/>
    <m/>
    <m/>
    <n v="6420000"/>
    <m/>
    <m/>
    <m/>
    <m/>
    <m/>
    <n v="6420000"/>
    <n v="3.380157108860013E-2"/>
    <n v="2"/>
    <m/>
    <n v="183512000"/>
    <s v="EN EJECUCIÓN"/>
    <n v="1"/>
  </r>
  <r>
    <x v="3"/>
    <s v="AGROQUIM"/>
    <x v="2"/>
    <s v="02-002-21"/>
    <n v="303009"/>
    <s v="QUINDÍO"/>
    <d v="2022-01-27T00:00:00"/>
    <n v="190000000"/>
    <m/>
    <m/>
    <m/>
    <m/>
    <m/>
    <m/>
    <m/>
    <m/>
    <m/>
    <m/>
    <m/>
    <m/>
    <m/>
    <m/>
    <m/>
    <n v="6420000"/>
    <m/>
    <m/>
    <m/>
    <n v="6420000"/>
    <n v="3.3789473684210529E-2"/>
    <n v="2"/>
    <m/>
    <n v="183580000"/>
    <s v="EN EJECUCIÓN"/>
    <n v="1"/>
  </r>
  <r>
    <x v="6"/>
    <s v="PERMAPISAN"/>
    <x v="2"/>
    <s v="06-016-21"/>
    <n v="303320"/>
    <s v="NORTE_DE_SANTANDER"/>
    <d v="2021-12-14T00:00:00"/>
    <n v="190000000"/>
    <m/>
    <m/>
    <m/>
    <m/>
    <m/>
    <m/>
    <m/>
    <m/>
    <m/>
    <m/>
    <m/>
    <m/>
    <m/>
    <m/>
    <m/>
    <n v="6420000"/>
    <m/>
    <m/>
    <m/>
    <n v="6420000"/>
    <n v="3.3789473684210529E-2"/>
    <n v="3"/>
    <m/>
    <n v="183580000"/>
    <s v="EN EJECUCIÓN"/>
    <n v="1"/>
  </r>
  <r>
    <x v="4"/>
    <s v="ASOPACUY"/>
    <x v="2"/>
    <s v="01-017-21"/>
    <n v="302637"/>
    <s v="NARIÑO"/>
    <d v="2021-12-14T00:00:00"/>
    <n v="142550000"/>
    <m/>
    <m/>
    <m/>
    <m/>
    <m/>
    <m/>
    <m/>
    <m/>
    <m/>
    <m/>
    <m/>
    <m/>
    <n v="4800000"/>
    <m/>
    <m/>
    <m/>
    <m/>
    <m/>
    <m/>
    <n v="4800000"/>
    <n v="3.3672395650648897E-2"/>
    <n v="3"/>
    <m/>
    <n v="137750000"/>
    <s v="EN EJECUCIÓN"/>
    <n v="1"/>
  </r>
  <r>
    <x v="1"/>
    <s v="PROMOTORES AMBIENTALES"/>
    <x v="2"/>
    <s v="03-001-21"/>
    <n v="302761"/>
    <s v="BOLÍVAR"/>
    <d v="2021-12-14T00:00:00"/>
    <n v="191375000"/>
    <m/>
    <m/>
    <m/>
    <m/>
    <m/>
    <m/>
    <m/>
    <m/>
    <m/>
    <m/>
    <m/>
    <m/>
    <m/>
    <m/>
    <m/>
    <n v="6420000"/>
    <m/>
    <m/>
    <m/>
    <n v="6420000"/>
    <n v="3.3546701502286086E-2"/>
    <n v="1"/>
    <m/>
    <n v="184955000"/>
    <s v="EN EJECUCIÓN"/>
    <n v="1"/>
  </r>
  <r>
    <x v="4"/>
    <s v="ASIGET"/>
    <x v="2"/>
    <s v="01-009-21"/>
    <n v="302797"/>
    <s v="CAUCA"/>
    <d v="2022-01-27T00:00:00"/>
    <n v="194712000"/>
    <m/>
    <m/>
    <m/>
    <m/>
    <m/>
    <m/>
    <m/>
    <m/>
    <m/>
    <m/>
    <m/>
    <m/>
    <m/>
    <m/>
    <n v="6420000"/>
    <m/>
    <m/>
    <m/>
    <m/>
    <n v="6420000"/>
    <n v="3.2971773696536422E-2"/>
    <n v="3"/>
    <m/>
    <n v="188292000"/>
    <s v="EN EJECUCIÓN"/>
    <n v="1"/>
  </r>
  <r>
    <x v="2"/>
    <s v="ASOPAL"/>
    <x v="2"/>
    <s v="05-005-21"/>
    <n v="303648"/>
    <s v="TOLIMA"/>
    <d v="2022-01-27T00:00:00"/>
    <n v="194993080"/>
    <m/>
    <m/>
    <m/>
    <m/>
    <m/>
    <m/>
    <m/>
    <m/>
    <m/>
    <m/>
    <m/>
    <m/>
    <m/>
    <m/>
    <n v="6420000"/>
    <m/>
    <m/>
    <m/>
    <m/>
    <n v="6420000"/>
    <n v="3.2924245311679777E-2"/>
    <n v="1"/>
    <m/>
    <n v="188573080"/>
    <s v="EN EJECUCIÓN"/>
    <n v="1"/>
  </r>
  <r>
    <x v="7"/>
    <s v="ASOCIACIÓN AGROPECUARIA ESPERANZA VERDE"/>
    <x v="2"/>
    <s v="04-049-21"/>
    <n v="303828"/>
    <s v="MAGDALENA"/>
    <d v="2022-01-27T00:00:00"/>
    <n v="149604000"/>
    <m/>
    <m/>
    <m/>
    <m/>
    <m/>
    <m/>
    <m/>
    <m/>
    <m/>
    <m/>
    <m/>
    <m/>
    <m/>
    <m/>
    <m/>
    <n v="4920000"/>
    <m/>
    <m/>
    <m/>
    <n v="4920000"/>
    <n v="3.2886821207989088E-2"/>
    <n v="2"/>
    <m/>
    <n v="144684000"/>
    <s v="EN EJECUCIÓN"/>
    <n v="1"/>
  </r>
  <r>
    <x v="2"/>
    <s v="CACAOFRESTOL"/>
    <x v="2"/>
    <s v="05-028-21"/>
    <n v="303856"/>
    <s v="TOLIMA"/>
    <d v="2022-01-27T00:00:00"/>
    <n v="146901000"/>
    <m/>
    <m/>
    <m/>
    <m/>
    <m/>
    <m/>
    <m/>
    <m/>
    <m/>
    <m/>
    <m/>
    <m/>
    <m/>
    <m/>
    <m/>
    <n v="4815000"/>
    <m/>
    <m/>
    <m/>
    <n v="4815000"/>
    <n v="3.2777176465783077E-2"/>
    <n v="1"/>
    <m/>
    <n v="142086000"/>
    <s v="EN EJECUCIÓN"/>
    <n v="1"/>
  </r>
  <r>
    <x v="7"/>
    <s v="FORVIPAZ"/>
    <x v="2"/>
    <s v="04-056-21"/>
    <n v="303580"/>
    <s v="MAGDALENA"/>
    <d v="2022-01-27T00:00:00"/>
    <n v="195984000"/>
    <m/>
    <m/>
    <m/>
    <m/>
    <m/>
    <m/>
    <m/>
    <m/>
    <m/>
    <m/>
    <m/>
    <m/>
    <m/>
    <m/>
    <m/>
    <n v="6420000"/>
    <m/>
    <m/>
    <m/>
    <n v="6420000"/>
    <n v="3.2757776144991431E-2"/>
    <n v="2"/>
    <m/>
    <n v="189564000"/>
    <s v="EN EJECUCIÓN"/>
    <n v="1"/>
  </r>
  <r>
    <x v="2"/>
    <s v="ASOALTAUVA"/>
    <x v="2"/>
    <s v="05-074-21"/>
    <n v="304328"/>
    <s v="HUILA"/>
    <d v="2022-02-08T00:00:00"/>
    <n v="196000000"/>
    <m/>
    <m/>
    <m/>
    <m/>
    <m/>
    <m/>
    <m/>
    <m/>
    <m/>
    <m/>
    <m/>
    <m/>
    <m/>
    <n v="6420000"/>
    <m/>
    <m/>
    <m/>
    <m/>
    <m/>
    <n v="6420000"/>
    <n v="3.2755102040816324E-2"/>
    <n v="2"/>
    <m/>
    <n v="189580000"/>
    <s v="EN EJECUCIÓN"/>
    <n v="1"/>
  </r>
  <r>
    <x v="4"/>
    <s v="ASOCIACIÓN CERTEGUI"/>
    <x v="2"/>
    <s v="01-039-21"/>
    <n v="302798"/>
    <s v="CHOCÓ"/>
    <d v="2022-01-27T00:00:00"/>
    <n v="196917000"/>
    <m/>
    <m/>
    <m/>
    <m/>
    <m/>
    <m/>
    <m/>
    <m/>
    <m/>
    <m/>
    <m/>
    <m/>
    <n v="6420000"/>
    <m/>
    <m/>
    <m/>
    <m/>
    <m/>
    <m/>
    <n v="6420000"/>
    <n v="3.2602568594890233E-2"/>
    <n v="3"/>
    <m/>
    <n v="190497000"/>
    <s v="EN EJECUCIÓN"/>
    <n v="1"/>
  </r>
  <r>
    <x v="4"/>
    <s v="ASOCIACIÓN PEQUEÑOS PRODUCTORES BAGADO"/>
    <x v="2"/>
    <s v="01-044-21"/>
    <n v="303184"/>
    <s v="CHOCÓ"/>
    <d v="2022-01-27T00:00:00"/>
    <n v="196942000"/>
    <m/>
    <m/>
    <m/>
    <m/>
    <m/>
    <m/>
    <m/>
    <m/>
    <m/>
    <m/>
    <m/>
    <m/>
    <m/>
    <n v="6420000"/>
    <m/>
    <m/>
    <m/>
    <m/>
    <m/>
    <n v="6420000"/>
    <n v="3.2598429994617706E-2"/>
    <n v="3"/>
    <m/>
    <n v="190522000"/>
    <s v="EN EJECUCIÓN"/>
    <n v="1"/>
  </r>
  <r>
    <x v="4"/>
    <s v="ASINAGOSAN"/>
    <x v="2"/>
    <s v="01-055-21"/>
    <n v="303667"/>
    <s v="CHOCÓ"/>
    <d v="2022-01-27T00:00:00"/>
    <n v="196942000"/>
    <m/>
    <m/>
    <m/>
    <m/>
    <m/>
    <m/>
    <m/>
    <m/>
    <m/>
    <m/>
    <m/>
    <m/>
    <m/>
    <n v="6420000"/>
    <m/>
    <m/>
    <m/>
    <m/>
    <m/>
    <n v="6420000"/>
    <n v="3.2598429994617706E-2"/>
    <n v="2"/>
    <m/>
    <n v="190522000"/>
    <s v="EN EJECUCIÓN"/>
    <n v="1"/>
  </r>
  <r>
    <x v="3"/>
    <s v="TERRITORIO NUESTRO"/>
    <x v="2"/>
    <s v="02-005-21"/>
    <n v="302681"/>
    <s v="QUINDÍO"/>
    <d v="2021-12-14T00:00:00"/>
    <n v="200000000"/>
    <m/>
    <m/>
    <m/>
    <m/>
    <m/>
    <m/>
    <m/>
    <m/>
    <m/>
    <m/>
    <m/>
    <m/>
    <m/>
    <m/>
    <m/>
    <n v="6500000"/>
    <m/>
    <m/>
    <m/>
    <n v="6500000"/>
    <n v="3.2500000000000001E-2"/>
    <n v="3"/>
    <m/>
    <n v="193500000"/>
    <s v="EN EJECUCIÓN"/>
    <n v="1"/>
  </r>
  <r>
    <x v="7"/>
    <s v="ASUCVICONT"/>
    <x v="2"/>
    <s v="04-040-21"/>
    <n v="303103"/>
    <s v="CÓRDOBA"/>
    <d v="2022-01-27T00:00:00"/>
    <n v="198142000"/>
    <m/>
    <m/>
    <m/>
    <m/>
    <m/>
    <m/>
    <m/>
    <m/>
    <m/>
    <m/>
    <m/>
    <m/>
    <m/>
    <m/>
    <n v="6420000"/>
    <m/>
    <m/>
    <m/>
    <m/>
    <n v="6420000"/>
    <n v="3.2401005339604931E-2"/>
    <n v="2"/>
    <m/>
    <n v="191722000"/>
    <s v="EN EJECUCIÓN"/>
    <n v="1"/>
  </r>
  <r>
    <x v="4"/>
    <s v="ASOMUEMPRA"/>
    <x v="2"/>
    <s v="01-053-21"/>
    <n v="303477"/>
    <s v="CHOCÓ"/>
    <d v="2022-01-27T00:00:00"/>
    <n v="198342000"/>
    <m/>
    <m/>
    <m/>
    <m/>
    <m/>
    <m/>
    <m/>
    <m/>
    <m/>
    <m/>
    <m/>
    <m/>
    <n v="6420000"/>
    <m/>
    <m/>
    <m/>
    <m/>
    <m/>
    <m/>
    <n v="6420000"/>
    <n v="3.2368333484587231E-2"/>
    <n v="3"/>
    <m/>
    <n v="191922000"/>
    <s v="EN EJECUCIÓN"/>
    <n v="1"/>
  </r>
  <r>
    <x v="7"/>
    <s v="AAGROSAN"/>
    <x v="2"/>
    <s v="04-025-21"/>
    <n v="302560"/>
    <s v="CÓRDOBA"/>
    <d v="2021-12-14T00:00:00"/>
    <n v="199142000"/>
    <m/>
    <m/>
    <m/>
    <m/>
    <m/>
    <m/>
    <m/>
    <m/>
    <m/>
    <m/>
    <m/>
    <m/>
    <m/>
    <m/>
    <n v="6420000"/>
    <m/>
    <m/>
    <m/>
    <m/>
    <n v="6420000"/>
    <n v="3.2238302316939672E-2"/>
    <n v="2"/>
    <m/>
    <n v="192722000"/>
    <s v="EN EJECUCIÓN"/>
    <n v="1"/>
  </r>
  <r>
    <x v="2"/>
    <s v="ASOPROPLATANO"/>
    <x v="2"/>
    <s v="05-073-21"/>
    <n v="303886"/>
    <s v="HUILA"/>
    <d v="2022-01-27T00:00:00"/>
    <n v="199200000"/>
    <m/>
    <m/>
    <m/>
    <m/>
    <m/>
    <m/>
    <m/>
    <m/>
    <m/>
    <m/>
    <m/>
    <m/>
    <m/>
    <n v="6420000"/>
    <m/>
    <m/>
    <m/>
    <m/>
    <m/>
    <n v="6420000"/>
    <n v="3.2228915662650605E-2"/>
    <n v="2"/>
    <m/>
    <n v="192780000"/>
    <s v="EN EJECUCIÓN"/>
    <n v="1"/>
  </r>
  <r>
    <x v="4"/>
    <s v="AGROCAMPO EMPRENDER S.A.S"/>
    <x v="2"/>
    <s v="01-043-21"/>
    <n v="303472"/>
    <s v="CHOCÓ"/>
    <d v="2022-01-27T00:00:00"/>
    <n v="199205000"/>
    <m/>
    <m/>
    <m/>
    <m/>
    <m/>
    <m/>
    <m/>
    <m/>
    <m/>
    <m/>
    <m/>
    <m/>
    <n v="6420000"/>
    <m/>
    <m/>
    <m/>
    <m/>
    <m/>
    <m/>
    <n v="6420000"/>
    <n v="3.2228106724228808E-2"/>
    <n v="3"/>
    <m/>
    <n v="192785000"/>
    <s v="EN EJECUCIÓN"/>
    <n v="1"/>
  </r>
  <r>
    <x v="7"/>
    <s v="ASOGACORO"/>
    <x v="2"/>
    <s v="04-057-21"/>
    <n v="303854"/>
    <s v="CÓRDOBA"/>
    <d v="2022-01-27T00:00:00"/>
    <n v="199380000"/>
    <m/>
    <m/>
    <m/>
    <m/>
    <m/>
    <m/>
    <m/>
    <m/>
    <m/>
    <m/>
    <m/>
    <m/>
    <m/>
    <m/>
    <m/>
    <n v="6420000"/>
    <m/>
    <m/>
    <m/>
    <n v="6420000"/>
    <n v="3.2199819440264822E-2"/>
    <n v="2"/>
    <m/>
    <n v="192960000"/>
    <s v="EN EJECUCIÓN"/>
    <n v="1"/>
  </r>
  <r>
    <x v="2"/>
    <s v="ASOLANDES"/>
    <x v="2"/>
    <s v="05-021-21"/>
    <n v="303025"/>
    <s v="TOLIMA"/>
    <d v="2022-01-27T00:00:00"/>
    <n v="199451000"/>
    <m/>
    <m/>
    <m/>
    <m/>
    <m/>
    <m/>
    <m/>
    <m/>
    <m/>
    <m/>
    <m/>
    <m/>
    <m/>
    <m/>
    <n v="6420000"/>
    <m/>
    <m/>
    <m/>
    <m/>
    <n v="6420000"/>
    <n v="3.2188357040075007E-2"/>
    <n v="1"/>
    <m/>
    <n v="193031000"/>
    <s v="EN EJECUCIÓN"/>
    <n v="1"/>
  </r>
  <r>
    <x v="0"/>
    <s v="ASOPOBECA"/>
    <x v="2"/>
    <s v="08-025-21"/>
    <n v="302778"/>
    <s v="CAQUETÁ"/>
    <d v="2021-12-14T00:00:00"/>
    <n v="199452000"/>
    <m/>
    <m/>
    <m/>
    <m/>
    <m/>
    <m/>
    <m/>
    <m/>
    <m/>
    <m/>
    <m/>
    <m/>
    <m/>
    <m/>
    <n v="6420000"/>
    <m/>
    <m/>
    <m/>
    <m/>
    <n v="6420000"/>
    <n v="3.2188195656097707E-2"/>
    <n v="2"/>
    <m/>
    <n v="193032000"/>
    <s v="EN EJECUCIÓN"/>
    <n v="1"/>
  </r>
  <r>
    <x v="1"/>
    <s v="ASOMUSACEAS"/>
    <x v="2"/>
    <s v="03-045-21"/>
    <n v="303575"/>
    <s v="CESAR"/>
    <d v="2022-01-27T00:00:00"/>
    <n v="199508000"/>
    <m/>
    <m/>
    <m/>
    <m/>
    <m/>
    <m/>
    <m/>
    <m/>
    <m/>
    <m/>
    <m/>
    <m/>
    <m/>
    <m/>
    <m/>
    <n v="6420000"/>
    <m/>
    <m/>
    <m/>
    <n v="6420000"/>
    <n v="3.2179160735409107E-2"/>
    <n v="2"/>
    <m/>
    <n v="193088000"/>
    <s v="EN EJECUCIÓN"/>
    <n v="1"/>
  </r>
  <r>
    <x v="4"/>
    <s v="COOPERATIVA MULTIACTIVA HÉROES DE MURRY"/>
    <x v="2"/>
    <s v="01-045-21"/>
    <n v="302764"/>
    <s v="CHOCÓ"/>
    <d v="2021-12-14T00:00:00"/>
    <n v="199585000"/>
    <m/>
    <m/>
    <m/>
    <m/>
    <m/>
    <m/>
    <m/>
    <m/>
    <m/>
    <m/>
    <m/>
    <m/>
    <n v="6420000"/>
    <m/>
    <m/>
    <m/>
    <m/>
    <m/>
    <m/>
    <n v="6420000"/>
    <n v="3.2166745997945737E-2"/>
    <n v="3"/>
    <m/>
    <n v="193165000"/>
    <s v="EN EJECUCIÓN"/>
    <n v="1"/>
  </r>
  <r>
    <x v="3"/>
    <s v="ASDEPAN"/>
    <x v="2"/>
    <s v="02-035-21"/>
    <n v="302570"/>
    <s v="ANTIOQUIA"/>
    <d v="2021-12-14T00:00:00"/>
    <n v="199622000"/>
    <m/>
    <m/>
    <m/>
    <m/>
    <m/>
    <m/>
    <m/>
    <m/>
    <m/>
    <m/>
    <m/>
    <m/>
    <m/>
    <n v="6420000"/>
    <m/>
    <m/>
    <m/>
    <m/>
    <m/>
    <n v="6420000"/>
    <n v="3.2160783881536106E-2"/>
    <n v="3"/>
    <m/>
    <n v="193202000"/>
    <s v="EN EJECUCIÓN"/>
    <n v="1"/>
  </r>
  <r>
    <x v="2"/>
    <s v="COAGROANDES"/>
    <x v="2"/>
    <s v="05-008-21"/>
    <n v="303022"/>
    <s v="TOLIMA"/>
    <d v="2022-01-27T00:00:00"/>
    <n v="199653000"/>
    <m/>
    <m/>
    <m/>
    <m/>
    <m/>
    <m/>
    <m/>
    <m/>
    <m/>
    <m/>
    <m/>
    <m/>
    <m/>
    <n v="6420000"/>
    <m/>
    <m/>
    <m/>
    <m/>
    <m/>
    <n v="6420000"/>
    <n v="3.2155790296163847E-2"/>
    <n v="3"/>
    <m/>
    <n v="193233000"/>
    <s v="EN EJECUCIÓN"/>
    <n v="1"/>
  </r>
  <r>
    <x v="2"/>
    <s v="RESGUARDO INDÍGENA OLIRCO"/>
    <x v="2"/>
    <s v="05-014-21"/>
    <n v="303448"/>
    <s v="TOLIMA"/>
    <d v="2022-01-27T00:00:00"/>
    <n v="199801000"/>
    <m/>
    <m/>
    <m/>
    <m/>
    <m/>
    <m/>
    <m/>
    <m/>
    <m/>
    <m/>
    <m/>
    <n v="6420000"/>
    <m/>
    <m/>
    <m/>
    <m/>
    <m/>
    <m/>
    <m/>
    <n v="6420000"/>
    <n v="3.2131971311454899E-2"/>
    <n v="3"/>
    <m/>
    <n v="193381000"/>
    <s v="EN EJECUCIÓN"/>
    <n v="1"/>
  </r>
  <r>
    <x v="2"/>
    <s v="ASPROBIT"/>
    <x v="2"/>
    <s v="05-042-21"/>
    <n v="303489"/>
    <s v="HUILA"/>
    <d v="2022-01-27T00:00:00"/>
    <n v="199851000"/>
    <m/>
    <m/>
    <m/>
    <m/>
    <m/>
    <m/>
    <m/>
    <m/>
    <m/>
    <m/>
    <m/>
    <m/>
    <n v="6420000"/>
    <m/>
    <m/>
    <m/>
    <m/>
    <m/>
    <m/>
    <n v="6420000"/>
    <n v="3.212393232958554E-2"/>
    <n v="1"/>
    <m/>
    <n v="193431000"/>
    <s v="EN EJECUCIÓN"/>
    <n v="1"/>
  </r>
  <r>
    <x v="4"/>
    <s v="PANILECEM"/>
    <x v="2"/>
    <s v="01-050-21"/>
    <n v="303890"/>
    <s v="CHOCÓ"/>
    <d v="2022-02-08T00:00:00"/>
    <n v="199928000"/>
    <m/>
    <m/>
    <m/>
    <m/>
    <m/>
    <m/>
    <m/>
    <m/>
    <m/>
    <m/>
    <m/>
    <m/>
    <m/>
    <n v="6420000"/>
    <m/>
    <m/>
    <m/>
    <m/>
    <m/>
    <n v="6420000"/>
    <n v="3.2111560161658198E-2"/>
    <n v="3"/>
    <m/>
    <n v="193508000"/>
    <s v="EN EJECUCIÓN"/>
    <n v="1"/>
  </r>
  <r>
    <x v="2"/>
    <s v="RESGUARDO INDÍGENA EL VERGEL"/>
    <x v="2"/>
    <s v="05-040-21"/>
    <n v="303863"/>
    <s v="TOLIMA"/>
    <d v="2022-01-27T00:00:00"/>
    <n v="199934000"/>
    <m/>
    <m/>
    <m/>
    <m/>
    <m/>
    <m/>
    <m/>
    <m/>
    <m/>
    <m/>
    <n v="6420000"/>
    <m/>
    <m/>
    <m/>
    <m/>
    <m/>
    <m/>
    <m/>
    <m/>
    <n v="6420000"/>
    <n v="3.211059649684396E-2"/>
    <n v="3"/>
    <m/>
    <n v="193514000"/>
    <s v="EN EJECUCIÓN"/>
    <n v="1"/>
  </r>
  <r>
    <x v="2"/>
    <s v="COOMPLAC"/>
    <x v="2"/>
    <s v="05-027-21"/>
    <n v="303257"/>
    <s v="TOLIMA"/>
    <d v="2022-01-27T00:00:00"/>
    <n v="199934000"/>
    <m/>
    <m/>
    <m/>
    <m/>
    <m/>
    <m/>
    <m/>
    <m/>
    <m/>
    <m/>
    <m/>
    <n v="6420000"/>
    <m/>
    <m/>
    <m/>
    <m/>
    <m/>
    <m/>
    <m/>
    <n v="6420000"/>
    <n v="3.211059649684396E-2"/>
    <n v="3"/>
    <m/>
    <n v="193514000"/>
    <s v="EN EJECUCIÓN"/>
    <n v="1"/>
  </r>
  <r>
    <x v="2"/>
    <s v="AMEG"/>
    <x v="2"/>
    <s v="05-015-21"/>
    <n v="302503"/>
    <s v="CUNDINAMARCA"/>
    <d v="2021-12-14T00:00:00"/>
    <n v="199935000"/>
    <m/>
    <m/>
    <m/>
    <m/>
    <m/>
    <m/>
    <m/>
    <m/>
    <m/>
    <m/>
    <m/>
    <n v="6420000"/>
    <m/>
    <m/>
    <m/>
    <m/>
    <m/>
    <m/>
    <m/>
    <n v="6420000"/>
    <n v="3.211043589166479E-2"/>
    <n v="3"/>
    <m/>
    <n v="193515000"/>
    <s v="EN EJECUCIÓN"/>
    <n v="1"/>
  </r>
  <r>
    <x v="4"/>
    <s v="ASOMERDCOD"/>
    <x v="2"/>
    <s v="01-029-21"/>
    <n v="303436"/>
    <s v="CHOCÓ"/>
    <d v="2022-01-27T00:00:00"/>
    <n v="199946000"/>
    <m/>
    <m/>
    <m/>
    <m/>
    <m/>
    <m/>
    <m/>
    <m/>
    <m/>
    <m/>
    <m/>
    <m/>
    <m/>
    <n v="6420000"/>
    <m/>
    <m/>
    <m/>
    <m/>
    <m/>
    <n v="6420000"/>
    <n v="3.2108669340721992E-2"/>
    <n v="3"/>
    <m/>
    <n v="193526000"/>
    <s v="EN EJECUCIÓN"/>
    <n v="1"/>
  </r>
  <r>
    <x v="2"/>
    <s v="COPROHICACAO"/>
    <x v="2"/>
    <s v="05-004-21"/>
    <n v="303788"/>
    <s v="TOLIMA"/>
    <d v="2022-01-27T00:00:00"/>
    <n v="199971000"/>
    <m/>
    <m/>
    <m/>
    <m/>
    <m/>
    <m/>
    <m/>
    <m/>
    <m/>
    <m/>
    <m/>
    <n v="6420000"/>
    <m/>
    <m/>
    <m/>
    <m/>
    <m/>
    <m/>
    <m/>
    <n v="6420000"/>
    <n v="3.2104655175000378E-2"/>
    <n v="3"/>
    <m/>
    <n v="193551000"/>
    <s v="EN EJECUCIÓN"/>
    <n v="1"/>
  </r>
  <r>
    <x v="1"/>
    <s v="ASOANEI"/>
    <x v="2"/>
    <s v="03-037-21"/>
    <n v="302960"/>
    <s v="CESAR"/>
    <d v="2021-12-14T00:00:00"/>
    <n v="199992000"/>
    <m/>
    <m/>
    <m/>
    <m/>
    <m/>
    <m/>
    <m/>
    <m/>
    <m/>
    <m/>
    <m/>
    <n v="6420000"/>
    <m/>
    <m/>
    <m/>
    <m/>
    <m/>
    <m/>
    <m/>
    <n v="6420000"/>
    <n v="3.2101284051362054E-2"/>
    <n v="3"/>
    <m/>
    <n v="193572000"/>
    <s v="EN EJECUCIÓN"/>
    <n v="1"/>
  </r>
  <r>
    <x v="2"/>
    <s v="ASPRASAR"/>
    <x v="2"/>
    <s v="05-059-21"/>
    <n v="303494"/>
    <s v="TOLIMA"/>
    <d v="2022-01-27T00:00:00"/>
    <n v="199999000"/>
    <m/>
    <m/>
    <m/>
    <m/>
    <m/>
    <m/>
    <m/>
    <m/>
    <m/>
    <m/>
    <m/>
    <m/>
    <m/>
    <m/>
    <n v="6420000"/>
    <m/>
    <m/>
    <m/>
    <m/>
    <n v="6420000"/>
    <n v="3.2100160500802506E-2"/>
    <n v="2"/>
    <m/>
    <n v="193579000"/>
    <s v="EN EJECUCIÓN"/>
    <n v="1"/>
  </r>
  <r>
    <x v="1"/>
    <s v="ÑAMEROS DE SAN JUAN"/>
    <x v="2"/>
    <s v="03-013-21"/>
    <n v="303319"/>
    <s v="BOLÍVAR"/>
    <d v="2021-12-14T00:00:00"/>
    <n v="200000000"/>
    <m/>
    <m/>
    <m/>
    <m/>
    <m/>
    <m/>
    <m/>
    <m/>
    <m/>
    <m/>
    <m/>
    <n v="6420000"/>
    <m/>
    <m/>
    <m/>
    <m/>
    <m/>
    <m/>
    <m/>
    <n v="6420000"/>
    <n v="3.2099999999999997E-2"/>
    <n v="4"/>
    <m/>
    <n v="193580000"/>
    <s v="EN EJECUCIÓN"/>
    <n v="1"/>
  </r>
  <r>
    <x v="1"/>
    <s v="APROFPHOR"/>
    <x v="2"/>
    <s v="03-014-21"/>
    <n v="302553"/>
    <s v="BOLÍVAR"/>
    <d v="2021-12-14T00:00:00"/>
    <n v="200000000"/>
    <m/>
    <m/>
    <m/>
    <m/>
    <m/>
    <m/>
    <m/>
    <m/>
    <m/>
    <m/>
    <m/>
    <n v="6420000"/>
    <m/>
    <m/>
    <m/>
    <m/>
    <m/>
    <m/>
    <m/>
    <n v="6420000"/>
    <n v="3.2099999999999997E-2"/>
    <n v="3"/>
    <m/>
    <n v="193580000"/>
    <s v="EN EJECUCIÓN"/>
    <n v="1"/>
  </r>
  <r>
    <x v="2"/>
    <s v="ASOPROUVAR"/>
    <x v="2"/>
    <s v="05-075-21"/>
    <n v="304080"/>
    <s v="HUILA"/>
    <d v="2022-02-08T00:00:00"/>
    <n v="200000000"/>
    <m/>
    <m/>
    <m/>
    <m/>
    <m/>
    <m/>
    <m/>
    <m/>
    <m/>
    <m/>
    <m/>
    <n v="6420000"/>
    <m/>
    <m/>
    <m/>
    <m/>
    <m/>
    <m/>
    <m/>
    <n v="6420000"/>
    <n v="3.2099999999999997E-2"/>
    <n v="2"/>
    <m/>
    <n v="193580000"/>
    <s v="EN EJECUCIÓN"/>
    <n v="1"/>
  </r>
  <r>
    <x v="1"/>
    <s v="ASOACUILAS"/>
    <x v="2"/>
    <s v="03-024-21"/>
    <n v="303391"/>
    <s v="BOLÍVAR"/>
    <d v="2022-01-27T00:00:00"/>
    <n v="200000000"/>
    <m/>
    <m/>
    <m/>
    <m/>
    <m/>
    <m/>
    <m/>
    <m/>
    <m/>
    <m/>
    <m/>
    <m/>
    <n v="6420000"/>
    <m/>
    <m/>
    <m/>
    <m/>
    <m/>
    <m/>
    <n v="6420000"/>
    <n v="3.2099999999999997E-2"/>
    <n v="3"/>
    <m/>
    <n v="193580000"/>
    <s v="EN EJECUCIÓN"/>
    <n v="1"/>
  </r>
  <r>
    <x v="6"/>
    <s v="ASOPRACON"/>
    <x v="2"/>
    <s v="06-031-21"/>
    <n v="303253"/>
    <s v="NORTE_DE_SANTANDER"/>
    <d v="2021-12-14T00:00:00"/>
    <n v="200000000"/>
    <m/>
    <m/>
    <m/>
    <m/>
    <m/>
    <m/>
    <m/>
    <m/>
    <m/>
    <m/>
    <m/>
    <m/>
    <n v="6420000"/>
    <m/>
    <m/>
    <m/>
    <m/>
    <m/>
    <m/>
    <n v="6420000"/>
    <n v="3.2099999999999997E-2"/>
    <n v="3"/>
    <m/>
    <n v="193580000"/>
    <s v="EN EJECUCIÓN"/>
    <n v="1"/>
  </r>
  <r>
    <x v="6"/>
    <s v="ACST"/>
    <x v="2"/>
    <s v="06-033-21"/>
    <n v="303234"/>
    <s v="NORTE_DE_SANTANDER"/>
    <d v="2021-12-14T00:00:00"/>
    <n v="200000000"/>
    <m/>
    <m/>
    <m/>
    <m/>
    <m/>
    <m/>
    <m/>
    <m/>
    <m/>
    <m/>
    <m/>
    <m/>
    <n v="6420000"/>
    <m/>
    <m/>
    <m/>
    <m/>
    <m/>
    <m/>
    <n v="6420000"/>
    <n v="3.2099999999999997E-2"/>
    <n v="3"/>
    <m/>
    <n v="193580000"/>
    <s v="EN EJECUCIÓN"/>
    <n v="1"/>
  </r>
  <r>
    <x v="2"/>
    <s v="ASALGRPO"/>
    <x v="2"/>
    <s v="05-047-21"/>
    <n v="303846"/>
    <s v="HUILA"/>
    <d v="2022-01-27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2"/>
    <m/>
    <n v="193580000"/>
    <s v="EN EJECUCIÓN"/>
    <n v="1"/>
  </r>
  <r>
    <x v="5"/>
    <s v="ASOMUJORPZA"/>
    <x v="2"/>
    <s v="07-018-21"/>
    <n v="302979"/>
    <s v="CASANARE"/>
    <d v="2021-12-14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2"/>
    <m/>
    <n v="193580000"/>
    <s v="EN EJECUCIÓN"/>
    <n v="1"/>
  </r>
  <r>
    <x v="4"/>
    <s v="ASPCAM"/>
    <x v="2"/>
    <s v="01-024-21"/>
    <n v="303019"/>
    <s v="CAUCA"/>
    <d v="2021-12-14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3"/>
    <m/>
    <n v="193580000"/>
    <s v="EN EJECUCIÓN"/>
    <n v="1"/>
  </r>
  <r>
    <x v="4"/>
    <s v="ASODICAMTH"/>
    <x v="2"/>
    <s v="01-057-21"/>
    <n v="303668"/>
    <s v="CHOCÓ"/>
    <d v="2022-01-27T00:00:00"/>
    <n v="200000000"/>
    <m/>
    <m/>
    <m/>
    <m/>
    <m/>
    <m/>
    <m/>
    <m/>
    <m/>
    <m/>
    <m/>
    <m/>
    <m/>
    <n v="6420000"/>
    <m/>
    <m/>
    <m/>
    <m/>
    <m/>
    <n v="6420000"/>
    <n v="3.2099999999999997E-2"/>
    <n v="2"/>
    <m/>
    <n v="193580000"/>
    <s v="EN EJECUCIÓN"/>
    <n v="1"/>
  </r>
  <r>
    <x v="1"/>
    <s v="ASOCALIMA"/>
    <x v="2"/>
    <s v="03-025-21"/>
    <n v="302712"/>
    <s v="BOLÍVAR"/>
    <d v="2021-12-14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1"/>
    <s v="ASOPRONIS"/>
    <x v="2"/>
    <s v="03-058-21"/>
    <n v="304694"/>
    <s v="BOLÍVAR"/>
    <d v="2022-03-23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7"/>
    <s v="ASPROCABS"/>
    <x v="2"/>
    <s v="04-022-21"/>
    <n v="303662"/>
    <s v="CÓRDOBA"/>
    <d v="2022-01-27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2"/>
    <s v="ASOFRUMORAS"/>
    <x v="2"/>
    <s v="05-003-21"/>
    <n v="302461"/>
    <s v="BOYACÁ"/>
    <d v="2021-12-14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1"/>
    <m/>
    <n v="193580000"/>
    <s v="EN EJECUCIÓN"/>
    <n v="1"/>
  </r>
  <r>
    <x v="5"/>
    <s v="COAGRANCC"/>
    <x v="2"/>
    <s v="07-034-21"/>
    <n v="302646"/>
    <s v="META"/>
    <d v="2021-12-14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3"/>
    <m/>
    <n v="193580000"/>
    <s v="EN EJECUCIÓN"/>
    <n v="1"/>
  </r>
  <r>
    <x v="4"/>
    <s v="ASOCOEMPRENDER"/>
    <x v="2"/>
    <s v="01-032-21"/>
    <n v="303438"/>
    <s v="NARIÑO"/>
    <d v="2022-01-27T00:00:00"/>
    <n v="200000000"/>
    <m/>
    <m/>
    <m/>
    <m/>
    <m/>
    <m/>
    <m/>
    <m/>
    <m/>
    <m/>
    <m/>
    <m/>
    <m/>
    <m/>
    <n v="6420000"/>
    <m/>
    <m/>
    <m/>
    <m/>
    <n v="6420000"/>
    <n v="3.2099999999999997E-2"/>
    <n v="2"/>
    <m/>
    <n v="193580000"/>
    <s v="EN EJECUCIÓN"/>
    <n v="1"/>
  </r>
  <r>
    <x v="7"/>
    <s v="COOLCAN"/>
    <x v="2"/>
    <s v="04-050-21"/>
    <n v="303105"/>
    <s v="MAGDALENA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1"/>
    <m/>
    <n v="193580000"/>
    <s v="EN EJECUCIÓN"/>
    <n v="1"/>
  </r>
  <r>
    <x v="2"/>
    <s v="COOPREVERDECER"/>
    <x v="2"/>
    <s v="05-034-21"/>
    <n v="303829"/>
    <s v="BOYACÁ"/>
    <d v="2022-01-27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2"/>
    <m/>
    <n v="193580000"/>
    <s v="EN EJECUCIÓN"/>
    <n v="1"/>
  </r>
  <r>
    <x v="3"/>
    <s v="ASOMURVI"/>
    <x v="2"/>
    <s v="02-026-21"/>
    <n v="302730"/>
    <s v="RISARALDA"/>
    <d v="2022-01-27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2"/>
    <m/>
    <n v="193580000"/>
    <s v="EN EJECUCIÓN"/>
    <n v="1"/>
  </r>
  <r>
    <x v="5"/>
    <s v="ASOCAMPESINOS"/>
    <x v="2"/>
    <s v="07-035-21"/>
    <n v="302645"/>
    <s v="CASANARE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COAGRONVALIA"/>
    <x v="2"/>
    <s v="06-002-21"/>
    <n v="302774"/>
    <s v="NORTE_DE_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ASOESANLUIS"/>
    <x v="2"/>
    <s v="06-012-21"/>
    <n v="303317"/>
    <s v="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UNION EXPO AGRO"/>
    <x v="2"/>
    <s v="06-013-21"/>
    <n v="302776"/>
    <s v="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ASOPPROFRUCA"/>
    <x v="2"/>
    <s v="06-018-21"/>
    <n v="302952"/>
    <s v="NORTE_DE_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6"/>
    <s v="AGRAPA"/>
    <x v="2"/>
    <s v="06-021-21"/>
    <n v="302644"/>
    <s v="NORTE_DE_SANTANDER"/>
    <d v="2021-12-14T00:00:00"/>
    <n v="200000000"/>
    <m/>
    <m/>
    <m/>
    <m/>
    <m/>
    <m/>
    <m/>
    <m/>
    <m/>
    <m/>
    <m/>
    <m/>
    <m/>
    <m/>
    <m/>
    <n v="6420000"/>
    <m/>
    <m/>
    <m/>
    <n v="6420000"/>
    <n v="3.2099999999999997E-2"/>
    <n v="3"/>
    <m/>
    <n v="193580000"/>
    <s v="EN EJECUCIÓN"/>
    <n v="1"/>
  </r>
  <r>
    <x v="7"/>
    <s v="CABILDO INDIGENA MONTEGRANDE"/>
    <x v="2"/>
    <s v="04-015-21"/>
    <n v="303809"/>
    <s v="SUCRE"/>
    <d v="2022-01-27T00:00:00"/>
    <n v="199739000"/>
    <m/>
    <m/>
    <m/>
    <m/>
    <m/>
    <m/>
    <m/>
    <m/>
    <m/>
    <m/>
    <m/>
    <m/>
    <m/>
    <n v="5550000"/>
    <n v="725166"/>
    <m/>
    <m/>
    <m/>
    <m/>
    <n v="6275166"/>
    <n v="3.1416828961795144E-2"/>
    <n v="2"/>
    <m/>
    <n v="193463834"/>
    <s v="EN EJECUCIÓN"/>
    <n v="2"/>
  </r>
  <r>
    <x v="4"/>
    <s v="AGROPECUARIA PORVENIR CAMPESINO"/>
    <x v="2"/>
    <s v="01-034-21"/>
    <n v="303251"/>
    <s v="NARIÑO"/>
    <d v="2022-01-27T00:00:00"/>
    <n v="102950000"/>
    <m/>
    <m/>
    <m/>
    <m/>
    <m/>
    <m/>
    <m/>
    <m/>
    <m/>
    <m/>
    <m/>
    <m/>
    <m/>
    <n v="3210000"/>
    <m/>
    <m/>
    <m/>
    <m/>
    <m/>
    <n v="3210000"/>
    <n v="3.118018455560952E-2"/>
    <n v="2"/>
    <m/>
    <n v="99740000"/>
    <s v="EN EJECUCIÓN"/>
    <n v="1"/>
  </r>
  <r>
    <x v="7"/>
    <s v="ASOAGROCAMPTA"/>
    <x v="2"/>
    <s v="04-048-21"/>
    <n v="302983"/>
    <s v="MAGDALENA"/>
    <d v="2021-12-14T00:00:00"/>
    <n v="160000000"/>
    <m/>
    <m/>
    <m/>
    <m/>
    <m/>
    <m/>
    <m/>
    <m/>
    <m/>
    <m/>
    <m/>
    <m/>
    <m/>
    <m/>
    <m/>
    <n v="4920000"/>
    <m/>
    <m/>
    <m/>
    <n v="4920000"/>
    <n v="3.075E-2"/>
    <n v="2"/>
    <m/>
    <n v="155080000"/>
    <s v="EN EJECUCIÓN"/>
    <n v="1"/>
  </r>
  <r>
    <x v="7"/>
    <s v="ASOGAPAZ"/>
    <x v="2"/>
    <s v="04-046-21"/>
    <n v="303827"/>
    <s v="MAGDALENA"/>
    <d v="2022-01-27T00:00:00"/>
    <n v="194251000"/>
    <m/>
    <m/>
    <m/>
    <m/>
    <m/>
    <m/>
    <m/>
    <m/>
    <m/>
    <m/>
    <m/>
    <m/>
    <m/>
    <m/>
    <m/>
    <n v="5700000"/>
    <m/>
    <m/>
    <m/>
    <n v="5700000"/>
    <n v="2.9343478283252081E-2"/>
    <n v="2"/>
    <m/>
    <n v="188551000"/>
    <s v="EN EJECUCIÓN"/>
    <n v="1"/>
  </r>
  <r>
    <x v="7"/>
    <s v="ASOGOLERO"/>
    <x v="2"/>
    <s v="04-068-21"/>
    <n v="303877"/>
    <s v="CÓRDOBA"/>
    <d v="2022-01-27T00:00:00"/>
    <n v="197000000"/>
    <m/>
    <m/>
    <m/>
    <m/>
    <m/>
    <m/>
    <m/>
    <m/>
    <m/>
    <m/>
    <m/>
    <m/>
    <m/>
    <m/>
    <n v="5400000"/>
    <m/>
    <m/>
    <m/>
    <m/>
    <n v="5400000"/>
    <n v="2.7411167512690356E-2"/>
    <n v="2"/>
    <m/>
    <n v="191600000"/>
    <s v="EN EJECUCIÓN"/>
    <n v="1"/>
  </r>
  <r>
    <x v="7"/>
    <s v="ASOPROMONI"/>
    <x v="2"/>
    <s v="04-023-21"/>
    <n v="303043"/>
    <s v="CÓRDOBA"/>
    <d v="2021-12-14T00:00:00"/>
    <n v="200000000"/>
    <m/>
    <m/>
    <m/>
    <m/>
    <m/>
    <m/>
    <m/>
    <m/>
    <m/>
    <m/>
    <m/>
    <m/>
    <m/>
    <m/>
    <n v="5400000"/>
    <m/>
    <m/>
    <m/>
    <m/>
    <n v="5400000"/>
    <n v="2.7E-2"/>
    <n v="2"/>
    <m/>
    <n v="194600000"/>
    <s v="EN EJECUCIÓN"/>
    <n v="1"/>
  </r>
  <r>
    <x v="7"/>
    <s v="APROPESCAM"/>
    <x v="2"/>
    <s v="04-044-21"/>
    <n v="303826"/>
    <s v="CÓRDOBA"/>
    <d v="2022-01-27T00:00:00"/>
    <n v="200000000"/>
    <m/>
    <m/>
    <m/>
    <m/>
    <m/>
    <m/>
    <m/>
    <m/>
    <m/>
    <m/>
    <m/>
    <m/>
    <m/>
    <m/>
    <n v="5400000"/>
    <m/>
    <m/>
    <m/>
    <m/>
    <n v="5400000"/>
    <n v="2.7E-2"/>
    <n v="2"/>
    <m/>
    <n v="194600000"/>
    <s v="EN EJECUCIÓN"/>
    <n v="1"/>
  </r>
  <r>
    <x v="7"/>
    <s v="ASOPOAMOL"/>
    <x v="2"/>
    <s v="04-045-21"/>
    <n v="303770"/>
    <s v="LA_GUAJIRA"/>
    <d v="2022-01-27T00:00:00"/>
    <n v="200000000"/>
    <m/>
    <m/>
    <m/>
    <m/>
    <m/>
    <m/>
    <m/>
    <m/>
    <m/>
    <m/>
    <m/>
    <m/>
    <m/>
    <m/>
    <n v="5400000"/>
    <m/>
    <m/>
    <m/>
    <m/>
    <n v="5400000"/>
    <n v="2.7E-2"/>
    <n v="2"/>
    <m/>
    <n v="194600000"/>
    <s v="EN EJECUCIÓN"/>
    <n v="1"/>
  </r>
  <r>
    <x v="7"/>
    <s v="ASOINDUCOSTA"/>
    <x v="2"/>
    <s v="04-061-21"/>
    <n v="303586"/>
    <s v="SUCRE"/>
    <d v="2022-01-27T00:00:00"/>
    <n v="200000000"/>
    <m/>
    <m/>
    <m/>
    <m/>
    <m/>
    <m/>
    <m/>
    <m/>
    <m/>
    <m/>
    <m/>
    <m/>
    <m/>
    <m/>
    <m/>
    <n v="5400000"/>
    <m/>
    <m/>
    <m/>
    <n v="5400000"/>
    <n v="2.7E-2"/>
    <n v="2"/>
    <m/>
    <n v="194600000"/>
    <s v="EN EJECUCIÓN"/>
    <n v="1"/>
  </r>
  <r>
    <x v="7"/>
    <s v="ASAPC"/>
    <x v="2"/>
    <s v="04-028-21"/>
    <n v="303813"/>
    <s v="CÓRDOBA"/>
    <d v="2022-01-27T00:00:00"/>
    <n v="200000000"/>
    <m/>
    <m/>
    <m/>
    <m/>
    <m/>
    <m/>
    <m/>
    <m/>
    <m/>
    <m/>
    <m/>
    <m/>
    <m/>
    <m/>
    <n v="5100000"/>
    <m/>
    <m/>
    <m/>
    <m/>
    <n v="5100000"/>
    <n v="2.5499999999999998E-2"/>
    <n v="2"/>
    <m/>
    <n v="194900000"/>
    <s v="EN EJECUCIÓN"/>
    <n v="1"/>
  </r>
  <r>
    <x v="7"/>
    <s v="AJOCAMPESPUN"/>
    <x v="2"/>
    <s v="04-009-21"/>
    <n v="303447"/>
    <s v="LA_GUAJIRA"/>
    <d v="2022-01-27T00:00:00"/>
    <n v="194491000"/>
    <m/>
    <m/>
    <m/>
    <m/>
    <m/>
    <m/>
    <m/>
    <m/>
    <m/>
    <m/>
    <m/>
    <m/>
    <m/>
    <m/>
    <m/>
    <n v="4800000"/>
    <m/>
    <m/>
    <m/>
    <n v="4800000"/>
    <n v="2.4679805235203685E-2"/>
    <n v="2"/>
    <m/>
    <n v="189691000"/>
    <s v="EN EJECUCIÓN"/>
    <n v="1"/>
  </r>
  <r>
    <x v="7"/>
    <s v="HUEVOS PARA LA VIDA"/>
    <x v="2"/>
    <s v="04-002-21"/>
    <n v="302814"/>
    <s v="LA_GUAJIRA"/>
    <d v="2021-12-14T00:00:00"/>
    <n v="200000000"/>
    <m/>
    <m/>
    <m/>
    <m/>
    <m/>
    <m/>
    <m/>
    <m/>
    <m/>
    <m/>
    <m/>
    <m/>
    <m/>
    <m/>
    <m/>
    <n v="4920000"/>
    <m/>
    <m/>
    <m/>
    <n v="4920000"/>
    <n v="2.46E-2"/>
    <n v="2"/>
    <m/>
    <n v="195080000"/>
    <s v="EN EJECUCIÓN"/>
    <n v="1"/>
  </r>
  <r>
    <x v="7"/>
    <s v="ASOHURI"/>
    <x v="2"/>
    <s v="04-005-21"/>
    <n v="302818"/>
    <s v="LA_GUAJIRA"/>
    <d v="2021-12-14T00:00:00"/>
    <n v="200000000"/>
    <m/>
    <m/>
    <m/>
    <m/>
    <m/>
    <m/>
    <m/>
    <m/>
    <m/>
    <m/>
    <m/>
    <m/>
    <m/>
    <m/>
    <m/>
    <n v="4920000"/>
    <m/>
    <m/>
    <m/>
    <n v="4920000"/>
    <n v="2.46E-2"/>
    <n v="2"/>
    <m/>
    <n v="195080000"/>
    <s v="EN EJECUCIÓN"/>
    <n v="1"/>
  </r>
  <r>
    <x v="7"/>
    <s v="ASPROPESCA"/>
    <x v="2"/>
    <s v="04-035-21"/>
    <n v="303823"/>
    <s v="LA_GUAJIRA"/>
    <d v="2022-01-27T00:00:00"/>
    <n v="197341000"/>
    <m/>
    <m/>
    <m/>
    <m/>
    <m/>
    <m/>
    <m/>
    <m/>
    <m/>
    <m/>
    <m/>
    <m/>
    <m/>
    <m/>
    <n v="4800000"/>
    <m/>
    <m/>
    <m/>
    <m/>
    <n v="4800000"/>
    <n v="2.4323379328167992E-2"/>
    <n v="2"/>
    <m/>
    <n v="192541000"/>
    <s v="EN EJECUCIÓN"/>
    <n v="1"/>
  </r>
  <r>
    <x v="7"/>
    <s v="COPAFRODEMIN"/>
    <x v="2"/>
    <s v="04-007-21"/>
    <n v="302566"/>
    <s v="LA_GUAJIRA"/>
    <d v="2021-12-14T00:00:00"/>
    <n v="200000000"/>
    <m/>
    <m/>
    <m/>
    <m/>
    <m/>
    <m/>
    <m/>
    <m/>
    <m/>
    <m/>
    <m/>
    <m/>
    <m/>
    <m/>
    <n v="4800000"/>
    <m/>
    <m/>
    <m/>
    <m/>
    <n v="4800000"/>
    <n v="2.4E-2"/>
    <n v="2"/>
    <m/>
    <n v="195200000"/>
    <s v="EN EJECUCIÓN"/>
    <n v="1"/>
  </r>
  <r>
    <x v="7"/>
    <s v="ASPPP"/>
    <x v="2"/>
    <s v="04-010-21"/>
    <n v="302567"/>
    <s v="LA_GUAJIRA"/>
    <d v="2021-12-14T00:00:00"/>
    <n v="200000000"/>
    <m/>
    <m/>
    <m/>
    <m/>
    <m/>
    <m/>
    <m/>
    <m/>
    <m/>
    <m/>
    <m/>
    <m/>
    <m/>
    <m/>
    <m/>
    <n v="4800000"/>
    <m/>
    <m/>
    <m/>
    <n v="4800000"/>
    <n v="2.4E-2"/>
    <n v="2"/>
    <m/>
    <n v="195200000"/>
    <s v="EN EJECUCIÓN"/>
    <n v="1"/>
  </r>
  <r>
    <x v="7"/>
    <s v="ASOMASIMAI"/>
    <x v="2"/>
    <s v="04-066-21"/>
    <n v="303834"/>
    <s v="LA_GUAJIRA"/>
    <d v="2022-01-27T00:00:00"/>
    <n v="200000000"/>
    <m/>
    <m/>
    <m/>
    <m/>
    <m/>
    <m/>
    <m/>
    <m/>
    <m/>
    <m/>
    <m/>
    <m/>
    <m/>
    <m/>
    <m/>
    <n v="4800000"/>
    <m/>
    <m/>
    <m/>
    <n v="4800000"/>
    <n v="2.4E-2"/>
    <n v="2"/>
    <m/>
    <n v="195200000"/>
    <s v="EN EJECUCIÓN"/>
    <n v="1"/>
  </r>
  <r>
    <x v="4"/>
    <s v="ASOCRECER"/>
    <x v="2"/>
    <s v="01-056-21"/>
    <n v="303480"/>
    <s v="NARIÑO"/>
    <d v="2022-01-27T00:00:00"/>
    <n v="184790000"/>
    <m/>
    <m/>
    <m/>
    <m/>
    <m/>
    <m/>
    <m/>
    <m/>
    <m/>
    <m/>
    <m/>
    <m/>
    <m/>
    <n v="3210000"/>
    <m/>
    <m/>
    <m/>
    <m/>
    <m/>
    <n v="3210000"/>
    <n v="1.737106986308783E-2"/>
    <n v="2"/>
    <m/>
    <n v="181580000"/>
    <s v="EN EJECUCIÓN"/>
    <n v="1"/>
  </r>
  <r>
    <x v="3"/>
    <s v="ASORGEC"/>
    <x v="2"/>
    <s v="02-056-21"/>
    <n v="303008"/>
    <s v="QUINDÍO"/>
    <d v="2022-01-27T00:00:00"/>
    <n v="155000000"/>
    <m/>
    <m/>
    <m/>
    <m/>
    <m/>
    <m/>
    <m/>
    <m/>
    <m/>
    <m/>
    <m/>
    <m/>
    <m/>
    <m/>
    <m/>
    <n v="2500000"/>
    <m/>
    <m/>
    <m/>
    <n v="2500000"/>
    <n v="1.6129032258064516E-2"/>
    <n v="2"/>
    <m/>
    <n v="152500000"/>
    <s v="EN EJECUCIÓN"/>
    <n v="1"/>
  </r>
  <r>
    <x v="5"/>
    <s v="COGANTA"/>
    <x v="2"/>
    <s v="07-022-21"/>
    <n v="302473"/>
    <s v="CASANARE"/>
    <d v="2021-12-14T00:00:00"/>
    <n v="200000000"/>
    <m/>
    <m/>
    <m/>
    <m/>
    <m/>
    <m/>
    <m/>
    <m/>
    <m/>
    <m/>
    <m/>
    <m/>
    <m/>
    <n v="3210000"/>
    <m/>
    <m/>
    <m/>
    <m/>
    <m/>
    <n v="3210000"/>
    <n v="1.6049999999999998E-2"/>
    <n v="2"/>
    <m/>
    <n v="196790000"/>
    <s v="EN EJECUCIÓN"/>
    <n v="1"/>
  </r>
  <r>
    <x v="3"/>
    <s v="ASOPROCCACIQUE"/>
    <x v="2"/>
    <s v="02-055-21"/>
    <n v="302845"/>
    <s v="QUINDÍO"/>
    <d v="2021-12-14T00:00:00"/>
    <n v="175000000"/>
    <m/>
    <m/>
    <m/>
    <m/>
    <m/>
    <m/>
    <m/>
    <m/>
    <m/>
    <m/>
    <m/>
    <m/>
    <m/>
    <m/>
    <m/>
    <n v="2500000"/>
    <m/>
    <m/>
    <m/>
    <n v="2500000"/>
    <n v="1.4285714285714285E-2"/>
    <n v="2"/>
    <m/>
    <n v="172500000"/>
    <s v="EN EJECUCIÓN"/>
    <n v="1"/>
  </r>
  <r>
    <x v="3"/>
    <s v="AROMAQUIN"/>
    <x v="2"/>
    <s v="02-027-21"/>
    <n v="302791"/>
    <s v="QUINDÍO"/>
    <d v="2021-12-14T00:00:00"/>
    <n v="185000000"/>
    <m/>
    <m/>
    <m/>
    <m/>
    <m/>
    <m/>
    <m/>
    <m/>
    <m/>
    <m/>
    <m/>
    <m/>
    <m/>
    <m/>
    <m/>
    <n v="2500000"/>
    <m/>
    <m/>
    <m/>
    <n v="2500000"/>
    <n v="1.3513513513513514E-2"/>
    <n v="2"/>
    <m/>
    <n v="182500000"/>
    <s v="EN EJECUCIÓN"/>
    <n v="1"/>
  </r>
  <r>
    <x v="3"/>
    <s v="PROCAMSA"/>
    <x v="2"/>
    <s v="02-007-21"/>
    <n v="302687"/>
    <s v="CALDAS"/>
    <d v="2021-12-14T00:00:00"/>
    <n v="200000000"/>
    <m/>
    <m/>
    <m/>
    <m/>
    <m/>
    <m/>
    <m/>
    <m/>
    <m/>
    <m/>
    <m/>
    <m/>
    <m/>
    <m/>
    <m/>
    <n v="2500000"/>
    <m/>
    <m/>
    <m/>
    <n v="2500000"/>
    <n v="1.2500000000000001E-2"/>
    <n v="3"/>
    <m/>
    <n v="197500000"/>
    <s v="EN EJECUCIÓN"/>
    <n v="1"/>
  </r>
  <r>
    <x v="3"/>
    <s v="ASOPACAS"/>
    <x v="2"/>
    <s v="02-020-21"/>
    <n v="302253"/>
    <s v="CALDAS"/>
    <d v="2021-12-14T00:00:00"/>
    <n v="200000000"/>
    <m/>
    <m/>
    <m/>
    <m/>
    <m/>
    <m/>
    <m/>
    <m/>
    <m/>
    <m/>
    <m/>
    <m/>
    <m/>
    <m/>
    <m/>
    <n v="2500000"/>
    <m/>
    <m/>
    <m/>
    <n v="2500000"/>
    <n v="1.2500000000000001E-2"/>
    <n v="3"/>
    <m/>
    <n v="197500000"/>
    <s v="EN EJECUCIÓN"/>
    <n v="1"/>
  </r>
  <r>
    <x v="0"/>
    <s v="AMCAB"/>
    <x v="2"/>
    <s v="08-046-21"/>
    <n v="303874"/>
    <s v="VAUPÉS"/>
    <d v="2022-01-27T00:00:00"/>
    <n v="149832000"/>
    <m/>
    <m/>
    <m/>
    <m/>
    <m/>
    <m/>
    <m/>
    <m/>
    <m/>
    <m/>
    <m/>
    <m/>
    <m/>
    <m/>
    <m/>
    <m/>
    <m/>
    <m/>
    <m/>
    <n v="0"/>
    <n v="0"/>
    <n v="1"/>
    <m/>
    <n v="149832000"/>
    <s v="EN EJECUCIÓN"/>
    <n v="0"/>
  </r>
  <r>
    <x v="0"/>
    <s v="AATCAMU"/>
    <x v="2"/>
    <s v="08-048-21"/>
    <n v="305158"/>
    <s v="VAUPÉS"/>
    <d v="2022-03-23T00:00:00"/>
    <n v="148665000"/>
    <m/>
    <m/>
    <m/>
    <m/>
    <m/>
    <m/>
    <m/>
    <m/>
    <m/>
    <m/>
    <m/>
    <m/>
    <m/>
    <m/>
    <m/>
    <m/>
    <m/>
    <m/>
    <m/>
    <n v="0"/>
    <n v="0"/>
    <n v="2"/>
    <m/>
    <n v="148665000"/>
    <s v="EN EJECUCIÓN"/>
    <n v="0"/>
  </r>
  <r>
    <x v="1"/>
    <s v="ASOCAMPSUR"/>
    <x v="2"/>
    <s v="03-016-21"/>
    <n v="302826"/>
    <s v="ATLÁNTICO"/>
    <d v="2021-12-14T00:00:00"/>
    <n v="199172000"/>
    <m/>
    <m/>
    <m/>
    <m/>
    <m/>
    <m/>
    <m/>
    <m/>
    <m/>
    <m/>
    <m/>
    <m/>
    <m/>
    <m/>
    <m/>
    <m/>
    <m/>
    <m/>
    <m/>
    <n v="0"/>
    <n v="0"/>
    <n v="2"/>
    <m/>
    <n v="199172000"/>
    <s v="EN EJECUCIÓN"/>
    <n v="0"/>
  </r>
  <r>
    <x v="1"/>
    <s v="ASOCAMPRA"/>
    <x v="2"/>
    <s v="03-017-21"/>
    <n v="302830"/>
    <s v="ATLÁNTICO"/>
    <d v="2021-12-14T00:00:00"/>
    <n v="174952000"/>
    <m/>
    <m/>
    <m/>
    <m/>
    <m/>
    <m/>
    <m/>
    <m/>
    <m/>
    <m/>
    <m/>
    <m/>
    <m/>
    <m/>
    <m/>
    <m/>
    <m/>
    <m/>
    <m/>
    <n v="0"/>
    <n v="0"/>
    <n v="2"/>
    <m/>
    <n v="174952000"/>
    <s v="EN EJECUCIÓN"/>
    <n v="0"/>
  </r>
  <r>
    <x v="1"/>
    <s v="ASOGANBAR"/>
    <x v="2"/>
    <s v="03-019-21"/>
    <n v="302821"/>
    <s v="ATLÁNTICO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1"/>
    <s v="CORINTEGRAL"/>
    <x v="2"/>
    <s v="03-032-21"/>
    <n v="302767"/>
    <s v="BOLÍVAR"/>
    <d v="2021-12-14T00:00:00"/>
    <n v="150000000"/>
    <m/>
    <m/>
    <m/>
    <m/>
    <m/>
    <m/>
    <m/>
    <m/>
    <m/>
    <m/>
    <m/>
    <m/>
    <m/>
    <m/>
    <m/>
    <m/>
    <m/>
    <m/>
    <m/>
    <n v="0"/>
    <n v="0"/>
    <n v="1"/>
    <m/>
    <n v="150000000"/>
    <s v="EN EJECUCIÓN"/>
    <n v="0"/>
  </r>
  <r>
    <x v="1"/>
    <s v="AGROPEMO"/>
    <x v="2"/>
    <s v="03-033-21"/>
    <n v="302768"/>
    <s v="CESAR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1"/>
    <s v="ASOGUANBOSI"/>
    <x v="2"/>
    <s v="03-022-21"/>
    <n v="303384"/>
    <s v="ATLÁNTICO"/>
    <d v="2022-01-27T00:00:00"/>
    <n v="189998000"/>
    <m/>
    <m/>
    <m/>
    <m/>
    <m/>
    <m/>
    <m/>
    <m/>
    <m/>
    <m/>
    <m/>
    <m/>
    <m/>
    <m/>
    <m/>
    <m/>
    <m/>
    <m/>
    <m/>
    <n v="0"/>
    <n v="0"/>
    <n v="3"/>
    <m/>
    <n v="189998000"/>
    <s v="EN EJECUCIÓN"/>
    <n v="0"/>
  </r>
  <r>
    <x v="1"/>
    <s v="COOMUCAR"/>
    <x v="2"/>
    <s v="03-023-21"/>
    <n v="303389"/>
    <s v="BOLÍVAR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1"/>
    <s v="ASPRACES"/>
    <x v="2"/>
    <s v="03-038-21"/>
    <n v="303526"/>
    <s v="CESAR"/>
    <d v="2022-01-27T00:00:00"/>
    <n v="197062000"/>
    <m/>
    <m/>
    <m/>
    <m/>
    <m/>
    <m/>
    <m/>
    <m/>
    <m/>
    <m/>
    <m/>
    <m/>
    <m/>
    <m/>
    <m/>
    <m/>
    <m/>
    <m/>
    <m/>
    <n v="0"/>
    <n v="0"/>
    <n v="2"/>
    <m/>
    <n v="197062000"/>
    <s v="EN EJECUCIÓN"/>
    <n v="0"/>
  </r>
  <r>
    <x v="1"/>
    <s v="ASPRACES"/>
    <x v="2"/>
    <s v="03-039-21"/>
    <n v="303574"/>
    <s v="CESAR"/>
    <d v="2022-01-27T00:00:00"/>
    <n v="199606000"/>
    <m/>
    <m/>
    <m/>
    <m/>
    <m/>
    <m/>
    <m/>
    <m/>
    <m/>
    <m/>
    <m/>
    <m/>
    <m/>
    <m/>
    <m/>
    <m/>
    <m/>
    <m/>
    <m/>
    <n v="0"/>
    <n v="0"/>
    <n v="2"/>
    <m/>
    <n v="199606000"/>
    <s v="EN EJECUCIÓN"/>
    <n v="0"/>
  </r>
  <r>
    <x v="1"/>
    <s v="RAIZAL FAMERS"/>
    <x v="2"/>
    <s v="03-043-21"/>
    <n v="303852"/>
    <s v="SAN ANDRÉS PROVIDENCIA Y SANTA CATALINA"/>
    <d v="2022-01-27T00:00:00"/>
    <n v="175000000"/>
    <m/>
    <m/>
    <m/>
    <m/>
    <m/>
    <m/>
    <m/>
    <m/>
    <m/>
    <m/>
    <m/>
    <m/>
    <m/>
    <m/>
    <m/>
    <m/>
    <m/>
    <m/>
    <m/>
    <n v="0"/>
    <n v="0"/>
    <n v="2"/>
    <m/>
    <n v="175000000"/>
    <s v="EN EJECUCIÓN"/>
    <n v="0"/>
  </r>
  <r>
    <x v="1"/>
    <s v="CANE ROOTS ASOCIATION"/>
    <x v="2"/>
    <s v="03-044-21"/>
    <n v="303853"/>
    <s v="SAN ANDRÉS PROVIDENCIA Y SANTA CATALINA"/>
    <d v="2022-01-27T00:00:00"/>
    <n v="164916000"/>
    <m/>
    <m/>
    <m/>
    <m/>
    <m/>
    <m/>
    <m/>
    <m/>
    <m/>
    <m/>
    <m/>
    <m/>
    <m/>
    <m/>
    <m/>
    <m/>
    <m/>
    <m/>
    <m/>
    <n v="0"/>
    <n v="0"/>
    <n v="2"/>
    <m/>
    <n v="164916000"/>
    <s v="EN EJECUCIÓN"/>
    <n v="0"/>
  </r>
  <r>
    <x v="1"/>
    <s v="ASOPEMELEC"/>
    <x v="2"/>
    <s v="03-046-21"/>
    <n v="303606"/>
    <s v="CESAR"/>
    <d v="2022-01-27T00:00:00"/>
    <n v="154817000"/>
    <m/>
    <m/>
    <m/>
    <m/>
    <m/>
    <m/>
    <m/>
    <m/>
    <m/>
    <m/>
    <m/>
    <m/>
    <m/>
    <m/>
    <m/>
    <m/>
    <m/>
    <m/>
    <m/>
    <n v="0"/>
    <n v="0"/>
    <n v="1"/>
    <m/>
    <n v="154817000"/>
    <s v="EN EJECUCIÓN"/>
    <n v="0"/>
  </r>
  <r>
    <x v="1"/>
    <s v=" FAMERS ASSOCIATION - SAIFA"/>
    <x v="2"/>
    <s v="03-048-21"/>
    <n v="304079"/>
    <s v="SAN ANDRÉS PROVIDENCIA Y SANTA CATALINA"/>
    <d v="2022-02-08T00:00:00"/>
    <n v="132912000"/>
    <m/>
    <m/>
    <m/>
    <m/>
    <m/>
    <m/>
    <m/>
    <m/>
    <m/>
    <m/>
    <m/>
    <m/>
    <m/>
    <m/>
    <m/>
    <m/>
    <m/>
    <m/>
    <m/>
    <n v="0"/>
    <n v="0"/>
    <n v="2"/>
    <m/>
    <n v="132912000"/>
    <s v="EN EJECUCIÓN"/>
    <n v="0"/>
  </r>
  <r>
    <x v="1"/>
    <s v="ASVERESAI"/>
    <x v="2"/>
    <s v="03-047-21"/>
    <n v="304695"/>
    <s v="SAN ANDRÉS PROVIDENCIA Y SANTA CATALINA"/>
    <d v="2022-03-23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CODEGAF"/>
    <x v="2"/>
    <s v="04-003-21"/>
    <n v="302579"/>
    <s v="LA_GUAJIR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MUVICASARAL"/>
    <x v="2"/>
    <s v="04-008-21"/>
    <n v="302563"/>
    <s v="LA_GUAJIR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MUCAVI"/>
    <x v="2"/>
    <s v="04-011-21"/>
    <n v="302801"/>
    <s v="LA_GUAJIR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MUAFRO"/>
    <x v="2"/>
    <s v="04-014-21"/>
    <n v="302562"/>
    <s v="SUCRE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SUPERATE"/>
    <x v="2"/>
    <s v="04-030-21"/>
    <n v="302957"/>
    <s v="SUCRE"/>
    <d v="2021-12-14T00:00:00"/>
    <n v="170000000"/>
    <m/>
    <m/>
    <m/>
    <m/>
    <m/>
    <m/>
    <m/>
    <m/>
    <m/>
    <m/>
    <m/>
    <m/>
    <m/>
    <m/>
    <m/>
    <m/>
    <m/>
    <m/>
    <m/>
    <n v="0"/>
    <n v="0"/>
    <n v="2"/>
    <m/>
    <n v="170000000"/>
    <s v="EN EJECUCIÓN"/>
    <n v="0"/>
  </r>
  <r>
    <x v="7"/>
    <s v="ASOPROREN2021"/>
    <x v="2"/>
    <s v="04-031-21"/>
    <n v="303098"/>
    <s v="MAGDALEN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MUPROMAG"/>
    <x v="2"/>
    <s v="04-033-21"/>
    <n v="302580"/>
    <s v="MAGDALEN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PROFLOR"/>
    <x v="2"/>
    <s v="04-036-21"/>
    <n v="302982"/>
    <s v="SUCRE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ACOR"/>
    <x v="2"/>
    <s v="04-004-21"/>
    <n v="303439"/>
    <s v="LA_GUAJIRA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PROCA"/>
    <x v="2"/>
    <s v="04-006-21"/>
    <n v="302795"/>
    <s v="LA_GUAJIRA"/>
    <d v="2022-01-27T00:00:00"/>
    <n v="180000000"/>
    <m/>
    <m/>
    <m/>
    <m/>
    <m/>
    <m/>
    <m/>
    <m/>
    <m/>
    <m/>
    <m/>
    <m/>
    <m/>
    <m/>
    <m/>
    <m/>
    <m/>
    <m/>
    <m/>
    <n v="0"/>
    <n v="0"/>
    <n v="2"/>
    <m/>
    <n v="180000000"/>
    <s v="EN EJECUCIÓN"/>
    <n v="0"/>
  </r>
  <r>
    <x v="7"/>
    <s v="ASOPROAPEC"/>
    <x v="2"/>
    <s v="04-029-21"/>
    <n v="303814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7"/>
    <s v="COMFORTUNA"/>
    <x v="2"/>
    <s v="04-032-21"/>
    <n v="303485"/>
    <s v="MAGDALEN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7"/>
    <s v="ANUC CHIBOLO"/>
    <x v="2"/>
    <s v="04-034-21"/>
    <n v="303816"/>
    <s v="MAGDALENA"/>
    <d v="2022-01-27T00:00:00"/>
    <n v="150000000"/>
    <m/>
    <m/>
    <m/>
    <m/>
    <m/>
    <m/>
    <m/>
    <m/>
    <m/>
    <m/>
    <m/>
    <m/>
    <m/>
    <m/>
    <m/>
    <m/>
    <m/>
    <m/>
    <m/>
    <n v="0"/>
    <n v="0"/>
    <n v="2"/>
    <m/>
    <n v="150000000"/>
    <s v="EN EJECUCIÓN"/>
    <n v="0"/>
  </r>
  <r>
    <x v="7"/>
    <s v="ASOJUVENTUD"/>
    <x v="2"/>
    <s v="04-037-21"/>
    <n v="303824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PEGABAL"/>
    <x v="2"/>
    <s v="04-047-21"/>
    <n v="303192"/>
    <s v="MAGDALEN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7"/>
    <s v="ASOPRODEMETRIAS"/>
    <x v="2"/>
    <s v="04-051-21"/>
    <n v="303207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GARZAL"/>
    <x v="2"/>
    <s v="04-052-21"/>
    <n v="303577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PANELIKIDA"/>
    <x v="2"/>
    <s v="04-055-21"/>
    <n v="303579"/>
    <s v="MAGDALENA"/>
    <d v="2022-01-27T00:00:00"/>
    <n v="184501000"/>
    <m/>
    <m/>
    <m/>
    <m/>
    <m/>
    <m/>
    <m/>
    <m/>
    <m/>
    <m/>
    <m/>
    <m/>
    <m/>
    <m/>
    <m/>
    <m/>
    <m/>
    <m/>
    <m/>
    <n v="0"/>
    <n v="0"/>
    <n v="1"/>
    <m/>
    <n v="184501000"/>
    <s v="EN EJECUCIÓN"/>
    <n v="0"/>
  </r>
  <r>
    <x v="7"/>
    <s v="ASOCAMYAI"/>
    <x v="2"/>
    <s v="04-059-21"/>
    <n v="303582"/>
    <s v="MAGDALENA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OMAAT"/>
    <x v="2"/>
    <s v="04-060-21"/>
    <n v="303855"/>
    <s v="LA_GUAJIRA"/>
    <d v="2022-01-27T00:00:00"/>
    <n v="189001000"/>
    <m/>
    <m/>
    <m/>
    <m/>
    <m/>
    <m/>
    <m/>
    <m/>
    <m/>
    <m/>
    <m/>
    <m/>
    <m/>
    <m/>
    <m/>
    <m/>
    <m/>
    <m/>
    <m/>
    <n v="0"/>
    <n v="0"/>
    <n v="1"/>
    <m/>
    <n v="189001000"/>
    <s v="EN EJECUCIÓN"/>
    <n v="0"/>
  </r>
  <r>
    <x v="7"/>
    <s v="APROYUCA"/>
    <x v="2"/>
    <s v="04-063-21"/>
    <n v="303588"/>
    <s v="SUCRE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7"/>
    <s v="ASOGACER"/>
    <x v="2"/>
    <s v="04-065-21"/>
    <n v="303832"/>
    <s v="CÓRDOBA"/>
    <d v="2022-01-27T00:00:00"/>
    <n v="175000000"/>
    <m/>
    <m/>
    <m/>
    <m/>
    <m/>
    <m/>
    <m/>
    <m/>
    <m/>
    <m/>
    <m/>
    <m/>
    <m/>
    <m/>
    <m/>
    <m/>
    <m/>
    <m/>
    <m/>
    <n v="0"/>
    <n v="0"/>
    <n v="1"/>
    <m/>
    <n v="175000000"/>
    <s v="EN EJECUCIÓN"/>
    <n v="0"/>
  </r>
  <r>
    <x v="7"/>
    <s v="ANUC CIENAGA"/>
    <x v="2"/>
    <s v="04-067-21"/>
    <n v="303882"/>
    <s v="MAGDALENA"/>
    <d v="2022-01-27T00:00:00"/>
    <n v="199003000"/>
    <m/>
    <m/>
    <m/>
    <m/>
    <m/>
    <m/>
    <m/>
    <m/>
    <m/>
    <m/>
    <m/>
    <m/>
    <m/>
    <m/>
    <m/>
    <m/>
    <m/>
    <m/>
    <m/>
    <n v="0"/>
    <n v="0"/>
    <n v="1"/>
    <m/>
    <n v="199003000"/>
    <s v="EN EJECUCIÓN"/>
    <n v="0"/>
  </r>
  <r>
    <x v="7"/>
    <s v="ASOBANARCOOP"/>
    <x v="2"/>
    <s v="04-069-21"/>
    <n v="303900"/>
    <s v="MAGDALENA"/>
    <d v="2022-02-08T00:00:00"/>
    <n v="169526000"/>
    <m/>
    <m/>
    <m/>
    <m/>
    <m/>
    <m/>
    <m/>
    <m/>
    <m/>
    <m/>
    <m/>
    <m/>
    <m/>
    <m/>
    <m/>
    <m/>
    <m/>
    <m/>
    <m/>
    <n v="0"/>
    <n v="0"/>
    <n v="2"/>
    <m/>
    <n v="169526000"/>
    <s v="EN EJECUCIÓN"/>
    <n v="0"/>
  </r>
  <r>
    <x v="2"/>
    <s v="ASOFRIMAC"/>
    <x v="2"/>
    <s v="05-001-21"/>
    <n v="302763"/>
    <s v="BOYACÁ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2"/>
    <s v="APIA-NUBA"/>
    <x v="2"/>
    <s v="05-002-21"/>
    <n v="302719"/>
    <s v="BOYACÁ"/>
    <d v="2021-12-14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LPONTEZUELAS"/>
    <x v="2"/>
    <s v="05-039-21"/>
    <n v="303230"/>
    <s v="BOYACÁ"/>
    <d v="2021-12-14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AMUR"/>
    <x v="2"/>
    <s v="05-009-21"/>
    <n v="303590"/>
    <s v="CUNDINAMARC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TIERRA JOVEN"/>
    <x v="2"/>
    <s v="05-010-21"/>
    <n v="303449"/>
    <s v="TOLIMA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2"/>
    <s v="ASOOVICAP"/>
    <x v="2"/>
    <s v="05-025-21"/>
    <n v="302813"/>
    <s v="BOYACÁ"/>
    <d v="2022-01-27T00:00:00"/>
    <n v="184003000"/>
    <m/>
    <m/>
    <m/>
    <m/>
    <m/>
    <m/>
    <m/>
    <m/>
    <m/>
    <m/>
    <m/>
    <m/>
    <m/>
    <m/>
    <m/>
    <m/>
    <m/>
    <m/>
    <m/>
    <n v="0"/>
    <n v="0"/>
    <n v="2"/>
    <m/>
    <n v="184003000"/>
    <s v="EN EJECUCIÓN"/>
    <n v="0"/>
  </r>
  <r>
    <x v="2"/>
    <s v="COOPMULPROQUIRA"/>
    <x v="2"/>
    <s v="05-035-21"/>
    <n v="303591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PMAGAR"/>
    <x v="2"/>
    <s v="05-036-21"/>
    <n v="303592"/>
    <s v="BOYACÁ"/>
    <d v="2022-01-27T00:00:00"/>
    <n v="198369000"/>
    <m/>
    <m/>
    <m/>
    <m/>
    <m/>
    <m/>
    <m/>
    <m/>
    <m/>
    <m/>
    <m/>
    <m/>
    <m/>
    <m/>
    <m/>
    <m/>
    <m/>
    <m/>
    <m/>
    <n v="0"/>
    <n v="0"/>
    <n v="2"/>
    <m/>
    <n v="198369000"/>
    <s v="EN EJECUCIÓN"/>
    <n v="0"/>
  </r>
  <r>
    <x v="2"/>
    <s v="ASOMUJERES.PRO"/>
    <x v="2"/>
    <s v="05-044-21"/>
    <n v="303797"/>
    <s v="HUILA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COOCENTRAL"/>
    <x v="2"/>
    <s v="05-049-21"/>
    <n v="303862"/>
    <s v="HUILA"/>
    <d v="2022-01-27T00:00:00"/>
    <n v="108251000"/>
    <m/>
    <m/>
    <m/>
    <m/>
    <m/>
    <m/>
    <m/>
    <m/>
    <m/>
    <m/>
    <m/>
    <m/>
    <m/>
    <m/>
    <m/>
    <m/>
    <m/>
    <m/>
    <m/>
    <n v="0"/>
    <n v="0"/>
    <n v="1"/>
    <m/>
    <n v="108251000"/>
    <s v="EN EJECUCIÓN"/>
    <n v="0"/>
  </r>
  <r>
    <x v="2"/>
    <s v="ASOGASUAZA"/>
    <x v="2"/>
    <s v="05-053-21"/>
    <n v="303849"/>
    <s v="HUILA"/>
    <d v="2022-01-27T00:00:00"/>
    <n v="199820000"/>
    <m/>
    <m/>
    <m/>
    <m/>
    <m/>
    <m/>
    <m/>
    <m/>
    <m/>
    <m/>
    <m/>
    <m/>
    <m/>
    <m/>
    <m/>
    <m/>
    <m/>
    <m/>
    <m/>
    <n v="0"/>
    <n v="0"/>
    <n v="1"/>
    <m/>
    <n v="199820000"/>
    <s v="EN EJECUCIÓN"/>
    <n v="0"/>
  </r>
  <r>
    <x v="2"/>
    <s v="COORAICES"/>
    <x v="2"/>
    <s v="05-055-21"/>
    <n v="303802"/>
    <s v="HUILA"/>
    <d v="2022-01-27T00:00:00"/>
    <n v="175933000"/>
    <m/>
    <m/>
    <m/>
    <m/>
    <m/>
    <m/>
    <m/>
    <m/>
    <m/>
    <m/>
    <m/>
    <m/>
    <m/>
    <m/>
    <m/>
    <m/>
    <m/>
    <m/>
    <m/>
    <n v="0"/>
    <n v="0"/>
    <n v="1"/>
    <m/>
    <n v="175933000"/>
    <s v="EN EJECUCIÓN"/>
    <n v="0"/>
  </r>
  <r>
    <x v="2"/>
    <s v="APISURCO"/>
    <x v="2"/>
    <s v="05-056-21"/>
    <n v="303850"/>
    <s v="HUILA"/>
    <d v="2022-01-27T00:00:00"/>
    <n v="164889000"/>
    <m/>
    <m/>
    <m/>
    <m/>
    <m/>
    <m/>
    <m/>
    <m/>
    <m/>
    <m/>
    <m/>
    <m/>
    <m/>
    <m/>
    <m/>
    <m/>
    <m/>
    <m/>
    <m/>
    <n v="0"/>
    <n v="0"/>
    <n v="1"/>
    <m/>
    <n v="164889000"/>
    <s v="EN EJECUCIÓN"/>
    <n v="0"/>
  </r>
  <r>
    <x v="2"/>
    <s v="ASOPROPAZ"/>
    <x v="2"/>
    <s v="05-062-21"/>
    <n v="303812"/>
    <s v="HUILA"/>
    <d v="2022-01-27T00:00:00"/>
    <n v="198964000"/>
    <m/>
    <m/>
    <m/>
    <m/>
    <m/>
    <m/>
    <m/>
    <m/>
    <m/>
    <m/>
    <m/>
    <m/>
    <m/>
    <m/>
    <m/>
    <m/>
    <m/>
    <m/>
    <m/>
    <n v="0"/>
    <n v="0"/>
    <n v="1"/>
    <m/>
    <n v="198964000"/>
    <s v="EN EJECUCIÓN"/>
    <n v="0"/>
  </r>
  <r>
    <x v="2"/>
    <s v="ASOGANACHI"/>
    <x v="2"/>
    <s v="05-063-21"/>
    <n v="303594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2"/>
    <s v="COOPSERAGRO"/>
    <x v="2"/>
    <s v="05-064-21"/>
    <n v="303836"/>
    <s v="BOYACÁ"/>
    <d v="2022-01-27T00:00:00"/>
    <n v="199999000"/>
    <m/>
    <m/>
    <m/>
    <m/>
    <m/>
    <m/>
    <m/>
    <m/>
    <m/>
    <m/>
    <m/>
    <m/>
    <m/>
    <m/>
    <m/>
    <m/>
    <m/>
    <m/>
    <m/>
    <n v="0"/>
    <n v="0"/>
    <n v="1"/>
    <m/>
    <n v="199999000"/>
    <s v="EN EJECUCIÓN"/>
    <n v="0"/>
  </r>
  <r>
    <x v="2"/>
    <s v="ASOSABALECHE"/>
    <x v="2"/>
    <s v="05-067-21"/>
    <n v="303817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2"/>
    <s v="ASOGACHIA"/>
    <x v="2"/>
    <s v="05-068-21"/>
    <n v="303837"/>
    <s v="CUNDINAMARCA"/>
    <d v="2022-01-27T00:00:00"/>
    <n v="199538000"/>
    <m/>
    <m/>
    <m/>
    <m/>
    <m/>
    <m/>
    <m/>
    <m/>
    <m/>
    <m/>
    <m/>
    <m/>
    <m/>
    <m/>
    <m/>
    <m/>
    <m/>
    <m/>
    <m/>
    <n v="0"/>
    <n v="0"/>
    <n v="1"/>
    <m/>
    <n v="199538000"/>
    <s v="EN EJECUCIÓN"/>
    <n v="0"/>
  </r>
  <r>
    <x v="2"/>
    <s v="ANUC BERBEO"/>
    <x v="2"/>
    <s v="05-069-21"/>
    <n v="303835"/>
    <s v="BOYACÁ"/>
    <d v="2022-01-27T00:00:00"/>
    <n v="200000000"/>
    <m/>
    <m/>
    <m/>
    <m/>
    <m/>
    <m/>
    <m/>
    <m/>
    <m/>
    <m/>
    <m/>
    <m/>
    <m/>
    <m/>
    <m/>
    <m/>
    <m/>
    <m/>
    <m/>
    <n v="0"/>
    <n v="0"/>
    <n v="1"/>
    <m/>
    <n v="200000000"/>
    <s v="EN EJECUCIÓN"/>
    <n v="0"/>
  </r>
  <r>
    <x v="3"/>
    <s v="ANMUCIM"/>
    <x v="2"/>
    <s v="02-016-21"/>
    <n v="302850"/>
    <s v="RISARALD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3"/>
    <s v="ASOVICPI"/>
    <x v="2"/>
    <s v="02-033-21"/>
    <n v="302787"/>
    <s v="QUINDÍO"/>
    <d v="2021-12-14T00:00:00"/>
    <n v="160000000"/>
    <m/>
    <m/>
    <m/>
    <m/>
    <m/>
    <m/>
    <m/>
    <m/>
    <m/>
    <m/>
    <m/>
    <m/>
    <m/>
    <m/>
    <m/>
    <m/>
    <m/>
    <m/>
    <m/>
    <n v="0"/>
    <n v="0"/>
    <n v="3"/>
    <m/>
    <n v="160000000"/>
    <s v="EN EJECUCIÓN"/>
    <n v="0"/>
  </r>
  <r>
    <x v="3"/>
    <s v="LA MARIELA PIJAO"/>
    <x v="2"/>
    <s v="02-054-21"/>
    <n v="302723"/>
    <s v="QUINDÍO"/>
    <d v="2021-12-14T00:00:00"/>
    <n v="165000000"/>
    <m/>
    <m/>
    <m/>
    <m/>
    <m/>
    <m/>
    <m/>
    <m/>
    <m/>
    <m/>
    <m/>
    <m/>
    <m/>
    <m/>
    <m/>
    <m/>
    <m/>
    <m/>
    <m/>
    <n v="0"/>
    <n v="0"/>
    <n v="3"/>
    <m/>
    <n v="165000000"/>
    <s v="EN EJECUCIÓN"/>
    <n v="0"/>
  </r>
  <r>
    <x v="3"/>
    <s v="APIQUINDIO"/>
    <x v="2"/>
    <s v="02-032-21"/>
    <n v="303301"/>
    <s v="QUINDÍO"/>
    <d v="2022-01-27T00:00:00"/>
    <n v="185000000"/>
    <m/>
    <m/>
    <m/>
    <m/>
    <m/>
    <m/>
    <m/>
    <m/>
    <m/>
    <m/>
    <m/>
    <m/>
    <m/>
    <m/>
    <m/>
    <m/>
    <m/>
    <m/>
    <m/>
    <n v="0"/>
    <n v="0"/>
    <n v="3"/>
    <m/>
    <n v="185000000"/>
    <s v="EN EJECUCIÓN"/>
    <n v="0"/>
  </r>
  <r>
    <x v="5"/>
    <s v="FUNDACION LUZ Y ESPERANZA - FLE"/>
    <x v="2"/>
    <s v="07-008-21"/>
    <n v="302744"/>
    <s v="ARAUCA"/>
    <d v="2021-12-14T00:00:00"/>
    <n v="200000000"/>
    <m/>
    <m/>
    <m/>
    <m/>
    <m/>
    <m/>
    <m/>
    <m/>
    <m/>
    <m/>
    <m/>
    <m/>
    <m/>
    <m/>
    <m/>
    <m/>
    <m/>
    <m/>
    <m/>
    <n v="0"/>
    <n v="0"/>
    <n v="3"/>
    <m/>
    <n v="200000000"/>
    <s v="EN EJECUCIÓN"/>
    <n v="0"/>
  </r>
  <r>
    <x v="5"/>
    <s v="COOMULDG"/>
    <x v="2"/>
    <s v="07-042-21"/>
    <n v="302864"/>
    <s v="META"/>
    <d v="2021-12-14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4"/>
    <s v="ASPROMIEL"/>
    <x v="2"/>
    <s v="01-003-21"/>
    <n v="303321"/>
    <s v="CAUCA"/>
    <d v="2021-12-14T00:00:00"/>
    <n v="196633000"/>
    <m/>
    <m/>
    <m/>
    <m/>
    <m/>
    <m/>
    <m/>
    <m/>
    <m/>
    <m/>
    <m/>
    <m/>
    <m/>
    <m/>
    <m/>
    <m/>
    <m/>
    <m/>
    <m/>
    <n v="0"/>
    <n v="0"/>
    <n v="2"/>
    <m/>
    <n v="196633000"/>
    <s v="EN EJECUCIÓN"/>
    <n v="0"/>
  </r>
  <r>
    <x v="4"/>
    <s v="GUCOLAC"/>
    <x v="2"/>
    <s v="01-036-21"/>
    <n v="302836"/>
    <s v="NARIÑO"/>
    <d v="2021-12-14T00:00:00"/>
    <n v="154582000"/>
    <m/>
    <m/>
    <m/>
    <m/>
    <m/>
    <m/>
    <m/>
    <m/>
    <m/>
    <m/>
    <m/>
    <m/>
    <m/>
    <m/>
    <m/>
    <m/>
    <m/>
    <m/>
    <m/>
    <n v="0"/>
    <n v="0"/>
    <n v="2"/>
    <m/>
    <n v="154582000"/>
    <s v="EN EJECUCIÓN"/>
    <n v="0"/>
  </r>
  <r>
    <x v="4"/>
    <s v="ASOMED"/>
    <x v="2"/>
    <s v="01-065-21"/>
    <n v="302804"/>
    <s v="VALLE_DEL_CAUCA"/>
    <d v="2021-12-14T00:00:00"/>
    <n v="114827000"/>
    <m/>
    <m/>
    <m/>
    <m/>
    <m/>
    <m/>
    <m/>
    <m/>
    <m/>
    <m/>
    <m/>
    <m/>
    <m/>
    <m/>
    <m/>
    <m/>
    <m/>
    <m/>
    <m/>
    <n v="0"/>
    <n v="0"/>
    <n v="2"/>
    <m/>
    <n v="114827000"/>
    <s v="EN EJECUCIÓN"/>
    <n v="0"/>
  </r>
  <r>
    <x v="4"/>
    <s v="ASOMUSCUY"/>
    <x v="2"/>
    <s v="01-015-21"/>
    <n v="303444"/>
    <s v="NARIÑO"/>
    <d v="2022-01-27T00:00:00"/>
    <n v="200000000"/>
    <m/>
    <m/>
    <m/>
    <m/>
    <m/>
    <m/>
    <m/>
    <m/>
    <m/>
    <m/>
    <m/>
    <m/>
    <m/>
    <m/>
    <m/>
    <m/>
    <m/>
    <m/>
    <m/>
    <n v="0"/>
    <n v="0"/>
    <n v="2"/>
    <m/>
    <n v="200000000"/>
    <s v="EN EJECUCIÓN"/>
    <n v="0"/>
  </r>
  <r>
    <x v="4"/>
    <s v="MULTIAGRO"/>
    <x v="2"/>
    <s v="01-022-21"/>
    <n v="302794"/>
    <s v="NARIÑO"/>
    <d v="2022-01-27T00:00:00"/>
    <n v="179662000"/>
    <m/>
    <m/>
    <m/>
    <m/>
    <m/>
    <m/>
    <m/>
    <m/>
    <m/>
    <m/>
    <m/>
    <m/>
    <m/>
    <m/>
    <m/>
    <m/>
    <m/>
    <m/>
    <m/>
    <n v="0"/>
    <n v="0"/>
    <n v="2"/>
    <m/>
    <n v="179662000"/>
    <s v="EN EJECUCIÓN"/>
    <n v="0"/>
  </r>
  <r>
    <x v="4"/>
    <s v="PLANTADORES DE PAZ"/>
    <x v="2"/>
    <s v="01-023-21"/>
    <n v="303400"/>
    <s v="NARIÑO"/>
    <d v="2022-01-27T00:00:00"/>
    <n v="109792000"/>
    <m/>
    <m/>
    <m/>
    <m/>
    <m/>
    <m/>
    <m/>
    <m/>
    <m/>
    <m/>
    <m/>
    <m/>
    <m/>
    <m/>
    <m/>
    <m/>
    <m/>
    <m/>
    <m/>
    <n v="0"/>
    <n v="0"/>
    <n v="2"/>
    <m/>
    <n v="109792000"/>
    <s v="EN EJECUCIÓN"/>
    <n v="0"/>
  </r>
  <r>
    <x v="4"/>
    <s v="ASOPESUNIDO"/>
    <x v="2"/>
    <s v="01-026-21"/>
    <n v="303842"/>
    <s v="CAUCA"/>
    <d v="2022-01-27T00:00:00"/>
    <n v="187462000"/>
    <m/>
    <m/>
    <m/>
    <m/>
    <m/>
    <m/>
    <m/>
    <m/>
    <m/>
    <m/>
    <m/>
    <m/>
    <m/>
    <m/>
    <m/>
    <m/>
    <m/>
    <m/>
    <m/>
    <n v="0"/>
    <n v="0"/>
    <n v="2"/>
    <m/>
    <n v="187462000"/>
    <s v="EN EJECUCIÓN"/>
    <n v="0"/>
  </r>
  <r>
    <x v="4"/>
    <s v="ASPROUVHA"/>
    <x v="2"/>
    <s v="01-063-21"/>
    <n v="303792"/>
    <s v="VALLE_DEL_CAUCA"/>
    <d v="2022-01-27T00:00:00"/>
    <n v="149300000"/>
    <m/>
    <m/>
    <m/>
    <m/>
    <m/>
    <m/>
    <m/>
    <m/>
    <m/>
    <m/>
    <m/>
    <m/>
    <m/>
    <m/>
    <m/>
    <m/>
    <m/>
    <m/>
    <m/>
    <n v="0"/>
    <n v="0"/>
    <n v="2"/>
    <m/>
    <n v="149300000"/>
    <s v="EN EJECUCIÓN"/>
    <n v="0"/>
  </r>
  <r>
    <x v="4"/>
    <s v="ASOYOGE"/>
    <x v="2"/>
    <s v="01-071-21"/>
    <n v="303524"/>
    <s v="CAUCA"/>
    <d v="2022-01-27T00:00:00"/>
    <n v="186873000"/>
    <m/>
    <m/>
    <m/>
    <m/>
    <m/>
    <m/>
    <m/>
    <m/>
    <m/>
    <m/>
    <m/>
    <m/>
    <m/>
    <m/>
    <m/>
    <m/>
    <m/>
    <m/>
    <m/>
    <n v="0"/>
    <n v="0"/>
    <n v="2"/>
    <m/>
    <n v="186873000"/>
    <s v="EN EJECUCIÓN"/>
    <n v="0"/>
  </r>
  <r>
    <x v="4"/>
    <s v="KWESH"/>
    <x v="2"/>
    <s v="01-002-21"/>
    <n v="303767"/>
    <s v="CAUCA"/>
    <d v="2022-02-08T00:00:00"/>
    <n v="199894000"/>
    <m/>
    <m/>
    <m/>
    <m/>
    <m/>
    <m/>
    <m/>
    <m/>
    <m/>
    <m/>
    <m/>
    <m/>
    <m/>
    <m/>
    <m/>
    <m/>
    <m/>
    <m/>
    <m/>
    <n v="0"/>
    <n v="0"/>
    <n v="2"/>
    <m/>
    <n v="199894000"/>
    <s v="EN EJECUCIÓN"/>
    <n v="0"/>
  </r>
  <r>
    <x v="4"/>
    <s v="ASOCIACIÓN AGROPECUARIA NEIRA SANTA ANA"/>
    <x v="2"/>
    <s v="01-072-21"/>
    <n v="303891"/>
    <s v="NARIÑO"/>
    <d v="2022-02-08T00:00:00"/>
    <n v="193928000"/>
    <m/>
    <m/>
    <m/>
    <m/>
    <m/>
    <m/>
    <m/>
    <m/>
    <m/>
    <m/>
    <m/>
    <m/>
    <m/>
    <m/>
    <m/>
    <m/>
    <m/>
    <m/>
    <m/>
    <n v="0"/>
    <n v="0"/>
    <n v="2"/>
    <m/>
    <n v="193928000"/>
    <s v="EN EJECUCIÓN"/>
    <n v="0"/>
  </r>
  <r>
    <x v="6"/>
    <s v="APROASAN"/>
    <x v="2"/>
    <s v="06-010-21"/>
    <n v="303235"/>
    <s v="SANTANDER"/>
    <d v="2021-12-14T00:00:00"/>
    <n v="175000000"/>
    <m/>
    <m/>
    <m/>
    <m/>
    <m/>
    <m/>
    <m/>
    <m/>
    <m/>
    <m/>
    <m/>
    <m/>
    <m/>
    <m/>
    <m/>
    <m/>
    <m/>
    <m/>
    <m/>
    <n v="0"/>
    <n v="0"/>
    <n v="3"/>
    <m/>
    <n v="175000000"/>
    <s v="EN EJECUCIÓN"/>
    <n v="0"/>
  </r>
  <r>
    <x v="6"/>
    <s v="AGROVIVE"/>
    <x v="2"/>
    <s v="06-017-21"/>
    <n v="402773"/>
    <s v="SANTANDER"/>
    <d v="2022-01-27T00:00:00"/>
    <n v="150000000"/>
    <m/>
    <m/>
    <m/>
    <m/>
    <m/>
    <m/>
    <m/>
    <m/>
    <m/>
    <m/>
    <m/>
    <m/>
    <m/>
    <m/>
    <m/>
    <m/>
    <m/>
    <m/>
    <m/>
    <n v="0"/>
    <n v="0"/>
    <n v="3"/>
    <m/>
    <n v="150000000"/>
    <s v="EN EJECUCIÓN"/>
    <n v="0"/>
  </r>
  <r>
    <x v="6"/>
    <s v="AFRUCAR"/>
    <x v="2"/>
    <s v="06-020-21"/>
    <n v="303871"/>
    <s v="NORTE_DE_SANTANDER"/>
    <d v="2022-01-27T00:00:00"/>
    <n v="200000000"/>
    <m/>
    <m/>
    <m/>
    <m/>
    <m/>
    <m/>
    <m/>
    <m/>
    <m/>
    <m/>
    <m/>
    <m/>
    <m/>
    <m/>
    <m/>
    <m/>
    <m/>
    <m/>
    <m/>
    <n v="0"/>
    <n v="0"/>
    <n v="3"/>
    <m/>
    <n v="200000000"/>
    <s v="EN EJECUCIÓN"/>
    <n v="0"/>
  </r>
  <r>
    <x v="6"/>
    <s v="ASOMUR"/>
    <x v="2"/>
    <s v="06-030-21"/>
    <n v="303451"/>
    <s v="SANTANDER"/>
    <d v="2022-01-27T00:00:00"/>
    <n v="190000000"/>
    <m/>
    <m/>
    <m/>
    <m/>
    <m/>
    <m/>
    <m/>
    <m/>
    <m/>
    <m/>
    <m/>
    <m/>
    <m/>
    <m/>
    <m/>
    <m/>
    <m/>
    <m/>
    <m/>
    <n v="0"/>
    <n v="0"/>
    <n v="3"/>
    <m/>
    <n v="190000000"/>
    <s v="EN EJECUCIÓN"/>
    <n v="0"/>
  </r>
  <r>
    <x v="6"/>
    <s v="ASMURP"/>
    <x v="2"/>
    <s v="06-022-21"/>
    <n v="303913"/>
    <s v="NORTE_DE_SANTANDER"/>
    <d v="2022-02-08T00:00:00"/>
    <n v="200000000"/>
    <m/>
    <m/>
    <m/>
    <m/>
    <m/>
    <m/>
    <m/>
    <m/>
    <m/>
    <m/>
    <m/>
    <m/>
    <m/>
    <m/>
    <m/>
    <m/>
    <m/>
    <m/>
    <m/>
    <n v="0"/>
    <n v="0"/>
    <n v="4"/>
    <m/>
    <n v="200000000"/>
    <s v="EN EJECUCIÓN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a dinámica2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5" indent="0" outline="1" outlineData="1" multipleFieldFilters="0">
  <location ref="A2:E19" firstHeaderRow="0" firstDataRow="1" firstDataCol="1"/>
  <pivotFields count="34">
    <pivotField axis="axisRow" showAll="0">
      <items count="10">
        <item x="0"/>
        <item x="1"/>
        <item x="7"/>
        <item x="2"/>
        <item x="3"/>
        <item x="5"/>
        <item x="4"/>
        <item x="6"/>
        <item x="8"/>
        <item t="default"/>
      </items>
    </pivotField>
    <pivotField dataField="1" showAll="0"/>
    <pivotField axis="axisRow" showAll="0">
      <items count="4">
        <item h="1" x="0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dataField="1" showAll="0"/>
    <pivotField showAll="0"/>
    <pivotField showAll="0"/>
  </pivotFields>
  <rowFields count="2">
    <field x="0"/>
    <field x="2"/>
  </rowFields>
  <rowItems count="17">
    <i>
      <x/>
    </i>
    <i r="1">
      <x v="1"/>
    </i>
    <i>
      <x v="1"/>
    </i>
    <i r="1">
      <x v="1"/>
    </i>
    <i>
      <x v="2"/>
    </i>
    <i r="1">
      <x v="1"/>
    </i>
    <i>
      <x v="3"/>
    </i>
    <i r="1">
      <x v="1"/>
    </i>
    <i>
      <x v="4"/>
    </i>
    <i r="1">
      <x v="1"/>
    </i>
    <i>
      <x v="5"/>
    </i>
    <i r="1">
      <x v="1"/>
    </i>
    <i>
      <x v="6"/>
    </i>
    <i r="1">
      <x v="1"/>
    </i>
    <i>
      <x v="7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omedio de EJECUCIÓN %" fld="28" subtotal="average" baseField="0" baseItem="0" numFmtId="9"/>
    <dataField name="Suma de RECURSOS EJECUTADOS EN PAGOS" fld="27" baseField="0" baseItem="2" numFmtId="170"/>
    <dataField name="Cuenta de ALIANZA" fld="1" subtotal="count" baseField="0" baseItem="0"/>
    <dataField name="Suma de SALDO SIN EJECUTAR" fld="31" baseField="0" baseItem="0"/>
  </dataFields>
  <formats count="27">
    <format dxfId="2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">
      <pivotArea grandRow="1" outline="0" collapsedLevelsAreSubtotals="1" fieldPosition="0"/>
    </format>
    <format dxfId="20">
      <pivotArea dataOnly="0" labelOnly="1" grandRow="1" outline="0" fieldPosition="0"/>
    </format>
    <format dxfId="19">
      <pivotArea grandRow="1" outline="0" collapsedLevelsAreSubtotals="1" fieldPosition="0"/>
    </format>
    <format dxfId="18">
      <pivotArea dataOnly="0" labelOnly="1" grandRow="1" outline="0" fieldPosition="0"/>
    </format>
    <format dxfId="17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16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0"/>
          </reference>
          <reference field="2" count="0"/>
        </references>
      </pivotArea>
    </format>
    <format dxfId="15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1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1"/>
          </reference>
          <reference field="2" count="0"/>
        </references>
      </pivotArea>
    </format>
    <format dxfId="13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12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2"/>
          </reference>
          <reference field="2" count="0"/>
        </references>
      </pivotArea>
    </format>
    <format dxfId="11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10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3"/>
          </reference>
          <reference field="2" count="0"/>
        </references>
      </pivotArea>
    </format>
    <format dxfId="9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8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4"/>
          </reference>
          <reference field="2" count="0"/>
        </references>
      </pivotArea>
    </format>
    <format dxfId="7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6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5"/>
          </reference>
          <reference field="2" count="0"/>
        </references>
      </pivotArea>
    </format>
    <format dxfId="5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6"/>
          </reference>
          <reference field="2" count="0"/>
        </references>
      </pivotArea>
    </format>
    <format dxfId="3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2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1000000}" name="Tabla dinámica3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5" indent="0" outline="1" outlineData="1" multipleFieldFilters="0">
  <location ref="A22:E39" firstHeaderRow="0" firstDataRow="1" firstDataCol="1"/>
  <pivotFields count="34">
    <pivotField axis="axisRow" showAll="0">
      <items count="10">
        <item x="0"/>
        <item x="1"/>
        <item x="7"/>
        <item x="2"/>
        <item x="3"/>
        <item x="5"/>
        <item x="4"/>
        <item x="6"/>
        <item x="8"/>
        <item t="default"/>
      </items>
    </pivotField>
    <pivotField dataField="1" showAll="0"/>
    <pivotField axis="axisRow" showAll="0">
      <items count="4">
        <item x="0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dataField="1" showAll="0"/>
    <pivotField showAll="0"/>
    <pivotField showAll="0"/>
  </pivotFields>
  <rowFields count="2">
    <field x="0"/>
    <field x="2"/>
  </rowFields>
  <rowItems count="17">
    <i>
      <x/>
    </i>
    <i r="1">
      <x/>
    </i>
    <i>
      <x v="1"/>
    </i>
    <i r="1">
      <x/>
    </i>
    <i>
      <x v="2"/>
    </i>
    <i r="1">
      <x/>
    </i>
    <i>
      <x v="3"/>
    </i>
    <i r="1">
      <x/>
    </i>
    <i>
      <x v="4"/>
    </i>
    <i r="1">
      <x/>
    </i>
    <i>
      <x v="5"/>
    </i>
    <i r="1">
      <x/>
    </i>
    <i>
      <x v="6"/>
    </i>
    <i r="1">
      <x/>
    </i>
    <i>
      <x v="7"/>
    </i>
    <i r="1"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omedio de EJECUCIÓN %" fld="28" subtotal="average" baseField="0" baseItem="0" numFmtId="9"/>
    <dataField name="Suma de RECURSOS EJECUTADOS EN PAGOS" fld="27" baseField="0" baseItem="2" numFmtId="170"/>
    <dataField name="Cuenta de ALIANZA" fld="1" subtotal="count" baseField="0" baseItem="0"/>
    <dataField name="Suma de SALDO SIN EJECUTAR" fld="31" baseField="0" baseItem="0"/>
  </dataFields>
  <formats count="28">
    <format dxfId="5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0">
      <pivotArea outline="0" fieldPosition="0">
        <references count="1">
          <reference field="4294967294" count="1">
            <x v="0"/>
          </reference>
        </references>
      </pivotArea>
    </format>
    <format dxfId="49">
      <pivotArea grandRow="1" outline="0" collapsedLevelsAreSubtotals="1" fieldPosition="0"/>
    </format>
    <format dxfId="48">
      <pivotArea dataOnly="0" labelOnly="1" grandRow="1" outline="0" fieldPosition="0"/>
    </format>
    <format dxfId="47">
      <pivotArea grandRow="1" outline="0" collapsedLevelsAreSubtotals="1" fieldPosition="0"/>
    </format>
    <format dxfId="46">
      <pivotArea dataOnly="0" labelOnly="1" grandRow="1" outline="0" fieldPosition="0"/>
    </format>
    <format dxfId="45">
      <pivotArea collapsedLevelsAreSubtotals="1" fieldPosition="0">
        <references count="2">
          <reference field="4294967294" count="1" selected="0">
            <x v="3"/>
          </reference>
          <reference field="0" count="1">
            <x v="0"/>
          </reference>
        </references>
      </pivotArea>
    </format>
    <format dxfId="4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0"/>
          </reference>
          <reference field="2" count="0"/>
        </references>
      </pivotArea>
    </format>
    <format dxfId="43">
      <pivotArea collapsedLevelsAreSubtotals="1" fieldPosition="0">
        <references count="2">
          <reference field="4294967294" count="1" selected="0">
            <x v="3"/>
          </reference>
          <reference field="0" count="1">
            <x v="1"/>
          </reference>
        </references>
      </pivotArea>
    </format>
    <format dxfId="42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1"/>
          </reference>
          <reference field="2" count="0"/>
        </references>
      </pivotArea>
    </format>
    <format dxfId="41">
      <pivotArea collapsedLevelsAreSubtotals="1" fieldPosition="0">
        <references count="2">
          <reference field="4294967294" count="1" selected="0">
            <x v="3"/>
          </reference>
          <reference field="0" count="1">
            <x v="2"/>
          </reference>
        </references>
      </pivotArea>
    </format>
    <format dxfId="40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2"/>
          </reference>
          <reference field="2" count="0"/>
        </references>
      </pivotArea>
    </format>
    <format dxfId="39">
      <pivotArea collapsedLevelsAreSubtotals="1" fieldPosition="0">
        <references count="2">
          <reference field="4294967294" count="1" selected="0">
            <x v="3"/>
          </reference>
          <reference field="0" count="1">
            <x v="3"/>
          </reference>
        </references>
      </pivotArea>
    </format>
    <format dxfId="38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3"/>
          </reference>
          <reference field="2" count="0"/>
        </references>
      </pivotArea>
    </format>
    <format dxfId="37">
      <pivotArea collapsedLevelsAreSubtotals="1" fieldPosition="0">
        <references count="2">
          <reference field="4294967294" count="1" selected="0">
            <x v="3"/>
          </reference>
          <reference field="0" count="1">
            <x v="4"/>
          </reference>
        </references>
      </pivotArea>
    </format>
    <format dxfId="36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4"/>
          </reference>
          <reference field="2" count="0"/>
        </references>
      </pivotArea>
    </format>
    <format dxfId="35">
      <pivotArea collapsedLevelsAreSubtotals="1" fieldPosition="0">
        <references count="2">
          <reference field="4294967294" count="1" selected="0">
            <x v="3"/>
          </reference>
          <reference field="0" count="1">
            <x v="5"/>
          </reference>
        </references>
      </pivotArea>
    </format>
    <format dxfId="34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5"/>
          </reference>
          <reference field="2" count="0"/>
        </references>
      </pivotArea>
    </format>
    <format dxfId="33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2">
      <pivotArea collapsedLevelsAreSubtotals="1" fieldPosition="0">
        <references count="3">
          <reference field="4294967294" count="1" selected="0">
            <x v="3"/>
          </reference>
          <reference field="0" count="1" selected="0">
            <x v="6"/>
          </reference>
          <reference field="2" count="0"/>
        </references>
      </pivotArea>
    </format>
    <format dxfId="31">
      <pivotArea collapsedLevelsAreSubtotals="1" fieldPosition="0">
        <references count="2">
          <reference field="4294967294" count="1" selected="0">
            <x v="3"/>
          </reference>
          <reference field="0" count="1">
            <x v="7"/>
          </reference>
        </references>
      </pivotArea>
    </format>
    <format dxfId="30">
      <pivotArea field="0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2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8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Escala de grise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E93" dT="2022-07-18T14:52:23.09" personId="{535C4E0A-5A01-4AB5-9E1F-37EC371E4E1B}" id="{49F1A468-0581-4376-A3ED-A14F5876D14C}">
    <text>Con certificado de fiducia ok</text>
  </threadedComment>
  <threadedComment ref="AE181" dT="2022-07-18T14:53:39.51" personId="{535C4E0A-5A01-4AB5-9E1F-37EC371E4E1B}" id="{308FDDB6-D90C-41F0-877F-BB710FC8140D}">
    <text>Con pagos en fiducia que permiten el cumplimiento</text>
  </threadedComment>
  <threadedComment ref="AE182" dT="2022-07-18T14:53:02.35" personId="{535C4E0A-5A01-4AB5-9E1F-37EC371E4E1B}" id="{3DDBD58F-65DD-4B75-9FF2-AE0CC909CFD0}">
    <text>Con certficado de fiducia ok</text>
  </threadedComment>
  <threadedComment ref="AE216" dT="2022-09-20T14:00:48.34" personId="{535C4E0A-5A01-4AB5-9E1F-37EC371E4E1B}" id="{CBD50CD8-9782-4823-A3F8-F570134560A4}">
    <text>Fiducia confirma ejecución superior al 70% del 1er desembolso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</sheetPr>
  <dimension ref="A1:AJ672"/>
  <sheetViews>
    <sheetView tabSelected="1" zoomScale="60" zoomScaleNormal="60" workbookViewId="0">
      <pane xSplit="8" ySplit="1" topLeftCell="AA2" activePane="bottomRight" state="frozen"/>
      <selection pane="topRight" activeCell="G1" sqref="G1"/>
      <selection pane="bottomLeft" activeCell="A2" sqref="A2"/>
      <selection pane="bottomRight" activeCell="B12" sqref="B12"/>
    </sheetView>
  </sheetViews>
  <sheetFormatPr baseColWidth="10" defaultColWidth="11.42578125" defaultRowHeight="15" x14ac:dyDescent="0.25"/>
  <cols>
    <col min="1" max="1" width="37.28515625" style="2" customWidth="1"/>
    <col min="2" max="2" width="54.85546875" customWidth="1"/>
    <col min="3" max="3" width="10.5703125" customWidth="1"/>
    <col min="4" max="4" width="16" style="2" customWidth="1"/>
    <col min="5" max="5" width="12.5703125" style="2" customWidth="1"/>
    <col min="6" max="6" width="32.85546875" customWidth="1"/>
    <col min="7" max="7" width="14.7109375" style="2" customWidth="1"/>
    <col min="8" max="8" width="24.140625" style="2" customWidth="1"/>
    <col min="9" max="26" width="24.85546875" customWidth="1"/>
    <col min="27" max="27" width="21.5703125" customWidth="1"/>
    <col min="28" max="28" width="25.7109375" customWidth="1"/>
    <col min="29" max="29" width="12.5703125" style="2" customWidth="1"/>
    <col min="30" max="31" width="20.7109375" style="2" customWidth="1"/>
    <col min="32" max="32" width="21.42578125" style="2" customWidth="1"/>
    <col min="33" max="33" width="26.42578125" style="2" customWidth="1"/>
    <col min="34" max="34" width="16.42578125" customWidth="1"/>
    <col min="36" max="36" width="14.85546875" bestFit="1" customWidth="1"/>
  </cols>
  <sheetData>
    <row r="1" spans="1:36" s="1" customFormat="1" ht="56.25" customHeight="1" thickBot="1" x14ac:dyDescent="0.3">
      <c r="A1" s="90" t="s">
        <v>0</v>
      </c>
      <c r="B1" s="91" t="s">
        <v>1</v>
      </c>
      <c r="C1" s="91" t="s">
        <v>2</v>
      </c>
      <c r="D1" s="8" t="s">
        <v>3</v>
      </c>
      <c r="E1" s="8" t="s">
        <v>4</v>
      </c>
      <c r="F1" s="91" t="s">
        <v>5</v>
      </c>
      <c r="G1" s="8" t="s">
        <v>6</v>
      </c>
      <c r="H1" s="8" t="s">
        <v>7</v>
      </c>
      <c r="I1" s="68">
        <v>44378</v>
      </c>
      <c r="J1" s="68">
        <v>44409</v>
      </c>
      <c r="K1" s="68">
        <v>44440</v>
      </c>
      <c r="L1" s="68">
        <v>44470</v>
      </c>
      <c r="M1" s="68">
        <v>44501</v>
      </c>
      <c r="N1" s="68">
        <v>44531</v>
      </c>
      <c r="O1" s="68">
        <v>44562</v>
      </c>
      <c r="P1" s="68">
        <v>44593</v>
      </c>
      <c r="Q1" s="68">
        <v>44621</v>
      </c>
      <c r="R1" s="68">
        <v>44652</v>
      </c>
      <c r="S1" s="68">
        <v>44682</v>
      </c>
      <c r="T1" s="68">
        <v>44713</v>
      </c>
      <c r="U1" s="68">
        <v>44743</v>
      </c>
      <c r="V1" s="68">
        <v>44774</v>
      </c>
      <c r="W1" s="68">
        <v>44805</v>
      </c>
      <c r="X1" s="68">
        <v>44835</v>
      </c>
      <c r="Y1" s="68">
        <v>44866</v>
      </c>
      <c r="Z1" s="68">
        <v>44896</v>
      </c>
      <c r="AA1" s="165" t="s">
        <v>8</v>
      </c>
      <c r="AB1" s="39" t="s">
        <v>9</v>
      </c>
      <c r="AC1" s="294" t="s">
        <v>10</v>
      </c>
      <c r="AD1" s="346" t="s">
        <v>11</v>
      </c>
      <c r="AE1" s="42" t="s">
        <v>12</v>
      </c>
      <c r="AF1" s="41" t="s">
        <v>13</v>
      </c>
      <c r="AG1" s="42" t="s">
        <v>14</v>
      </c>
      <c r="AH1" s="40" t="s">
        <v>15</v>
      </c>
    </row>
    <row r="2" spans="1:36" s="12" customFormat="1" ht="16.5" x14ac:dyDescent="0.3">
      <c r="A2" s="362" t="s">
        <v>32</v>
      </c>
      <c r="B2" s="235" t="s">
        <v>59</v>
      </c>
      <c r="C2" s="250" t="s">
        <v>18</v>
      </c>
      <c r="D2" s="363" t="s">
        <v>60</v>
      </c>
      <c r="E2" s="251">
        <v>396435</v>
      </c>
      <c r="F2" s="321" t="s">
        <v>61</v>
      </c>
      <c r="G2" s="252">
        <v>44251</v>
      </c>
      <c r="H2" s="253">
        <v>144834000</v>
      </c>
      <c r="I2" s="254"/>
      <c r="J2" s="255">
        <v>10700000</v>
      </c>
      <c r="K2" s="255">
        <v>5133499</v>
      </c>
      <c r="L2" s="255">
        <v>16877833</v>
      </c>
      <c r="M2" s="255">
        <v>18477833</v>
      </c>
      <c r="N2" s="255">
        <v>23055666</v>
      </c>
      <c r="O2" s="255"/>
      <c r="P2" s="255">
        <v>21777833</v>
      </c>
      <c r="Q2" s="255">
        <v>6177833</v>
      </c>
      <c r="R2" s="255">
        <v>6177833</v>
      </c>
      <c r="S2" s="255">
        <v>25755670</v>
      </c>
      <c r="T2" s="255">
        <v>10700000</v>
      </c>
      <c r="U2" s="255"/>
      <c r="V2" s="255"/>
      <c r="W2" s="255"/>
      <c r="X2" s="255"/>
      <c r="Y2" s="255"/>
      <c r="Z2" s="256"/>
      <c r="AA2" s="257"/>
      <c r="AB2" s="290">
        <f t="shared" ref="AB2:AB33" si="0">SUM(I2:AA2)</f>
        <v>144834000</v>
      </c>
      <c r="AC2" s="295">
        <f t="shared" ref="AC2:AC33" si="1">AB2/H2</f>
        <v>1</v>
      </c>
      <c r="AD2" s="364">
        <f>Amazonía!V13</f>
        <v>13</v>
      </c>
      <c r="AE2" s="351">
        <v>44524</v>
      </c>
      <c r="AF2" s="349">
        <f t="shared" ref="AF2:AF33" si="2">H2-AB2</f>
        <v>0</v>
      </c>
      <c r="AG2" s="258" t="s">
        <v>27</v>
      </c>
      <c r="AH2" s="135">
        <f t="shared" ref="AH2:AH33" si="3">COUNT(I2:Z2)</f>
        <v>10</v>
      </c>
      <c r="AJ2" s="89"/>
    </row>
    <row r="3" spans="1:36" s="12" customFormat="1" ht="16.5" x14ac:dyDescent="0.3">
      <c r="A3" s="148" t="s">
        <v>16</v>
      </c>
      <c r="B3" s="70" t="s">
        <v>17</v>
      </c>
      <c r="C3" s="144" t="s">
        <v>18</v>
      </c>
      <c r="D3" s="111" t="s">
        <v>19</v>
      </c>
      <c r="E3" s="175">
        <v>396492</v>
      </c>
      <c r="F3" s="72" t="s">
        <v>20</v>
      </c>
      <c r="G3" s="73">
        <v>44251</v>
      </c>
      <c r="H3" s="74">
        <v>160000000</v>
      </c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78">
        <v>160000000</v>
      </c>
      <c r="AB3" s="291">
        <f t="shared" si="0"/>
        <v>160000000</v>
      </c>
      <c r="AC3" s="295">
        <f t="shared" si="1"/>
        <v>1</v>
      </c>
      <c r="AD3" s="347">
        <f>'Caribe I'!S3</f>
        <v>0</v>
      </c>
      <c r="AE3" s="352" t="s">
        <v>21</v>
      </c>
      <c r="AF3" s="345">
        <f t="shared" si="2"/>
        <v>0</v>
      </c>
      <c r="AG3" s="79" t="s">
        <v>22</v>
      </c>
      <c r="AH3" s="80">
        <f t="shared" si="3"/>
        <v>0</v>
      </c>
      <c r="AJ3" s="88"/>
    </row>
    <row r="4" spans="1:36" s="12" customFormat="1" ht="16.5" x14ac:dyDescent="0.3">
      <c r="A4" s="134" t="s">
        <v>23</v>
      </c>
      <c r="B4" s="23" t="s">
        <v>66</v>
      </c>
      <c r="C4" s="143" t="s">
        <v>18</v>
      </c>
      <c r="D4" s="107" t="s">
        <v>67</v>
      </c>
      <c r="E4" s="176">
        <v>396985</v>
      </c>
      <c r="F4" s="33" t="s">
        <v>68</v>
      </c>
      <c r="G4" s="37">
        <v>44256</v>
      </c>
      <c r="H4" s="61">
        <v>199336000</v>
      </c>
      <c r="I4" s="49"/>
      <c r="J4" s="50">
        <v>10700000</v>
      </c>
      <c r="K4" s="50">
        <v>15079100</v>
      </c>
      <c r="L4" s="50"/>
      <c r="M4" s="50">
        <v>30201796</v>
      </c>
      <c r="N4" s="50">
        <v>21000000</v>
      </c>
      <c r="O4" s="50">
        <v>5280000</v>
      </c>
      <c r="P4" s="50"/>
      <c r="Q4" s="50">
        <v>23511336</v>
      </c>
      <c r="R4" s="66">
        <v>10700000</v>
      </c>
      <c r="S4" s="50">
        <v>33077847</v>
      </c>
      <c r="T4" s="50">
        <v>23470261</v>
      </c>
      <c r="U4" s="50"/>
      <c r="V4" s="50"/>
      <c r="W4" s="50">
        <v>11755660</v>
      </c>
      <c r="X4" s="50">
        <v>14560000</v>
      </c>
      <c r="Y4" s="50"/>
      <c r="Z4" s="51"/>
      <c r="AA4" s="15"/>
      <c r="AB4" s="292">
        <f t="shared" si="0"/>
        <v>199336000</v>
      </c>
      <c r="AC4" s="295">
        <f t="shared" si="1"/>
        <v>1</v>
      </c>
      <c r="AD4" s="341">
        <f>Central!R21</f>
        <v>8</v>
      </c>
      <c r="AE4" s="353">
        <v>44599</v>
      </c>
      <c r="AF4" s="342">
        <f t="shared" si="2"/>
        <v>0</v>
      </c>
      <c r="AG4" s="57" t="s">
        <v>27</v>
      </c>
      <c r="AH4" s="58">
        <f t="shared" si="3"/>
        <v>11</v>
      </c>
    </row>
    <row r="5" spans="1:36" s="12" customFormat="1" ht="16.5" x14ac:dyDescent="0.3">
      <c r="A5" s="134" t="s">
        <v>32</v>
      </c>
      <c r="B5" s="23" t="s">
        <v>164</v>
      </c>
      <c r="C5" s="143" t="s">
        <v>18</v>
      </c>
      <c r="D5" s="107" t="s">
        <v>165</v>
      </c>
      <c r="E5" s="176">
        <v>396499</v>
      </c>
      <c r="F5" s="32" t="s">
        <v>61</v>
      </c>
      <c r="G5" s="37">
        <v>44251</v>
      </c>
      <c r="H5" s="61">
        <v>200000000</v>
      </c>
      <c r="I5" s="49"/>
      <c r="J5" s="50"/>
      <c r="K5" s="50">
        <v>10700000</v>
      </c>
      <c r="L5" s="50"/>
      <c r="M5" s="50">
        <v>7135666</v>
      </c>
      <c r="N5" s="50">
        <v>7135666</v>
      </c>
      <c r="O5" s="50">
        <v>14077833</v>
      </c>
      <c r="P5" s="50">
        <v>38813000</v>
      </c>
      <c r="Q5" s="50">
        <v>7135666</v>
      </c>
      <c r="R5" s="66">
        <v>3377833</v>
      </c>
      <c r="S5" s="50">
        <v>8260000</v>
      </c>
      <c r="T5" s="50">
        <v>53768666</v>
      </c>
      <c r="U5" s="50">
        <v>22017833</v>
      </c>
      <c r="V5" s="50">
        <v>16877833</v>
      </c>
      <c r="W5" s="50">
        <v>10700000</v>
      </c>
      <c r="X5" s="50"/>
      <c r="Y5" s="50"/>
      <c r="Z5" s="51"/>
      <c r="AA5" s="15"/>
      <c r="AB5" s="292">
        <f t="shared" si="0"/>
        <v>199999996</v>
      </c>
      <c r="AC5" s="295">
        <f t="shared" si="1"/>
        <v>0.99999998000000001</v>
      </c>
      <c r="AD5" s="341">
        <f>Amazonía!V16</f>
        <v>14</v>
      </c>
      <c r="AE5" s="353">
        <v>44655</v>
      </c>
      <c r="AF5" s="342">
        <f t="shared" si="2"/>
        <v>4</v>
      </c>
      <c r="AG5" s="57" t="s">
        <v>27</v>
      </c>
      <c r="AH5" s="58">
        <f t="shared" si="3"/>
        <v>12</v>
      </c>
    </row>
    <row r="6" spans="1:36" s="12" customFormat="1" ht="16.5" x14ac:dyDescent="0.3">
      <c r="A6" s="149" t="s">
        <v>55</v>
      </c>
      <c r="B6" s="70" t="s">
        <v>371</v>
      </c>
      <c r="C6" s="144" t="s">
        <v>18</v>
      </c>
      <c r="D6" s="151" t="s">
        <v>372</v>
      </c>
      <c r="E6" s="175">
        <v>397365</v>
      </c>
      <c r="F6" s="152" t="s">
        <v>128</v>
      </c>
      <c r="G6" s="73">
        <v>44267</v>
      </c>
      <c r="H6" s="74">
        <v>164840000</v>
      </c>
      <c r="I6" s="75"/>
      <c r="J6" s="76"/>
      <c r="K6" s="76"/>
      <c r="L6" s="76"/>
      <c r="M6" s="76">
        <v>10700000</v>
      </c>
      <c r="N6" s="76"/>
      <c r="O6" s="76"/>
      <c r="P6" s="76"/>
      <c r="Q6" s="76"/>
      <c r="R6" s="166"/>
      <c r="S6" s="76"/>
      <c r="T6" s="76"/>
      <c r="U6" s="76"/>
      <c r="V6" s="76"/>
      <c r="W6" s="76"/>
      <c r="X6" s="76"/>
      <c r="Y6" s="76"/>
      <c r="Z6" s="77"/>
      <c r="AA6" s="78">
        <f>153000000+1139900</f>
        <v>154139900</v>
      </c>
      <c r="AB6" s="291">
        <f t="shared" si="0"/>
        <v>164839900</v>
      </c>
      <c r="AC6" s="295">
        <f t="shared" si="1"/>
        <v>0.99999939335112842</v>
      </c>
      <c r="AD6" s="347">
        <f>'Eje Cafetero'!U18</f>
        <v>4</v>
      </c>
      <c r="AE6" s="352" t="s">
        <v>21</v>
      </c>
      <c r="AF6" s="345">
        <f t="shared" si="2"/>
        <v>100</v>
      </c>
      <c r="AG6" s="79" t="s">
        <v>318</v>
      </c>
      <c r="AH6" s="80">
        <f t="shared" si="3"/>
        <v>1</v>
      </c>
    </row>
    <row r="7" spans="1:36" s="12" customFormat="1" ht="16.5" x14ac:dyDescent="0.3">
      <c r="A7" s="146" t="s">
        <v>32</v>
      </c>
      <c r="B7" s="23" t="s">
        <v>62</v>
      </c>
      <c r="C7" s="143" t="s">
        <v>18</v>
      </c>
      <c r="D7" s="108" t="s">
        <v>63</v>
      </c>
      <c r="E7" s="176">
        <v>396429</v>
      </c>
      <c r="F7" s="32" t="s">
        <v>35</v>
      </c>
      <c r="G7" s="37">
        <v>44251</v>
      </c>
      <c r="H7" s="61">
        <v>174990000</v>
      </c>
      <c r="I7" s="49"/>
      <c r="J7" s="50">
        <v>10500000</v>
      </c>
      <c r="K7" s="50"/>
      <c r="L7" s="50"/>
      <c r="M7" s="50"/>
      <c r="N7" s="50">
        <v>64060944</v>
      </c>
      <c r="O7" s="50">
        <v>4879833</v>
      </c>
      <c r="P7" s="50"/>
      <c r="Q7" s="50">
        <v>15379833</v>
      </c>
      <c r="R7" s="66">
        <v>32438666</v>
      </c>
      <c r="S7" s="50">
        <v>8006000</v>
      </c>
      <c r="T7" s="50">
        <v>15461499</v>
      </c>
      <c r="U7" s="50">
        <v>13762670</v>
      </c>
      <c r="V7" s="50"/>
      <c r="W7" s="50">
        <v>10500000</v>
      </c>
      <c r="X7" s="50"/>
      <c r="Y7" s="50"/>
      <c r="Z7" s="51"/>
      <c r="AA7" s="15"/>
      <c r="AB7" s="292">
        <f t="shared" si="0"/>
        <v>174989445</v>
      </c>
      <c r="AC7" s="295">
        <f t="shared" si="1"/>
        <v>0.99999682839019377</v>
      </c>
      <c r="AD7" s="341">
        <f>Amazonía!V3</f>
        <v>14</v>
      </c>
      <c r="AE7" s="353">
        <v>44602</v>
      </c>
      <c r="AF7" s="342">
        <f t="shared" si="2"/>
        <v>555</v>
      </c>
      <c r="AG7" s="57" t="s">
        <v>27</v>
      </c>
      <c r="AH7" s="58">
        <f t="shared" si="3"/>
        <v>9</v>
      </c>
    </row>
    <row r="8" spans="1:36" s="12" customFormat="1" ht="16.5" x14ac:dyDescent="0.3">
      <c r="A8" s="146" t="s">
        <v>32</v>
      </c>
      <c r="B8" s="23" t="s">
        <v>33</v>
      </c>
      <c r="C8" s="143" t="s">
        <v>18</v>
      </c>
      <c r="D8" s="108" t="s">
        <v>34</v>
      </c>
      <c r="E8" s="176">
        <v>396493</v>
      </c>
      <c r="F8" s="32" t="s">
        <v>35</v>
      </c>
      <c r="G8" s="37">
        <v>44251</v>
      </c>
      <c r="H8" s="61">
        <v>200000000</v>
      </c>
      <c r="I8" s="49"/>
      <c r="J8" s="50">
        <v>10700000</v>
      </c>
      <c r="K8" s="50">
        <v>1754666</v>
      </c>
      <c r="L8" s="50">
        <v>2877333</v>
      </c>
      <c r="M8" s="50">
        <v>25077333</v>
      </c>
      <c r="N8" s="50">
        <v>5377333</v>
      </c>
      <c r="O8" s="50">
        <v>45210333</v>
      </c>
      <c r="P8" s="50">
        <v>2500000</v>
      </c>
      <c r="Q8" s="50">
        <v>12755666</v>
      </c>
      <c r="R8" s="66">
        <v>62410833</v>
      </c>
      <c r="S8" s="50">
        <v>5377833</v>
      </c>
      <c r="T8" s="50">
        <v>7627833</v>
      </c>
      <c r="U8" s="50">
        <v>7627837</v>
      </c>
      <c r="V8" s="50"/>
      <c r="W8" s="50">
        <v>10700000</v>
      </c>
      <c r="X8" s="50"/>
      <c r="Y8" s="50"/>
      <c r="Z8" s="51"/>
      <c r="AA8" s="15"/>
      <c r="AB8" s="292">
        <f t="shared" si="0"/>
        <v>199997000</v>
      </c>
      <c r="AC8" s="295">
        <f t="shared" si="1"/>
        <v>0.99998500000000001</v>
      </c>
      <c r="AD8" s="341">
        <f>Amazonía!V4</f>
        <v>14</v>
      </c>
      <c r="AE8" s="353">
        <v>44610</v>
      </c>
      <c r="AF8" s="342">
        <f t="shared" si="2"/>
        <v>3000</v>
      </c>
      <c r="AG8" s="57" t="s">
        <v>27</v>
      </c>
      <c r="AH8" s="58">
        <f t="shared" si="3"/>
        <v>13</v>
      </c>
    </row>
    <row r="9" spans="1:36" s="12" customFormat="1" ht="16.5" x14ac:dyDescent="0.3">
      <c r="A9" s="146" t="s">
        <v>32</v>
      </c>
      <c r="B9" s="23" t="s">
        <v>64</v>
      </c>
      <c r="C9" s="142" t="s">
        <v>18</v>
      </c>
      <c r="D9" s="108" t="s">
        <v>65</v>
      </c>
      <c r="E9" s="176">
        <v>396426</v>
      </c>
      <c r="F9" s="32" t="s">
        <v>35</v>
      </c>
      <c r="G9" s="37">
        <v>44251</v>
      </c>
      <c r="H9" s="61">
        <v>200000000</v>
      </c>
      <c r="I9" s="49"/>
      <c r="J9" s="50">
        <v>10500000</v>
      </c>
      <c r="K9" s="50"/>
      <c r="L9" s="50"/>
      <c r="M9" s="50"/>
      <c r="N9" s="50">
        <v>66679159</v>
      </c>
      <c r="O9" s="50">
        <v>4879833</v>
      </c>
      <c r="P9" s="50"/>
      <c r="Q9" s="50">
        <v>18259666</v>
      </c>
      <c r="R9" s="66">
        <v>46609573</v>
      </c>
      <c r="S9" s="50"/>
      <c r="T9" s="50">
        <v>28803499</v>
      </c>
      <c r="U9" s="50"/>
      <c r="V9" s="50">
        <v>13760670</v>
      </c>
      <c r="W9" s="50">
        <v>10500000</v>
      </c>
      <c r="X9" s="50"/>
      <c r="Y9" s="50"/>
      <c r="Z9" s="51"/>
      <c r="AA9" s="15"/>
      <c r="AB9" s="292">
        <f t="shared" si="0"/>
        <v>199992400</v>
      </c>
      <c r="AC9" s="295">
        <f t="shared" si="1"/>
        <v>0.99996200000000002</v>
      </c>
      <c r="AD9" s="341">
        <f>Amazonía!V6</f>
        <v>14</v>
      </c>
      <c r="AE9" s="353">
        <v>44601</v>
      </c>
      <c r="AF9" s="342">
        <f t="shared" si="2"/>
        <v>7600</v>
      </c>
      <c r="AG9" s="57" t="s">
        <v>27</v>
      </c>
      <c r="AH9" s="58">
        <f t="shared" si="3"/>
        <v>8</v>
      </c>
    </row>
    <row r="10" spans="1:36" s="12" customFormat="1" ht="16.5" x14ac:dyDescent="0.3">
      <c r="A10" s="146" t="s">
        <v>32</v>
      </c>
      <c r="B10" s="23" t="s">
        <v>45</v>
      </c>
      <c r="C10" s="143" t="s">
        <v>18</v>
      </c>
      <c r="D10" s="108" t="s">
        <v>46</v>
      </c>
      <c r="E10" s="176">
        <v>396431</v>
      </c>
      <c r="F10" s="32" t="s">
        <v>35</v>
      </c>
      <c r="G10" s="37">
        <v>44251</v>
      </c>
      <c r="H10" s="61">
        <v>199894000</v>
      </c>
      <c r="I10" s="49"/>
      <c r="J10" s="50">
        <v>10700000</v>
      </c>
      <c r="K10" s="50">
        <v>1755666</v>
      </c>
      <c r="L10" s="50">
        <v>5877833</v>
      </c>
      <c r="M10" s="50">
        <v>13577833</v>
      </c>
      <c r="N10" s="50">
        <v>12877833</v>
      </c>
      <c r="O10" s="50">
        <v>41797833</v>
      </c>
      <c r="P10" s="50"/>
      <c r="Q10" s="50">
        <v>11755666</v>
      </c>
      <c r="R10" s="66">
        <v>60209433</v>
      </c>
      <c r="S10" s="50">
        <v>8877833</v>
      </c>
      <c r="T10" s="50">
        <v>10877833</v>
      </c>
      <c r="U10" s="50">
        <v>10877837</v>
      </c>
      <c r="V10" s="50"/>
      <c r="W10" s="50">
        <v>10700000</v>
      </c>
      <c r="X10" s="50"/>
      <c r="Y10" s="50"/>
      <c r="Z10" s="51"/>
      <c r="AA10" s="15"/>
      <c r="AB10" s="292">
        <f t="shared" si="0"/>
        <v>199885600</v>
      </c>
      <c r="AC10" s="295">
        <f t="shared" si="1"/>
        <v>0.99995797772819595</v>
      </c>
      <c r="AD10" s="341">
        <f>Amazonía!V7</f>
        <v>14</v>
      </c>
      <c r="AE10" s="353">
        <v>44611</v>
      </c>
      <c r="AF10" s="342">
        <f t="shared" si="2"/>
        <v>8400</v>
      </c>
      <c r="AG10" s="57" t="s">
        <v>27</v>
      </c>
      <c r="AH10" s="58">
        <f t="shared" si="3"/>
        <v>12</v>
      </c>
    </row>
    <row r="11" spans="1:36" ht="16.5" x14ac:dyDescent="0.3">
      <c r="A11" s="134" t="s">
        <v>55</v>
      </c>
      <c r="B11" s="23" t="s">
        <v>69</v>
      </c>
      <c r="C11" s="143" t="s">
        <v>18</v>
      </c>
      <c r="D11" s="107" t="s">
        <v>70</v>
      </c>
      <c r="E11" s="176">
        <v>396523</v>
      </c>
      <c r="F11" s="32" t="s">
        <v>71</v>
      </c>
      <c r="G11" s="37">
        <v>44252</v>
      </c>
      <c r="H11" s="61">
        <v>122349000</v>
      </c>
      <c r="I11" s="49"/>
      <c r="J11" s="50">
        <v>10700000</v>
      </c>
      <c r="K11" s="50"/>
      <c r="L11" s="50">
        <v>16785830</v>
      </c>
      <c r="M11" s="50">
        <v>11042430</v>
      </c>
      <c r="N11" s="50">
        <v>6085830</v>
      </c>
      <c r="O11" s="50">
        <v>6104000</v>
      </c>
      <c r="P11" s="50">
        <v>10416000</v>
      </c>
      <c r="Q11" s="50">
        <v>15455660</v>
      </c>
      <c r="R11" s="66">
        <v>6085830</v>
      </c>
      <c r="S11" s="50"/>
      <c r="T11" s="50">
        <v>15929660</v>
      </c>
      <c r="U11" s="50"/>
      <c r="V11" s="50">
        <v>13031354</v>
      </c>
      <c r="W11" s="50"/>
      <c r="X11" s="50">
        <v>10700000</v>
      </c>
      <c r="Y11" s="50"/>
      <c r="Z11" s="51"/>
      <c r="AA11" s="15"/>
      <c r="AB11" s="292">
        <f t="shared" si="0"/>
        <v>122336594</v>
      </c>
      <c r="AC11" s="295">
        <f t="shared" si="1"/>
        <v>0.99989860154149202</v>
      </c>
      <c r="AD11" s="341">
        <f>'Eje Cafetero'!U22</f>
        <v>13</v>
      </c>
      <c r="AE11" s="353">
        <v>44602</v>
      </c>
      <c r="AF11" s="342">
        <f t="shared" si="2"/>
        <v>12406</v>
      </c>
      <c r="AG11" s="57" t="s">
        <v>27</v>
      </c>
      <c r="AH11" s="58">
        <f t="shared" si="3"/>
        <v>11</v>
      </c>
    </row>
    <row r="12" spans="1:36" ht="16.5" x14ac:dyDescent="0.3">
      <c r="A12" s="146" t="s">
        <v>32</v>
      </c>
      <c r="B12" s="23" t="s">
        <v>47</v>
      </c>
      <c r="C12" s="143" t="s">
        <v>18</v>
      </c>
      <c r="D12" s="108" t="s">
        <v>48</v>
      </c>
      <c r="E12" s="176">
        <v>396491</v>
      </c>
      <c r="F12" s="32" t="s">
        <v>35</v>
      </c>
      <c r="G12" s="37">
        <v>44251</v>
      </c>
      <c r="H12" s="61">
        <v>198865000</v>
      </c>
      <c r="I12" s="49"/>
      <c r="J12" s="50"/>
      <c r="K12" s="50">
        <v>10500000</v>
      </c>
      <c r="L12" s="50"/>
      <c r="M12" s="50">
        <v>26755666</v>
      </c>
      <c r="N12" s="50">
        <v>43673470</v>
      </c>
      <c r="O12" s="50"/>
      <c r="P12" s="50"/>
      <c r="Q12" s="50">
        <v>23133250</v>
      </c>
      <c r="R12" s="66">
        <v>56043833</v>
      </c>
      <c r="S12" s="50">
        <v>4000000</v>
      </c>
      <c r="T12" s="50">
        <v>12481499</v>
      </c>
      <c r="U12" s="50">
        <v>11754670</v>
      </c>
      <c r="V12" s="50"/>
      <c r="W12" s="50">
        <v>10500000</v>
      </c>
      <c r="X12" s="50"/>
      <c r="Y12" s="50"/>
      <c r="Z12" s="51"/>
      <c r="AA12" s="15"/>
      <c r="AB12" s="292">
        <f t="shared" si="0"/>
        <v>198842388</v>
      </c>
      <c r="AC12" s="295">
        <f t="shared" si="1"/>
        <v>0.99988629472255053</v>
      </c>
      <c r="AD12" s="343">
        <f>Amazonía!V11</f>
        <v>14</v>
      </c>
      <c r="AE12" s="353">
        <v>44603</v>
      </c>
      <c r="AF12" s="342">
        <f t="shared" si="2"/>
        <v>22612</v>
      </c>
      <c r="AG12" s="57" t="s">
        <v>27</v>
      </c>
      <c r="AH12" s="58">
        <f t="shared" si="3"/>
        <v>9</v>
      </c>
    </row>
    <row r="13" spans="1:36" s="12" customFormat="1" ht="16.5" x14ac:dyDescent="0.3">
      <c r="A13" s="134" t="s">
        <v>55</v>
      </c>
      <c r="B13" s="23" t="s">
        <v>207</v>
      </c>
      <c r="C13" s="143" t="s">
        <v>18</v>
      </c>
      <c r="D13" s="107" t="s">
        <v>208</v>
      </c>
      <c r="E13" s="176">
        <v>396500</v>
      </c>
      <c r="F13" s="33" t="s">
        <v>128</v>
      </c>
      <c r="G13" s="37">
        <v>44252</v>
      </c>
      <c r="H13" s="61">
        <v>164650000</v>
      </c>
      <c r="I13" s="49"/>
      <c r="J13" s="50">
        <v>10700000</v>
      </c>
      <c r="K13" s="50"/>
      <c r="L13" s="50"/>
      <c r="M13" s="50"/>
      <c r="N13" s="50">
        <v>10700000</v>
      </c>
      <c r="O13" s="50">
        <v>12277100</v>
      </c>
      <c r="P13" s="50">
        <v>4556900</v>
      </c>
      <c r="Q13" s="50">
        <v>18690025</v>
      </c>
      <c r="R13" s="66"/>
      <c r="S13" s="50">
        <v>48232500</v>
      </c>
      <c r="T13" s="50">
        <v>2106800</v>
      </c>
      <c r="U13" s="50">
        <v>18233800</v>
      </c>
      <c r="V13" s="50">
        <v>28433803.140000001</v>
      </c>
      <c r="W13" s="50">
        <v>10700000</v>
      </c>
      <c r="X13" s="50"/>
      <c r="Y13" s="50"/>
      <c r="Z13" s="51"/>
      <c r="AA13" s="15"/>
      <c r="AB13" s="292">
        <f t="shared" si="0"/>
        <v>164630928.13999999</v>
      </c>
      <c r="AC13" s="295">
        <f t="shared" si="1"/>
        <v>0.99988416726389306</v>
      </c>
      <c r="AD13" s="341">
        <f>'Eje Cafetero'!U17</f>
        <v>13</v>
      </c>
      <c r="AE13" s="353">
        <v>44671</v>
      </c>
      <c r="AF13" s="342">
        <f t="shared" si="2"/>
        <v>19071.860000014305</v>
      </c>
      <c r="AG13" s="57" t="s">
        <v>27</v>
      </c>
      <c r="AH13" s="58">
        <f t="shared" si="3"/>
        <v>10</v>
      </c>
    </row>
    <row r="14" spans="1:36" ht="16.5" x14ac:dyDescent="0.3">
      <c r="A14" s="146" t="s">
        <v>32</v>
      </c>
      <c r="B14" s="23" t="s">
        <v>40</v>
      </c>
      <c r="C14" s="143" t="s">
        <v>18</v>
      </c>
      <c r="D14" s="108" t="s">
        <v>41</v>
      </c>
      <c r="E14" s="176">
        <v>396893</v>
      </c>
      <c r="F14" s="32" t="s">
        <v>35</v>
      </c>
      <c r="G14" s="37">
        <v>44252</v>
      </c>
      <c r="H14" s="61">
        <v>200000000</v>
      </c>
      <c r="I14" s="49"/>
      <c r="J14" s="50">
        <v>10700000</v>
      </c>
      <c r="K14" s="50">
        <v>1755666</v>
      </c>
      <c r="L14" s="50"/>
      <c r="M14" s="50">
        <v>23455500</v>
      </c>
      <c r="N14" s="50">
        <v>8877750</v>
      </c>
      <c r="O14" s="50">
        <v>46588850</v>
      </c>
      <c r="P14" s="50"/>
      <c r="Q14" s="50">
        <v>23455500</v>
      </c>
      <c r="R14" s="66">
        <v>46708850</v>
      </c>
      <c r="S14" s="50">
        <v>6377750</v>
      </c>
      <c r="T14" s="50">
        <v>10627667</v>
      </c>
      <c r="U14" s="50">
        <v>9750000</v>
      </c>
      <c r="V14" s="50">
        <v>877667</v>
      </c>
      <c r="W14" s="50">
        <v>10700000</v>
      </c>
      <c r="X14" s="50"/>
      <c r="Y14" s="50"/>
      <c r="Z14" s="51"/>
      <c r="AA14" s="15"/>
      <c r="AB14" s="292">
        <f t="shared" si="0"/>
        <v>199875200</v>
      </c>
      <c r="AC14" s="295">
        <f t="shared" si="1"/>
        <v>0.99937600000000004</v>
      </c>
      <c r="AD14" s="343">
        <f>Amazonía!V8</f>
        <v>14</v>
      </c>
      <c r="AE14" s="353">
        <v>44609</v>
      </c>
      <c r="AF14" s="342">
        <f t="shared" si="2"/>
        <v>124800</v>
      </c>
      <c r="AG14" s="57" t="s">
        <v>27</v>
      </c>
      <c r="AH14" s="58">
        <f t="shared" si="3"/>
        <v>12</v>
      </c>
    </row>
    <row r="15" spans="1:36" s="12" customFormat="1" ht="16.5" x14ac:dyDescent="0.3">
      <c r="A15" s="146" t="s">
        <v>32</v>
      </c>
      <c r="B15" s="23" t="s">
        <v>36</v>
      </c>
      <c r="C15" s="143" t="s">
        <v>18</v>
      </c>
      <c r="D15" s="108" t="s">
        <v>37</v>
      </c>
      <c r="E15" s="176">
        <v>396430</v>
      </c>
      <c r="F15" s="32" t="s">
        <v>35</v>
      </c>
      <c r="G15" s="37">
        <v>44251</v>
      </c>
      <c r="H15" s="61">
        <v>199734000</v>
      </c>
      <c r="I15" s="49"/>
      <c r="J15" s="50">
        <v>10700000</v>
      </c>
      <c r="K15" s="50">
        <f>2000000+2333000+1755666</f>
        <v>6088666</v>
      </c>
      <c r="L15" s="50">
        <v>5210833</v>
      </c>
      <c r="M15" s="50">
        <v>20710833</v>
      </c>
      <c r="N15" s="50">
        <v>49798833</v>
      </c>
      <c r="O15" s="50">
        <v>5210833</v>
      </c>
      <c r="P15" s="50"/>
      <c r="Q15" s="50">
        <v>18788666</v>
      </c>
      <c r="R15" s="66">
        <v>47465833</v>
      </c>
      <c r="S15" s="50">
        <v>2877833</v>
      </c>
      <c r="T15" s="50">
        <v>3877833</v>
      </c>
      <c r="U15" s="50">
        <v>17000000</v>
      </c>
      <c r="V15" s="50">
        <v>877833</v>
      </c>
      <c r="W15" s="50">
        <v>10700000</v>
      </c>
      <c r="X15" s="50"/>
      <c r="Y15" s="50"/>
      <c r="Z15" s="51"/>
      <c r="AA15" s="15"/>
      <c r="AB15" s="292">
        <f t="shared" si="0"/>
        <v>199307996</v>
      </c>
      <c r="AC15" s="295">
        <f t="shared" si="1"/>
        <v>0.99786714330058979</v>
      </c>
      <c r="AD15" s="341">
        <f>Amazonía!V5</f>
        <v>14</v>
      </c>
      <c r="AE15" s="353">
        <v>44608</v>
      </c>
      <c r="AF15" s="342">
        <f t="shared" si="2"/>
        <v>426004</v>
      </c>
      <c r="AG15" s="57" t="s">
        <v>27</v>
      </c>
      <c r="AH15" s="58">
        <f t="shared" si="3"/>
        <v>13</v>
      </c>
    </row>
    <row r="16" spans="1:36" ht="16.5" x14ac:dyDescent="0.3">
      <c r="A16" s="146" t="s">
        <v>32</v>
      </c>
      <c r="B16" s="23" t="s">
        <v>53</v>
      </c>
      <c r="C16" s="142" t="s">
        <v>18</v>
      </c>
      <c r="D16" s="108" t="s">
        <v>54</v>
      </c>
      <c r="E16" s="176">
        <v>396428</v>
      </c>
      <c r="F16" s="32" t="s">
        <v>35</v>
      </c>
      <c r="G16" s="37">
        <v>44251</v>
      </c>
      <c r="H16" s="61">
        <v>159897000</v>
      </c>
      <c r="I16" s="49"/>
      <c r="J16" s="50">
        <v>10500000</v>
      </c>
      <c r="K16" s="50"/>
      <c r="L16" s="50"/>
      <c r="M16" s="50">
        <v>2633250</v>
      </c>
      <c r="N16" s="50">
        <v>54455500</v>
      </c>
      <c r="O16" s="50"/>
      <c r="P16" s="50">
        <v>1320000</v>
      </c>
      <c r="Q16" s="50">
        <v>24255500</v>
      </c>
      <c r="R16" s="66"/>
      <c r="S16" s="50">
        <v>4877750</v>
      </c>
      <c r="T16" s="50">
        <v>30261250</v>
      </c>
      <c r="U16" s="50"/>
      <c r="V16" s="50">
        <v>19755500</v>
      </c>
      <c r="W16" s="50">
        <v>10500000</v>
      </c>
      <c r="X16" s="50"/>
      <c r="Y16" s="50"/>
      <c r="Z16" s="51"/>
      <c r="AA16" s="15"/>
      <c r="AB16" s="292">
        <f t="shared" si="0"/>
        <v>158558750</v>
      </c>
      <c r="AC16" s="295">
        <f t="shared" si="1"/>
        <v>0.99163054966634767</v>
      </c>
      <c r="AD16" s="343">
        <f>Amazonía!V10</f>
        <v>14</v>
      </c>
      <c r="AE16" s="353">
        <v>44604</v>
      </c>
      <c r="AF16" s="342">
        <f t="shared" si="2"/>
        <v>1338250</v>
      </c>
      <c r="AG16" s="57" t="s">
        <v>27</v>
      </c>
      <c r="AH16" s="58">
        <f t="shared" si="3"/>
        <v>9</v>
      </c>
    </row>
    <row r="17" spans="1:34" s="12" customFormat="1" ht="16.5" x14ac:dyDescent="0.3">
      <c r="A17" s="146" t="s">
        <v>55</v>
      </c>
      <c r="B17" s="23" t="s">
        <v>213</v>
      </c>
      <c r="C17" s="143" t="s">
        <v>18</v>
      </c>
      <c r="D17" s="108" t="s">
        <v>214</v>
      </c>
      <c r="E17" s="176">
        <v>396812</v>
      </c>
      <c r="F17" s="32" t="s">
        <v>182</v>
      </c>
      <c r="G17" s="37">
        <v>44252</v>
      </c>
      <c r="H17" s="61">
        <v>179623000</v>
      </c>
      <c r="I17" s="49"/>
      <c r="J17" s="50"/>
      <c r="K17" s="50"/>
      <c r="L17" s="50"/>
      <c r="M17" s="50">
        <v>8000000</v>
      </c>
      <c r="N17" s="50">
        <v>3877000</v>
      </c>
      <c r="O17" s="50">
        <v>3877000</v>
      </c>
      <c r="P17" s="50">
        <v>3877000</v>
      </c>
      <c r="Q17" s="50">
        <v>25040000</v>
      </c>
      <c r="R17" s="66">
        <v>13477750</v>
      </c>
      <c r="S17" s="50">
        <v>37565594</v>
      </c>
      <c r="T17" s="50">
        <v>14000000</v>
      </c>
      <c r="U17" s="50"/>
      <c r="V17" s="50">
        <v>7754000</v>
      </c>
      <c r="W17" s="50"/>
      <c r="X17" s="50">
        <v>58666290</v>
      </c>
      <c r="Y17" s="50"/>
      <c r="Z17" s="51"/>
      <c r="AA17" s="15"/>
      <c r="AB17" s="292">
        <f t="shared" si="0"/>
        <v>176134634</v>
      </c>
      <c r="AC17" s="295">
        <f t="shared" si="1"/>
        <v>0.9805795137593738</v>
      </c>
      <c r="AD17" s="341">
        <f>'Eje Cafetero'!U5</f>
        <v>13</v>
      </c>
      <c r="AE17" s="353">
        <v>44713</v>
      </c>
      <c r="AF17" s="342">
        <f t="shared" si="2"/>
        <v>3488366</v>
      </c>
      <c r="AG17" s="57" t="s">
        <v>27</v>
      </c>
      <c r="AH17" s="58">
        <f t="shared" si="3"/>
        <v>10</v>
      </c>
    </row>
    <row r="18" spans="1:34" s="12" customFormat="1" ht="16.5" x14ac:dyDescent="0.3">
      <c r="A18" s="134" t="s">
        <v>32</v>
      </c>
      <c r="B18" s="23" t="s">
        <v>76</v>
      </c>
      <c r="C18" s="143" t="s">
        <v>18</v>
      </c>
      <c r="D18" s="107" t="s">
        <v>77</v>
      </c>
      <c r="E18" s="176">
        <v>396881</v>
      </c>
      <c r="F18" s="32" t="s">
        <v>78</v>
      </c>
      <c r="G18" s="37">
        <v>44252</v>
      </c>
      <c r="H18" s="61">
        <v>200000000</v>
      </c>
      <c r="I18" s="49"/>
      <c r="J18" s="50">
        <v>10700000</v>
      </c>
      <c r="K18" s="50"/>
      <c r="L18" s="50">
        <v>10700000</v>
      </c>
      <c r="M18" s="50">
        <v>8000000</v>
      </c>
      <c r="N18" s="50">
        <v>19520000</v>
      </c>
      <c r="O18" s="50">
        <v>26450000</v>
      </c>
      <c r="P18" s="50">
        <v>25900000</v>
      </c>
      <c r="Q18" s="50">
        <v>5500000</v>
      </c>
      <c r="R18" s="66">
        <v>40570000</v>
      </c>
      <c r="S18" s="50">
        <v>5500000</v>
      </c>
      <c r="T18" s="50">
        <v>16266500</v>
      </c>
      <c r="U18" s="50">
        <v>5500000</v>
      </c>
      <c r="V18" s="50">
        <v>10255500</v>
      </c>
      <c r="W18" s="50">
        <v>10700000</v>
      </c>
      <c r="X18" s="50"/>
      <c r="Y18" s="50"/>
      <c r="Z18" s="51"/>
      <c r="AA18" s="15"/>
      <c r="AB18" s="292">
        <f t="shared" si="0"/>
        <v>195562000</v>
      </c>
      <c r="AC18" s="295">
        <f t="shared" si="1"/>
        <v>0.97780999999999996</v>
      </c>
      <c r="AD18" s="341">
        <f>Amazonía!V17</f>
        <v>13</v>
      </c>
      <c r="AE18" s="353">
        <v>44637</v>
      </c>
      <c r="AF18" s="342">
        <f t="shared" si="2"/>
        <v>4438000</v>
      </c>
      <c r="AG18" s="57" t="s">
        <v>27</v>
      </c>
      <c r="AH18" s="58">
        <f t="shared" si="3"/>
        <v>13</v>
      </c>
    </row>
    <row r="19" spans="1:34" ht="16.5" x14ac:dyDescent="0.3">
      <c r="A19" s="134" t="s">
        <v>28</v>
      </c>
      <c r="B19" s="23" t="s">
        <v>277</v>
      </c>
      <c r="C19" s="143" t="s">
        <v>18</v>
      </c>
      <c r="D19" s="107" t="s">
        <v>278</v>
      </c>
      <c r="E19" s="176">
        <v>396855</v>
      </c>
      <c r="F19" s="32" t="s">
        <v>113</v>
      </c>
      <c r="G19" s="37">
        <v>44252</v>
      </c>
      <c r="H19" s="61">
        <v>200000000</v>
      </c>
      <c r="I19" s="49"/>
      <c r="J19" s="50"/>
      <c r="K19" s="50"/>
      <c r="L19" s="50">
        <v>20700000</v>
      </c>
      <c r="M19" s="50"/>
      <c r="N19" s="50">
        <v>26200000</v>
      </c>
      <c r="O19" s="50">
        <v>500000</v>
      </c>
      <c r="P19" s="50"/>
      <c r="Q19" s="50">
        <v>1000000</v>
      </c>
      <c r="R19" s="66"/>
      <c r="S19" s="50"/>
      <c r="T19" s="50">
        <v>42670051</v>
      </c>
      <c r="U19" s="50"/>
      <c r="V19" s="50">
        <v>39200000</v>
      </c>
      <c r="W19" s="50">
        <v>31701000</v>
      </c>
      <c r="X19" s="50">
        <v>33502058</v>
      </c>
      <c r="Y19" s="50"/>
      <c r="Z19" s="51"/>
      <c r="AA19" s="15"/>
      <c r="AB19" s="292">
        <f t="shared" si="0"/>
        <v>195473109</v>
      </c>
      <c r="AC19" s="295">
        <f t="shared" si="1"/>
        <v>0.97736554499999995</v>
      </c>
      <c r="AD19" s="341">
        <f>Pacífico!U12</f>
        <v>11</v>
      </c>
      <c r="AE19" s="353">
        <v>44742</v>
      </c>
      <c r="AF19" s="342">
        <f t="shared" si="2"/>
        <v>4526891</v>
      </c>
      <c r="AG19" s="57" t="s">
        <v>27</v>
      </c>
      <c r="AH19" s="58">
        <f t="shared" si="3"/>
        <v>8</v>
      </c>
    </row>
    <row r="20" spans="1:34" s="12" customFormat="1" ht="16.5" x14ac:dyDescent="0.3">
      <c r="A20" s="134" t="s">
        <v>28</v>
      </c>
      <c r="B20" s="23" t="s">
        <v>74</v>
      </c>
      <c r="C20" s="143" t="s">
        <v>18</v>
      </c>
      <c r="D20" s="107" t="s">
        <v>75</v>
      </c>
      <c r="E20" s="176">
        <v>396505</v>
      </c>
      <c r="F20" s="32" t="s">
        <v>31</v>
      </c>
      <c r="G20" s="37">
        <v>44252</v>
      </c>
      <c r="H20" s="61">
        <v>199800000</v>
      </c>
      <c r="I20" s="49"/>
      <c r="J20" s="50"/>
      <c r="K20" s="50"/>
      <c r="L20" s="50"/>
      <c r="M20" s="50"/>
      <c r="N20" s="50">
        <v>15700000</v>
      </c>
      <c r="O20" s="50">
        <v>21180000</v>
      </c>
      <c r="P20" s="50"/>
      <c r="Q20" s="50">
        <v>52173500</v>
      </c>
      <c r="R20" s="66">
        <v>40590623</v>
      </c>
      <c r="S20" s="50">
        <v>28761469</v>
      </c>
      <c r="T20" s="50">
        <v>600000</v>
      </c>
      <c r="U20" s="50"/>
      <c r="V20" s="50">
        <v>24238184</v>
      </c>
      <c r="W20" s="50">
        <v>11300000</v>
      </c>
      <c r="X20" s="50"/>
      <c r="Y20" s="50"/>
      <c r="Z20" s="51"/>
      <c r="AA20" s="15"/>
      <c r="AB20" s="292">
        <f t="shared" si="0"/>
        <v>194543776</v>
      </c>
      <c r="AC20" s="295">
        <f t="shared" si="1"/>
        <v>0.97369257257257258</v>
      </c>
      <c r="AD20" s="341">
        <f>Pacífico!U7</f>
        <v>11</v>
      </c>
      <c r="AE20" s="353">
        <v>44639</v>
      </c>
      <c r="AF20" s="342">
        <f t="shared" si="2"/>
        <v>5256224</v>
      </c>
      <c r="AG20" s="57" t="s">
        <v>27</v>
      </c>
      <c r="AH20" s="58">
        <f t="shared" si="3"/>
        <v>8</v>
      </c>
    </row>
    <row r="21" spans="1:34" ht="16.5" x14ac:dyDescent="0.3">
      <c r="A21" s="134" t="s">
        <v>105</v>
      </c>
      <c r="B21" s="26" t="s">
        <v>158</v>
      </c>
      <c r="C21" s="143" t="s">
        <v>18</v>
      </c>
      <c r="D21" s="107" t="s">
        <v>159</v>
      </c>
      <c r="E21" s="176">
        <v>396578</v>
      </c>
      <c r="F21" s="32" t="s">
        <v>131</v>
      </c>
      <c r="G21" s="37">
        <v>44251</v>
      </c>
      <c r="H21" s="61">
        <v>132533000</v>
      </c>
      <c r="I21" s="49"/>
      <c r="J21" s="50">
        <v>10700000</v>
      </c>
      <c r="K21" s="50"/>
      <c r="L21" s="50"/>
      <c r="M21" s="50">
        <v>11577833</v>
      </c>
      <c r="N21" s="50">
        <v>9000000</v>
      </c>
      <c r="O21" s="50">
        <v>8633499</v>
      </c>
      <c r="P21" s="50">
        <v>3877833</v>
      </c>
      <c r="Q21" s="50">
        <v>14400000</v>
      </c>
      <c r="R21" s="66"/>
      <c r="S21" s="50">
        <v>877833</v>
      </c>
      <c r="T21" s="50">
        <v>26217833</v>
      </c>
      <c r="U21" s="50">
        <v>17783499</v>
      </c>
      <c r="V21" s="50">
        <v>877833</v>
      </c>
      <c r="W21" s="50">
        <v>18933837</v>
      </c>
      <c r="X21" s="50">
        <v>6000000</v>
      </c>
      <c r="Y21" s="50"/>
      <c r="Z21" s="51"/>
      <c r="AA21" s="15"/>
      <c r="AB21" s="292">
        <f t="shared" si="0"/>
        <v>128880000</v>
      </c>
      <c r="AC21" s="295">
        <f t="shared" si="1"/>
        <v>0.97243705341311215</v>
      </c>
      <c r="AD21" s="341">
        <f>Llanos!U20</f>
        <v>12</v>
      </c>
      <c r="AE21" s="353">
        <v>44642</v>
      </c>
      <c r="AF21" s="342">
        <f t="shared" si="2"/>
        <v>3653000</v>
      </c>
      <c r="AG21" s="57" t="s">
        <v>27</v>
      </c>
      <c r="AH21" s="58">
        <f t="shared" si="3"/>
        <v>12</v>
      </c>
    </row>
    <row r="22" spans="1:34" ht="16.5" x14ac:dyDescent="0.3">
      <c r="A22" s="146" t="s">
        <v>55</v>
      </c>
      <c r="B22" s="23" t="s">
        <v>95</v>
      </c>
      <c r="C22" s="143" t="s">
        <v>18</v>
      </c>
      <c r="D22" s="108" t="s">
        <v>96</v>
      </c>
      <c r="E22" s="176">
        <v>396520</v>
      </c>
      <c r="F22" s="32" t="s">
        <v>58</v>
      </c>
      <c r="G22" s="37">
        <v>44252</v>
      </c>
      <c r="H22" s="61">
        <v>200000000</v>
      </c>
      <c r="I22" s="49"/>
      <c r="J22" s="50">
        <v>10700000</v>
      </c>
      <c r="K22" s="50"/>
      <c r="L22" s="50"/>
      <c r="M22" s="50">
        <v>10700000</v>
      </c>
      <c r="N22" s="50">
        <v>9255668</v>
      </c>
      <c r="O22" s="50"/>
      <c r="P22" s="50">
        <v>9255668</v>
      </c>
      <c r="Q22" s="50">
        <v>61731833.640000001</v>
      </c>
      <c r="R22" s="66">
        <v>19077834</v>
      </c>
      <c r="S22" s="50"/>
      <c r="T22" s="50">
        <v>60181176.710000001</v>
      </c>
      <c r="U22" s="50"/>
      <c r="V22" s="50">
        <v>3377834</v>
      </c>
      <c r="W22" s="50">
        <v>9255668</v>
      </c>
      <c r="X22" s="50">
        <v>877826</v>
      </c>
      <c r="Y22" s="50"/>
      <c r="Z22" s="51"/>
      <c r="AA22" s="15"/>
      <c r="AB22" s="292">
        <f t="shared" si="0"/>
        <v>194413508.34999999</v>
      </c>
      <c r="AC22" s="295">
        <f t="shared" si="1"/>
        <v>0.97206754174999999</v>
      </c>
      <c r="AD22" s="341">
        <f>'Eje Cafetero'!U9</f>
        <v>13</v>
      </c>
      <c r="AE22" s="353">
        <v>44658</v>
      </c>
      <c r="AF22" s="342">
        <f t="shared" si="2"/>
        <v>5586491.650000006</v>
      </c>
      <c r="AG22" s="57" t="s">
        <v>27</v>
      </c>
      <c r="AH22" s="58">
        <f t="shared" si="3"/>
        <v>10</v>
      </c>
    </row>
    <row r="23" spans="1:34" ht="16.5" x14ac:dyDescent="0.3">
      <c r="A23" s="134" t="s">
        <v>105</v>
      </c>
      <c r="B23" s="23" t="s">
        <v>166</v>
      </c>
      <c r="C23" s="142" t="s">
        <v>18</v>
      </c>
      <c r="D23" s="107" t="s">
        <v>167</v>
      </c>
      <c r="E23" s="176">
        <v>397208</v>
      </c>
      <c r="F23" s="32" t="s">
        <v>131</v>
      </c>
      <c r="G23" s="37">
        <v>44267</v>
      </c>
      <c r="H23" s="61">
        <v>169987000</v>
      </c>
      <c r="I23" s="49"/>
      <c r="J23" s="50"/>
      <c r="K23" s="50">
        <v>10700000</v>
      </c>
      <c r="L23" s="50"/>
      <c r="M23" s="50">
        <v>3377833</v>
      </c>
      <c r="N23" s="50">
        <v>24835233</v>
      </c>
      <c r="O23" s="50">
        <v>18669873</v>
      </c>
      <c r="P23" s="50">
        <v>5000000</v>
      </c>
      <c r="Q23" s="50">
        <v>4107833</v>
      </c>
      <c r="R23" s="66">
        <v>8950000</v>
      </c>
      <c r="S23" s="50"/>
      <c r="T23" s="50">
        <v>45783000</v>
      </c>
      <c r="U23" s="50">
        <v>3230000</v>
      </c>
      <c r="V23" s="50"/>
      <c r="W23" s="50">
        <v>39886202</v>
      </c>
      <c r="X23" s="50"/>
      <c r="Y23" s="50"/>
      <c r="Z23" s="51"/>
      <c r="AA23" s="15"/>
      <c r="AB23" s="292">
        <f t="shared" si="0"/>
        <v>164539974</v>
      </c>
      <c r="AC23" s="295">
        <f t="shared" si="1"/>
        <v>0.96795622018154326</v>
      </c>
      <c r="AD23" s="341">
        <f>Llanos!U12</f>
        <v>13</v>
      </c>
      <c r="AE23" s="353">
        <v>44672</v>
      </c>
      <c r="AF23" s="342">
        <f t="shared" si="2"/>
        <v>5447026</v>
      </c>
      <c r="AG23" s="57" t="s">
        <v>27</v>
      </c>
      <c r="AH23" s="58">
        <f t="shared" si="3"/>
        <v>10</v>
      </c>
    </row>
    <row r="24" spans="1:34" s="12" customFormat="1" ht="16.5" x14ac:dyDescent="0.3">
      <c r="A24" s="134" t="s">
        <v>105</v>
      </c>
      <c r="B24" s="26" t="s">
        <v>140</v>
      </c>
      <c r="C24" s="143" t="s">
        <v>18</v>
      </c>
      <c r="D24" s="107" t="s">
        <v>141</v>
      </c>
      <c r="E24" s="176">
        <v>396609</v>
      </c>
      <c r="F24" s="33" t="s">
        <v>108</v>
      </c>
      <c r="G24" s="37">
        <v>44251</v>
      </c>
      <c r="H24" s="61">
        <v>200000000</v>
      </c>
      <c r="I24" s="49"/>
      <c r="J24" s="50">
        <v>10700000</v>
      </c>
      <c r="K24" s="50"/>
      <c r="L24" s="50">
        <v>3000000</v>
      </c>
      <c r="M24" s="50">
        <v>8155666</v>
      </c>
      <c r="N24" s="50">
        <v>6800000</v>
      </c>
      <c r="O24" s="50">
        <v>6000000</v>
      </c>
      <c r="P24" s="50">
        <v>21733499</v>
      </c>
      <c r="Q24" s="50"/>
      <c r="R24" s="66">
        <v>40788047.299999997</v>
      </c>
      <c r="S24" s="50"/>
      <c r="T24" s="50">
        <v>57251959.700000003</v>
      </c>
      <c r="U24" s="50"/>
      <c r="V24" s="50">
        <v>30783666</v>
      </c>
      <c r="W24" s="50"/>
      <c r="X24" s="50">
        <v>6400000</v>
      </c>
      <c r="Y24" s="50"/>
      <c r="Z24" s="51"/>
      <c r="AA24" s="15"/>
      <c r="AB24" s="292">
        <f t="shared" si="0"/>
        <v>191612838</v>
      </c>
      <c r="AC24" s="295">
        <f t="shared" si="1"/>
        <v>0.95806418999999998</v>
      </c>
      <c r="AD24" s="341">
        <f>Llanos!U9</f>
        <v>13</v>
      </c>
      <c r="AE24" s="353">
        <v>44678</v>
      </c>
      <c r="AF24" s="342">
        <f t="shared" si="2"/>
        <v>8387162</v>
      </c>
      <c r="AG24" s="57" t="s">
        <v>27</v>
      </c>
      <c r="AH24" s="58">
        <f t="shared" si="3"/>
        <v>10</v>
      </c>
    </row>
    <row r="25" spans="1:34" s="12" customFormat="1" ht="16.5" x14ac:dyDescent="0.3">
      <c r="A25" s="134" t="s">
        <v>28</v>
      </c>
      <c r="B25" s="26" t="s">
        <v>219</v>
      </c>
      <c r="C25" s="143" t="s">
        <v>18</v>
      </c>
      <c r="D25" s="107" t="s">
        <v>220</v>
      </c>
      <c r="E25" s="176">
        <v>397343</v>
      </c>
      <c r="F25" s="33" t="s">
        <v>81</v>
      </c>
      <c r="G25" s="37">
        <v>44267</v>
      </c>
      <c r="H25" s="62">
        <v>184180000</v>
      </c>
      <c r="I25" s="49"/>
      <c r="J25" s="50"/>
      <c r="K25" s="50">
        <v>10700000</v>
      </c>
      <c r="L25" s="50"/>
      <c r="M25" s="50">
        <v>11700000</v>
      </c>
      <c r="N25" s="50">
        <v>29000000</v>
      </c>
      <c r="O25" s="50"/>
      <c r="P25" s="50"/>
      <c r="Q25" s="50"/>
      <c r="R25" s="66">
        <v>6900000</v>
      </c>
      <c r="S25" s="50">
        <v>3300000</v>
      </c>
      <c r="T25" s="50">
        <v>22200080</v>
      </c>
      <c r="U25" s="50">
        <v>22116000</v>
      </c>
      <c r="V25" s="50">
        <v>8500000</v>
      </c>
      <c r="W25" s="50">
        <v>45900000</v>
      </c>
      <c r="X25" s="50">
        <v>16000000</v>
      </c>
      <c r="Y25" s="50"/>
      <c r="Z25" s="51"/>
      <c r="AA25" s="15"/>
      <c r="AB25" s="292">
        <f t="shared" si="0"/>
        <v>176316080</v>
      </c>
      <c r="AC25" s="295">
        <f t="shared" si="1"/>
        <v>0.95730307308068197</v>
      </c>
      <c r="AD25" s="341">
        <f>Pacífico!U21</f>
        <v>11</v>
      </c>
      <c r="AE25" s="353">
        <v>44737</v>
      </c>
      <c r="AF25" s="342">
        <f t="shared" si="2"/>
        <v>7863920</v>
      </c>
      <c r="AG25" s="57" t="s">
        <v>27</v>
      </c>
      <c r="AH25" s="58">
        <f t="shared" si="3"/>
        <v>10</v>
      </c>
    </row>
    <row r="26" spans="1:34" s="12" customFormat="1" ht="16.5" x14ac:dyDescent="0.3">
      <c r="A26" s="134" t="s">
        <v>28</v>
      </c>
      <c r="B26" s="26" t="s">
        <v>409</v>
      </c>
      <c r="C26" s="143" t="s">
        <v>18</v>
      </c>
      <c r="D26" s="107" t="s">
        <v>410</v>
      </c>
      <c r="E26" s="176">
        <v>397235</v>
      </c>
      <c r="F26" s="33" t="s">
        <v>81</v>
      </c>
      <c r="G26" s="37">
        <v>44267</v>
      </c>
      <c r="H26" s="62">
        <v>199296000</v>
      </c>
      <c r="I26" s="49"/>
      <c r="J26" s="50"/>
      <c r="K26" s="50"/>
      <c r="L26" s="50"/>
      <c r="M26" s="50"/>
      <c r="N26" s="50"/>
      <c r="O26" s="50"/>
      <c r="P26" s="50"/>
      <c r="Q26" s="50"/>
      <c r="R26" s="66"/>
      <c r="S26" s="50">
        <v>22200000</v>
      </c>
      <c r="T26" s="50">
        <v>23000000</v>
      </c>
      <c r="U26" s="50">
        <v>31000000</v>
      </c>
      <c r="V26" s="50">
        <v>18450000</v>
      </c>
      <c r="W26" s="50">
        <v>65864400</v>
      </c>
      <c r="X26" s="50">
        <v>29296000</v>
      </c>
      <c r="Y26" s="50"/>
      <c r="Z26" s="51"/>
      <c r="AA26" s="15"/>
      <c r="AB26" s="292">
        <f t="shared" si="0"/>
        <v>189810400</v>
      </c>
      <c r="AC26" s="295">
        <f t="shared" si="1"/>
        <v>0.95240446371226717</v>
      </c>
      <c r="AD26" s="341">
        <f>Pacífico!U15</f>
        <v>10</v>
      </c>
      <c r="AE26" s="353">
        <v>44763</v>
      </c>
      <c r="AF26" s="342">
        <f t="shared" si="2"/>
        <v>9485600</v>
      </c>
      <c r="AG26" s="57" t="s">
        <v>27</v>
      </c>
      <c r="AH26" s="58">
        <f t="shared" si="3"/>
        <v>6</v>
      </c>
    </row>
    <row r="27" spans="1:34" s="12" customFormat="1" ht="16.5" x14ac:dyDescent="0.3">
      <c r="A27" s="134" t="s">
        <v>105</v>
      </c>
      <c r="B27" s="26" t="s">
        <v>254</v>
      </c>
      <c r="C27" s="143" t="s">
        <v>18</v>
      </c>
      <c r="D27" s="107" t="s">
        <v>255</v>
      </c>
      <c r="E27" s="176">
        <v>397011</v>
      </c>
      <c r="F27" s="33" t="s">
        <v>118</v>
      </c>
      <c r="G27" s="37">
        <v>44256</v>
      </c>
      <c r="H27" s="61">
        <v>200000000</v>
      </c>
      <c r="I27" s="49"/>
      <c r="J27" s="50">
        <v>10700000</v>
      </c>
      <c r="K27" s="50"/>
      <c r="L27" s="50">
        <v>3500000</v>
      </c>
      <c r="M27" s="50">
        <v>19833499</v>
      </c>
      <c r="N27" s="50">
        <v>10377833</v>
      </c>
      <c r="O27" s="50"/>
      <c r="P27" s="50"/>
      <c r="Q27" s="50">
        <v>10500000</v>
      </c>
      <c r="R27" s="66"/>
      <c r="S27" s="50">
        <v>20500000</v>
      </c>
      <c r="T27" s="50">
        <v>55751998</v>
      </c>
      <c r="U27" s="50"/>
      <c r="V27" s="50">
        <v>58136666</v>
      </c>
      <c r="W27" s="50"/>
      <c r="X27" s="50"/>
      <c r="Y27" s="50"/>
      <c r="Z27" s="51"/>
      <c r="AA27" s="15"/>
      <c r="AB27" s="292">
        <f t="shared" si="0"/>
        <v>189299996</v>
      </c>
      <c r="AC27" s="295">
        <f t="shared" si="1"/>
        <v>0.94649998000000002</v>
      </c>
      <c r="AD27" s="341">
        <f>Llanos!U5</f>
        <v>13</v>
      </c>
      <c r="AE27" s="353">
        <v>44673</v>
      </c>
      <c r="AF27" s="342">
        <f t="shared" si="2"/>
        <v>10700004</v>
      </c>
      <c r="AG27" s="57" t="s">
        <v>27</v>
      </c>
      <c r="AH27" s="58">
        <f t="shared" si="3"/>
        <v>8</v>
      </c>
    </row>
    <row r="28" spans="1:34" s="12" customFormat="1" ht="16.5" x14ac:dyDescent="0.3">
      <c r="A28" s="134" t="s">
        <v>49</v>
      </c>
      <c r="B28" s="23" t="s">
        <v>242</v>
      </c>
      <c r="C28" s="143" t="s">
        <v>18</v>
      </c>
      <c r="D28" s="107" t="s">
        <v>243</v>
      </c>
      <c r="E28" s="176">
        <v>396879</v>
      </c>
      <c r="F28" s="32" t="s">
        <v>52</v>
      </c>
      <c r="G28" s="37">
        <v>44252</v>
      </c>
      <c r="H28" s="61">
        <v>199942636</v>
      </c>
      <c r="I28" s="49"/>
      <c r="J28" s="50"/>
      <c r="K28" s="50">
        <v>10700000</v>
      </c>
      <c r="L28" s="50">
        <v>6000000</v>
      </c>
      <c r="M28" s="50">
        <v>6000000</v>
      </c>
      <c r="N28" s="50">
        <v>16700000</v>
      </c>
      <c r="O28" s="50">
        <v>6000000</v>
      </c>
      <c r="P28" s="50"/>
      <c r="Q28" s="50">
        <v>12000000</v>
      </c>
      <c r="R28" s="66"/>
      <c r="S28" s="50"/>
      <c r="T28" s="50">
        <v>42530649.990000002</v>
      </c>
      <c r="U28" s="50"/>
      <c r="V28" s="50">
        <v>27000000</v>
      </c>
      <c r="W28" s="50">
        <v>56310649.990000002</v>
      </c>
      <c r="X28" s="50">
        <v>6000000</v>
      </c>
      <c r="Y28" s="50"/>
      <c r="Z28" s="51"/>
      <c r="AA28" s="15"/>
      <c r="AB28" s="292">
        <f t="shared" si="0"/>
        <v>189241299.98000002</v>
      </c>
      <c r="AC28" s="295">
        <f t="shared" si="1"/>
        <v>0.94647796871098577</v>
      </c>
      <c r="AD28" s="341">
        <f>Santanderes!U11</f>
        <v>13</v>
      </c>
      <c r="AE28" s="353">
        <v>44757</v>
      </c>
      <c r="AF28" s="342">
        <f t="shared" si="2"/>
        <v>10701336.019999981</v>
      </c>
      <c r="AG28" s="57" t="s">
        <v>27</v>
      </c>
      <c r="AH28" s="58">
        <f t="shared" si="3"/>
        <v>10</v>
      </c>
    </row>
    <row r="29" spans="1:34" ht="16.5" x14ac:dyDescent="0.3">
      <c r="A29" s="134" t="s">
        <v>49</v>
      </c>
      <c r="B29" s="23" t="s">
        <v>123</v>
      </c>
      <c r="C29" s="143" t="s">
        <v>18</v>
      </c>
      <c r="D29" s="108" t="s">
        <v>124</v>
      </c>
      <c r="E29" s="176">
        <v>397316</v>
      </c>
      <c r="F29" s="32" t="s">
        <v>125</v>
      </c>
      <c r="G29" s="37">
        <v>44260</v>
      </c>
      <c r="H29" s="61">
        <v>200000000</v>
      </c>
      <c r="I29" s="49"/>
      <c r="J29" s="50">
        <v>10700000</v>
      </c>
      <c r="K29" s="50"/>
      <c r="L29" s="50">
        <v>6020000</v>
      </c>
      <c r="M29" s="50">
        <v>20736000</v>
      </c>
      <c r="N29" s="50">
        <v>6020000</v>
      </c>
      <c r="O29" s="50">
        <v>3700000</v>
      </c>
      <c r="P29" s="50">
        <v>34800000</v>
      </c>
      <c r="Q29" s="50">
        <v>6020000</v>
      </c>
      <c r="R29" s="66">
        <v>10700000</v>
      </c>
      <c r="S29" s="50">
        <v>6020000</v>
      </c>
      <c r="T29" s="50">
        <v>12040000</v>
      </c>
      <c r="U29" s="50">
        <v>60340000</v>
      </c>
      <c r="V29" s="50">
        <v>12040000</v>
      </c>
      <c r="W29" s="50"/>
      <c r="X29" s="50"/>
      <c r="Y29" s="50"/>
      <c r="Z29" s="51"/>
      <c r="AA29" s="15"/>
      <c r="AB29" s="292">
        <f t="shared" si="0"/>
        <v>189136000</v>
      </c>
      <c r="AC29" s="295">
        <f t="shared" si="1"/>
        <v>0.94567999999999997</v>
      </c>
      <c r="AD29" s="341">
        <f>Santanderes!U3</f>
        <v>13</v>
      </c>
      <c r="AE29" s="353">
        <v>44616</v>
      </c>
      <c r="AF29" s="342">
        <f t="shared" si="2"/>
        <v>10864000</v>
      </c>
      <c r="AG29" s="57" t="s">
        <v>27</v>
      </c>
      <c r="AH29" s="58">
        <f t="shared" si="3"/>
        <v>12</v>
      </c>
    </row>
    <row r="30" spans="1:34" s="12" customFormat="1" ht="16.5" x14ac:dyDescent="0.3">
      <c r="A30" s="134" t="s">
        <v>16</v>
      </c>
      <c r="B30" s="23" t="s">
        <v>82</v>
      </c>
      <c r="C30" s="142" t="s">
        <v>18</v>
      </c>
      <c r="D30" s="107" t="s">
        <v>83</v>
      </c>
      <c r="E30" s="176">
        <v>396997</v>
      </c>
      <c r="F30" s="33" t="s">
        <v>84</v>
      </c>
      <c r="G30" s="37">
        <v>44253</v>
      </c>
      <c r="H30" s="61">
        <v>199565000</v>
      </c>
      <c r="I30" s="49"/>
      <c r="J30" s="50"/>
      <c r="K30" s="50">
        <v>10000000</v>
      </c>
      <c r="L30" s="50">
        <v>14769750.4</v>
      </c>
      <c r="M30" s="50">
        <v>12315250</v>
      </c>
      <c r="N30" s="50">
        <v>25577750</v>
      </c>
      <c r="O30" s="50">
        <v>10977750</v>
      </c>
      <c r="P30" s="50">
        <v>10100000</v>
      </c>
      <c r="Q30" s="50">
        <v>11855500</v>
      </c>
      <c r="R30" s="50">
        <v>25469749.600000001</v>
      </c>
      <c r="S30" s="50">
        <v>10000000</v>
      </c>
      <c r="T30" s="50">
        <v>11855500</v>
      </c>
      <c r="U30" s="50">
        <v>6177750</v>
      </c>
      <c r="V30" s="50">
        <v>15400000</v>
      </c>
      <c r="W30" s="50">
        <v>9900000</v>
      </c>
      <c r="X30" s="50">
        <v>14300000</v>
      </c>
      <c r="Y30" s="50"/>
      <c r="Z30" s="51"/>
      <c r="AA30" s="15"/>
      <c r="AB30" s="292">
        <f t="shared" si="0"/>
        <v>188699000</v>
      </c>
      <c r="AC30" s="295">
        <f t="shared" si="1"/>
        <v>0.94555157467491791</v>
      </c>
      <c r="AD30" s="341">
        <f>'Caribe I'!S6</f>
        <v>12</v>
      </c>
      <c r="AE30" s="353">
        <v>44622</v>
      </c>
      <c r="AF30" s="342">
        <f t="shared" si="2"/>
        <v>10866000</v>
      </c>
      <c r="AG30" s="57" t="s">
        <v>27</v>
      </c>
      <c r="AH30" s="58">
        <f t="shared" si="3"/>
        <v>14</v>
      </c>
    </row>
    <row r="31" spans="1:34" s="12" customFormat="1" ht="16.5" x14ac:dyDescent="0.3">
      <c r="A31" s="134" t="s">
        <v>105</v>
      </c>
      <c r="B31" s="23" t="s">
        <v>260</v>
      </c>
      <c r="C31" s="143" t="s">
        <v>18</v>
      </c>
      <c r="D31" s="107" t="s">
        <v>261</v>
      </c>
      <c r="E31" s="176">
        <v>397072</v>
      </c>
      <c r="F31" s="32" t="s">
        <v>118</v>
      </c>
      <c r="G31" s="37">
        <v>44256</v>
      </c>
      <c r="H31" s="61">
        <v>199940000</v>
      </c>
      <c r="I31" s="49">
        <v>10700000</v>
      </c>
      <c r="J31" s="50"/>
      <c r="K31" s="50"/>
      <c r="L31" s="50">
        <v>6500000</v>
      </c>
      <c r="M31" s="50">
        <v>16833499</v>
      </c>
      <c r="N31" s="50">
        <v>10377833</v>
      </c>
      <c r="O31" s="50"/>
      <c r="P31" s="50">
        <v>8755666</v>
      </c>
      <c r="Q31" s="50"/>
      <c r="R31" s="66"/>
      <c r="S31" s="50">
        <v>29209000</v>
      </c>
      <c r="T31" s="50">
        <v>54011332</v>
      </c>
      <c r="U31" s="50"/>
      <c r="V31" s="50">
        <v>3500000</v>
      </c>
      <c r="W31" s="50">
        <v>1755666</v>
      </c>
      <c r="X31" s="50">
        <v>47200000</v>
      </c>
      <c r="Y31" s="50"/>
      <c r="Z31" s="51"/>
      <c r="AA31" s="15"/>
      <c r="AB31" s="292">
        <f t="shared" si="0"/>
        <v>188842996</v>
      </c>
      <c r="AC31" s="295">
        <f t="shared" si="1"/>
        <v>0.94449832949884971</v>
      </c>
      <c r="AD31" s="341">
        <f>Llanos!U8</f>
        <v>13</v>
      </c>
      <c r="AE31" s="353">
        <v>44704</v>
      </c>
      <c r="AF31" s="342">
        <f t="shared" si="2"/>
        <v>11097004</v>
      </c>
      <c r="AG31" s="57" t="s">
        <v>27</v>
      </c>
      <c r="AH31" s="58">
        <f t="shared" si="3"/>
        <v>10</v>
      </c>
    </row>
    <row r="32" spans="1:34" s="12" customFormat="1" ht="16.5" x14ac:dyDescent="0.3">
      <c r="A32" s="134" t="s">
        <v>28</v>
      </c>
      <c r="B32" s="23" t="s">
        <v>111</v>
      </c>
      <c r="C32" s="143" t="s">
        <v>18</v>
      </c>
      <c r="D32" s="107" t="s">
        <v>112</v>
      </c>
      <c r="E32" s="176">
        <v>396811</v>
      </c>
      <c r="F32" s="32" t="s">
        <v>113</v>
      </c>
      <c r="G32" s="37">
        <v>44252</v>
      </c>
      <c r="H32" s="61">
        <v>200000000</v>
      </c>
      <c r="I32" s="49"/>
      <c r="J32" s="50"/>
      <c r="K32" s="50">
        <f>13500000+2800000</f>
        <v>16300000</v>
      </c>
      <c r="L32" s="50">
        <v>5600000</v>
      </c>
      <c r="M32" s="50">
        <v>500000</v>
      </c>
      <c r="N32" s="50">
        <v>26100000</v>
      </c>
      <c r="O32" s="50"/>
      <c r="P32" s="50">
        <v>46500000</v>
      </c>
      <c r="Q32" s="50"/>
      <c r="R32" s="66">
        <v>12200000</v>
      </c>
      <c r="S32" s="50"/>
      <c r="T32" s="50">
        <v>72200000</v>
      </c>
      <c r="U32" s="50">
        <v>1000000</v>
      </c>
      <c r="V32" s="50">
        <v>5600000</v>
      </c>
      <c r="W32" s="50"/>
      <c r="X32" s="50">
        <v>2800000</v>
      </c>
      <c r="Y32" s="50"/>
      <c r="Z32" s="51"/>
      <c r="AA32" s="15"/>
      <c r="AB32" s="292">
        <f t="shared" si="0"/>
        <v>188800000</v>
      </c>
      <c r="AC32" s="295">
        <f t="shared" si="1"/>
        <v>0.94399999999999995</v>
      </c>
      <c r="AD32" s="341">
        <f>Pacífico!U9</f>
        <v>11</v>
      </c>
      <c r="AE32" s="353">
        <v>44608</v>
      </c>
      <c r="AF32" s="342">
        <f t="shared" si="2"/>
        <v>11200000</v>
      </c>
      <c r="AG32" s="57" t="s">
        <v>27</v>
      </c>
      <c r="AH32" s="58">
        <f t="shared" si="3"/>
        <v>10</v>
      </c>
    </row>
    <row r="33" spans="1:34" s="12" customFormat="1" ht="16.5" x14ac:dyDescent="0.3">
      <c r="A33" s="134" t="s">
        <v>55</v>
      </c>
      <c r="B33" s="23" t="s">
        <v>170</v>
      </c>
      <c r="C33" s="143" t="s">
        <v>18</v>
      </c>
      <c r="D33" s="107" t="s">
        <v>171</v>
      </c>
      <c r="E33" s="176">
        <v>396859</v>
      </c>
      <c r="F33" s="32" t="s">
        <v>71</v>
      </c>
      <c r="G33" s="37">
        <v>44252</v>
      </c>
      <c r="H33" s="61">
        <v>184960000</v>
      </c>
      <c r="I33" s="49"/>
      <c r="J33" s="50"/>
      <c r="K33" s="50">
        <v>10700000</v>
      </c>
      <c r="L33" s="50"/>
      <c r="M33" s="50"/>
      <c r="N33" s="50">
        <v>13900000</v>
      </c>
      <c r="O33" s="50">
        <v>6900000</v>
      </c>
      <c r="P33" s="50">
        <v>7716000</v>
      </c>
      <c r="Q33" s="50">
        <v>10100000</v>
      </c>
      <c r="R33" s="66">
        <v>28810000</v>
      </c>
      <c r="S33" s="50">
        <v>17600000</v>
      </c>
      <c r="T33" s="50">
        <v>6900000</v>
      </c>
      <c r="U33" s="50"/>
      <c r="V33" s="50">
        <v>17500000</v>
      </c>
      <c r="W33" s="50">
        <v>38237438.120000005</v>
      </c>
      <c r="X33" s="50">
        <v>15895482.82</v>
      </c>
      <c r="Y33" s="50"/>
      <c r="Z33" s="51"/>
      <c r="AA33" s="15"/>
      <c r="AB33" s="293">
        <f t="shared" si="0"/>
        <v>174258920.94</v>
      </c>
      <c r="AC33" s="295">
        <f t="shared" si="1"/>
        <v>0.94214381996107266</v>
      </c>
      <c r="AD33" s="341">
        <f>'Eje Cafetero'!U25</f>
        <v>13</v>
      </c>
      <c r="AE33" s="353">
        <v>44655</v>
      </c>
      <c r="AF33" s="342">
        <f t="shared" si="2"/>
        <v>10701079.060000002</v>
      </c>
      <c r="AG33" s="57" t="s">
        <v>27</v>
      </c>
      <c r="AH33" s="58">
        <f t="shared" si="3"/>
        <v>11</v>
      </c>
    </row>
    <row r="34" spans="1:34" ht="16.5" x14ac:dyDescent="0.3">
      <c r="A34" s="134" t="s">
        <v>16</v>
      </c>
      <c r="B34" s="23" t="s">
        <v>198</v>
      </c>
      <c r="C34" s="143" t="s">
        <v>18</v>
      </c>
      <c r="D34" s="107" t="s">
        <v>199</v>
      </c>
      <c r="E34" s="176">
        <v>396996</v>
      </c>
      <c r="F34" s="33" t="s">
        <v>84</v>
      </c>
      <c r="G34" s="37">
        <v>44253</v>
      </c>
      <c r="H34" s="61">
        <v>199999999</v>
      </c>
      <c r="I34" s="49">
        <v>10000000</v>
      </c>
      <c r="J34" s="50"/>
      <c r="K34" s="50"/>
      <c r="L34" s="50"/>
      <c r="M34" s="50"/>
      <c r="N34" s="50">
        <v>13555500</v>
      </c>
      <c r="O34" s="50">
        <v>18877750</v>
      </c>
      <c r="P34" s="50">
        <v>3877750</v>
      </c>
      <c r="Q34" s="50">
        <v>3877750</v>
      </c>
      <c r="R34" s="66">
        <v>23202216.539999999</v>
      </c>
      <c r="S34" s="50">
        <v>21498588.23</v>
      </c>
      <c r="T34" s="50">
        <v>44644000</v>
      </c>
      <c r="U34" s="50">
        <v>13810411.77</v>
      </c>
      <c r="V34" s="50">
        <v>10755500</v>
      </c>
      <c r="W34" s="50">
        <v>18813935.449999999</v>
      </c>
      <c r="X34" s="50">
        <v>5500000</v>
      </c>
      <c r="Y34" s="50"/>
      <c r="Z34" s="51"/>
      <c r="AA34" s="15"/>
      <c r="AB34" s="292">
        <f t="shared" ref="AB34:AB65" si="4">SUM(I34:AA34)</f>
        <v>188413401.98999998</v>
      </c>
      <c r="AC34" s="295">
        <f t="shared" ref="AC34:AC65" si="5">AB34/H34</f>
        <v>0.94206701466033493</v>
      </c>
      <c r="AD34" s="341">
        <f>'Caribe I'!S8</f>
        <v>12</v>
      </c>
      <c r="AE34" s="353">
        <v>44706</v>
      </c>
      <c r="AF34" s="342">
        <f t="shared" ref="AF34:AF65" si="6">H34-AB34</f>
        <v>11586597.01000002</v>
      </c>
      <c r="AG34" s="57" t="s">
        <v>27</v>
      </c>
      <c r="AH34" s="58">
        <f t="shared" ref="AH34:AH65" si="7">COUNT(I34:Z34)</f>
        <v>12</v>
      </c>
    </row>
    <row r="35" spans="1:34" s="12" customFormat="1" ht="16.5" x14ac:dyDescent="0.3">
      <c r="A35" s="146" t="s">
        <v>16</v>
      </c>
      <c r="B35" s="23" t="s">
        <v>38</v>
      </c>
      <c r="C35" s="143" t="s">
        <v>18</v>
      </c>
      <c r="D35" s="108" t="s">
        <v>39</v>
      </c>
      <c r="E35" s="176">
        <v>396506</v>
      </c>
      <c r="F35" s="32" t="s">
        <v>20</v>
      </c>
      <c r="G35" s="37">
        <v>44252</v>
      </c>
      <c r="H35" s="61">
        <v>200000000</v>
      </c>
      <c r="I35" s="49"/>
      <c r="J35" s="50"/>
      <c r="K35" s="50">
        <v>84429000</v>
      </c>
      <c r="L35" s="50">
        <v>7660000</v>
      </c>
      <c r="M35" s="50"/>
      <c r="N35" s="50">
        <v>4138000</v>
      </c>
      <c r="O35" s="50">
        <v>45036000</v>
      </c>
      <c r="P35" s="50">
        <v>13960000</v>
      </c>
      <c r="Q35" s="50">
        <v>878000</v>
      </c>
      <c r="R35" s="66">
        <v>5031000</v>
      </c>
      <c r="S35" s="50">
        <v>9000000</v>
      </c>
      <c r="T35" s="50"/>
      <c r="U35" s="50">
        <v>12459000</v>
      </c>
      <c r="V35" s="50">
        <v>4756000</v>
      </c>
      <c r="W35" s="50">
        <v>876000</v>
      </c>
      <c r="X35" s="50"/>
      <c r="Y35" s="50"/>
      <c r="Z35" s="51"/>
      <c r="AA35" s="15"/>
      <c r="AB35" s="292">
        <f t="shared" si="4"/>
        <v>188223000</v>
      </c>
      <c r="AC35" s="295">
        <f t="shared" si="5"/>
        <v>0.94111500000000003</v>
      </c>
      <c r="AD35" s="341">
        <f>'Caribe I'!S5</f>
        <v>13</v>
      </c>
      <c r="AE35" s="353">
        <v>44524</v>
      </c>
      <c r="AF35" s="342">
        <f t="shared" si="6"/>
        <v>11777000</v>
      </c>
      <c r="AG35" s="57" t="s">
        <v>27</v>
      </c>
      <c r="AH35" s="58">
        <f t="shared" si="7"/>
        <v>11</v>
      </c>
    </row>
    <row r="36" spans="1:34" s="12" customFormat="1" ht="16.5" x14ac:dyDescent="0.3">
      <c r="A36" s="134" t="s">
        <v>32</v>
      </c>
      <c r="B36" s="23" t="s">
        <v>152</v>
      </c>
      <c r="C36" s="143" t="s">
        <v>18</v>
      </c>
      <c r="D36" s="107" t="s">
        <v>153</v>
      </c>
      <c r="E36" s="176">
        <v>396498</v>
      </c>
      <c r="F36" s="32" t="s">
        <v>61</v>
      </c>
      <c r="G36" s="37">
        <v>44251</v>
      </c>
      <c r="H36" s="61">
        <v>180000000</v>
      </c>
      <c r="I36" s="49"/>
      <c r="J36" s="50">
        <v>10700000</v>
      </c>
      <c r="K36" s="50"/>
      <c r="L36" s="50"/>
      <c r="M36" s="50"/>
      <c r="N36" s="50">
        <v>9269332</v>
      </c>
      <c r="O36" s="50">
        <v>19457333</v>
      </c>
      <c r="P36" s="50">
        <v>37310333</v>
      </c>
      <c r="Q36" s="50">
        <v>6257333</v>
      </c>
      <c r="R36" s="66"/>
      <c r="S36" s="50">
        <v>10014666</v>
      </c>
      <c r="T36" s="50">
        <v>20714666</v>
      </c>
      <c r="U36" s="50">
        <v>46812996</v>
      </c>
      <c r="V36" s="50">
        <v>3757333</v>
      </c>
      <c r="W36" s="50">
        <v>2500000</v>
      </c>
      <c r="X36" s="50">
        <v>2500000</v>
      </c>
      <c r="Y36" s="50"/>
      <c r="Z36" s="51"/>
      <c r="AA36" s="15"/>
      <c r="AB36" s="292">
        <f t="shared" si="4"/>
        <v>169293992</v>
      </c>
      <c r="AC36" s="295">
        <f t="shared" si="5"/>
        <v>0.9405221777777778</v>
      </c>
      <c r="AD36" s="341">
        <f>Amazonía!V18</f>
        <v>14</v>
      </c>
      <c r="AE36" s="353">
        <v>44655</v>
      </c>
      <c r="AF36" s="342">
        <f t="shared" si="6"/>
        <v>10706008</v>
      </c>
      <c r="AG36" s="57" t="s">
        <v>27</v>
      </c>
      <c r="AH36" s="58">
        <f t="shared" si="7"/>
        <v>11</v>
      </c>
    </row>
    <row r="37" spans="1:34" ht="16.5" x14ac:dyDescent="0.3">
      <c r="A37" s="146" t="s">
        <v>49</v>
      </c>
      <c r="B37" s="23" t="s">
        <v>138</v>
      </c>
      <c r="C37" s="142" t="s">
        <v>18</v>
      </c>
      <c r="D37" s="108" t="s">
        <v>139</v>
      </c>
      <c r="E37" s="176">
        <v>396877</v>
      </c>
      <c r="F37" s="32" t="s">
        <v>125</v>
      </c>
      <c r="G37" s="37">
        <v>44252</v>
      </c>
      <c r="H37" s="61">
        <v>175000000</v>
      </c>
      <c r="I37" s="49"/>
      <c r="J37" s="50">
        <v>10700000</v>
      </c>
      <c r="K37" s="50"/>
      <c r="L37" s="50"/>
      <c r="M37" s="50">
        <v>9330000</v>
      </c>
      <c r="N37" s="50">
        <v>5700000</v>
      </c>
      <c r="O37" s="50"/>
      <c r="P37" s="50">
        <v>48350000</v>
      </c>
      <c r="Q37" s="50">
        <v>7061000</v>
      </c>
      <c r="R37" s="66">
        <v>2700000</v>
      </c>
      <c r="S37" s="50">
        <v>28382700</v>
      </c>
      <c r="T37" s="50">
        <v>22100000</v>
      </c>
      <c r="U37" s="50">
        <v>3000000</v>
      </c>
      <c r="V37" s="50">
        <v>5700000</v>
      </c>
      <c r="W37" s="50">
        <v>15764038</v>
      </c>
      <c r="X37" s="50">
        <v>5700000</v>
      </c>
      <c r="Y37" s="50"/>
      <c r="Z37" s="51"/>
      <c r="AA37" s="15"/>
      <c r="AB37" s="292">
        <f t="shared" si="4"/>
        <v>164487738</v>
      </c>
      <c r="AC37" s="295">
        <f t="shared" si="5"/>
        <v>0.9399299314285714</v>
      </c>
      <c r="AD37" s="341">
        <f>Santanderes!U5</f>
        <v>13</v>
      </c>
      <c r="AE37" s="353">
        <v>44637</v>
      </c>
      <c r="AF37" s="342">
        <f t="shared" si="6"/>
        <v>10512262</v>
      </c>
      <c r="AG37" s="57" t="s">
        <v>27</v>
      </c>
      <c r="AH37" s="58">
        <f t="shared" si="7"/>
        <v>12</v>
      </c>
    </row>
    <row r="38" spans="1:34" ht="16.5" x14ac:dyDescent="0.3">
      <c r="A38" s="146" t="s">
        <v>55</v>
      </c>
      <c r="B38" s="23" t="s">
        <v>264</v>
      </c>
      <c r="C38" s="143" t="s">
        <v>18</v>
      </c>
      <c r="D38" s="108" t="s">
        <v>265</v>
      </c>
      <c r="E38" s="176">
        <v>396508</v>
      </c>
      <c r="F38" s="32" t="s">
        <v>128</v>
      </c>
      <c r="G38" s="37">
        <v>44253</v>
      </c>
      <c r="H38" s="61">
        <v>189990000</v>
      </c>
      <c r="I38" s="49"/>
      <c r="J38" s="50"/>
      <c r="K38" s="50"/>
      <c r="L38" s="50"/>
      <c r="M38" s="50">
        <v>10700000</v>
      </c>
      <c r="N38" s="50">
        <v>3806000</v>
      </c>
      <c r="O38" s="50">
        <v>7606000</v>
      </c>
      <c r="P38" s="50">
        <v>10700000</v>
      </c>
      <c r="Q38" s="50">
        <v>7606000</v>
      </c>
      <c r="R38" s="66">
        <v>8781833</v>
      </c>
      <c r="S38" s="50">
        <v>2633499</v>
      </c>
      <c r="T38" s="50">
        <v>59206000</v>
      </c>
      <c r="U38" s="50">
        <v>5328400</v>
      </c>
      <c r="V38" s="50">
        <v>22226233</v>
      </c>
      <c r="W38" s="50">
        <v>34235000</v>
      </c>
      <c r="X38" s="50">
        <v>5328400</v>
      </c>
      <c r="Y38" s="50"/>
      <c r="Z38" s="51"/>
      <c r="AA38" s="15"/>
      <c r="AB38" s="292">
        <f t="shared" si="4"/>
        <v>178157365</v>
      </c>
      <c r="AC38" s="295">
        <f t="shared" si="5"/>
        <v>0.93771969577346181</v>
      </c>
      <c r="AD38" s="341">
        <f>'Eje Cafetero'!U13</f>
        <v>12</v>
      </c>
      <c r="AE38" s="353">
        <v>44740</v>
      </c>
      <c r="AF38" s="342">
        <f t="shared" si="6"/>
        <v>11832635</v>
      </c>
      <c r="AG38" s="57" t="s">
        <v>27</v>
      </c>
      <c r="AH38" s="58">
        <f t="shared" si="7"/>
        <v>12</v>
      </c>
    </row>
    <row r="39" spans="1:34" ht="16.5" x14ac:dyDescent="0.3">
      <c r="A39" s="146" t="s">
        <v>32</v>
      </c>
      <c r="B39" s="23" t="s">
        <v>200</v>
      </c>
      <c r="C39" s="143" t="s">
        <v>18</v>
      </c>
      <c r="D39" s="108" t="s">
        <v>201</v>
      </c>
      <c r="E39" s="176">
        <v>396433</v>
      </c>
      <c r="F39" s="32" t="s">
        <v>202</v>
      </c>
      <c r="G39" s="37">
        <v>44251</v>
      </c>
      <c r="H39" s="61">
        <v>200000000</v>
      </c>
      <c r="I39" s="49"/>
      <c r="J39" s="50">
        <v>10700000</v>
      </c>
      <c r="K39" s="50"/>
      <c r="L39" s="50"/>
      <c r="M39" s="50"/>
      <c r="N39" s="50"/>
      <c r="O39" s="50"/>
      <c r="P39" s="50">
        <v>10700000</v>
      </c>
      <c r="Q39" s="50"/>
      <c r="R39" s="66">
        <v>53611000</v>
      </c>
      <c r="S39" s="50"/>
      <c r="T39" s="50"/>
      <c r="U39" s="50">
        <v>10700000</v>
      </c>
      <c r="V39" s="50"/>
      <c r="W39" s="50"/>
      <c r="X39" s="50">
        <v>101826500</v>
      </c>
      <c r="Y39" s="50"/>
      <c r="Z39" s="51"/>
      <c r="AA39" s="15"/>
      <c r="AB39" s="292">
        <f t="shared" si="4"/>
        <v>187537500</v>
      </c>
      <c r="AC39" s="295">
        <f t="shared" si="5"/>
        <v>0.93768750000000001</v>
      </c>
      <c r="AD39" s="341">
        <f>Amazonía!V9</f>
        <v>12</v>
      </c>
      <c r="AE39" s="353">
        <v>44727</v>
      </c>
      <c r="AF39" s="342">
        <f t="shared" si="6"/>
        <v>12462500</v>
      </c>
      <c r="AG39" s="57" t="s">
        <v>27</v>
      </c>
      <c r="AH39" s="58">
        <f t="shared" si="7"/>
        <v>5</v>
      </c>
    </row>
    <row r="40" spans="1:34" s="12" customFormat="1" ht="16.5" x14ac:dyDescent="0.3">
      <c r="A40" s="146" t="s">
        <v>49</v>
      </c>
      <c r="B40" s="23" t="s">
        <v>50</v>
      </c>
      <c r="C40" s="143" t="s">
        <v>18</v>
      </c>
      <c r="D40" s="108" t="s">
        <v>51</v>
      </c>
      <c r="E40" s="176">
        <v>396504</v>
      </c>
      <c r="F40" s="32" t="s">
        <v>52</v>
      </c>
      <c r="G40" s="37">
        <v>44252</v>
      </c>
      <c r="H40" s="61">
        <v>170000000</v>
      </c>
      <c r="I40" s="49"/>
      <c r="J40" s="50">
        <v>10700000</v>
      </c>
      <c r="K40" s="50">
        <v>500000</v>
      </c>
      <c r="L40" s="50">
        <v>10162300</v>
      </c>
      <c r="M40" s="315">
        <v>35964000</v>
      </c>
      <c r="N40" s="50">
        <v>6100000</v>
      </c>
      <c r="O40" s="50">
        <v>6100000</v>
      </c>
      <c r="P40" s="50">
        <v>6100000</v>
      </c>
      <c r="Q40" s="50">
        <v>16800000</v>
      </c>
      <c r="R40" s="316">
        <v>22552000.050000001</v>
      </c>
      <c r="S40" s="50">
        <v>11485000.630000001</v>
      </c>
      <c r="T40" s="50">
        <v>15003766.01</v>
      </c>
      <c r="U40" s="50">
        <v>3100000</v>
      </c>
      <c r="V40" s="50">
        <v>14700000</v>
      </c>
      <c r="W40" s="50"/>
      <c r="X40" s="50"/>
      <c r="Y40" s="50"/>
      <c r="Z40" s="51"/>
      <c r="AA40" s="15"/>
      <c r="AB40" s="292">
        <f t="shared" si="4"/>
        <v>159267066.69</v>
      </c>
      <c r="AC40" s="295">
        <f t="shared" si="5"/>
        <v>0.93686509817647057</v>
      </c>
      <c r="AD40" s="341">
        <f>Santanderes!U7</f>
        <v>13</v>
      </c>
      <c r="AE40" s="353">
        <v>44610</v>
      </c>
      <c r="AF40" s="342">
        <f t="shared" si="6"/>
        <v>10732933.310000002</v>
      </c>
      <c r="AG40" s="57" t="s">
        <v>27</v>
      </c>
      <c r="AH40" s="58">
        <f t="shared" si="7"/>
        <v>13</v>
      </c>
    </row>
    <row r="41" spans="1:34" s="12" customFormat="1" ht="16.5" x14ac:dyDescent="0.3">
      <c r="A41" s="146" t="s">
        <v>89</v>
      </c>
      <c r="B41" s="23" t="s">
        <v>90</v>
      </c>
      <c r="C41" s="143" t="s">
        <v>18</v>
      </c>
      <c r="D41" s="108" t="s">
        <v>91</v>
      </c>
      <c r="E41" s="176">
        <v>396518</v>
      </c>
      <c r="F41" s="32" t="s">
        <v>92</v>
      </c>
      <c r="G41" s="63">
        <v>44251</v>
      </c>
      <c r="H41" s="64">
        <v>200000000</v>
      </c>
      <c r="I41" s="49"/>
      <c r="J41" s="50">
        <v>10700000</v>
      </c>
      <c r="K41" s="50">
        <v>2640000</v>
      </c>
      <c r="L41" s="50">
        <v>13700000</v>
      </c>
      <c r="M41" s="50">
        <v>54034000</v>
      </c>
      <c r="N41" s="50">
        <v>6878000</v>
      </c>
      <c r="O41" s="50"/>
      <c r="P41" s="50"/>
      <c r="Q41" s="50">
        <v>3878000</v>
      </c>
      <c r="R41" s="66">
        <v>25700000</v>
      </c>
      <c r="S41" s="50">
        <v>3000000</v>
      </c>
      <c r="T41" s="50">
        <v>54000000</v>
      </c>
      <c r="U41" s="50"/>
      <c r="V41" s="50">
        <v>3000000</v>
      </c>
      <c r="W41" s="50">
        <v>8634000</v>
      </c>
      <c r="X41" s="50">
        <v>878000</v>
      </c>
      <c r="Y41" s="50"/>
      <c r="Z41" s="51"/>
      <c r="AA41" s="15"/>
      <c r="AB41" s="292">
        <f t="shared" si="4"/>
        <v>187042000</v>
      </c>
      <c r="AC41" s="295">
        <f t="shared" si="5"/>
        <v>0.93520999999999999</v>
      </c>
      <c r="AD41" s="341">
        <f>'Caribe II'!Q5</f>
        <v>10</v>
      </c>
      <c r="AE41" s="353">
        <v>44636</v>
      </c>
      <c r="AF41" s="342">
        <f t="shared" si="6"/>
        <v>12958000</v>
      </c>
      <c r="AG41" s="57" t="s">
        <v>27</v>
      </c>
      <c r="AH41" s="58">
        <f t="shared" si="7"/>
        <v>12</v>
      </c>
    </row>
    <row r="42" spans="1:34" ht="16.5" x14ac:dyDescent="0.3">
      <c r="A42" s="146" t="s">
        <v>55</v>
      </c>
      <c r="B42" s="23" t="s">
        <v>114</v>
      </c>
      <c r="C42" s="143" t="s">
        <v>18</v>
      </c>
      <c r="D42" s="108" t="s">
        <v>115</v>
      </c>
      <c r="E42" s="176">
        <v>396507</v>
      </c>
      <c r="F42" s="32" t="s">
        <v>58</v>
      </c>
      <c r="G42" s="37">
        <v>44253</v>
      </c>
      <c r="H42" s="61">
        <v>199994000</v>
      </c>
      <c r="I42" s="49"/>
      <c r="J42" s="50">
        <v>10700000</v>
      </c>
      <c r="K42" s="50"/>
      <c r="L42" s="50"/>
      <c r="M42" s="50">
        <v>10700000</v>
      </c>
      <c r="N42" s="50">
        <v>11755668</v>
      </c>
      <c r="O42" s="50">
        <v>8012604</v>
      </c>
      <c r="P42" s="50">
        <v>40713668</v>
      </c>
      <c r="Q42" s="50">
        <v>8377834</v>
      </c>
      <c r="R42" s="66">
        <v>16577834</v>
      </c>
      <c r="S42" s="50"/>
      <c r="T42" s="50">
        <v>51578279</v>
      </c>
      <c r="U42" s="50">
        <v>3920000</v>
      </c>
      <c r="V42" s="50">
        <v>16777834</v>
      </c>
      <c r="W42" s="50">
        <v>7633494</v>
      </c>
      <c r="X42" s="50"/>
      <c r="Y42" s="50"/>
      <c r="Z42" s="51"/>
      <c r="AA42" s="15"/>
      <c r="AB42" s="292">
        <f t="shared" si="4"/>
        <v>186747215</v>
      </c>
      <c r="AC42" s="295">
        <f t="shared" si="5"/>
        <v>0.93376408792263765</v>
      </c>
      <c r="AD42" s="341">
        <f>'Eje Cafetero'!U14</f>
        <v>13</v>
      </c>
      <c r="AE42" s="353">
        <v>44642</v>
      </c>
      <c r="AF42" s="342">
        <f t="shared" si="6"/>
        <v>13246785</v>
      </c>
      <c r="AG42" s="57" t="s">
        <v>27</v>
      </c>
      <c r="AH42" s="58">
        <f t="shared" si="7"/>
        <v>11</v>
      </c>
    </row>
    <row r="43" spans="1:34" s="12" customFormat="1" ht="16.5" x14ac:dyDescent="0.3">
      <c r="A43" s="134" t="s">
        <v>23</v>
      </c>
      <c r="B43" s="26" t="s">
        <v>168</v>
      </c>
      <c r="C43" s="143" t="s">
        <v>18</v>
      </c>
      <c r="D43" s="107" t="s">
        <v>169</v>
      </c>
      <c r="E43" s="176">
        <v>396580</v>
      </c>
      <c r="F43" s="33" t="s">
        <v>44</v>
      </c>
      <c r="G43" s="37">
        <v>44252</v>
      </c>
      <c r="H43" s="61">
        <v>200000000</v>
      </c>
      <c r="I43" s="49"/>
      <c r="J43" s="50"/>
      <c r="K43" s="50"/>
      <c r="L43" s="50">
        <v>11577750</v>
      </c>
      <c r="M43" s="50">
        <v>7000000</v>
      </c>
      <c r="N43" s="50">
        <v>25855500</v>
      </c>
      <c r="O43" s="50">
        <v>6320000</v>
      </c>
      <c r="P43" s="50">
        <v>10877750</v>
      </c>
      <c r="Q43" s="50">
        <v>24926250</v>
      </c>
      <c r="R43" s="66"/>
      <c r="S43" s="50">
        <v>29877750</v>
      </c>
      <c r="T43" s="50">
        <v>5633250</v>
      </c>
      <c r="U43" s="50">
        <v>13700000</v>
      </c>
      <c r="V43" s="50">
        <v>38971250</v>
      </c>
      <c r="W43" s="50">
        <v>7277750</v>
      </c>
      <c r="X43" s="50">
        <v>4077750</v>
      </c>
      <c r="Y43" s="50"/>
      <c r="Z43" s="51"/>
      <c r="AA43" s="15"/>
      <c r="AB43" s="292">
        <f t="shared" si="4"/>
        <v>186095000</v>
      </c>
      <c r="AC43" s="295">
        <f t="shared" si="5"/>
        <v>0.93047500000000005</v>
      </c>
      <c r="AD43" s="341">
        <f>Central!R7</f>
        <v>10</v>
      </c>
      <c r="AE43" s="353">
        <v>44642</v>
      </c>
      <c r="AF43" s="342">
        <f t="shared" si="6"/>
        <v>13905000</v>
      </c>
      <c r="AG43" s="57" t="s">
        <v>27</v>
      </c>
      <c r="AH43" s="58">
        <f t="shared" si="7"/>
        <v>12</v>
      </c>
    </row>
    <row r="44" spans="1:34" s="12" customFormat="1" ht="16.5" x14ac:dyDescent="0.3">
      <c r="A44" s="146" t="s">
        <v>55</v>
      </c>
      <c r="B44" s="23" t="s">
        <v>258</v>
      </c>
      <c r="C44" s="142" t="s">
        <v>18</v>
      </c>
      <c r="D44" s="108" t="s">
        <v>259</v>
      </c>
      <c r="E44" s="176">
        <v>396747</v>
      </c>
      <c r="F44" s="32" t="s">
        <v>71</v>
      </c>
      <c r="G44" s="37">
        <v>44252</v>
      </c>
      <c r="H44" s="61">
        <v>149974000</v>
      </c>
      <c r="I44" s="49"/>
      <c r="J44" s="50"/>
      <c r="K44" s="50">
        <v>10700000</v>
      </c>
      <c r="L44" s="50"/>
      <c r="M44" s="50"/>
      <c r="N44" s="50">
        <v>15783333</v>
      </c>
      <c r="O44" s="50">
        <v>5961166</v>
      </c>
      <c r="P44" s="50">
        <v>6838999</v>
      </c>
      <c r="Q44" s="50"/>
      <c r="R44" s="66">
        <v>877500</v>
      </c>
      <c r="S44" s="50">
        <v>17567999.91</v>
      </c>
      <c r="T44" s="50">
        <v>42092999</v>
      </c>
      <c r="U44" s="50">
        <v>6000000</v>
      </c>
      <c r="V44" s="50">
        <v>12443166</v>
      </c>
      <c r="W44" s="50">
        <v>21008499</v>
      </c>
      <c r="X44" s="50"/>
      <c r="Y44" s="50"/>
      <c r="Z44" s="51"/>
      <c r="AA44" s="15"/>
      <c r="AB44" s="292">
        <f t="shared" si="4"/>
        <v>139273661.91</v>
      </c>
      <c r="AC44" s="295">
        <f t="shared" si="5"/>
        <v>0.92865204575459748</v>
      </c>
      <c r="AD44" s="341">
        <f>'Eje Cafetero'!U20</f>
        <v>13</v>
      </c>
      <c r="AE44" s="353">
        <v>44677</v>
      </c>
      <c r="AF44" s="342">
        <f t="shared" si="6"/>
        <v>10700338.090000004</v>
      </c>
      <c r="AG44" s="57" t="s">
        <v>27</v>
      </c>
      <c r="AH44" s="58">
        <f t="shared" si="7"/>
        <v>10</v>
      </c>
    </row>
    <row r="45" spans="1:34" s="12" customFormat="1" ht="16.5" x14ac:dyDescent="0.3">
      <c r="A45" s="146" t="s">
        <v>89</v>
      </c>
      <c r="B45" s="23" t="s">
        <v>361</v>
      </c>
      <c r="C45" s="143" t="s">
        <v>18</v>
      </c>
      <c r="D45" s="108" t="s">
        <v>362</v>
      </c>
      <c r="E45" s="176">
        <v>396517</v>
      </c>
      <c r="F45" s="32" t="s">
        <v>146</v>
      </c>
      <c r="G45" s="37">
        <v>44251</v>
      </c>
      <c r="H45" s="61">
        <v>169998000</v>
      </c>
      <c r="I45" s="49"/>
      <c r="J45" s="50"/>
      <c r="K45" s="50">
        <v>10700000</v>
      </c>
      <c r="L45" s="50"/>
      <c r="M45" s="50"/>
      <c r="N45" s="50"/>
      <c r="O45" s="50"/>
      <c r="P45" s="50"/>
      <c r="Q45" s="50"/>
      <c r="R45" s="66">
        <v>2500000</v>
      </c>
      <c r="S45" s="50">
        <v>12933499</v>
      </c>
      <c r="T45" s="50">
        <v>2650000</v>
      </c>
      <c r="U45" s="50">
        <v>54645000</v>
      </c>
      <c r="V45" s="50">
        <v>2500000</v>
      </c>
      <c r="W45" s="50">
        <v>51689165.150000006</v>
      </c>
      <c r="X45" s="50">
        <v>19705666.059999999</v>
      </c>
      <c r="Y45" s="50"/>
      <c r="Z45" s="51"/>
      <c r="AA45" s="15"/>
      <c r="AB45" s="292">
        <f t="shared" si="4"/>
        <v>157323330.21000001</v>
      </c>
      <c r="AC45" s="295">
        <f t="shared" si="5"/>
        <v>0.92544224173225575</v>
      </c>
      <c r="AD45" s="341">
        <f>'Caribe II'!Q9</f>
        <v>8</v>
      </c>
      <c r="AE45" s="353">
        <v>44784</v>
      </c>
      <c r="AF45" s="342">
        <f t="shared" si="6"/>
        <v>12674669.789999992</v>
      </c>
      <c r="AG45" s="57" t="s">
        <v>27</v>
      </c>
      <c r="AH45" s="58">
        <f t="shared" si="7"/>
        <v>8</v>
      </c>
    </row>
    <row r="46" spans="1:34" s="12" customFormat="1" ht="16.5" x14ac:dyDescent="0.3">
      <c r="A46" s="134" t="s">
        <v>23</v>
      </c>
      <c r="B46" s="23" t="s">
        <v>42</v>
      </c>
      <c r="C46" s="143" t="s">
        <v>18</v>
      </c>
      <c r="D46" s="107" t="s">
        <v>43</v>
      </c>
      <c r="E46" s="176">
        <v>396990</v>
      </c>
      <c r="F46" s="32" t="s">
        <v>44</v>
      </c>
      <c r="G46" s="37">
        <v>44256</v>
      </c>
      <c r="H46" s="61">
        <v>193827000</v>
      </c>
      <c r="I46" s="49"/>
      <c r="J46" s="50"/>
      <c r="K46" s="50">
        <v>10700000</v>
      </c>
      <c r="L46" s="50">
        <v>10700000</v>
      </c>
      <c r="M46" s="50">
        <v>53383061.270000003</v>
      </c>
      <c r="N46" s="50"/>
      <c r="O46" s="50">
        <v>69081820.730000004</v>
      </c>
      <c r="P46" s="50">
        <v>11653333</v>
      </c>
      <c r="Q46" s="50"/>
      <c r="R46" s="66"/>
      <c r="S46" s="50">
        <v>2700000</v>
      </c>
      <c r="T46" s="50">
        <v>20886666</v>
      </c>
      <c r="U46" s="50"/>
      <c r="V46" s="50"/>
      <c r="W46" s="50"/>
      <c r="X46" s="50"/>
      <c r="Y46" s="50"/>
      <c r="Z46" s="51"/>
      <c r="AA46" s="15"/>
      <c r="AB46" s="292">
        <f t="shared" si="4"/>
        <v>179104881</v>
      </c>
      <c r="AC46" s="295">
        <f t="shared" si="5"/>
        <v>0.9240450556424028</v>
      </c>
      <c r="AD46" s="341">
        <f>Central!R9</f>
        <v>9</v>
      </c>
      <c r="AE46" s="353">
        <v>44543</v>
      </c>
      <c r="AF46" s="342">
        <f t="shared" si="6"/>
        <v>14722119</v>
      </c>
      <c r="AG46" s="57" t="s">
        <v>27</v>
      </c>
      <c r="AH46" s="58">
        <f t="shared" si="7"/>
        <v>7</v>
      </c>
    </row>
    <row r="47" spans="1:34" s="12" customFormat="1" ht="16.5" x14ac:dyDescent="0.3">
      <c r="A47" s="134" t="s">
        <v>28</v>
      </c>
      <c r="B47" s="23" t="s">
        <v>132</v>
      </c>
      <c r="C47" s="143" t="s">
        <v>18</v>
      </c>
      <c r="D47" s="107" t="s">
        <v>133</v>
      </c>
      <c r="E47" s="176">
        <v>397312</v>
      </c>
      <c r="F47" s="32" t="s">
        <v>31</v>
      </c>
      <c r="G47" s="37">
        <v>44264</v>
      </c>
      <c r="H47" s="61">
        <v>148787000</v>
      </c>
      <c r="I47" s="49"/>
      <c r="J47" s="50"/>
      <c r="K47" s="50"/>
      <c r="L47" s="50"/>
      <c r="M47" s="50">
        <v>10700000</v>
      </c>
      <c r="N47" s="50"/>
      <c r="O47" s="50"/>
      <c r="P47" s="50">
        <v>7000000</v>
      </c>
      <c r="Q47" s="50">
        <v>37785700</v>
      </c>
      <c r="R47" s="66">
        <v>3500000</v>
      </c>
      <c r="S47" s="50">
        <v>16200000</v>
      </c>
      <c r="T47" s="50">
        <v>50381160</v>
      </c>
      <c r="U47" s="50"/>
      <c r="V47" s="50">
        <v>1000000</v>
      </c>
      <c r="W47" s="50"/>
      <c r="X47" s="50">
        <v>9500000</v>
      </c>
      <c r="Y47" s="50"/>
      <c r="Z47" s="51"/>
      <c r="AA47" s="15"/>
      <c r="AB47" s="292">
        <f t="shared" si="4"/>
        <v>136066860</v>
      </c>
      <c r="AC47" s="295">
        <f t="shared" si="5"/>
        <v>0.91450771908836126</v>
      </c>
      <c r="AD47" s="341">
        <f>Pacífico!U6</f>
        <v>11</v>
      </c>
      <c r="AE47" s="353">
        <v>44638</v>
      </c>
      <c r="AF47" s="342">
        <f t="shared" si="6"/>
        <v>12720140</v>
      </c>
      <c r="AG47" s="57" t="s">
        <v>27</v>
      </c>
      <c r="AH47" s="58">
        <f t="shared" si="7"/>
        <v>8</v>
      </c>
    </row>
    <row r="48" spans="1:34" ht="16.5" x14ac:dyDescent="0.3">
      <c r="A48" s="134" t="s">
        <v>28</v>
      </c>
      <c r="B48" s="26" t="s">
        <v>328</v>
      </c>
      <c r="C48" s="143" t="s">
        <v>18</v>
      </c>
      <c r="D48" s="107" t="s">
        <v>329</v>
      </c>
      <c r="E48" s="176">
        <v>397076</v>
      </c>
      <c r="F48" s="33" t="s">
        <v>81</v>
      </c>
      <c r="G48" s="37">
        <v>44264</v>
      </c>
      <c r="H48" s="62">
        <v>173408000</v>
      </c>
      <c r="I48" s="49"/>
      <c r="J48" s="50"/>
      <c r="K48" s="50">
        <v>10700000</v>
      </c>
      <c r="L48" s="50"/>
      <c r="M48" s="50"/>
      <c r="N48" s="50">
        <v>5300000</v>
      </c>
      <c r="O48" s="50"/>
      <c r="P48" s="50"/>
      <c r="Q48" s="50"/>
      <c r="R48" s="66">
        <v>6800000</v>
      </c>
      <c r="S48" s="50">
        <v>16300000</v>
      </c>
      <c r="T48" s="50">
        <v>32044500</v>
      </c>
      <c r="U48" s="50"/>
      <c r="V48" s="50">
        <v>78985000</v>
      </c>
      <c r="W48" s="50"/>
      <c r="X48" s="50">
        <v>8000000</v>
      </c>
      <c r="Y48" s="50"/>
      <c r="Z48" s="51"/>
      <c r="AA48" s="15"/>
      <c r="AB48" s="292">
        <f t="shared" si="4"/>
        <v>158129500</v>
      </c>
      <c r="AC48" s="295">
        <f t="shared" si="5"/>
        <v>0.91189276157962729</v>
      </c>
      <c r="AD48" s="341">
        <f>Pacífico!U20</f>
        <v>11</v>
      </c>
      <c r="AE48" s="353">
        <v>44713</v>
      </c>
      <c r="AF48" s="342">
        <f t="shared" si="6"/>
        <v>15278500</v>
      </c>
      <c r="AG48" s="57" t="s">
        <v>27</v>
      </c>
      <c r="AH48" s="58">
        <f t="shared" si="7"/>
        <v>7</v>
      </c>
    </row>
    <row r="49" spans="1:34" s="12" customFormat="1" ht="16.5" x14ac:dyDescent="0.3">
      <c r="A49" s="146" t="s">
        <v>55</v>
      </c>
      <c r="B49" s="24" t="s">
        <v>176</v>
      </c>
      <c r="C49" s="143" t="s">
        <v>18</v>
      </c>
      <c r="D49" s="108" t="s">
        <v>177</v>
      </c>
      <c r="E49" s="176">
        <v>396526</v>
      </c>
      <c r="F49" s="32" t="s">
        <v>58</v>
      </c>
      <c r="G49" s="37">
        <v>44258</v>
      </c>
      <c r="H49" s="61">
        <v>200000000</v>
      </c>
      <c r="I49" s="49"/>
      <c r="J49" s="50"/>
      <c r="K49" s="50"/>
      <c r="L49" s="50">
        <v>7000000</v>
      </c>
      <c r="M49" s="50"/>
      <c r="N49" s="50"/>
      <c r="O49" s="50"/>
      <c r="P49" s="50">
        <v>11200000</v>
      </c>
      <c r="Q49" s="50">
        <v>59090000</v>
      </c>
      <c r="R49" s="66">
        <v>6100000</v>
      </c>
      <c r="S49" s="50">
        <v>6100000</v>
      </c>
      <c r="T49" s="50">
        <v>45550000</v>
      </c>
      <c r="U49" s="50"/>
      <c r="V49" s="50">
        <v>8900000</v>
      </c>
      <c r="W49" s="50">
        <v>12200000</v>
      </c>
      <c r="X49" s="50">
        <v>25608000.02</v>
      </c>
      <c r="Y49" s="50"/>
      <c r="Z49" s="51"/>
      <c r="AA49" s="15"/>
      <c r="AB49" s="292">
        <f t="shared" si="4"/>
        <v>181748000.02000001</v>
      </c>
      <c r="AC49" s="295">
        <f t="shared" si="5"/>
        <v>0.9087400001</v>
      </c>
      <c r="AD49" s="341">
        <f>'Eje Cafetero'!U7</f>
        <v>12</v>
      </c>
      <c r="AE49" s="353">
        <v>44671</v>
      </c>
      <c r="AF49" s="342">
        <f t="shared" si="6"/>
        <v>18251999.979999989</v>
      </c>
      <c r="AG49" s="57" t="s">
        <v>27</v>
      </c>
      <c r="AH49" s="58">
        <f t="shared" si="7"/>
        <v>9</v>
      </c>
    </row>
    <row r="50" spans="1:34" s="12" customFormat="1" ht="16.5" x14ac:dyDescent="0.3">
      <c r="A50" s="134" t="s">
        <v>23</v>
      </c>
      <c r="B50" s="23" t="s">
        <v>85</v>
      </c>
      <c r="C50" s="143" t="s">
        <v>18</v>
      </c>
      <c r="D50" s="107" t="s">
        <v>86</v>
      </c>
      <c r="E50" s="176">
        <v>397340</v>
      </c>
      <c r="F50" s="32" t="s">
        <v>26</v>
      </c>
      <c r="G50" s="37">
        <v>44267</v>
      </c>
      <c r="H50" s="61">
        <v>199949000</v>
      </c>
      <c r="I50" s="49"/>
      <c r="J50" s="50"/>
      <c r="K50" s="50"/>
      <c r="L50" s="50"/>
      <c r="M50" s="50">
        <v>3927833</v>
      </c>
      <c r="N50" s="50">
        <v>39391666</v>
      </c>
      <c r="O50" s="50">
        <v>9000000</v>
      </c>
      <c r="P50" s="50">
        <v>18405666</v>
      </c>
      <c r="Q50" s="50">
        <v>2900000</v>
      </c>
      <c r="R50" s="66">
        <v>26331000.5</v>
      </c>
      <c r="S50" s="50">
        <v>2900000</v>
      </c>
      <c r="T50" s="50">
        <v>25369499</v>
      </c>
      <c r="U50" s="50">
        <v>6827833</v>
      </c>
      <c r="V50" s="50">
        <v>13197833</v>
      </c>
      <c r="W50" s="50">
        <v>5950000</v>
      </c>
      <c r="X50" s="50">
        <v>27276466</v>
      </c>
      <c r="Y50" s="50"/>
      <c r="Z50" s="51"/>
      <c r="AA50" s="15"/>
      <c r="AB50" s="292">
        <f t="shared" si="4"/>
        <v>181477796.5</v>
      </c>
      <c r="AC50" s="295">
        <f t="shared" si="5"/>
        <v>0.90762042570855572</v>
      </c>
      <c r="AD50" s="343">
        <f>Central!R3</f>
        <v>8</v>
      </c>
      <c r="AE50" s="353">
        <v>44618</v>
      </c>
      <c r="AF50" s="342">
        <f t="shared" si="6"/>
        <v>18471203.5</v>
      </c>
      <c r="AG50" s="57" t="s">
        <v>27</v>
      </c>
      <c r="AH50" s="58">
        <f t="shared" si="7"/>
        <v>12</v>
      </c>
    </row>
    <row r="51" spans="1:34" ht="16.5" x14ac:dyDescent="0.3">
      <c r="A51" s="146" t="s">
        <v>55</v>
      </c>
      <c r="B51" s="24" t="s">
        <v>56</v>
      </c>
      <c r="C51" s="142" t="s">
        <v>18</v>
      </c>
      <c r="D51" s="108" t="s">
        <v>57</v>
      </c>
      <c r="E51" s="176">
        <v>396424</v>
      </c>
      <c r="F51" s="32" t="s">
        <v>58</v>
      </c>
      <c r="G51" s="37">
        <v>44258</v>
      </c>
      <c r="H51" s="61">
        <v>175000000</v>
      </c>
      <c r="I51" s="49"/>
      <c r="J51" s="50">
        <v>10700000</v>
      </c>
      <c r="K51" s="50"/>
      <c r="L51" s="50"/>
      <c r="M51" s="50"/>
      <c r="N51" s="50">
        <v>22455668</v>
      </c>
      <c r="O51" s="50"/>
      <c r="P51" s="50">
        <v>9255668</v>
      </c>
      <c r="Q51" s="50">
        <v>44177834</v>
      </c>
      <c r="R51" s="66">
        <v>38007745.210000001</v>
      </c>
      <c r="S51" s="50">
        <v>10700000</v>
      </c>
      <c r="T51" s="50">
        <v>8653284</v>
      </c>
      <c r="U51" s="50"/>
      <c r="V51" s="50">
        <v>6837534</v>
      </c>
      <c r="W51" s="50">
        <v>7633494</v>
      </c>
      <c r="X51" s="50"/>
      <c r="Y51" s="50"/>
      <c r="Z51" s="51"/>
      <c r="AA51" s="15"/>
      <c r="AB51" s="292">
        <f t="shared" si="4"/>
        <v>158421227.21000001</v>
      </c>
      <c r="AC51" s="295">
        <f t="shared" si="5"/>
        <v>0.90526415548571437</v>
      </c>
      <c r="AD51" s="341">
        <f>'Eje Cafetero'!U10</f>
        <v>13</v>
      </c>
      <c r="AE51" s="353">
        <v>44655</v>
      </c>
      <c r="AF51" s="342">
        <f t="shared" si="6"/>
        <v>16578772.789999992</v>
      </c>
      <c r="AG51" s="57" t="s">
        <v>27</v>
      </c>
      <c r="AH51" s="58">
        <f t="shared" si="7"/>
        <v>9</v>
      </c>
    </row>
    <row r="52" spans="1:34" s="12" customFormat="1" ht="16.5" x14ac:dyDescent="0.3">
      <c r="A52" s="146" t="s">
        <v>55</v>
      </c>
      <c r="B52" s="23" t="s">
        <v>72</v>
      </c>
      <c r="C52" s="143" t="s">
        <v>18</v>
      </c>
      <c r="D52" s="108" t="s">
        <v>73</v>
      </c>
      <c r="E52" s="176">
        <v>396510</v>
      </c>
      <c r="F52" s="32" t="s">
        <v>58</v>
      </c>
      <c r="G52" s="37">
        <v>44252</v>
      </c>
      <c r="H52" s="61">
        <v>187732000</v>
      </c>
      <c r="I52" s="49"/>
      <c r="J52" s="50">
        <v>10700000</v>
      </c>
      <c r="K52" s="50"/>
      <c r="L52" s="50"/>
      <c r="M52" s="50"/>
      <c r="N52" s="50">
        <v>19900000</v>
      </c>
      <c r="O52" s="50">
        <v>5700000</v>
      </c>
      <c r="P52" s="50">
        <v>37716000</v>
      </c>
      <c r="Q52" s="50">
        <v>6100000</v>
      </c>
      <c r="R52" s="66">
        <v>44600000</v>
      </c>
      <c r="S52" s="50"/>
      <c r="T52" s="50">
        <v>11600000</v>
      </c>
      <c r="U52" s="50"/>
      <c r="V52" s="50">
        <v>8600000</v>
      </c>
      <c r="W52" s="50">
        <v>18800000</v>
      </c>
      <c r="X52" s="50">
        <v>6002800</v>
      </c>
      <c r="Y52" s="50"/>
      <c r="Z52" s="51"/>
      <c r="AA52" s="15"/>
      <c r="AB52" s="292">
        <f t="shared" si="4"/>
        <v>169718800</v>
      </c>
      <c r="AC52" s="295">
        <f t="shared" si="5"/>
        <v>0.90404832420684811</v>
      </c>
      <c r="AD52" s="341">
        <f>'Eje Cafetero'!U8</f>
        <v>13</v>
      </c>
      <c r="AE52" s="353">
        <v>44657</v>
      </c>
      <c r="AF52" s="342">
        <f t="shared" si="6"/>
        <v>18013200</v>
      </c>
      <c r="AG52" s="57" t="s">
        <v>27</v>
      </c>
      <c r="AH52" s="58">
        <f t="shared" si="7"/>
        <v>10</v>
      </c>
    </row>
    <row r="53" spans="1:34" s="12" customFormat="1" ht="16.5" x14ac:dyDescent="0.3">
      <c r="A53" s="134" t="s">
        <v>105</v>
      </c>
      <c r="B53" s="23" t="s">
        <v>129</v>
      </c>
      <c r="C53" s="143" t="s">
        <v>18</v>
      </c>
      <c r="D53" s="107" t="s">
        <v>130</v>
      </c>
      <c r="E53" s="176">
        <v>396494</v>
      </c>
      <c r="F53" s="32" t="s">
        <v>131</v>
      </c>
      <c r="G53" s="37">
        <v>44251</v>
      </c>
      <c r="H53" s="61">
        <v>200000000</v>
      </c>
      <c r="I53" s="49">
        <v>10700000</v>
      </c>
      <c r="J53" s="50"/>
      <c r="K53" s="50"/>
      <c r="L53" s="50"/>
      <c r="M53" s="50">
        <v>42055666</v>
      </c>
      <c r="N53" s="50">
        <v>16196003</v>
      </c>
      <c r="O53" s="50">
        <v>8155666</v>
      </c>
      <c r="P53" s="50">
        <v>10800000</v>
      </c>
      <c r="Q53" s="50">
        <v>9977833</v>
      </c>
      <c r="R53" s="66"/>
      <c r="S53" s="50"/>
      <c r="T53" s="50">
        <v>33533499</v>
      </c>
      <c r="U53" s="50"/>
      <c r="V53" s="50">
        <v>29833499</v>
      </c>
      <c r="W53" s="50">
        <v>19477837</v>
      </c>
      <c r="X53" s="50"/>
      <c r="Y53" s="50"/>
      <c r="Z53" s="51"/>
      <c r="AA53" s="15"/>
      <c r="AB53" s="292">
        <f t="shared" si="4"/>
        <v>180730003</v>
      </c>
      <c r="AC53" s="295">
        <f t="shared" si="5"/>
        <v>0.90365001499999997</v>
      </c>
      <c r="AD53" s="341">
        <f>Llanos!U6</f>
        <v>13</v>
      </c>
      <c r="AE53" s="353">
        <v>44643</v>
      </c>
      <c r="AF53" s="342">
        <f t="shared" si="6"/>
        <v>19269997</v>
      </c>
      <c r="AG53" s="57" t="s">
        <v>27</v>
      </c>
      <c r="AH53" s="58">
        <f t="shared" si="7"/>
        <v>9</v>
      </c>
    </row>
    <row r="54" spans="1:34" s="12" customFormat="1" ht="16.5" x14ac:dyDescent="0.3">
      <c r="A54" s="134" t="s">
        <v>55</v>
      </c>
      <c r="B54" s="23" t="s">
        <v>119</v>
      </c>
      <c r="C54" s="143" t="s">
        <v>18</v>
      </c>
      <c r="D54" s="107" t="s">
        <v>120</v>
      </c>
      <c r="E54" s="176">
        <v>397309</v>
      </c>
      <c r="F54" s="33" t="s">
        <v>71</v>
      </c>
      <c r="G54" s="37">
        <v>44260</v>
      </c>
      <c r="H54" s="61">
        <v>160000000</v>
      </c>
      <c r="I54" s="49"/>
      <c r="J54" s="50">
        <v>10700000</v>
      </c>
      <c r="K54" s="50"/>
      <c r="L54" s="50"/>
      <c r="M54" s="50"/>
      <c r="N54" s="50">
        <v>10700000</v>
      </c>
      <c r="O54" s="50">
        <v>3166000</v>
      </c>
      <c r="P54" s="50">
        <v>8935500</v>
      </c>
      <c r="Q54" s="50">
        <v>4166000</v>
      </c>
      <c r="R54" s="66">
        <v>24932000</v>
      </c>
      <c r="S54" s="50"/>
      <c r="T54" s="50">
        <v>8998000</v>
      </c>
      <c r="U54" s="50">
        <v>16032000</v>
      </c>
      <c r="V54" s="50">
        <v>22732000</v>
      </c>
      <c r="W54" s="50">
        <v>8498000</v>
      </c>
      <c r="X54" s="50">
        <v>25538000.25</v>
      </c>
      <c r="Y54" s="50"/>
      <c r="Z54" s="51"/>
      <c r="AA54" s="15"/>
      <c r="AB54" s="292">
        <f t="shared" si="4"/>
        <v>144397500.25</v>
      </c>
      <c r="AC54" s="295">
        <f t="shared" si="5"/>
        <v>0.90248437656250002</v>
      </c>
      <c r="AD54" s="343">
        <f>'Eje Cafetero'!U28</f>
        <v>13</v>
      </c>
      <c r="AE54" s="353">
        <v>44679</v>
      </c>
      <c r="AF54" s="342">
        <f t="shared" si="6"/>
        <v>15602499.75</v>
      </c>
      <c r="AG54" s="57" t="s">
        <v>27</v>
      </c>
      <c r="AH54" s="58">
        <f t="shared" si="7"/>
        <v>11</v>
      </c>
    </row>
    <row r="55" spans="1:34" s="12" customFormat="1" ht="16.5" x14ac:dyDescent="0.3">
      <c r="A55" s="134" t="s">
        <v>23</v>
      </c>
      <c r="B55" s="26" t="s">
        <v>142</v>
      </c>
      <c r="C55" s="143" t="s">
        <v>18</v>
      </c>
      <c r="D55" s="107" t="s">
        <v>143</v>
      </c>
      <c r="E55" s="176">
        <v>396612</v>
      </c>
      <c r="F55" s="33" t="s">
        <v>68</v>
      </c>
      <c r="G55" s="37">
        <v>44252</v>
      </c>
      <c r="H55" s="61">
        <v>197934000</v>
      </c>
      <c r="I55" s="49">
        <v>10700000</v>
      </c>
      <c r="J55" s="50"/>
      <c r="K55" s="50"/>
      <c r="L55" s="50"/>
      <c r="M55" s="50">
        <v>32998000</v>
      </c>
      <c r="N55" s="50">
        <v>20850666</v>
      </c>
      <c r="O55" s="50">
        <v>7849666</v>
      </c>
      <c r="P55" s="50">
        <v>5216666</v>
      </c>
      <c r="Q55" s="50">
        <v>10700000</v>
      </c>
      <c r="R55" s="66">
        <v>5478000</v>
      </c>
      <c r="S55" s="50">
        <v>45365332</v>
      </c>
      <c r="T55" s="50">
        <v>17457000</v>
      </c>
      <c r="U55" s="50">
        <v>8133332</v>
      </c>
      <c r="V55" s="50">
        <v>6355000</v>
      </c>
      <c r="W55" s="50">
        <v>5833332</v>
      </c>
      <c r="X55" s="50">
        <v>1547000</v>
      </c>
      <c r="Y55" s="50"/>
      <c r="Z55" s="51"/>
      <c r="AA55" s="15"/>
      <c r="AB55" s="292">
        <f t="shared" si="4"/>
        <v>178483994</v>
      </c>
      <c r="AC55" s="295">
        <f t="shared" si="5"/>
        <v>0.90173489142845598</v>
      </c>
      <c r="AD55" s="341">
        <f>Central!R14</f>
        <v>8</v>
      </c>
      <c r="AE55" s="353">
        <v>44600</v>
      </c>
      <c r="AF55" s="342">
        <f t="shared" si="6"/>
        <v>19450006</v>
      </c>
      <c r="AG55" s="57" t="s">
        <v>27</v>
      </c>
      <c r="AH55" s="58">
        <f t="shared" si="7"/>
        <v>13</v>
      </c>
    </row>
    <row r="56" spans="1:34" ht="16.5" x14ac:dyDescent="0.3">
      <c r="A56" s="134" t="s">
        <v>23</v>
      </c>
      <c r="B56" s="23" t="s">
        <v>93</v>
      </c>
      <c r="C56" s="143" t="s">
        <v>18</v>
      </c>
      <c r="D56" s="107" t="s">
        <v>94</v>
      </c>
      <c r="E56" s="176">
        <v>396875</v>
      </c>
      <c r="F56" s="32" t="s">
        <v>68</v>
      </c>
      <c r="G56" s="37">
        <v>44252</v>
      </c>
      <c r="H56" s="61">
        <v>199994000</v>
      </c>
      <c r="I56" s="49">
        <v>10700000</v>
      </c>
      <c r="J56" s="50"/>
      <c r="K56" s="50"/>
      <c r="L56" s="50"/>
      <c r="M56" s="50">
        <v>62065409</v>
      </c>
      <c r="N56" s="50">
        <v>15953409</v>
      </c>
      <c r="O56" s="50">
        <v>26985000</v>
      </c>
      <c r="P56" s="50"/>
      <c r="Q56" s="50"/>
      <c r="R56" s="66"/>
      <c r="S56" s="50">
        <v>15075606</v>
      </c>
      <c r="T56" s="50">
        <v>15953409</v>
      </c>
      <c r="U56" s="50">
        <v>33512999.93</v>
      </c>
      <c r="V56" s="50"/>
      <c r="W56" s="50"/>
      <c r="X56" s="50"/>
      <c r="Y56" s="50"/>
      <c r="Z56" s="51"/>
      <c r="AA56" s="15"/>
      <c r="AB56" s="292">
        <f t="shared" si="4"/>
        <v>180245832.93000001</v>
      </c>
      <c r="AC56" s="295">
        <f t="shared" si="5"/>
        <v>0.90125620233607007</v>
      </c>
      <c r="AD56" s="341">
        <f>Central!R24</f>
        <v>8</v>
      </c>
      <c r="AE56" s="353">
        <v>44541</v>
      </c>
      <c r="AF56" s="342">
        <f t="shared" si="6"/>
        <v>19748167.069999993</v>
      </c>
      <c r="AG56" s="57" t="s">
        <v>27</v>
      </c>
      <c r="AH56" s="58">
        <f t="shared" si="7"/>
        <v>7</v>
      </c>
    </row>
    <row r="57" spans="1:34" s="12" customFormat="1" ht="16.5" x14ac:dyDescent="0.3">
      <c r="A57" s="134" t="s">
        <v>105</v>
      </c>
      <c r="B57" s="23" t="s">
        <v>106</v>
      </c>
      <c r="C57" s="143" t="s">
        <v>18</v>
      </c>
      <c r="D57" s="107" t="s">
        <v>107</v>
      </c>
      <c r="E57" s="176">
        <v>397010</v>
      </c>
      <c r="F57" s="32" t="s">
        <v>108</v>
      </c>
      <c r="G57" s="37">
        <v>44256</v>
      </c>
      <c r="H57" s="61">
        <v>195000000</v>
      </c>
      <c r="I57" s="49"/>
      <c r="J57" s="50">
        <v>10700000</v>
      </c>
      <c r="K57" s="50">
        <v>31356000</v>
      </c>
      <c r="L57" s="50">
        <v>3500000</v>
      </c>
      <c r="M57" s="50">
        <v>12133499</v>
      </c>
      <c r="N57" s="50">
        <v>10877833</v>
      </c>
      <c r="O57" s="50">
        <v>13667000</v>
      </c>
      <c r="P57" s="50">
        <v>3000000</v>
      </c>
      <c r="Q57" s="50">
        <v>4377833</v>
      </c>
      <c r="R57" s="66">
        <v>15851000</v>
      </c>
      <c r="S57" s="50"/>
      <c r="T57" s="50">
        <v>41032232</v>
      </c>
      <c r="U57" s="50"/>
      <c r="V57" s="50">
        <v>11755666</v>
      </c>
      <c r="W57" s="50">
        <v>17200000</v>
      </c>
      <c r="X57" s="50"/>
      <c r="Y57" s="50"/>
      <c r="Z57" s="51"/>
      <c r="AA57" s="15"/>
      <c r="AB57" s="292">
        <f t="shared" si="4"/>
        <v>175451063</v>
      </c>
      <c r="AC57" s="295">
        <f t="shared" si="5"/>
        <v>0.89974904102564102</v>
      </c>
      <c r="AD57" s="341">
        <f>Llanos!U19</f>
        <v>12</v>
      </c>
      <c r="AE57" s="353">
        <v>44622</v>
      </c>
      <c r="AF57" s="342">
        <f t="shared" si="6"/>
        <v>19548937</v>
      </c>
      <c r="AG57" s="57" t="s">
        <v>27</v>
      </c>
      <c r="AH57" s="58">
        <f t="shared" si="7"/>
        <v>12</v>
      </c>
    </row>
    <row r="58" spans="1:34" ht="16.5" x14ac:dyDescent="0.3">
      <c r="A58" s="134" t="s">
        <v>23</v>
      </c>
      <c r="B58" s="23" t="s">
        <v>101</v>
      </c>
      <c r="C58" s="142" t="s">
        <v>18</v>
      </c>
      <c r="D58" s="107" t="s">
        <v>102</v>
      </c>
      <c r="E58" s="176">
        <v>396894</v>
      </c>
      <c r="F58" s="32" t="s">
        <v>26</v>
      </c>
      <c r="G58" s="37">
        <v>44252</v>
      </c>
      <c r="H58" s="133">
        <v>180843000</v>
      </c>
      <c r="I58" s="49"/>
      <c r="J58" s="50"/>
      <c r="K58" s="50"/>
      <c r="L58" s="50"/>
      <c r="M58" s="50">
        <v>19500000</v>
      </c>
      <c r="N58" s="50">
        <v>11863499.99</v>
      </c>
      <c r="O58" s="50">
        <v>42827633.329999998</v>
      </c>
      <c r="P58" s="50">
        <v>5900000</v>
      </c>
      <c r="Q58" s="50">
        <v>17467833.329999998</v>
      </c>
      <c r="R58" s="66">
        <v>3000000</v>
      </c>
      <c r="S58" s="50">
        <v>6777833.3300000001</v>
      </c>
      <c r="T58" s="50">
        <v>6777833.3300000001</v>
      </c>
      <c r="U58" s="50">
        <v>17477833.329999998</v>
      </c>
      <c r="V58" s="50">
        <v>10555666.66</v>
      </c>
      <c r="W58" s="50">
        <v>13555666.66</v>
      </c>
      <c r="X58" s="50">
        <v>6993000</v>
      </c>
      <c r="Y58" s="50"/>
      <c r="Z58" s="51"/>
      <c r="AA58" s="15"/>
      <c r="AB58" s="292">
        <f t="shared" si="4"/>
        <v>162696799.95999998</v>
      </c>
      <c r="AC58" s="295">
        <f t="shared" si="5"/>
        <v>0.89965771392865623</v>
      </c>
      <c r="AD58" s="341">
        <f>Central!R22</f>
        <v>10</v>
      </c>
      <c r="AE58" s="353">
        <v>44622</v>
      </c>
      <c r="AF58" s="342">
        <f t="shared" si="6"/>
        <v>18146200.040000021</v>
      </c>
      <c r="AG58" s="57" t="s">
        <v>27</v>
      </c>
      <c r="AH58" s="58">
        <f t="shared" si="7"/>
        <v>12</v>
      </c>
    </row>
    <row r="59" spans="1:34" ht="16.5" x14ac:dyDescent="0.3">
      <c r="A59" s="146" t="s">
        <v>89</v>
      </c>
      <c r="B59" s="23" t="s">
        <v>147</v>
      </c>
      <c r="C59" s="143" t="s">
        <v>18</v>
      </c>
      <c r="D59" s="107" t="s">
        <v>148</v>
      </c>
      <c r="E59" s="176">
        <v>396998</v>
      </c>
      <c r="F59" s="32" t="s">
        <v>146</v>
      </c>
      <c r="G59" s="37">
        <v>44253</v>
      </c>
      <c r="H59" s="61">
        <v>200000000</v>
      </c>
      <c r="I59" s="49"/>
      <c r="J59" s="50"/>
      <c r="K59" s="50"/>
      <c r="L59" s="50"/>
      <c r="M59" s="50"/>
      <c r="N59" s="50">
        <v>15977750</v>
      </c>
      <c r="O59" s="50">
        <v>2500000</v>
      </c>
      <c r="P59" s="50">
        <v>78340000</v>
      </c>
      <c r="Q59" s="50"/>
      <c r="R59" s="66"/>
      <c r="S59" s="50">
        <v>20268000</v>
      </c>
      <c r="T59" s="50">
        <v>17509250</v>
      </c>
      <c r="U59" s="50">
        <v>20103000</v>
      </c>
      <c r="V59" s="50">
        <v>15266500</v>
      </c>
      <c r="W59" s="50">
        <v>5877750</v>
      </c>
      <c r="X59" s="50">
        <v>3545600</v>
      </c>
      <c r="Y59" s="50"/>
      <c r="Z59" s="51"/>
      <c r="AA59" s="15"/>
      <c r="AB59" s="292">
        <f t="shared" si="4"/>
        <v>179387850</v>
      </c>
      <c r="AC59" s="295">
        <f t="shared" si="5"/>
        <v>0.89693924999999997</v>
      </c>
      <c r="AD59" s="343">
        <f>'Caribe II'!Q12</f>
        <v>10</v>
      </c>
      <c r="AE59" s="353">
        <v>44634</v>
      </c>
      <c r="AF59" s="342">
        <f t="shared" si="6"/>
        <v>20612150</v>
      </c>
      <c r="AG59" s="57" t="s">
        <v>27</v>
      </c>
      <c r="AH59" s="58">
        <f t="shared" si="7"/>
        <v>9</v>
      </c>
    </row>
    <row r="60" spans="1:34" s="12" customFormat="1" ht="16.5" x14ac:dyDescent="0.3">
      <c r="A60" s="134" t="s">
        <v>28</v>
      </c>
      <c r="B60" s="26" t="s">
        <v>79</v>
      </c>
      <c r="C60" s="143" t="s">
        <v>18</v>
      </c>
      <c r="D60" s="109" t="s">
        <v>80</v>
      </c>
      <c r="E60" s="176">
        <v>396856</v>
      </c>
      <c r="F60" s="33" t="s">
        <v>81</v>
      </c>
      <c r="G60" s="37">
        <v>44252</v>
      </c>
      <c r="H60" s="62">
        <v>200000000</v>
      </c>
      <c r="I60" s="49"/>
      <c r="J60" s="50">
        <v>10700000</v>
      </c>
      <c r="K60" s="50">
        <v>4000000</v>
      </c>
      <c r="L60" s="50">
        <v>9000000</v>
      </c>
      <c r="M60" s="50">
        <v>26745000</v>
      </c>
      <c r="N60" s="50">
        <v>17200000</v>
      </c>
      <c r="O60" s="50"/>
      <c r="P60" s="50">
        <v>18624000</v>
      </c>
      <c r="Q60" s="50">
        <v>27200000</v>
      </c>
      <c r="R60" s="66"/>
      <c r="S60" s="50">
        <v>16000000</v>
      </c>
      <c r="T60" s="50">
        <v>33481000</v>
      </c>
      <c r="U60" s="50">
        <v>9500000</v>
      </c>
      <c r="V60" s="50">
        <v>6500000</v>
      </c>
      <c r="W60" s="50"/>
      <c r="X60" s="50"/>
      <c r="Y60" s="50"/>
      <c r="Z60" s="51"/>
      <c r="AA60" s="15"/>
      <c r="AB60" s="292">
        <f t="shared" si="4"/>
        <v>178950000</v>
      </c>
      <c r="AC60" s="295">
        <f t="shared" si="5"/>
        <v>0.89475000000000005</v>
      </c>
      <c r="AD60" s="341">
        <f>Pacífico!U25</f>
        <v>11</v>
      </c>
      <c r="AE60" s="353">
        <v>44600</v>
      </c>
      <c r="AF60" s="342">
        <f t="shared" si="6"/>
        <v>21050000</v>
      </c>
      <c r="AG60" s="57" t="s">
        <v>27</v>
      </c>
      <c r="AH60" s="58">
        <f t="shared" si="7"/>
        <v>11</v>
      </c>
    </row>
    <row r="61" spans="1:34" s="12" customFormat="1" ht="16.5" x14ac:dyDescent="0.3">
      <c r="A61" s="146" t="s">
        <v>89</v>
      </c>
      <c r="B61" s="23" t="s">
        <v>144</v>
      </c>
      <c r="C61" s="143" t="s">
        <v>18</v>
      </c>
      <c r="D61" s="107" t="s">
        <v>145</v>
      </c>
      <c r="E61" s="176">
        <v>396495</v>
      </c>
      <c r="F61" s="32" t="s">
        <v>146</v>
      </c>
      <c r="G61" s="37">
        <v>44253</v>
      </c>
      <c r="H61" s="61">
        <v>199954000</v>
      </c>
      <c r="I61" s="49"/>
      <c r="J61" s="50"/>
      <c r="K61" s="50">
        <v>10700000</v>
      </c>
      <c r="L61" s="50"/>
      <c r="M61" s="50">
        <v>877833</v>
      </c>
      <c r="N61" s="50">
        <v>17577833</v>
      </c>
      <c r="O61" s="50">
        <v>12877833</v>
      </c>
      <c r="P61" s="50">
        <v>7920000</v>
      </c>
      <c r="Q61" s="50">
        <v>38985666</v>
      </c>
      <c r="R61" s="66">
        <v>3877833</v>
      </c>
      <c r="S61" s="50"/>
      <c r="T61" s="50">
        <v>3877833</v>
      </c>
      <c r="U61" s="50"/>
      <c r="V61" s="50">
        <v>61387833</v>
      </c>
      <c r="W61" s="50">
        <v>13755666</v>
      </c>
      <c r="X61" s="50">
        <v>6877833</v>
      </c>
      <c r="Y61" s="50"/>
      <c r="Z61" s="51"/>
      <c r="AA61" s="15"/>
      <c r="AB61" s="292">
        <f t="shared" si="4"/>
        <v>178716163</v>
      </c>
      <c r="AC61" s="295">
        <f t="shared" si="5"/>
        <v>0.89378638586874981</v>
      </c>
      <c r="AD61" s="343">
        <f>'Caribe II'!Q14</f>
        <v>10</v>
      </c>
      <c r="AE61" s="353">
        <v>44676</v>
      </c>
      <c r="AF61" s="342">
        <f t="shared" si="6"/>
        <v>21237837</v>
      </c>
      <c r="AG61" s="57" t="s">
        <v>27</v>
      </c>
      <c r="AH61" s="58">
        <f t="shared" si="7"/>
        <v>11</v>
      </c>
    </row>
    <row r="62" spans="1:34" s="12" customFormat="1" ht="16.5" x14ac:dyDescent="0.3">
      <c r="A62" s="146" t="s">
        <v>55</v>
      </c>
      <c r="B62" s="23" t="s">
        <v>126</v>
      </c>
      <c r="C62" s="143" t="s">
        <v>18</v>
      </c>
      <c r="D62" s="108" t="s">
        <v>127</v>
      </c>
      <c r="E62" s="176">
        <v>396501</v>
      </c>
      <c r="F62" s="32" t="s">
        <v>128</v>
      </c>
      <c r="G62" s="37">
        <v>44252</v>
      </c>
      <c r="H62" s="61">
        <v>167461000</v>
      </c>
      <c r="I62" s="49"/>
      <c r="J62" s="50"/>
      <c r="K62" s="50"/>
      <c r="L62" s="50"/>
      <c r="M62" s="50">
        <v>10700000</v>
      </c>
      <c r="N62" s="50">
        <v>15212000</v>
      </c>
      <c r="O62" s="50"/>
      <c r="P62" s="50">
        <v>18306000</v>
      </c>
      <c r="Q62" s="50">
        <v>23325500</v>
      </c>
      <c r="R62" s="66">
        <v>14567332</v>
      </c>
      <c r="S62" s="50">
        <v>15218000</v>
      </c>
      <c r="T62" s="50">
        <v>25912000</v>
      </c>
      <c r="U62" s="50">
        <v>7606000</v>
      </c>
      <c r="V62" s="50">
        <v>9361666</v>
      </c>
      <c r="W62" s="50">
        <v>8416333</v>
      </c>
      <c r="X62" s="50"/>
      <c r="Y62" s="50"/>
      <c r="Z62" s="51"/>
      <c r="AA62" s="15"/>
      <c r="AB62" s="292">
        <f t="shared" si="4"/>
        <v>148624831</v>
      </c>
      <c r="AC62" s="295">
        <f t="shared" si="5"/>
        <v>0.88751907011184694</v>
      </c>
      <c r="AD62" s="341">
        <f>'Eje Cafetero'!U12</f>
        <v>13</v>
      </c>
      <c r="AE62" s="353">
        <v>44676</v>
      </c>
      <c r="AF62" s="342">
        <f t="shared" si="6"/>
        <v>18836169</v>
      </c>
      <c r="AG62" s="57" t="s">
        <v>27</v>
      </c>
      <c r="AH62" s="58">
        <f t="shared" si="7"/>
        <v>10</v>
      </c>
    </row>
    <row r="63" spans="1:34" s="12" customFormat="1" ht="16.5" x14ac:dyDescent="0.3">
      <c r="A63" s="134" t="s">
        <v>32</v>
      </c>
      <c r="B63" s="23" t="s">
        <v>196</v>
      </c>
      <c r="C63" s="143" t="s">
        <v>18</v>
      </c>
      <c r="D63" s="107" t="s">
        <v>197</v>
      </c>
      <c r="E63" s="176">
        <v>396889</v>
      </c>
      <c r="F63" s="32" t="s">
        <v>78</v>
      </c>
      <c r="G63" s="37">
        <v>44252</v>
      </c>
      <c r="H63" s="61">
        <v>200000000</v>
      </c>
      <c r="I63" s="49"/>
      <c r="J63" s="50"/>
      <c r="K63" s="50"/>
      <c r="L63" s="50">
        <v>10700000</v>
      </c>
      <c r="M63" s="50"/>
      <c r="N63" s="50"/>
      <c r="O63" s="50">
        <v>13200000</v>
      </c>
      <c r="P63" s="50">
        <v>39380000</v>
      </c>
      <c r="Q63" s="50">
        <v>4255500</v>
      </c>
      <c r="R63" s="66">
        <v>6377750</v>
      </c>
      <c r="S63" s="50">
        <v>3377750</v>
      </c>
      <c r="T63" s="50">
        <v>20077750</v>
      </c>
      <c r="U63" s="50">
        <v>6377750</v>
      </c>
      <c r="V63" s="50">
        <v>57042400</v>
      </c>
      <c r="W63" s="50">
        <v>6377750</v>
      </c>
      <c r="X63" s="50">
        <v>9755500</v>
      </c>
      <c r="Y63" s="50"/>
      <c r="Z63" s="51"/>
      <c r="AA63" s="15"/>
      <c r="AB63" s="292">
        <f t="shared" si="4"/>
        <v>176922150</v>
      </c>
      <c r="AC63" s="295">
        <f t="shared" si="5"/>
        <v>0.88461075</v>
      </c>
      <c r="AD63" s="341">
        <f>Amazonía!V14</f>
        <v>12</v>
      </c>
      <c r="AE63" s="353">
        <v>44679</v>
      </c>
      <c r="AF63" s="342">
        <f t="shared" si="6"/>
        <v>23077850</v>
      </c>
      <c r="AG63" s="57" t="s">
        <v>27</v>
      </c>
      <c r="AH63" s="58">
        <f t="shared" si="7"/>
        <v>11</v>
      </c>
    </row>
    <row r="64" spans="1:34" ht="16.5" x14ac:dyDescent="0.3">
      <c r="A64" s="134" t="s">
        <v>28</v>
      </c>
      <c r="B64" s="26" t="s">
        <v>407</v>
      </c>
      <c r="C64" s="143" t="s">
        <v>18</v>
      </c>
      <c r="D64" s="107" t="s">
        <v>408</v>
      </c>
      <c r="E64" s="176">
        <v>397013</v>
      </c>
      <c r="F64" s="33" t="s">
        <v>81</v>
      </c>
      <c r="G64" s="37">
        <v>44264</v>
      </c>
      <c r="H64" s="62">
        <v>185981000</v>
      </c>
      <c r="I64" s="49"/>
      <c r="J64" s="50"/>
      <c r="K64" s="50"/>
      <c r="L64" s="50"/>
      <c r="M64" s="50"/>
      <c r="N64" s="50"/>
      <c r="O64" s="50"/>
      <c r="P64" s="50"/>
      <c r="Q64" s="50"/>
      <c r="R64" s="66"/>
      <c r="S64" s="50">
        <v>21700000</v>
      </c>
      <c r="T64" s="50">
        <v>19500000</v>
      </c>
      <c r="U64" s="50">
        <v>26064000</v>
      </c>
      <c r="V64" s="50">
        <v>10700000</v>
      </c>
      <c r="W64" s="50">
        <v>41500000</v>
      </c>
      <c r="X64" s="50">
        <v>44992000</v>
      </c>
      <c r="Y64" s="50"/>
      <c r="Z64" s="51"/>
      <c r="AA64" s="15"/>
      <c r="AB64" s="292">
        <f t="shared" si="4"/>
        <v>164456000</v>
      </c>
      <c r="AC64" s="295">
        <f t="shared" si="5"/>
        <v>0.88426237088734871</v>
      </c>
      <c r="AD64" s="341">
        <f>Pacífico!U22</f>
        <v>11</v>
      </c>
      <c r="AE64" s="353">
        <v>44763</v>
      </c>
      <c r="AF64" s="342">
        <f t="shared" si="6"/>
        <v>21525000</v>
      </c>
      <c r="AG64" s="57" t="s">
        <v>27</v>
      </c>
      <c r="AH64" s="58">
        <f t="shared" si="7"/>
        <v>6</v>
      </c>
    </row>
    <row r="65" spans="1:34" ht="16.5" x14ac:dyDescent="0.3">
      <c r="A65" s="146" t="s">
        <v>32</v>
      </c>
      <c r="B65" s="23" t="s">
        <v>185</v>
      </c>
      <c r="C65" s="142" t="s">
        <v>18</v>
      </c>
      <c r="D65" s="108" t="s">
        <v>186</v>
      </c>
      <c r="E65" s="176">
        <v>396579</v>
      </c>
      <c r="F65" s="32" t="s">
        <v>78</v>
      </c>
      <c r="G65" s="37">
        <v>44251</v>
      </c>
      <c r="H65" s="61">
        <v>200000000</v>
      </c>
      <c r="I65" s="49"/>
      <c r="J65" s="50"/>
      <c r="K65" s="50"/>
      <c r="L65" s="50">
        <v>10700000</v>
      </c>
      <c r="M65" s="50"/>
      <c r="N65" s="50"/>
      <c r="O65" s="50">
        <v>16200000</v>
      </c>
      <c r="P65" s="50">
        <v>37257750</v>
      </c>
      <c r="Q65" s="50">
        <v>3877750</v>
      </c>
      <c r="R65" s="66">
        <v>8877750</v>
      </c>
      <c r="S65" s="50">
        <v>3377750</v>
      </c>
      <c r="T65" s="50">
        <v>26455500</v>
      </c>
      <c r="U65" s="50">
        <v>6377750</v>
      </c>
      <c r="V65" s="50">
        <v>44286960</v>
      </c>
      <c r="W65" s="50">
        <v>11633250</v>
      </c>
      <c r="X65" s="50">
        <v>7500000</v>
      </c>
      <c r="Y65" s="50"/>
      <c r="Z65" s="51"/>
      <c r="AA65" s="15"/>
      <c r="AB65" s="292">
        <f t="shared" si="4"/>
        <v>176544460</v>
      </c>
      <c r="AC65" s="295">
        <f t="shared" si="5"/>
        <v>0.88272229999999996</v>
      </c>
      <c r="AD65" s="343">
        <f>Amazonía!V12</f>
        <v>13</v>
      </c>
      <c r="AE65" s="353">
        <v>44680</v>
      </c>
      <c r="AF65" s="342">
        <f t="shared" si="6"/>
        <v>23455540</v>
      </c>
      <c r="AG65" s="57" t="s">
        <v>27</v>
      </c>
      <c r="AH65" s="58">
        <f t="shared" si="7"/>
        <v>11</v>
      </c>
    </row>
    <row r="66" spans="1:34" s="12" customFormat="1" ht="16.5" x14ac:dyDescent="0.3">
      <c r="A66" s="134" t="s">
        <v>105</v>
      </c>
      <c r="B66" s="23" t="s">
        <v>109</v>
      </c>
      <c r="C66" s="143" t="s">
        <v>18</v>
      </c>
      <c r="D66" s="107" t="s">
        <v>110</v>
      </c>
      <c r="E66" s="176">
        <v>396576</v>
      </c>
      <c r="F66" s="32" t="s">
        <v>108</v>
      </c>
      <c r="G66" s="37">
        <v>44251</v>
      </c>
      <c r="H66" s="61">
        <v>175000000</v>
      </c>
      <c r="I66" s="49"/>
      <c r="J66" s="50">
        <v>10700000</v>
      </c>
      <c r="K66" s="50"/>
      <c r="L66" s="50"/>
      <c r="M66" s="50"/>
      <c r="N66" s="50">
        <v>42950000</v>
      </c>
      <c r="O66" s="50"/>
      <c r="P66" s="50">
        <v>4505666</v>
      </c>
      <c r="Q66" s="50">
        <v>11051500</v>
      </c>
      <c r="R66" s="66">
        <v>25350000</v>
      </c>
      <c r="S66" s="50">
        <v>877833</v>
      </c>
      <c r="T66" s="50">
        <v>12600000</v>
      </c>
      <c r="U66" s="50"/>
      <c r="V66" s="50">
        <v>11800000</v>
      </c>
      <c r="W66" s="50"/>
      <c r="X66" s="50">
        <v>34450505</v>
      </c>
      <c r="Y66" s="50"/>
      <c r="Z66" s="51"/>
      <c r="AA66" s="15"/>
      <c r="AB66" s="292">
        <f t="shared" ref="AB66:AB97" si="8">SUM(I66:AA66)</f>
        <v>154285504</v>
      </c>
      <c r="AC66" s="295">
        <f t="shared" ref="AC66:AC97" si="9">AB66/H66</f>
        <v>0.88163145142857147</v>
      </c>
      <c r="AD66" s="341">
        <f>Llanos!U16</f>
        <v>12</v>
      </c>
      <c r="AE66" s="353">
        <v>44624</v>
      </c>
      <c r="AF66" s="342">
        <f t="shared" ref="AF66:AF97" si="10">H66-AB66</f>
        <v>20714496</v>
      </c>
      <c r="AG66" s="57" t="s">
        <v>27</v>
      </c>
      <c r="AH66" s="58">
        <f t="shared" ref="AH66:AH97" si="11">COUNT(I66:Z66)</f>
        <v>9</v>
      </c>
    </row>
    <row r="67" spans="1:34" ht="16.5" x14ac:dyDescent="0.3">
      <c r="A67" s="134" t="s">
        <v>55</v>
      </c>
      <c r="B67" s="23" t="s">
        <v>160</v>
      </c>
      <c r="C67" s="143" t="s">
        <v>18</v>
      </c>
      <c r="D67" s="107" t="s">
        <v>161</v>
      </c>
      <c r="E67" s="176">
        <v>396752</v>
      </c>
      <c r="F67" s="33" t="s">
        <v>128</v>
      </c>
      <c r="G67" s="37">
        <v>44252</v>
      </c>
      <c r="H67" s="61">
        <v>174810000</v>
      </c>
      <c r="I67" s="49"/>
      <c r="J67" s="50">
        <v>10200000</v>
      </c>
      <c r="K67" s="50"/>
      <c r="L67" s="50">
        <v>5345000</v>
      </c>
      <c r="M67" s="50">
        <v>5345000</v>
      </c>
      <c r="N67" s="50">
        <v>13325000</v>
      </c>
      <c r="O67" s="50">
        <v>9170000</v>
      </c>
      <c r="P67" s="50">
        <v>3125000</v>
      </c>
      <c r="Q67" s="50">
        <v>27869100</v>
      </c>
      <c r="R67" s="66">
        <v>3470000</v>
      </c>
      <c r="S67" s="50">
        <v>15825000</v>
      </c>
      <c r="T67" s="50">
        <v>3125000</v>
      </c>
      <c r="U67" s="50">
        <v>5751428</v>
      </c>
      <c r="V67" s="50">
        <v>6376428</v>
      </c>
      <c r="W67" s="50">
        <v>5751428</v>
      </c>
      <c r="X67" s="50">
        <v>39344428</v>
      </c>
      <c r="Y67" s="50"/>
      <c r="Z67" s="51"/>
      <c r="AA67" s="15"/>
      <c r="AB67" s="292">
        <f t="shared" si="8"/>
        <v>154022812</v>
      </c>
      <c r="AC67" s="295">
        <f t="shared" si="9"/>
        <v>0.8810869629883874</v>
      </c>
      <c r="AD67" s="341">
        <f>'Eje Cafetero'!U16</f>
        <v>12</v>
      </c>
      <c r="AE67" s="353">
        <v>44658</v>
      </c>
      <c r="AF67" s="342">
        <f t="shared" si="10"/>
        <v>20787188</v>
      </c>
      <c r="AG67" s="57" t="s">
        <v>27</v>
      </c>
      <c r="AH67" s="58">
        <f t="shared" si="11"/>
        <v>14</v>
      </c>
    </row>
    <row r="68" spans="1:34" s="12" customFormat="1" ht="16.5" x14ac:dyDescent="0.3">
      <c r="A68" s="134" t="s">
        <v>23</v>
      </c>
      <c r="B68" s="23" t="s">
        <v>136</v>
      </c>
      <c r="C68" s="143" t="s">
        <v>18</v>
      </c>
      <c r="D68" s="107" t="s">
        <v>137</v>
      </c>
      <c r="E68" s="176">
        <v>396763</v>
      </c>
      <c r="F68" s="32" t="s">
        <v>68</v>
      </c>
      <c r="G68" s="37">
        <v>44260</v>
      </c>
      <c r="H68" s="61">
        <v>199134000</v>
      </c>
      <c r="I68" s="49"/>
      <c r="J68" s="50"/>
      <c r="K68" s="50">
        <v>10700000</v>
      </c>
      <c r="L68" s="50">
        <v>26833600</v>
      </c>
      <c r="M68" s="50"/>
      <c r="N68" s="50">
        <v>29294000</v>
      </c>
      <c r="O68" s="50">
        <v>5633000</v>
      </c>
      <c r="P68" s="50"/>
      <c r="Q68" s="50">
        <v>14578000</v>
      </c>
      <c r="R68" s="66"/>
      <c r="S68" s="50">
        <v>46121950</v>
      </c>
      <c r="T68" s="50">
        <v>27566000</v>
      </c>
      <c r="U68" s="50"/>
      <c r="V68" s="50"/>
      <c r="W68" s="50"/>
      <c r="X68" s="50">
        <v>14719400</v>
      </c>
      <c r="Y68" s="50"/>
      <c r="Z68" s="51"/>
      <c r="AA68" s="15"/>
      <c r="AB68" s="292">
        <f t="shared" si="8"/>
        <v>175445950</v>
      </c>
      <c r="AC68" s="295">
        <f t="shared" si="9"/>
        <v>0.88104467343597781</v>
      </c>
      <c r="AD68" s="341">
        <f>Central!R17</f>
        <v>8</v>
      </c>
      <c r="AE68" s="353">
        <v>44601</v>
      </c>
      <c r="AF68" s="342">
        <f t="shared" si="10"/>
        <v>23688050</v>
      </c>
      <c r="AG68" s="57" t="s">
        <v>27</v>
      </c>
      <c r="AH68" s="58">
        <f t="shared" si="11"/>
        <v>8</v>
      </c>
    </row>
    <row r="69" spans="1:34" s="12" customFormat="1" ht="16.5" x14ac:dyDescent="0.3">
      <c r="A69" s="134" t="s">
        <v>105</v>
      </c>
      <c r="B69" s="23" t="s">
        <v>205</v>
      </c>
      <c r="C69" s="143" t="s">
        <v>18</v>
      </c>
      <c r="D69" s="107" t="s">
        <v>206</v>
      </c>
      <c r="E69" s="176">
        <v>397070</v>
      </c>
      <c r="F69" s="32" t="s">
        <v>131</v>
      </c>
      <c r="G69" s="37">
        <v>44256</v>
      </c>
      <c r="H69" s="61">
        <v>175000000</v>
      </c>
      <c r="I69" s="49">
        <v>10700000</v>
      </c>
      <c r="J69" s="50"/>
      <c r="K69" s="50"/>
      <c r="L69" s="50"/>
      <c r="M69" s="50"/>
      <c r="N69" s="50">
        <v>21400000</v>
      </c>
      <c r="O69" s="50">
        <v>7050000</v>
      </c>
      <c r="P69" s="50"/>
      <c r="Q69" s="50">
        <v>1755666</v>
      </c>
      <c r="R69" s="66">
        <v>22215378.899999999</v>
      </c>
      <c r="S69" s="50">
        <v>6875540</v>
      </c>
      <c r="T69" s="50">
        <v>1755666</v>
      </c>
      <c r="U69" s="50"/>
      <c r="V69" s="50"/>
      <c r="W69" s="50">
        <v>35054460</v>
      </c>
      <c r="X69" s="50">
        <v>47070621.049999997</v>
      </c>
      <c r="Y69" s="50"/>
      <c r="Z69" s="51"/>
      <c r="AA69" s="15"/>
      <c r="AB69" s="292">
        <f t="shared" si="8"/>
        <v>153877331.94999999</v>
      </c>
      <c r="AC69" s="295">
        <f t="shared" si="9"/>
        <v>0.87929903971428569</v>
      </c>
      <c r="AD69" s="341">
        <f>Llanos!U14</f>
        <v>11</v>
      </c>
      <c r="AE69" s="353">
        <v>44714</v>
      </c>
      <c r="AF69" s="342">
        <f t="shared" si="10"/>
        <v>21122668.050000012</v>
      </c>
      <c r="AG69" s="57" t="s">
        <v>27</v>
      </c>
      <c r="AH69" s="58">
        <f t="shared" si="11"/>
        <v>9</v>
      </c>
    </row>
    <row r="70" spans="1:34" s="12" customFormat="1" ht="16.5" x14ac:dyDescent="0.3">
      <c r="A70" s="134" t="s">
        <v>89</v>
      </c>
      <c r="B70" s="23" t="s">
        <v>156</v>
      </c>
      <c r="C70" s="143" t="s">
        <v>18</v>
      </c>
      <c r="D70" s="107" t="s">
        <v>157</v>
      </c>
      <c r="E70" s="176">
        <v>397238</v>
      </c>
      <c r="F70" s="32" t="s">
        <v>151</v>
      </c>
      <c r="G70" s="37">
        <v>44267</v>
      </c>
      <c r="H70" s="61">
        <v>200000000</v>
      </c>
      <c r="I70" s="49"/>
      <c r="J70" s="50">
        <v>10700000</v>
      </c>
      <c r="K70" s="50"/>
      <c r="L70" s="50"/>
      <c r="M70" s="50"/>
      <c r="N70" s="50"/>
      <c r="O70" s="50">
        <v>5377833</v>
      </c>
      <c r="P70" s="50">
        <v>49999992</v>
      </c>
      <c r="Q70" s="50">
        <v>22650000</v>
      </c>
      <c r="R70" s="66"/>
      <c r="S70" s="50"/>
      <c r="T70" s="50"/>
      <c r="U70" s="50"/>
      <c r="V70" s="50">
        <v>66828900</v>
      </c>
      <c r="W70" s="50">
        <v>18766998</v>
      </c>
      <c r="X70" s="50">
        <v>877833</v>
      </c>
      <c r="Y70" s="50"/>
      <c r="Z70" s="51"/>
      <c r="AA70" s="15"/>
      <c r="AB70" s="292">
        <f t="shared" si="8"/>
        <v>175201556</v>
      </c>
      <c r="AC70" s="295">
        <f t="shared" si="9"/>
        <v>0.87600778000000001</v>
      </c>
      <c r="AD70" s="341">
        <f>'Caribe II'!Q28</f>
        <v>10</v>
      </c>
      <c r="AE70" s="353">
        <v>44648</v>
      </c>
      <c r="AF70" s="342">
        <f t="shared" si="10"/>
        <v>24798444</v>
      </c>
      <c r="AG70" s="57" t="s">
        <v>27</v>
      </c>
      <c r="AH70" s="58">
        <f t="shared" si="11"/>
        <v>7</v>
      </c>
    </row>
    <row r="71" spans="1:34" s="12" customFormat="1" ht="16.5" x14ac:dyDescent="0.3">
      <c r="A71" s="134" t="s">
        <v>49</v>
      </c>
      <c r="B71" s="26" t="s">
        <v>162</v>
      </c>
      <c r="C71" s="143" t="s">
        <v>18</v>
      </c>
      <c r="D71" s="107" t="s">
        <v>163</v>
      </c>
      <c r="E71" s="176">
        <v>397370</v>
      </c>
      <c r="F71" s="33" t="s">
        <v>52</v>
      </c>
      <c r="G71" s="37">
        <v>44267</v>
      </c>
      <c r="H71" s="62">
        <v>199980000</v>
      </c>
      <c r="I71" s="49"/>
      <c r="J71" s="50"/>
      <c r="K71" s="50"/>
      <c r="L71" s="50">
        <v>10700000</v>
      </c>
      <c r="M71" s="50"/>
      <c r="N71" s="50">
        <v>2500000</v>
      </c>
      <c r="O71" s="50">
        <v>35538900</v>
      </c>
      <c r="P71" s="50">
        <v>15267500</v>
      </c>
      <c r="Q71" s="50">
        <v>20780000</v>
      </c>
      <c r="R71" s="66">
        <v>2500000</v>
      </c>
      <c r="S71" s="50">
        <v>5500000</v>
      </c>
      <c r="T71" s="50">
        <v>45679600</v>
      </c>
      <c r="U71" s="50">
        <v>16700000</v>
      </c>
      <c r="V71" s="50">
        <v>3000000</v>
      </c>
      <c r="W71" s="50">
        <v>12000000</v>
      </c>
      <c r="X71" s="50">
        <v>4268000</v>
      </c>
      <c r="Y71" s="50"/>
      <c r="Z71" s="51"/>
      <c r="AA71" s="15"/>
      <c r="AB71" s="292">
        <f t="shared" si="8"/>
        <v>174434000</v>
      </c>
      <c r="AC71" s="295">
        <f t="shared" si="9"/>
        <v>0.87225722572257225</v>
      </c>
      <c r="AD71" s="341">
        <f>Santanderes!U14</f>
        <v>13</v>
      </c>
      <c r="AE71" s="353">
        <v>44672</v>
      </c>
      <c r="AF71" s="342">
        <f t="shared" si="10"/>
        <v>25546000</v>
      </c>
      <c r="AG71" s="57" t="s">
        <v>27</v>
      </c>
      <c r="AH71" s="58">
        <f t="shared" si="11"/>
        <v>12</v>
      </c>
    </row>
    <row r="72" spans="1:34" s="12" customFormat="1" ht="16.5" x14ac:dyDescent="0.3">
      <c r="A72" s="134" t="s">
        <v>28</v>
      </c>
      <c r="B72" s="23" t="s">
        <v>194</v>
      </c>
      <c r="C72" s="142" t="s">
        <v>18</v>
      </c>
      <c r="D72" s="107" t="s">
        <v>195</v>
      </c>
      <c r="E72" s="176">
        <v>397499</v>
      </c>
      <c r="F72" s="32" t="s">
        <v>81</v>
      </c>
      <c r="G72" s="37">
        <v>44299</v>
      </c>
      <c r="H72" s="61">
        <v>137960000</v>
      </c>
      <c r="I72" s="49"/>
      <c r="J72" s="50"/>
      <c r="K72" s="50"/>
      <c r="L72" s="50">
        <v>10700000</v>
      </c>
      <c r="M72" s="50"/>
      <c r="N72" s="50">
        <v>22033336.990000002</v>
      </c>
      <c r="O72" s="50">
        <v>9333332.3300000001</v>
      </c>
      <c r="P72" s="50">
        <v>1000000</v>
      </c>
      <c r="Q72" s="50">
        <v>2333333.33</v>
      </c>
      <c r="R72" s="66">
        <v>4666666</v>
      </c>
      <c r="S72" s="50"/>
      <c r="T72" s="50">
        <v>16333332.32</v>
      </c>
      <c r="U72" s="50">
        <v>12200000</v>
      </c>
      <c r="V72" s="50">
        <v>2833333.33</v>
      </c>
      <c r="W72" s="50">
        <v>11666665.66</v>
      </c>
      <c r="X72" s="50">
        <v>26960000</v>
      </c>
      <c r="Y72" s="50"/>
      <c r="Z72" s="51"/>
      <c r="AA72" s="15"/>
      <c r="AB72" s="292">
        <f t="shared" si="8"/>
        <v>120059999.95999999</v>
      </c>
      <c r="AC72" s="295">
        <f t="shared" si="9"/>
        <v>0.87025224673818491</v>
      </c>
      <c r="AD72" s="341">
        <f>Pacífico!U23</f>
        <v>11</v>
      </c>
      <c r="AE72" s="353">
        <v>44750</v>
      </c>
      <c r="AF72" s="342">
        <f t="shared" si="10"/>
        <v>17900000.040000007</v>
      </c>
      <c r="AG72" s="57" t="s">
        <v>27</v>
      </c>
      <c r="AH72" s="58">
        <f t="shared" si="11"/>
        <v>11</v>
      </c>
    </row>
    <row r="73" spans="1:34" ht="16.5" x14ac:dyDescent="0.3">
      <c r="A73" s="146" t="s">
        <v>55</v>
      </c>
      <c r="B73" s="23" t="s">
        <v>183</v>
      </c>
      <c r="C73" s="143" t="s">
        <v>18</v>
      </c>
      <c r="D73" s="107" t="s">
        <v>184</v>
      </c>
      <c r="E73" s="176">
        <v>396611</v>
      </c>
      <c r="F73" s="32" t="s">
        <v>71</v>
      </c>
      <c r="G73" s="37">
        <v>44252</v>
      </c>
      <c r="H73" s="61">
        <v>184981000</v>
      </c>
      <c r="I73" s="49"/>
      <c r="J73" s="50">
        <v>10700000</v>
      </c>
      <c r="K73" s="50"/>
      <c r="L73" s="50"/>
      <c r="M73" s="50"/>
      <c r="N73" s="50">
        <v>10700000</v>
      </c>
      <c r="O73" s="50">
        <v>10178000</v>
      </c>
      <c r="P73" s="50">
        <v>14340000</v>
      </c>
      <c r="Q73" s="50">
        <v>25171275</v>
      </c>
      <c r="R73" s="66"/>
      <c r="S73" s="50">
        <v>4500000</v>
      </c>
      <c r="T73" s="50">
        <v>20656000</v>
      </c>
      <c r="U73" s="50">
        <v>10700000</v>
      </c>
      <c r="V73" s="50">
        <v>46494800</v>
      </c>
      <c r="W73" s="50">
        <v>7178000</v>
      </c>
      <c r="X73" s="50"/>
      <c r="Y73" s="50"/>
      <c r="Z73" s="51"/>
      <c r="AA73" s="15"/>
      <c r="AB73" s="292">
        <f t="shared" si="8"/>
        <v>160618075</v>
      </c>
      <c r="AC73" s="295">
        <f t="shared" si="9"/>
        <v>0.86829498705272434</v>
      </c>
      <c r="AD73" s="341">
        <f>'Eje Cafetero'!U23</f>
        <v>13</v>
      </c>
      <c r="AE73" s="353">
        <v>44698</v>
      </c>
      <c r="AF73" s="342">
        <f t="shared" si="10"/>
        <v>24362925</v>
      </c>
      <c r="AG73" s="57" t="s">
        <v>27</v>
      </c>
      <c r="AH73" s="58">
        <f t="shared" si="11"/>
        <v>10</v>
      </c>
    </row>
    <row r="74" spans="1:34" ht="16.5" x14ac:dyDescent="0.3">
      <c r="A74" s="134" t="s">
        <v>23</v>
      </c>
      <c r="B74" s="23" t="s">
        <v>389</v>
      </c>
      <c r="C74" s="143" t="s">
        <v>18</v>
      </c>
      <c r="D74" s="107" t="s">
        <v>390</v>
      </c>
      <c r="E74" s="176">
        <v>397368</v>
      </c>
      <c r="F74" s="32" t="s">
        <v>191</v>
      </c>
      <c r="G74" s="37">
        <v>44267</v>
      </c>
      <c r="H74" s="61">
        <v>200000000</v>
      </c>
      <c r="I74" s="49"/>
      <c r="J74" s="50"/>
      <c r="K74" s="50"/>
      <c r="L74" s="50"/>
      <c r="M74" s="50">
        <v>10700000</v>
      </c>
      <c r="N74" s="50"/>
      <c r="O74" s="50"/>
      <c r="P74" s="50"/>
      <c r="Q74" s="50"/>
      <c r="R74" s="66"/>
      <c r="S74" s="50"/>
      <c r="T74" s="50">
        <v>3511200</v>
      </c>
      <c r="U74" s="50"/>
      <c r="V74" s="50"/>
      <c r="W74" s="50">
        <v>73233000</v>
      </c>
      <c r="X74" s="50">
        <v>85888600</v>
      </c>
      <c r="Y74" s="50"/>
      <c r="Z74" s="51"/>
      <c r="AA74" s="15"/>
      <c r="AB74" s="292">
        <f t="shared" si="8"/>
        <v>173332800</v>
      </c>
      <c r="AC74" s="295">
        <f t="shared" si="9"/>
        <v>0.86666399999999999</v>
      </c>
      <c r="AD74" s="341">
        <f>Central!R11</f>
        <v>8</v>
      </c>
      <c r="AE74" s="353">
        <v>44840</v>
      </c>
      <c r="AF74" s="342">
        <f t="shared" si="10"/>
        <v>26667200</v>
      </c>
      <c r="AG74" s="57" t="s">
        <v>27</v>
      </c>
      <c r="AH74" s="58">
        <f t="shared" si="11"/>
        <v>4</v>
      </c>
    </row>
    <row r="75" spans="1:34" s="12" customFormat="1" ht="16.5" x14ac:dyDescent="0.3">
      <c r="A75" s="146" t="s">
        <v>89</v>
      </c>
      <c r="B75" s="23" t="s">
        <v>172</v>
      </c>
      <c r="C75" s="143" t="s">
        <v>18</v>
      </c>
      <c r="D75" s="108" t="s">
        <v>173</v>
      </c>
      <c r="E75" s="176">
        <v>396525</v>
      </c>
      <c r="F75" s="32" t="s">
        <v>146</v>
      </c>
      <c r="G75" s="37">
        <v>44251</v>
      </c>
      <c r="H75" s="61">
        <v>169986000</v>
      </c>
      <c r="I75" s="49">
        <v>10700000</v>
      </c>
      <c r="J75" s="50"/>
      <c r="K75" s="50"/>
      <c r="L75" s="50"/>
      <c r="M75" s="50"/>
      <c r="N75" s="50">
        <v>20833250</v>
      </c>
      <c r="O75" s="50"/>
      <c r="P75" s="50">
        <v>39728350</v>
      </c>
      <c r="Q75" s="50"/>
      <c r="R75" s="66"/>
      <c r="S75" s="50">
        <v>45257900</v>
      </c>
      <c r="T75" s="50">
        <v>877750</v>
      </c>
      <c r="U75" s="50">
        <v>10877750</v>
      </c>
      <c r="V75" s="50">
        <v>8377750</v>
      </c>
      <c r="W75" s="50">
        <v>9255500</v>
      </c>
      <c r="X75" s="50"/>
      <c r="Y75" s="50"/>
      <c r="Z75" s="51"/>
      <c r="AA75" s="15"/>
      <c r="AB75" s="292">
        <f t="shared" si="8"/>
        <v>145908250</v>
      </c>
      <c r="AC75" s="295">
        <f t="shared" si="9"/>
        <v>0.85835451154800979</v>
      </c>
      <c r="AD75" s="341">
        <f>'Caribe II'!Q10</f>
        <v>10</v>
      </c>
      <c r="AE75" s="353">
        <v>44636</v>
      </c>
      <c r="AF75" s="342">
        <f t="shared" si="10"/>
        <v>24077750</v>
      </c>
      <c r="AG75" s="57" t="s">
        <v>27</v>
      </c>
      <c r="AH75" s="58">
        <f t="shared" si="11"/>
        <v>8</v>
      </c>
    </row>
    <row r="76" spans="1:34" s="12" customFormat="1" ht="16.5" x14ac:dyDescent="0.3">
      <c r="A76" s="146" t="s">
        <v>16</v>
      </c>
      <c r="B76" s="23" t="s">
        <v>397</v>
      </c>
      <c r="C76" s="143" t="s">
        <v>18</v>
      </c>
      <c r="D76" s="108" t="s">
        <v>398</v>
      </c>
      <c r="E76" s="176">
        <v>396497</v>
      </c>
      <c r="F76" s="32" t="s">
        <v>20</v>
      </c>
      <c r="G76" s="37">
        <v>44251</v>
      </c>
      <c r="H76" s="61">
        <v>199194000</v>
      </c>
      <c r="I76" s="49"/>
      <c r="J76" s="50"/>
      <c r="K76" s="50"/>
      <c r="L76" s="50">
        <v>10700000</v>
      </c>
      <c r="M76" s="50"/>
      <c r="N76" s="50">
        <v>1170444</v>
      </c>
      <c r="O76" s="50"/>
      <c r="P76" s="50">
        <v>4500000</v>
      </c>
      <c r="Q76" s="50">
        <v>1989556</v>
      </c>
      <c r="R76" s="66"/>
      <c r="S76" s="50">
        <v>72000000</v>
      </c>
      <c r="T76" s="50"/>
      <c r="U76" s="50">
        <v>37270444</v>
      </c>
      <c r="V76" s="50">
        <v>16300000</v>
      </c>
      <c r="W76" s="50">
        <v>5619985</v>
      </c>
      <c r="X76" s="50">
        <v>19425483</v>
      </c>
      <c r="Y76" s="50"/>
      <c r="Z76" s="51"/>
      <c r="AA76" s="15"/>
      <c r="AB76" s="292">
        <f t="shared" si="8"/>
        <v>168975912</v>
      </c>
      <c r="AC76" s="295">
        <f t="shared" si="9"/>
        <v>0.84829820175306481</v>
      </c>
      <c r="AD76" s="341">
        <f>'Caribe I'!S4</f>
        <v>12</v>
      </c>
      <c r="AE76" s="353">
        <v>44714</v>
      </c>
      <c r="AF76" s="342">
        <f t="shared" si="10"/>
        <v>30218088</v>
      </c>
      <c r="AG76" s="57" t="s">
        <v>27</v>
      </c>
      <c r="AH76" s="58">
        <f t="shared" si="11"/>
        <v>9</v>
      </c>
    </row>
    <row r="77" spans="1:34" s="12" customFormat="1" ht="16.5" x14ac:dyDescent="0.3">
      <c r="A77" s="146" t="s">
        <v>55</v>
      </c>
      <c r="B77" s="23" t="s">
        <v>134</v>
      </c>
      <c r="C77" s="143" t="s">
        <v>18</v>
      </c>
      <c r="D77" s="108" t="s">
        <v>135</v>
      </c>
      <c r="E77" s="176">
        <v>396503</v>
      </c>
      <c r="F77" s="32" t="s">
        <v>128</v>
      </c>
      <c r="G77" s="37">
        <v>44252</v>
      </c>
      <c r="H77" s="61">
        <v>169263000</v>
      </c>
      <c r="I77" s="49"/>
      <c r="J77" s="50">
        <v>10700000</v>
      </c>
      <c r="K77" s="50"/>
      <c r="L77" s="50">
        <v>6400000</v>
      </c>
      <c r="M77" s="50">
        <v>14777833</v>
      </c>
      <c r="N77" s="50">
        <v>4077833</v>
      </c>
      <c r="O77" s="50">
        <v>4077833</v>
      </c>
      <c r="P77" s="50">
        <v>4077833</v>
      </c>
      <c r="Q77" s="50">
        <v>16206430</v>
      </c>
      <c r="R77" s="66">
        <v>4077833</v>
      </c>
      <c r="S77" s="50">
        <v>14777833</v>
      </c>
      <c r="T77" s="50">
        <v>7277833</v>
      </c>
      <c r="U77" s="50">
        <v>7277833</v>
      </c>
      <c r="V77" s="50">
        <v>7277833</v>
      </c>
      <c r="W77" s="50">
        <v>7277833</v>
      </c>
      <c r="X77" s="50">
        <v>34273967</v>
      </c>
      <c r="Y77" s="50"/>
      <c r="Z77" s="51"/>
      <c r="AA77" s="15"/>
      <c r="AB77" s="292">
        <f t="shared" si="8"/>
        <v>142558727</v>
      </c>
      <c r="AC77" s="295">
        <f t="shared" si="9"/>
        <v>0.84223207080106111</v>
      </c>
      <c r="AD77" s="341">
        <f>'Eje Cafetero'!U15</f>
        <v>13</v>
      </c>
      <c r="AE77" s="353">
        <v>44656</v>
      </c>
      <c r="AF77" s="342">
        <f t="shared" si="10"/>
        <v>26704273</v>
      </c>
      <c r="AG77" s="57" t="s">
        <v>27</v>
      </c>
      <c r="AH77" s="58">
        <f t="shared" si="11"/>
        <v>14</v>
      </c>
    </row>
    <row r="78" spans="1:34" s="12" customFormat="1" ht="16.5" x14ac:dyDescent="0.3">
      <c r="A78" s="134" t="s">
        <v>16</v>
      </c>
      <c r="B78" s="24" t="s">
        <v>103</v>
      </c>
      <c r="C78" s="143" t="s">
        <v>18</v>
      </c>
      <c r="D78" s="107" t="s">
        <v>104</v>
      </c>
      <c r="E78" s="176">
        <v>397134</v>
      </c>
      <c r="F78" s="32" t="s">
        <v>84</v>
      </c>
      <c r="G78" s="37">
        <v>44258</v>
      </c>
      <c r="H78" s="61">
        <v>154495000</v>
      </c>
      <c r="I78" s="49"/>
      <c r="J78" s="50">
        <v>10000000</v>
      </c>
      <c r="K78" s="50">
        <v>1755500</v>
      </c>
      <c r="L78" s="50">
        <v>12581751</v>
      </c>
      <c r="M78" s="50">
        <v>3877750</v>
      </c>
      <c r="N78" s="50">
        <v>21277750</v>
      </c>
      <c r="O78" s="50">
        <v>8577750</v>
      </c>
      <c r="P78" s="50">
        <v>5000000</v>
      </c>
      <c r="Q78" s="50">
        <v>10400000</v>
      </c>
      <c r="R78" s="66">
        <v>12853999</v>
      </c>
      <c r="S78" s="50"/>
      <c r="T78" s="50"/>
      <c r="U78" s="50"/>
      <c r="V78" s="50">
        <v>25366500</v>
      </c>
      <c r="W78" s="50">
        <v>8700000</v>
      </c>
      <c r="X78" s="50">
        <v>8700000</v>
      </c>
      <c r="Y78" s="50"/>
      <c r="Z78" s="51"/>
      <c r="AA78" s="15"/>
      <c r="AB78" s="292">
        <f t="shared" si="8"/>
        <v>129091000</v>
      </c>
      <c r="AC78" s="295">
        <f t="shared" si="9"/>
        <v>0.83556749409365993</v>
      </c>
      <c r="AD78" s="343">
        <f>'Caribe I'!S9</f>
        <v>12</v>
      </c>
      <c r="AE78" s="353">
        <v>44624</v>
      </c>
      <c r="AF78" s="342">
        <f t="shared" si="10"/>
        <v>25404000</v>
      </c>
      <c r="AG78" s="57" t="s">
        <v>27</v>
      </c>
      <c r="AH78" s="58">
        <f t="shared" si="11"/>
        <v>12</v>
      </c>
    </row>
    <row r="79" spans="1:34" s="12" customFormat="1" ht="16.5" x14ac:dyDescent="0.3">
      <c r="A79" s="134" t="s">
        <v>16</v>
      </c>
      <c r="B79" s="26" t="s">
        <v>187</v>
      </c>
      <c r="C79" s="142" t="s">
        <v>18</v>
      </c>
      <c r="D79" s="107" t="s">
        <v>188</v>
      </c>
      <c r="E79" s="176">
        <v>397234</v>
      </c>
      <c r="F79" s="33" t="s">
        <v>84</v>
      </c>
      <c r="G79" s="37">
        <v>44267</v>
      </c>
      <c r="H79" s="62">
        <v>149996000</v>
      </c>
      <c r="I79" s="49"/>
      <c r="J79" s="50"/>
      <c r="K79" s="50"/>
      <c r="L79" s="50">
        <v>7500000</v>
      </c>
      <c r="M79" s="50"/>
      <c r="N79" s="50">
        <v>21051133.34</v>
      </c>
      <c r="O79" s="50"/>
      <c r="P79" s="50">
        <v>3877750</v>
      </c>
      <c r="Q79" s="50">
        <v>8166666</v>
      </c>
      <c r="R79" s="66">
        <v>14666664</v>
      </c>
      <c r="S79" s="50">
        <v>8666666</v>
      </c>
      <c r="T79" s="50">
        <v>16133252</v>
      </c>
      <c r="U79" s="50">
        <v>18878966.34</v>
      </c>
      <c r="V79" s="50">
        <v>6461083</v>
      </c>
      <c r="W79" s="50">
        <v>8583000</v>
      </c>
      <c r="X79" s="50">
        <v>11216250</v>
      </c>
      <c r="Y79" s="50"/>
      <c r="Z79" s="51"/>
      <c r="AA79" s="15"/>
      <c r="AB79" s="292">
        <f t="shared" si="8"/>
        <v>125201430.68000001</v>
      </c>
      <c r="AC79" s="295">
        <f t="shared" si="9"/>
        <v>0.83469846315901763</v>
      </c>
      <c r="AD79" s="341">
        <f>'Caribe I'!S11</f>
        <v>12</v>
      </c>
      <c r="AE79" s="353">
        <v>44672</v>
      </c>
      <c r="AF79" s="342">
        <f t="shared" si="10"/>
        <v>24794569.319999993</v>
      </c>
      <c r="AG79" s="57" t="s">
        <v>27</v>
      </c>
      <c r="AH79" s="58">
        <f t="shared" si="11"/>
        <v>11</v>
      </c>
    </row>
    <row r="80" spans="1:34" s="12" customFormat="1" ht="16.5" x14ac:dyDescent="0.3">
      <c r="A80" s="134" t="s">
        <v>105</v>
      </c>
      <c r="B80" s="26" t="s">
        <v>116</v>
      </c>
      <c r="C80" s="143" t="s">
        <v>18</v>
      </c>
      <c r="D80" s="107" t="s">
        <v>117</v>
      </c>
      <c r="E80" s="176">
        <v>396610</v>
      </c>
      <c r="F80" s="33" t="s">
        <v>118</v>
      </c>
      <c r="G80" s="37">
        <v>44251</v>
      </c>
      <c r="H80" s="61">
        <v>200000000</v>
      </c>
      <c r="I80" s="49">
        <v>10700000</v>
      </c>
      <c r="J80" s="50"/>
      <c r="K80" s="50"/>
      <c r="L80" s="50">
        <v>25889833.329999998</v>
      </c>
      <c r="M80" s="50"/>
      <c r="N80" s="50">
        <v>18075666.66</v>
      </c>
      <c r="O80" s="50">
        <v>10000000</v>
      </c>
      <c r="P80" s="50">
        <v>8012833.3300000001</v>
      </c>
      <c r="Q80" s="50">
        <v>7277833.3300000001</v>
      </c>
      <c r="R80" s="66">
        <v>24342833.329999998</v>
      </c>
      <c r="S80" s="50"/>
      <c r="T80" s="50">
        <v>19033499.989999995</v>
      </c>
      <c r="U80" s="50">
        <v>11033501.02</v>
      </c>
      <c r="V80" s="50">
        <v>7200000</v>
      </c>
      <c r="W80" s="50">
        <v>21362400</v>
      </c>
      <c r="X80" s="50">
        <v>3600000</v>
      </c>
      <c r="Y80" s="50"/>
      <c r="Z80" s="51"/>
      <c r="AA80" s="15"/>
      <c r="AB80" s="292">
        <f t="shared" si="8"/>
        <v>166528400.98999998</v>
      </c>
      <c r="AC80" s="295">
        <f t="shared" si="9"/>
        <v>0.83264200494999985</v>
      </c>
      <c r="AD80" s="341">
        <f>Llanos!U3</f>
        <v>13</v>
      </c>
      <c r="AE80" s="353">
        <v>44639</v>
      </c>
      <c r="AF80" s="342">
        <f t="shared" si="10"/>
        <v>33471599.01000002</v>
      </c>
      <c r="AG80" s="57" t="s">
        <v>27</v>
      </c>
      <c r="AH80" s="58">
        <f t="shared" si="11"/>
        <v>12</v>
      </c>
    </row>
    <row r="81" spans="1:36" ht="16.5" x14ac:dyDescent="0.3">
      <c r="A81" s="134" t="s">
        <v>105</v>
      </c>
      <c r="B81" s="23" t="s">
        <v>121</v>
      </c>
      <c r="C81" s="143" t="s">
        <v>18</v>
      </c>
      <c r="D81" s="107" t="s">
        <v>122</v>
      </c>
      <c r="E81" s="176">
        <v>396880</v>
      </c>
      <c r="F81" s="32" t="s">
        <v>108</v>
      </c>
      <c r="G81" s="37">
        <v>44251</v>
      </c>
      <c r="H81" s="61">
        <v>149974000</v>
      </c>
      <c r="I81" s="49"/>
      <c r="J81" s="50">
        <v>10700000</v>
      </c>
      <c r="K81" s="50"/>
      <c r="L81" s="50"/>
      <c r="M81" s="50"/>
      <c r="N81" s="50">
        <v>16233499</v>
      </c>
      <c r="O81" s="50">
        <v>25587666</v>
      </c>
      <c r="P81" s="50">
        <v>7677833</v>
      </c>
      <c r="Q81" s="50"/>
      <c r="R81" s="66">
        <v>15001833</v>
      </c>
      <c r="S81" s="50"/>
      <c r="T81" s="50">
        <v>34209666</v>
      </c>
      <c r="U81" s="50">
        <v>877833</v>
      </c>
      <c r="V81" s="50">
        <v>6800000</v>
      </c>
      <c r="W81" s="50"/>
      <c r="X81" s="50">
        <v>6800000</v>
      </c>
      <c r="Y81" s="50"/>
      <c r="Z81" s="51"/>
      <c r="AA81" s="15"/>
      <c r="AB81" s="292">
        <f t="shared" si="8"/>
        <v>123888330</v>
      </c>
      <c r="AC81" s="295">
        <f t="shared" si="9"/>
        <v>0.82606538466667556</v>
      </c>
      <c r="AD81" s="341">
        <f>Llanos!U4</f>
        <v>12</v>
      </c>
      <c r="AE81" s="353">
        <v>44625</v>
      </c>
      <c r="AF81" s="342">
        <f t="shared" si="10"/>
        <v>26085670</v>
      </c>
      <c r="AG81" s="57" t="s">
        <v>27</v>
      </c>
      <c r="AH81" s="58">
        <f t="shared" si="11"/>
        <v>9</v>
      </c>
    </row>
    <row r="82" spans="1:36" s="12" customFormat="1" ht="16.5" x14ac:dyDescent="0.3">
      <c r="A82" s="134" t="s">
        <v>32</v>
      </c>
      <c r="B82" s="24" t="s">
        <v>221</v>
      </c>
      <c r="C82" s="143" t="s">
        <v>18</v>
      </c>
      <c r="D82" s="107" t="s">
        <v>222</v>
      </c>
      <c r="E82" s="176">
        <v>397012</v>
      </c>
      <c r="F82" s="32" t="s">
        <v>61</v>
      </c>
      <c r="G82" s="37">
        <v>44256</v>
      </c>
      <c r="H82" s="61">
        <v>165014000</v>
      </c>
      <c r="I82" s="49"/>
      <c r="J82" s="50"/>
      <c r="K82" s="50"/>
      <c r="L82" s="50"/>
      <c r="M82" s="50"/>
      <c r="N82" s="50">
        <v>14200000</v>
      </c>
      <c r="O82" s="50">
        <v>7500000</v>
      </c>
      <c r="P82" s="50">
        <v>23200000</v>
      </c>
      <c r="Q82" s="50">
        <v>7200000</v>
      </c>
      <c r="R82" s="66"/>
      <c r="S82" s="50"/>
      <c r="T82" s="50">
        <v>3500000</v>
      </c>
      <c r="U82" s="50">
        <v>877000</v>
      </c>
      <c r="V82" s="50">
        <v>24101000</v>
      </c>
      <c r="W82" s="50">
        <v>54590015</v>
      </c>
      <c r="X82" s="50"/>
      <c r="Y82" s="50"/>
      <c r="Z82" s="51"/>
      <c r="AA82" s="15"/>
      <c r="AB82" s="292">
        <f t="shared" si="8"/>
        <v>135168015</v>
      </c>
      <c r="AC82" s="295">
        <f t="shared" si="9"/>
        <v>0.81913058891972801</v>
      </c>
      <c r="AD82" s="341">
        <f>Amazonía!V15</f>
        <v>13</v>
      </c>
      <c r="AE82" s="353">
        <v>44722</v>
      </c>
      <c r="AF82" s="342">
        <f t="shared" si="10"/>
        <v>29845985</v>
      </c>
      <c r="AG82" s="57" t="s">
        <v>27</v>
      </c>
      <c r="AH82" s="58">
        <f t="shared" si="11"/>
        <v>8</v>
      </c>
    </row>
    <row r="83" spans="1:36" s="12" customFormat="1" ht="16.5" x14ac:dyDescent="0.3">
      <c r="A83" s="134" t="s">
        <v>28</v>
      </c>
      <c r="B83" s="23" t="s">
        <v>281</v>
      </c>
      <c r="C83" s="143" t="s">
        <v>18</v>
      </c>
      <c r="D83" s="107" t="s">
        <v>282</v>
      </c>
      <c r="E83" s="176">
        <v>397739</v>
      </c>
      <c r="F83" s="32" t="s">
        <v>113</v>
      </c>
      <c r="G83" s="37">
        <v>44313</v>
      </c>
      <c r="H83" s="61">
        <v>167550000</v>
      </c>
      <c r="I83" s="49"/>
      <c r="J83" s="50"/>
      <c r="K83" s="50"/>
      <c r="L83" s="50"/>
      <c r="M83" s="50"/>
      <c r="N83" s="50">
        <v>10700000</v>
      </c>
      <c r="O83" s="50"/>
      <c r="P83" s="50">
        <v>12600000</v>
      </c>
      <c r="Q83" s="50">
        <v>5800000</v>
      </c>
      <c r="R83" s="66"/>
      <c r="S83" s="50">
        <v>3000000</v>
      </c>
      <c r="T83" s="50">
        <v>32475000</v>
      </c>
      <c r="U83" s="50"/>
      <c r="V83" s="50">
        <v>10700000</v>
      </c>
      <c r="W83" s="50">
        <v>15100000</v>
      </c>
      <c r="X83" s="50">
        <v>46609500</v>
      </c>
      <c r="Y83" s="50"/>
      <c r="Z83" s="51"/>
      <c r="AA83" s="15"/>
      <c r="AB83" s="292">
        <f t="shared" si="8"/>
        <v>136984500</v>
      </c>
      <c r="AC83" s="295">
        <f t="shared" si="9"/>
        <v>0.81757385854968667</v>
      </c>
      <c r="AD83" s="341">
        <f>Pacífico!U27</f>
        <v>11</v>
      </c>
      <c r="AE83" s="353">
        <v>44784</v>
      </c>
      <c r="AF83" s="342">
        <f t="shared" si="10"/>
        <v>30565500</v>
      </c>
      <c r="AG83" s="57" t="s">
        <v>27</v>
      </c>
      <c r="AH83" s="58">
        <f t="shared" si="11"/>
        <v>8</v>
      </c>
    </row>
    <row r="84" spans="1:36" ht="16.5" x14ac:dyDescent="0.3">
      <c r="A84" s="134" t="s">
        <v>28</v>
      </c>
      <c r="B84" s="23" t="s">
        <v>365</v>
      </c>
      <c r="C84" s="143" t="s">
        <v>18</v>
      </c>
      <c r="D84" s="107" t="s">
        <v>366</v>
      </c>
      <c r="E84" s="176">
        <v>396759</v>
      </c>
      <c r="F84" s="32" t="s">
        <v>31</v>
      </c>
      <c r="G84" s="37">
        <v>44252</v>
      </c>
      <c r="H84" s="61">
        <v>169900000</v>
      </c>
      <c r="I84" s="49"/>
      <c r="J84" s="50"/>
      <c r="K84" s="50"/>
      <c r="L84" s="50"/>
      <c r="M84" s="50">
        <v>10700000</v>
      </c>
      <c r="N84" s="50"/>
      <c r="O84" s="50"/>
      <c r="P84" s="50"/>
      <c r="Q84" s="50"/>
      <c r="R84" s="66">
        <v>1000000</v>
      </c>
      <c r="S84" s="50">
        <v>12200000</v>
      </c>
      <c r="T84" s="50">
        <v>46020000</v>
      </c>
      <c r="U84" s="50"/>
      <c r="V84" s="50">
        <v>17300000</v>
      </c>
      <c r="W84" s="50">
        <v>3300000</v>
      </c>
      <c r="X84" s="50">
        <v>48163220</v>
      </c>
      <c r="Y84" s="50"/>
      <c r="Z84" s="51"/>
      <c r="AA84" s="15"/>
      <c r="AB84" s="292">
        <f t="shared" si="8"/>
        <v>138683220</v>
      </c>
      <c r="AC84" s="295">
        <f t="shared" si="9"/>
        <v>0.81626380223660977</v>
      </c>
      <c r="AD84" s="341">
        <f>Pacífico!U5</f>
        <v>11</v>
      </c>
      <c r="AE84" s="353">
        <v>44743</v>
      </c>
      <c r="AF84" s="342">
        <f t="shared" si="10"/>
        <v>31216780</v>
      </c>
      <c r="AG84" s="57" t="s">
        <v>27</v>
      </c>
      <c r="AH84" s="58">
        <f t="shared" si="11"/>
        <v>7</v>
      </c>
    </row>
    <row r="85" spans="1:36" ht="16.5" x14ac:dyDescent="0.3">
      <c r="A85" s="146" t="s">
        <v>89</v>
      </c>
      <c r="B85" s="23" t="s">
        <v>217</v>
      </c>
      <c r="C85" s="143" t="s">
        <v>18</v>
      </c>
      <c r="D85" s="108" t="s">
        <v>218</v>
      </c>
      <c r="E85" s="176">
        <v>396816</v>
      </c>
      <c r="F85" s="32" t="s">
        <v>92</v>
      </c>
      <c r="G85" s="37">
        <v>44251</v>
      </c>
      <c r="H85" s="61">
        <v>200000000</v>
      </c>
      <c r="I85" s="49"/>
      <c r="J85" s="50"/>
      <c r="K85" s="50"/>
      <c r="L85" s="50"/>
      <c r="M85" s="50"/>
      <c r="N85" s="50">
        <v>10700000</v>
      </c>
      <c r="O85" s="50">
        <v>35160000</v>
      </c>
      <c r="P85" s="50"/>
      <c r="Q85" s="50">
        <v>4556000</v>
      </c>
      <c r="R85" s="66">
        <v>13500000</v>
      </c>
      <c r="S85" s="50"/>
      <c r="T85" s="50">
        <v>8700000</v>
      </c>
      <c r="U85" s="50"/>
      <c r="V85" s="50">
        <v>14334000</v>
      </c>
      <c r="W85" s="50">
        <v>17178000</v>
      </c>
      <c r="X85" s="50">
        <v>58640300</v>
      </c>
      <c r="Y85" s="50"/>
      <c r="Z85" s="51"/>
      <c r="AA85" s="15"/>
      <c r="AB85" s="292">
        <f t="shared" si="8"/>
        <v>162768300</v>
      </c>
      <c r="AC85" s="295">
        <f t="shared" si="9"/>
        <v>0.8138415</v>
      </c>
      <c r="AD85" s="341">
        <f>'Caribe II'!Q6</f>
        <v>10</v>
      </c>
      <c r="AE85" s="353">
        <v>44734</v>
      </c>
      <c r="AF85" s="342">
        <f t="shared" si="10"/>
        <v>37231700</v>
      </c>
      <c r="AG85" s="57" t="s">
        <v>27</v>
      </c>
      <c r="AH85" s="58">
        <f t="shared" si="11"/>
        <v>8</v>
      </c>
    </row>
    <row r="86" spans="1:36" ht="16.5" x14ac:dyDescent="0.3">
      <c r="A86" s="134" t="s">
        <v>23</v>
      </c>
      <c r="B86" s="23" t="s">
        <v>223</v>
      </c>
      <c r="C86" s="142" t="s">
        <v>18</v>
      </c>
      <c r="D86" s="107" t="s">
        <v>224</v>
      </c>
      <c r="E86" s="176">
        <v>396577</v>
      </c>
      <c r="F86" s="32" t="s">
        <v>26</v>
      </c>
      <c r="G86" s="37">
        <v>44252</v>
      </c>
      <c r="H86" s="61">
        <v>200000000</v>
      </c>
      <c r="I86" s="49"/>
      <c r="J86" s="50"/>
      <c r="K86" s="50">
        <v>10700000</v>
      </c>
      <c r="L86" s="50"/>
      <c r="M86" s="50"/>
      <c r="N86" s="50"/>
      <c r="O86" s="50">
        <v>12304424</v>
      </c>
      <c r="P86" s="50">
        <v>36050400</v>
      </c>
      <c r="Q86" s="50">
        <v>3791087</v>
      </c>
      <c r="R86" s="66"/>
      <c r="S86" s="50">
        <v>30557174</v>
      </c>
      <c r="T86" s="50">
        <v>5713317</v>
      </c>
      <c r="U86" s="50"/>
      <c r="V86" s="50">
        <v>59755006</v>
      </c>
      <c r="W86" s="50"/>
      <c r="X86" s="50">
        <v>2800000</v>
      </c>
      <c r="Y86" s="50"/>
      <c r="Z86" s="51"/>
      <c r="AA86" s="15"/>
      <c r="AB86" s="292">
        <f t="shared" si="8"/>
        <v>161671408</v>
      </c>
      <c r="AC86" s="295">
        <f t="shared" si="9"/>
        <v>0.80835703999999997</v>
      </c>
      <c r="AD86" s="341">
        <f>Central!R15</f>
        <v>8</v>
      </c>
      <c r="AE86" s="353">
        <v>44721</v>
      </c>
      <c r="AF86" s="342">
        <f t="shared" si="10"/>
        <v>38328592</v>
      </c>
      <c r="AG86" s="57" t="s">
        <v>27</v>
      </c>
      <c r="AH86" s="58">
        <f t="shared" si="11"/>
        <v>8</v>
      </c>
    </row>
    <row r="87" spans="1:36" ht="16.5" x14ac:dyDescent="0.3">
      <c r="A87" s="134" t="s">
        <v>23</v>
      </c>
      <c r="B87" s="23" t="s">
        <v>319</v>
      </c>
      <c r="C87" s="143" t="s">
        <v>18</v>
      </c>
      <c r="D87" s="107" t="s">
        <v>320</v>
      </c>
      <c r="E87" s="176">
        <v>396755</v>
      </c>
      <c r="F87" s="32" t="s">
        <v>26</v>
      </c>
      <c r="G87" s="37">
        <v>44252</v>
      </c>
      <c r="H87" s="61">
        <v>199992000</v>
      </c>
      <c r="I87" s="49"/>
      <c r="J87" s="50"/>
      <c r="K87" s="50"/>
      <c r="L87" s="50"/>
      <c r="M87" s="50">
        <v>17590000</v>
      </c>
      <c r="N87" s="50"/>
      <c r="O87" s="50">
        <v>9000000</v>
      </c>
      <c r="P87" s="50">
        <v>3200000</v>
      </c>
      <c r="Q87" s="50">
        <v>877833</v>
      </c>
      <c r="R87" s="66"/>
      <c r="S87" s="50">
        <v>31958751.77</v>
      </c>
      <c r="T87" s="50">
        <v>9877833</v>
      </c>
      <c r="U87" s="50"/>
      <c r="V87" s="50">
        <v>55571970</v>
      </c>
      <c r="W87" s="50">
        <v>19755666</v>
      </c>
      <c r="X87" s="50">
        <v>12455666</v>
      </c>
      <c r="Y87" s="50"/>
      <c r="Z87" s="51"/>
      <c r="AA87" s="15"/>
      <c r="AB87" s="292">
        <f t="shared" si="8"/>
        <v>160287719.76999998</v>
      </c>
      <c r="AC87" s="295">
        <f t="shared" si="9"/>
        <v>0.80147065767630699</v>
      </c>
      <c r="AD87" s="341">
        <f>Central!R5</f>
        <v>10</v>
      </c>
      <c r="AE87" s="353">
        <v>44740</v>
      </c>
      <c r="AF87" s="342">
        <f t="shared" si="10"/>
        <v>39704280.230000019</v>
      </c>
      <c r="AG87" s="57" t="s">
        <v>27</v>
      </c>
      <c r="AH87" s="58">
        <f t="shared" si="11"/>
        <v>9</v>
      </c>
    </row>
    <row r="88" spans="1:36" ht="16.5" x14ac:dyDescent="0.3">
      <c r="A88" s="146" t="s">
        <v>55</v>
      </c>
      <c r="B88" s="23" t="s">
        <v>154</v>
      </c>
      <c r="C88" s="143" t="s">
        <v>18</v>
      </c>
      <c r="D88" s="108" t="s">
        <v>155</v>
      </c>
      <c r="E88" s="176">
        <v>396425</v>
      </c>
      <c r="F88" s="32" t="s">
        <v>58</v>
      </c>
      <c r="G88" s="37">
        <v>44252</v>
      </c>
      <c r="H88" s="61">
        <v>180000000</v>
      </c>
      <c r="I88" s="49"/>
      <c r="J88" s="50"/>
      <c r="K88" s="50"/>
      <c r="L88" s="50"/>
      <c r="M88" s="50">
        <v>10700000</v>
      </c>
      <c r="N88" s="50"/>
      <c r="O88" s="50"/>
      <c r="P88" s="50">
        <v>11876000</v>
      </c>
      <c r="Q88" s="50">
        <v>14138000</v>
      </c>
      <c r="R88" s="66">
        <v>30478500</v>
      </c>
      <c r="S88" s="50">
        <v>2938000</v>
      </c>
      <c r="T88" s="50">
        <v>8938000</v>
      </c>
      <c r="U88" s="50"/>
      <c r="V88" s="50">
        <v>5938000</v>
      </c>
      <c r="W88" s="50">
        <v>8876000</v>
      </c>
      <c r="X88" s="50">
        <v>49830500</v>
      </c>
      <c r="Y88" s="50"/>
      <c r="Z88" s="51"/>
      <c r="AA88" s="15"/>
      <c r="AB88" s="292">
        <f t="shared" si="8"/>
        <v>143713000</v>
      </c>
      <c r="AC88" s="295">
        <f t="shared" si="9"/>
        <v>0.79840555555555559</v>
      </c>
      <c r="AD88" s="341">
        <f>'Eje Cafetero'!U6</f>
        <v>12</v>
      </c>
      <c r="AE88" s="353">
        <v>44691</v>
      </c>
      <c r="AF88" s="342">
        <f t="shared" si="10"/>
        <v>36287000</v>
      </c>
      <c r="AG88" s="57" t="s">
        <v>27</v>
      </c>
      <c r="AH88" s="58">
        <f t="shared" si="11"/>
        <v>9</v>
      </c>
    </row>
    <row r="89" spans="1:36" s="12" customFormat="1" ht="16.5" x14ac:dyDescent="0.3">
      <c r="A89" s="134" t="s">
        <v>23</v>
      </c>
      <c r="B89" s="23" t="s">
        <v>24</v>
      </c>
      <c r="C89" s="143" t="s">
        <v>18</v>
      </c>
      <c r="D89" s="107" t="s">
        <v>25</v>
      </c>
      <c r="E89" s="176">
        <v>397153</v>
      </c>
      <c r="F89" s="32" t="s">
        <v>26</v>
      </c>
      <c r="G89" s="37">
        <v>44260</v>
      </c>
      <c r="H89" s="61">
        <v>199904436</v>
      </c>
      <c r="I89" s="49"/>
      <c r="J89" s="50"/>
      <c r="K89" s="50"/>
      <c r="L89" s="50"/>
      <c r="M89" s="50"/>
      <c r="N89" s="50">
        <v>21400000</v>
      </c>
      <c r="O89" s="50">
        <v>879470</v>
      </c>
      <c r="P89" s="50">
        <v>6779470</v>
      </c>
      <c r="Q89" s="50">
        <v>49666000</v>
      </c>
      <c r="R89" s="66">
        <v>33323476</v>
      </c>
      <c r="S89" s="50"/>
      <c r="T89" s="50"/>
      <c r="U89" s="50">
        <v>10758940</v>
      </c>
      <c r="V89" s="50">
        <v>2800000</v>
      </c>
      <c r="W89" s="50">
        <v>13500000</v>
      </c>
      <c r="X89" s="50">
        <v>18049470</v>
      </c>
      <c r="Y89" s="50"/>
      <c r="Z89" s="51"/>
      <c r="AA89" s="15"/>
      <c r="AB89" s="292">
        <f t="shared" si="8"/>
        <v>157156826</v>
      </c>
      <c r="AC89" s="295">
        <f t="shared" si="9"/>
        <v>0.78615977286266925</v>
      </c>
      <c r="AD89" s="343">
        <f>Central!R23</f>
        <v>9</v>
      </c>
      <c r="AE89" s="353">
        <v>44650</v>
      </c>
      <c r="AF89" s="342">
        <f t="shared" si="10"/>
        <v>42747610</v>
      </c>
      <c r="AG89" s="57" t="s">
        <v>27</v>
      </c>
      <c r="AH89" s="58">
        <f t="shared" si="11"/>
        <v>9</v>
      </c>
    </row>
    <row r="90" spans="1:36" ht="16.5" x14ac:dyDescent="0.3">
      <c r="A90" s="134" t="s">
        <v>49</v>
      </c>
      <c r="B90" s="23" t="s">
        <v>228</v>
      </c>
      <c r="C90" s="143" t="s">
        <v>18</v>
      </c>
      <c r="D90" s="107" t="s">
        <v>229</v>
      </c>
      <c r="E90" s="176">
        <v>397313</v>
      </c>
      <c r="F90" s="32" t="s">
        <v>52</v>
      </c>
      <c r="G90" s="37">
        <v>44260</v>
      </c>
      <c r="H90" s="61">
        <v>200000000</v>
      </c>
      <c r="I90" s="49"/>
      <c r="J90" s="50"/>
      <c r="K90" s="50">
        <v>10700000</v>
      </c>
      <c r="L90" s="50"/>
      <c r="M90" s="50">
        <v>16800000</v>
      </c>
      <c r="N90" s="50">
        <v>6100000</v>
      </c>
      <c r="O90" s="50">
        <v>6100000</v>
      </c>
      <c r="P90" s="50"/>
      <c r="Q90" s="50">
        <v>12200000</v>
      </c>
      <c r="R90" s="66">
        <v>10260000</v>
      </c>
      <c r="S90" s="50"/>
      <c r="T90" s="50">
        <v>22210000</v>
      </c>
      <c r="U90" s="50"/>
      <c r="V90" s="50">
        <v>29000000</v>
      </c>
      <c r="W90" s="50">
        <v>31710000</v>
      </c>
      <c r="X90" s="50">
        <v>11200000</v>
      </c>
      <c r="Y90" s="50"/>
      <c r="Z90" s="51"/>
      <c r="AA90" s="15"/>
      <c r="AB90" s="292">
        <f t="shared" si="8"/>
        <v>156280000</v>
      </c>
      <c r="AC90" s="295">
        <f t="shared" si="9"/>
        <v>0.78139999999999998</v>
      </c>
      <c r="AD90" s="341">
        <f>Santanderes!U10</f>
        <v>13</v>
      </c>
      <c r="AE90" s="353">
        <v>44755</v>
      </c>
      <c r="AF90" s="342">
        <f t="shared" si="10"/>
        <v>43720000</v>
      </c>
      <c r="AG90" s="57" t="s">
        <v>27</v>
      </c>
      <c r="AH90" s="58">
        <f t="shared" si="11"/>
        <v>10</v>
      </c>
    </row>
    <row r="91" spans="1:36" ht="16.5" x14ac:dyDescent="0.3">
      <c r="A91" s="134" t="s">
        <v>55</v>
      </c>
      <c r="B91" s="26" t="s">
        <v>269</v>
      </c>
      <c r="C91" s="143" t="s">
        <v>18</v>
      </c>
      <c r="D91" s="107" t="s">
        <v>270</v>
      </c>
      <c r="E91" s="176">
        <v>396814</v>
      </c>
      <c r="F91" s="33" t="s">
        <v>182</v>
      </c>
      <c r="G91" s="37">
        <v>44252</v>
      </c>
      <c r="H91" s="62">
        <v>200000000</v>
      </c>
      <c r="I91" s="49"/>
      <c r="J91" s="50"/>
      <c r="K91" s="50"/>
      <c r="L91" s="50"/>
      <c r="M91" s="50">
        <v>9808250</v>
      </c>
      <c r="N91" s="50">
        <v>5986987.5</v>
      </c>
      <c r="O91" s="50">
        <v>20408250</v>
      </c>
      <c r="P91" s="50">
        <v>6000000</v>
      </c>
      <c r="Q91" s="50">
        <v>6000000</v>
      </c>
      <c r="R91" s="66">
        <v>2854000</v>
      </c>
      <c r="S91" s="50">
        <v>24800819</v>
      </c>
      <c r="T91" s="50">
        <v>12808250</v>
      </c>
      <c r="U91" s="50"/>
      <c r="V91" s="50">
        <v>53754000</v>
      </c>
      <c r="W91" s="50">
        <v>3877000</v>
      </c>
      <c r="X91" s="50">
        <v>3877000</v>
      </c>
      <c r="Y91" s="50"/>
      <c r="Z91" s="51"/>
      <c r="AA91" s="15"/>
      <c r="AB91" s="292">
        <f t="shared" si="8"/>
        <v>150174556.5</v>
      </c>
      <c r="AC91" s="295">
        <f t="shared" si="9"/>
        <v>0.7508727825</v>
      </c>
      <c r="AD91" s="341">
        <f>'Eje Cafetero'!U3</f>
        <v>12</v>
      </c>
      <c r="AE91" s="353">
        <v>44713</v>
      </c>
      <c r="AF91" s="342">
        <f t="shared" si="10"/>
        <v>49825443.5</v>
      </c>
      <c r="AG91" s="57" t="s">
        <v>27</v>
      </c>
      <c r="AH91" s="58">
        <f t="shared" si="11"/>
        <v>11</v>
      </c>
    </row>
    <row r="92" spans="1:36" ht="16.5" x14ac:dyDescent="0.3">
      <c r="A92" s="134" t="s">
        <v>89</v>
      </c>
      <c r="B92" s="26" t="s">
        <v>279</v>
      </c>
      <c r="C92" s="143" t="s">
        <v>18</v>
      </c>
      <c r="D92" s="107" t="s">
        <v>280</v>
      </c>
      <c r="E92" s="176">
        <v>396861</v>
      </c>
      <c r="F92" s="33" t="s">
        <v>146</v>
      </c>
      <c r="G92" s="37">
        <v>44252</v>
      </c>
      <c r="H92" s="62">
        <v>199990000</v>
      </c>
      <c r="I92" s="49"/>
      <c r="J92" s="50"/>
      <c r="K92" s="50">
        <v>10000000</v>
      </c>
      <c r="L92" s="50"/>
      <c r="M92" s="50"/>
      <c r="N92" s="50">
        <v>23755500</v>
      </c>
      <c r="O92" s="50"/>
      <c r="P92" s="50">
        <v>3877750</v>
      </c>
      <c r="Q92" s="50">
        <v>3877750</v>
      </c>
      <c r="R92" s="66">
        <v>6000000</v>
      </c>
      <c r="S92" s="50">
        <v>26903400</v>
      </c>
      <c r="T92" s="50">
        <v>4755500</v>
      </c>
      <c r="U92" s="50">
        <v>10000000</v>
      </c>
      <c r="V92" s="50">
        <v>21511000</v>
      </c>
      <c r="W92" s="50">
        <v>3877750</v>
      </c>
      <c r="X92" s="50">
        <v>32756850</v>
      </c>
      <c r="Y92" s="50"/>
      <c r="Z92" s="51"/>
      <c r="AA92" s="15"/>
      <c r="AB92" s="292">
        <f t="shared" si="8"/>
        <v>147315500</v>
      </c>
      <c r="AC92" s="295">
        <f t="shared" si="9"/>
        <v>0.73661433071653581</v>
      </c>
      <c r="AD92" s="341">
        <f>'Caribe II'!Q17</f>
        <v>10</v>
      </c>
      <c r="AE92" s="353">
        <v>44712</v>
      </c>
      <c r="AF92" s="342">
        <f t="shared" si="10"/>
        <v>52674500</v>
      </c>
      <c r="AG92" s="57" t="s">
        <v>27</v>
      </c>
      <c r="AH92" s="58">
        <f t="shared" si="11"/>
        <v>11</v>
      </c>
    </row>
    <row r="93" spans="1:36" s="12" customFormat="1" ht="16.5" x14ac:dyDescent="0.3">
      <c r="A93" s="146" t="s">
        <v>49</v>
      </c>
      <c r="B93" s="23" t="s">
        <v>252</v>
      </c>
      <c r="C93" s="142" t="s">
        <v>18</v>
      </c>
      <c r="D93" s="108" t="s">
        <v>253</v>
      </c>
      <c r="E93" s="176">
        <v>397315</v>
      </c>
      <c r="F93" s="32" t="s">
        <v>52</v>
      </c>
      <c r="G93" s="37">
        <v>44260</v>
      </c>
      <c r="H93" s="61">
        <v>200000000</v>
      </c>
      <c r="I93" s="49"/>
      <c r="J93" s="50"/>
      <c r="K93" s="50">
        <v>10700000</v>
      </c>
      <c r="L93" s="50">
        <v>500000</v>
      </c>
      <c r="M93" s="50"/>
      <c r="N93" s="50">
        <v>12200000</v>
      </c>
      <c r="O93" s="50">
        <v>6100000</v>
      </c>
      <c r="P93" s="50">
        <v>14420000</v>
      </c>
      <c r="Q93" s="50">
        <v>6100000</v>
      </c>
      <c r="R93" s="66">
        <v>6100000</v>
      </c>
      <c r="S93" s="50">
        <v>5600000</v>
      </c>
      <c r="T93" s="50"/>
      <c r="U93" s="50">
        <v>22000000</v>
      </c>
      <c r="V93" s="50"/>
      <c r="W93" s="50">
        <v>23400000</v>
      </c>
      <c r="X93" s="50">
        <v>40000000</v>
      </c>
      <c r="Y93" s="50"/>
      <c r="Z93" s="51"/>
      <c r="AA93" s="15"/>
      <c r="AB93" s="292">
        <f t="shared" si="8"/>
        <v>147120000</v>
      </c>
      <c r="AC93" s="295">
        <f t="shared" si="9"/>
        <v>0.73560000000000003</v>
      </c>
      <c r="AD93" s="341">
        <f>Santanderes!U4</f>
        <v>13</v>
      </c>
      <c r="AE93" s="353">
        <v>44753</v>
      </c>
      <c r="AF93" s="342">
        <f t="shared" si="10"/>
        <v>52880000</v>
      </c>
      <c r="AG93" s="57" t="s">
        <v>27</v>
      </c>
      <c r="AH93" s="58">
        <f t="shared" si="11"/>
        <v>11</v>
      </c>
      <c r="AJ93" s="89"/>
    </row>
    <row r="94" spans="1:36" ht="16.5" x14ac:dyDescent="0.3">
      <c r="A94" s="146" t="s">
        <v>55</v>
      </c>
      <c r="B94" s="24" t="s">
        <v>87</v>
      </c>
      <c r="C94" s="143" t="s">
        <v>18</v>
      </c>
      <c r="D94" s="108" t="s">
        <v>88</v>
      </c>
      <c r="E94" s="176">
        <v>397311</v>
      </c>
      <c r="F94" s="32" t="s">
        <v>58</v>
      </c>
      <c r="G94" s="37">
        <v>44258</v>
      </c>
      <c r="H94" s="61">
        <v>150000000</v>
      </c>
      <c r="I94" s="49"/>
      <c r="J94" s="50"/>
      <c r="K94" s="50"/>
      <c r="L94" s="50">
        <v>10700000</v>
      </c>
      <c r="M94" s="50"/>
      <c r="N94" s="50"/>
      <c r="O94" s="50"/>
      <c r="P94" s="50">
        <v>10000000</v>
      </c>
      <c r="Q94" s="50">
        <v>20444250</v>
      </c>
      <c r="R94" s="66">
        <v>15340750</v>
      </c>
      <c r="S94" s="50"/>
      <c r="T94" s="50">
        <v>11757500</v>
      </c>
      <c r="U94" s="50"/>
      <c r="V94" s="50">
        <v>5878750</v>
      </c>
      <c r="W94" s="50">
        <v>30085000</v>
      </c>
      <c r="X94" s="50">
        <v>5878750</v>
      </c>
      <c r="Y94" s="50"/>
      <c r="Z94" s="51"/>
      <c r="AA94" s="15"/>
      <c r="AB94" s="292">
        <f t="shared" si="8"/>
        <v>110085000</v>
      </c>
      <c r="AC94" s="295">
        <f t="shared" si="9"/>
        <v>0.7339</v>
      </c>
      <c r="AD94" s="341">
        <f>'Eje Cafetero'!U11</f>
        <v>13</v>
      </c>
      <c r="AE94" s="353">
        <v>44693</v>
      </c>
      <c r="AF94" s="342">
        <f t="shared" si="10"/>
        <v>39915000</v>
      </c>
      <c r="AG94" s="57" t="s">
        <v>27</v>
      </c>
      <c r="AH94" s="58">
        <f t="shared" si="11"/>
        <v>8</v>
      </c>
    </row>
    <row r="95" spans="1:36" s="12" customFormat="1" ht="16.5" x14ac:dyDescent="0.3">
      <c r="A95" s="134" t="s">
        <v>28</v>
      </c>
      <c r="B95" s="26" t="s">
        <v>326</v>
      </c>
      <c r="C95" s="143" t="s">
        <v>18</v>
      </c>
      <c r="D95" s="107" t="s">
        <v>327</v>
      </c>
      <c r="E95" s="176">
        <v>397060</v>
      </c>
      <c r="F95" s="33" t="s">
        <v>81</v>
      </c>
      <c r="G95" s="37">
        <v>44264</v>
      </c>
      <c r="H95" s="62">
        <v>158554000</v>
      </c>
      <c r="I95" s="49"/>
      <c r="J95" s="50"/>
      <c r="K95" s="50"/>
      <c r="L95" s="50">
        <v>10700000</v>
      </c>
      <c r="M95" s="50"/>
      <c r="N95" s="50"/>
      <c r="O95" s="50">
        <v>10700000</v>
      </c>
      <c r="P95" s="50"/>
      <c r="Q95" s="50"/>
      <c r="R95" s="66"/>
      <c r="S95" s="50">
        <v>12000000</v>
      </c>
      <c r="T95" s="50">
        <v>6597000</v>
      </c>
      <c r="U95" s="50">
        <v>34280000</v>
      </c>
      <c r="V95" s="50"/>
      <c r="W95" s="50">
        <v>38009250</v>
      </c>
      <c r="X95" s="50">
        <v>3000000</v>
      </c>
      <c r="Y95" s="50"/>
      <c r="Z95" s="51"/>
      <c r="AA95" s="15"/>
      <c r="AB95" s="292">
        <f t="shared" si="8"/>
        <v>115286250</v>
      </c>
      <c r="AC95" s="295">
        <f t="shared" si="9"/>
        <v>0.72711032203539483</v>
      </c>
      <c r="AD95" s="341">
        <f>Pacífico!U19</f>
        <v>11</v>
      </c>
      <c r="AE95" s="353">
        <v>44775</v>
      </c>
      <c r="AF95" s="342">
        <f t="shared" si="10"/>
        <v>43267750</v>
      </c>
      <c r="AG95" s="57" t="s">
        <v>27</v>
      </c>
      <c r="AH95" s="58">
        <f t="shared" si="11"/>
        <v>7</v>
      </c>
    </row>
    <row r="96" spans="1:36" ht="16.5" x14ac:dyDescent="0.3">
      <c r="A96" s="134" t="s">
        <v>16</v>
      </c>
      <c r="B96" s="23" t="s">
        <v>244</v>
      </c>
      <c r="C96" s="143" t="s">
        <v>18</v>
      </c>
      <c r="D96" s="107" t="s">
        <v>245</v>
      </c>
      <c r="E96" s="176">
        <v>396496</v>
      </c>
      <c r="F96" s="33" t="s">
        <v>84</v>
      </c>
      <c r="G96" s="37">
        <v>44253</v>
      </c>
      <c r="H96" s="61">
        <v>199999000</v>
      </c>
      <c r="I96" s="49">
        <v>10000000</v>
      </c>
      <c r="J96" s="50"/>
      <c r="K96" s="50"/>
      <c r="L96" s="50"/>
      <c r="M96" s="50"/>
      <c r="N96" s="50">
        <v>12877750</v>
      </c>
      <c r="O96" s="50">
        <v>26755500</v>
      </c>
      <c r="P96" s="50">
        <v>6000000</v>
      </c>
      <c r="Q96" s="50"/>
      <c r="R96" s="66">
        <v>1755500</v>
      </c>
      <c r="S96" s="50">
        <v>28377750</v>
      </c>
      <c r="T96" s="50">
        <v>5100000.01</v>
      </c>
      <c r="U96" s="50">
        <v>3000000</v>
      </c>
      <c r="V96" s="50">
        <v>19755500</v>
      </c>
      <c r="W96" s="50">
        <v>14099999.99</v>
      </c>
      <c r="X96" s="50">
        <v>16500000</v>
      </c>
      <c r="Y96" s="50"/>
      <c r="Z96" s="51"/>
      <c r="AA96" s="15"/>
      <c r="AB96" s="292">
        <f t="shared" si="8"/>
        <v>144222000</v>
      </c>
      <c r="AC96" s="295">
        <f t="shared" si="9"/>
        <v>0.72111360556802784</v>
      </c>
      <c r="AD96" s="341">
        <f>'Caribe I'!S10</f>
        <v>11</v>
      </c>
      <c r="AE96" s="353">
        <v>44775</v>
      </c>
      <c r="AF96" s="342">
        <f t="shared" si="10"/>
        <v>55777000</v>
      </c>
      <c r="AG96" s="57" t="s">
        <v>27</v>
      </c>
      <c r="AH96" s="58">
        <f t="shared" si="11"/>
        <v>11</v>
      </c>
    </row>
    <row r="97" spans="1:34" ht="16.5" x14ac:dyDescent="0.3">
      <c r="A97" s="134" t="s">
        <v>23</v>
      </c>
      <c r="B97" s="23" t="s">
        <v>97</v>
      </c>
      <c r="C97" s="143" t="s">
        <v>18</v>
      </c>
      <c r="D97" s="107" t="s">
        <v>98</v>
      </c>
      <c r="E97" s="176">
        <v>396817</v>
      </c>
      <c r="F97" s="32" t="s">
        <v>26</v>
      </c>
      <c r="G97" s="37">
        <v>44252</v>
      </c>
      <c r="H97" s="61">
        <v>200000000</v>
      </c>
      <c r="I97" s="49"/>
      <c r="J97" s="50"/>
      <c r="K97" s="50"/>
      <c r="L97" s="50"/>
      <c r="M97" s="50"/>
      <c r="N97" s="50"/>
      <c r="O97" s="50">
        <v>70300000</v>
      </c>
      <c r="P97" s="50">
        <v>6000000</v>
      </c>
      <c r="Q97" s="50">
        <v>15944750</v>
      </c>
      <c r="R97" s="66">
        <v>877750</v>
      </c>
      <c r="S97" s="50"/>
      <c r="T97" s="50">
        <v>6000000</v>
      </c>
      <c r="U97" s="50">
        <v>16700000</v>
      </c>
      <c r="V97" s="50">
        <v>1755500</v>
      </c>
      <c r="W97" s="50">
        <v>6000000</v>
      </c>
      <c r="X97" s="50">
        <v>19700000</v>
      </c>
      <c r="Y97" s="50"/>
      <c r="Z97" s="51"/>
      <c r="AA97" s="15"/>
      <c r="AB97" s="292">
        <f t="shared" si="8"/>
        <v>143278000</v>
      </c>
      <c r="AC97" s="295">
        <f t="shared" si="9"/>
        <v>0.71638999999999997</v>
      </c>
      <c r="AD97" s="343">
        <f>Central!R13</f>
        <v>9</v>
      </c>
      <c r="AE97" s="353">
        <v>44617</v>
      </c>
      <c r="AF97" s="342">
        <f t="shared" si="10"/>
        <v>56722000</v>
      </c>
      <c r="AG97" s="57" t="s">
        <v>27</v>
      </c>
      <c r="AH97" s="58">
        <f t="shared" si="11"/>
        <v>9</v>
      </c>
    </row>
    <row r="98" spans="1:34" s="12" customFormat="1" ht="16.5" x14ac:dyDescent="0.3">
      <c r="A98" s="134" t="s">
        <v>28</v>
      </c>
      <c r="B98" s="23" t="s">
        <v>29</v>
      </c>
      <c r="C98" s="143" t="s">
        <v>18</v>
      </c>
      <c r="D98" s="107" t="s">
        <v>30</v>
      </c>
      <c r="E98" s="176">
        <v>397014</v>
      </c>
      <c r="F98" s="32" t="s">
        <v>31</v>
      </c>
      <c r="G98" s="37">
        <v>44264</v>
      </c>
      <c r="H98" s="61">
        <v>193522000</v>
      </c>
      <c r="I98" s="49"/>
      <c r="J98" s="50"/>
      <c r="K98" s="50"/>
      <c r="L98" s="50"/>
      <c r="M98" s="50">
        <v>35900000</v>
      </c>
      <c r="N98" s="50"/>
      <c r="O98" s="50">
        <v>5000000</v>
      </c>
      <c r="P98" s="50">
        <v>24000000</v>
      </c>
      <c r="Q98" s="50"/>
      <c r="R98" s="66">
        <v>40586130</v>
      </c>
      <c r="S98" s="50"/>
      <c r="T98" s="50">
        <v>17700000</v>
      </c>
      <c r="U98" s="50"/>
      <c r="V98" s="50">
        <v>7000000</v>
      </c>
      <c r="W98" s="50"/>
      <c r="X98" s="50">
        <v>7500000</v>
      </c>
      <c r="Y98" s="50"/>
      <c r="Z98" s="51"/>
      <c r="AA98" s="15"/>
      <c r="AB98" s="292">
        <f t="shared" ref="AB98:AB129" si="12">SUM(I98:AA98)</f>
        <v>137686130</v>
      </c>
      <c r="AC98" s="295">
        <f t="shared" ref="AC98:AC129" si="13">AB98/H98</f>
        <v>0.71147533613749336</v>
      </c>
      <c r="AD98" s="341">
        <f>Pacífico!U4</f>
        <v>11</v>
      </c>
      <c r="AE98" s="353">
        <v>44639</v>
      </c>
      <c r="AF98" s="342">
        <f t="shared" ref="AF98:AF129" si="14">H98-AB98</f>
        <v>55835870</v>
      </c>
      <c r="AG98" s="57" t="s">
        <v>27</v>
      </c>
      <c r="AH98" s="58">
        <f t="shared" ref="AH98:AH129" si="15">COUNT(I98:Z98)</f>
        <v>7</v>
      </c>
    </row>
    <row r="99" spans="1:34" s="12" customFormat="1" ht="16.5" x14ac:dyDescent="0.3">
      <c r="A99" s="134" t="s">
        <v>49</v>
      </c>
      <c r="B99" s="23" t="s">
        <v>321</v>
      </c>
      <c r="C99" s="143" t="s">
        <v>18</v>
      </c>
      <c r="D99" s="107" t="s">
        <v>322</v>
      </c>
      <c r="E99" s="176">
        <v>397317</v>
      </c>
      <c r="F99" s="32" t="s">
        <v>125</v>
      </c>
      <c r="G99" s="37">
        <v>44260</v>
      </c>
      <c r="H99" s="61">
        <v>199744000</v>
      </c>
      <c r="I99" s="49"/>
      <c r="J99" s="50"/>
      <c r="K99" s="50"/>
      <c r="L99" s="50"/>
      <c r="M99" s="50"/>
      <c r="N99" s="50"/>
      <c r="O99" s="50">
        <v>10700000</v>
      </c>
      <c r="P99" s="50">
        <v>19710400</v>
      </c>
      <c r="Q99" s="50"/>
      <c r="R99" s="66"/>
      <c r="S99" s="50">
        <v>6000000</v>
      </c>
      <c r="T99" s="50">
        <v>48800000</v>
      </c>
      <c r="U99" s="50"/>
      <c r="V99" s="50">
        <v>5000000</v>
      </c>
      <c r="W99" s="50">
        <v>50300000</v>
      </c>
      <c r="X99" s="50"/>
      <c r="Y99" s="50"/>
      <c r="Z99" s="51"/>
      <c r="AA99" s="15"/>
      <c r="AB99" s="292">
        <f t="shared" si="12"/>
        <v>140510400</v>
      </c>
      <c r="AC99" s="295">
        <f t="shared" si="13"/>
        <v>0.7034524190964434</v>
      </c>
      <c r="AD99" s="341">
        <f>Santanderes!U15</f>
        <v>13</v>
      </c>
      <c r="AE99" s="353">
        <v>44764</v>
      </c>
      <c r="AF99" s="342">
        <f t="shared" si="14"/>
        <v>59233600</v>
      </c>
      <c r="AG99" s="57" t="s">
        <v>27</v>
      </c>
      <c r="AH99" s="58">
        <f t="shared" si="15"/>
        <v>6</v>
      </c>
    </row>
    <row r="100" spans="1:34" s="12" customFormat="1" ht="16.5" x14ac:dyDescent="0.3">
      <c r="A100" s="146" t="s">
        <v>55</v>
      </c>
      <c r="B100" s="23" t="s">
        <v>99</v>
      </c>
      <c r="C100" s="143" t="s">
        <v>18</v>
      </c>
      <c r="D100" s="108" t="s">
        <v>100</v>
      </c>
      <c r="E100" s="176">
        <v>397362</v>
      </c>
      <c r="F100" s="32" t="s">
        <v>71</v>
      </c>
      <c r="G100" s="37">
        <v>44267</v>
      </c>
      <c r="H100" s="61">
        <v>149712000</v>
      </c>
      <c r="I100" s="49"/>
      <c r="J100" s="50"/>
      <c r="K100" s="50"/>
      <c r="L100" s="50">
        <v>10700000</v>
      </c>
      <c r="M100" s="50"/>
      <c r="N100" s="50">
        <v>3300000</v>
      </c>
      <c r="O100" s="50">
        <v>13825000</v>
      </c>
      <c r="P100" s="50">
        <v>3300000</v>
      </c>
      <c r="Q100" s="50">
        <v>11975000</v>
      </c>
      <c r="R100" s="66">
        <v>10725000.34</v>
      </c>
      <c r="S100" s="50">
        <v>10389000.119999999</v>
      </c>
      <c r="T100" s="50">
        <v>21125000</v>
      </c>
      <c r="U100" s="50"/>
      <c r="V100" s="50"/>
      <c r="W100" s="50"/>
      <c r="X100" s="50">
        <v>17900000</v>
      </c>
      <c r="Y100" s="50"/>
      <c r="Z100" s="51"/>
      <c r="AA100" s="15"/>
      <c r="AB100" s="292">
        <f t="shared" si="12"/>
        <v>103239000.46000001</v>
      </c>
      <c r="AC100" s="295">
        <f t="shared" si="13"/>
        <v>0.68958400435502842</v>
      </c>
      <c r="AD100" s="341">
        <f>'Eje Cafetero'!U21</f>
        <v>13</v>
      </c>
      <c r="AE100" s="353">
        <v>44671</v>
      </c>
      <c r="AF100" s="342">
        <f t="shared" si="14"/>
        <v>46472999.539999992</v>
      </c>
      <c r="AG100" s="57" t="s">
        <v>27</v>
      </c>
      <c r="AH100" s="58">
        <f t="shared" si="15"/>
        <v>9</v>
      </c>
    </row>
    <row r="101" spans="1:34" s="12" customFormat="1" ht="16.5" x14ac:dyDescent="0.3">
      <c r="A101" s="134" t="s">
        <v>23</v>
      </c>
      <c r="B101" s="23" t="s">
        <v>215</v>
      </c>
      <c r="C101" s="143" t="s">
        <v>18</v>
      </c>
      <c r="D101" s="107" t="s">
        <v>216</v>
      </c>
      <c r="E101" s="176">
        <v>397391</v>
      </c>
      <c r="F101" s="32" t="s">
        <v>68</v>
      </c>
      <c r="G101" s="37">
        <v>44279</v>
      </c>
      <c r="H101" s="61">
        <v>200000000</v>
      </c>
      <c r="I101" s="49">
        <v>10700000</v>
      </c>
      <c r="J101" s="50"/>
      <c r="K101" s="50"/>
      <c r="L101" s="50"/>
      <c r="M101" s="50">
        <v>53660000</v>
      </c>
      <c r="N101" s="50"/>
      <c r="O101" s="50"/>
      <c r="P101" s="50"/>
      <c r="Q101" s="50"/>
      <c r="R101" s="66"/>
      <c r="S101" s="50">
        <v>12369015</v>
      </c>
      <c r="T101" s="50">
        <v>16400000</v>
      </c>
      <c r="U101" s="50"/>
      <c r="V101" s="50">
        <v>10700000</v>
      </c>
      <c r="W101" s="50">
        <v>32194000</v>
      </c>
      <c r="X101" s="50"/>
      <c r="Y101" s="50"/>
      <c r="Z101" s="51"/>
      <c r="AA101" s="15"/>
      <c r="AB101" s="292">
        <f t="shared" si="12"/>
        <v>136023015</v>
      </c>
      <c r="AC101" s="295">
        <f t="shared" si="13"/>
        <v>0.68011507500000001</v>
      </c>
      <c r="AD101" s="341">
        <f>Central!R20</f>
        <v>8</v>
      </c>
      <c r="AE101" s="353">
        <v>44742</v>
      </c>
      <c r="AF101" s="342">
        <f t="shared" si="14"/>
        <v>63976985</v>
      </c>
      <c r="AG101" s="57" t="s">
        <v>27</v>
      </c>
      <c r="AH101" s="58">
        <f t="shared" si="15"/>
        <v>6</v>
      </c>
    </row>
    <row r="102" spans="1:34" s="12" customFormat="1" ht="16.5" x14ac:dyDescent="0.3">
      <c r="A102" s="134" t="s">
        <v>23</v>
      </c>
      <c r="B102" s="23" t="s">
        <v>189</v>
      </c>
      <c r="C102" s="143" t="s">
        <v>18</v>
      </c>
      <c r="D102" s="107" t="s">
        <v>190</v>
      </c>
      <c r="E102" s="176">
        <v>396522</v>
      </c>
      <c r="F102" s="32" t="s">
        <v>191</v>
      </c>
      <c r="G102" s="37">
        <v>44252</v>
      </c>
      <c r="H102" s="61">
        <v>89334000</v>
      </c>
      <c r="I102" s="49"/>
      <c r="J102" s="50">
        <v>10700000</v>
      </c>
      <c r="K102" s="50"/>
      <c r="L102" s="50"/>
      <c r="M102" s="50"/>
      <c r="N102" s="50">
        <v>1755666.66</v>
      </c>
      <c r="O102" s="50"/>
      <c r="P102" s="50">
        <v>2000000</v>
      </c>
      <c r="Q102" s="50">
        <v>16333499.99</v>
      </c>
      <c r="R102" s="66">
        <v>2000000</v>
      </c>
      <c r="S102" s="50">
        <v>3000000</v>
      </c>
      <c r="T102" s="50">
        <v>5633499.9900000002</v>
      </c>
      <c r="U102" s="50">
        <v>1755666.66</v>
      </c>
      <c r="V102" s="50">
        <v>13700000</v>
      </c>
      <c r="W102" s="50">
        <v>3877833.33</v>
      </c>
      <c r="X102" s="50"/>
      <c r="Y102" s="50"/>
      <c r="Z102" s="51"/>
      <c r="AA102" s="15"/>
      <c r="AB102" s="292">
        <f t="shared" si="12"/>
        <v>60756166.629999995</v>
      </c>
      <c r="AC102" s="295">
        <f t="shared" si="13"/>
        <v>0.68010126749054112</v>
      </c>
      <c r="AD102" s="341">
        <f>Central!R19</f>
        <v>9</v>
      </c>
      <c r="AE102" s="353">
        <v>44735</v>
      </c>
      <c r="AF102" s="342">
        <f t="shared" si="14"/>
        <v>28577833.370000005</v>
      </c>
      <c r="AG102" s="57" t="s">
        <v>27</v>
      </c>
      <c r="AH102" s="58">
        <f t="shared" si="15"/>
        <v>10</v>
      </c>
    </row>
    <row r="103" spans="1:34" s="12" customFormat="1" ht="16.5" x14ac:dyDescent="0.3">
      <c r="A103" s="134" t="s">
        <v>49</v>
      </c>
      <c r="B103" s="23" t="s">
        <v>303</v>
      </c>
      <c r="C103" s="143" t="s">
        <v>18</v>
      </c>
      <c r="D103" s="107" t="s">
        <v>304</v>
      </c>
      <c r="E103" s="176">
        <v>397392</v>
      </c>
      <c r="F103" s="32" t="s">
        <v>52</v>
      </c>
      <c r="G103" s="37">
        <v>44279</v>
      </c>
      <c r="H103" s="61">
        <v>199963236</v>
      </c>
      <c r="I103" s="49"/>
      <c r="J103" s="50"/>
      <c r="K103" s="50">
        <v>10700000</v>
      </c>
      <c r="L103" s="50"/>
      <c r="M103" s="50"/>
      <c r="N103" s="50">
        <v>10700000</v>
      </c>
      <c r="O103" s="50"/>
      <c r="P103" s="50">
        <v>6300000</v>
      </c>
      <c r="Q103" s="50">
        <v>6500000</v>
      </c>
      <c r="R103" s="66">
        <v>2300000</v>
      </c>
      <c r="S103" s="50">
        <v>7450000</v>
      </c>
      <c r="T103" s="50">
        <v>39820000</v>
      </c>
      <c r="U103" s="50">
        <v>3000000</v>
      </c>
      <c r="V103" s="50"/>
      <c r="W103" s="50">
        <v>5300000</v>
      </c>
      <c r="X103" s="50">
        <v>42620000</v>
      </c>
      <c r="Y103" s="50"/>
      <c r="Z103" s="51"/>
      <c r="AA103" s="15"/>
      <c r="AB103" s="292">
        <f t="shared" si="12"/>
        <v>134690000</v>
      </c>
      <c r="AC103" s="295">
        <f t="shared" si="13"/>
        <v>0.67357381633891944</v>
      </c>
      <c r="AD103" s="341">
        <f>Santanderes!U12</f>
        <v>12</v>
      </c>
      <c r="AE103" s="353">
        <v>44742</v>
      </c>
      <c r="AF103" s="342">
        <f t="shared" si="14"/>
        <v>65273236</v>
      </c>
      <c r="AG103" s="57" t="s">
        <v>27</v>
      </c>
      <c r="AH103" s="58">
        <f t="shared" si="15"/>
        <v>10</v>
      </c>
    </row>
    <row r="104" spans="1:34" s="12" customFormat="1" ht="16.5" x14ac:dyDescent="0.3">
      <c r="A104" s="134" t="s">
        <v>28</v>
      </c>
      <c r="B104" s="23" t="s">
        <v>357</v>
      </c>
      <c r="C104" s="143" t="s">
        <v>18</v>
      </c>
      <c r="D104" s="107" t="s">
        <v>358</v>
      </c>
      <c r="E104" s="176">
        <v>397344</v>
      </c>
      <c r="F104" s="32" t="s">
        <v>31</v>
      </c>
      <c r="G104" s="37">
        <v>44267</v>
      </c>
      <c r="H104" s="61">
        <v>164882000</v>
      </c>
      <c r="I104" s="49"/>
      <c r="J104" s="50"/>
      <c r="K104" s="50"/>
      <c r="L104" s="50"/>
      <c r="M104" s="50"/>
      <c r="N104" s="50"/>
      <c r="O104" s="50"/>
      <c r="P104" s="50"/>
      <c r="Q104" s="50"/>
      <c r="R104" s="66">
        <v>13700000</v>
      </c>
      <c r="S104" s="50">
        <v>46621500</v>
      </c>
      <c r="T104" s="50"/>
      <c r="U104" s="50"/>
      <c r="V104" s="50">
        <v>17500000</v>
      </c>
      <c r="W104" s="50">
        <v>3700000</v>
      </c>
      <c r="X104" s="50">
        <v>28832000</v>
      </c>
      <c r="Y104" s="50"/>
      <c r="Z104" s="51"/>
      <c r="AA104" s="15"/>
      <c r="AB104" s="292">
        <f t="shared" si="12"/>
        <v>110353500</v>
      </c>
      <c r="AC104" s="295">
        <f t="shared" si="13"/>
        <v>0.66928773304545064</v>
      </c>
      <c r="AD104" s="348">
        <f>Pacífico!U11</f>
        <v>11</v>
      </c>
      <c r="AE104" s="353">
        <v>44699</v>
      </c>
      <c r="AF104" s="342">
        <f t="shared" si="14"/>
        <v>54528500</v>
      </c>
      <c r="AG104" s="57" t="s">
        <v>27</v>
      </c>
      <c r="AH104" s="58">
        <f t="shared" si="15"/>
        <v>5</v>
      </c>
    </row>
    <row r="105" spans="1:34" s="12" customFormat="1" ht="16.5" x14ac:dyDescent="0.3">
      <c r="A105" s="134" t="s">
        <v>55</v>
      </c>
      <c r="B105" s="23" t="s">
        <v>232</v>
      </c>
      <c r="C105" s="143" t="s">
        <v>18</v>
      </c>
      <c r="D105" s="107" t="s">
        <v>233</v>
      </c>
      <c r="E105" s="176">
        <v>397364</v>
      </c>
      <c r="F105" s="32" t="s">
        <v>71</v>
      </c>
      <c r="G105" s="37">
        <v>44267</v>
      </c>
      <c r="H105" s="61">
        <v>200000000</v>
      </c>
      <c r="I105" s="49"/>
      <c r="J105" s="50"/>
      <c r="K105" s="50"/>
      <c r="L105" s="50"/>
      <c r="M105" s="50">
        <v>14758333</v>
      </c>
      <c r="N105" s="50">
        <v>15341666</v>
      </c>
      <c r="O105" s="50">
        <v>4083333</v>
      </c>
      <c r="P105" s="50">
        <v>14583333</v>
      </c>
      <c r="Q105" s="50">
        <v>583333</v>
      </c>
      <c r="R105" s="66">
        <v>11484933</v>
      </c>
      <c r="S105" s="50">
        <v>4083333</v>
      </c>
      <c r="T105" s="50">
        <v>9612000</v>
      </c>
      <c r="U105" s="50"/>
      <c r="V105" s="50"/>
      <c r="W105" s="50"/>
      <c r="X105" s="50">
        <v>55844332</v>
      </c>
      <c r="Y105" s="50"/>
      <c r="Z105" s="51"/>
      <c r="AA105" s="15"/>
      <c r="AB105" s="292">
        <f t="shared" si="12"/>
        <v>130374596</v>
      </c>
      <c r="AC105" s="295">
        <f t="shared" si="13"/>
        <v>0.65187298000000005</v>
      </c>
      <c r="AD105" s="341">
        <f>'Eje Cafetero'!U29</f>
        <v>11</v>
      </c>
      <c r="AE105" s="353">
        <v>44720</v>
      </c>
      <c r="AF105" s="342">
        <f t="shared" si="14"/>
        <v>69625404</v>
      </c>
      <c r="AG105" s="57" t="s">
        <v>27</v>
      </c>
      <c r="AH105" s="58">
        <f t="shared" si="15"/>
        <v>9</v>
      </c>
    </row>
    <row r="106" spans="1:34" s="12" customFormat="1" ht="16.5" x14ac:dyDescent="0.3">
      <c r="A106" s="134" t="s">
        <v>89</v>
      </c>
      <c r="B106" s="23" t="s">
        <v>149</v>
      </c>
      <c r="C106" s="143" t="s">
        <v>18</v>
      </c>
      <c r="D106" s="107" t="s">
        <v>150</v>
      </c>
      <c r="E106" s="176">
        <v>397077</v>
      </c>
      <c r="F106" s="32" t="s">
        <v>151</v>
      </c>
      <c r="G106" s="37">
        <v>44260</v>
      </c>
      <c r="H106" s="61">
        <v>200000000</v>
      </c>
      <c r="I106" s="49"/>
      <c r="J106" s="50">
        <v>10700000</v>
      </c>
      <c r="K106" s="50"/>
      <c r="L106" s="50"/>
      <c r="M106" s="50">
        <v>877833</v>
      </c>
      <c r="N106" s="50">
        <v>48009833</v>
      </c>
      <c r="O106" s="50">
        <v>24250000</v>
      </c>
      <c r="P106" s="50">
        <v>7627833</v>
      </c>
      <c r="Q106" s="50"/>
      <c r="R106" s="66"/>
      <c r="S106" s="50">
        <v>26377833</v>
      </c>
      <c r="T106" s="50"/>
      <c r="U106" s="50"/>
      <c r="V106" s="50">
        <v>9000000</v>
      </c>
      <c r="W106" s="50">
        <v>3511332</v>
      </c>
      <c r="X106" s="50"/>
      <c r="Y106" s="50"/>
      <c r="Z106" s="51"/>
      <c r="AA106" s="15"/>
      <c r="AB106" s="292">
        <f t="shared" si="12"/>
        <v>130354664</v>
      </c>
      <c r="AC106" s="295">
        <f t="shared" si="13"/>
        <v>0.65177331999999999</v>
      </c>
      <c r="AD106" s="341">
        <f>'Caribe II'!Q25</f>
        <v>10</v>
      </c>
      <c r="AE106" s="353">
        <v>44650</v>
      </c>
      <c r="AF106" s="342">
        <f t="shared" si="14"/>
        <v>69645336</v>
      </c>
      <c r="AG106" s="57" t="s">
        <v>27</v>
      </c>
      <c r="AH106" s="58">
        <f t="shared" si="15"/>
        <v>8</v>
      </c>
    </row>
    <row r="107" spans="1:34" ht="16.5" x14ac:dyDescent="0.3">
      <c r="A107" s="134" t="s">
        <v>105</v>
      </c>
      <c r="B107" s="23" t="s">
        <v>275</v>
      </c>
      <c r="C107" s="143" t="s">
        <v>18</v>
      </c>
      <c r="D107" s="107" t="s">
        <v>276</v>
      </c>
      <c r="E107" s="176">
        <v>397007</v>
      </c>
      <c r="F107" s="32" t="s">
        <v>131</v>
      </c>
      <c r="G107" s="37">
        <v>44256</v>
      </c>
      <c r="H107" s="61">
        <v>194998000</v>
      </c>
      <c r="I107" s="49"/>
      <c r="J107" s="50">
        <v>10700000</v>
      </c>
      <c r="K107" s="50"/>
      <c r="L107" s="50"/>
      <c r="M107" s="50">
        <v>18685666</v>
      </c>
      <c r="N107" s="50">
        <v>6692833</v>
      </c>
      <c r="O107" s="50"/>
      <c r="P107" s="50">
        <v>4192833</v>
      </c>
      <c r="Q107" s="50">
        <v>2500000</v>
      </c>
      <c r="R107" s="66">
        <v>5117833</v>
      </c>
      <c r="S107" s="50"/>
      <c r="T107" s="50">
        <v>25907833</v>
      </c>
      <c r="U107" s="50"/>
      <c r="V107" s="50"/>
      <c r="W107" s="50"/>
      <c r="X107" s="50">
        <v>51427421</v>
      </c>
      <c r="Y107" s="50"/>
      <c r="Z107" s="51"/>
      <c r="AA107" s="15"/>
      <c r="AB107" s="292">
        <f t="shared" si="12"/>
        <v>125224419</v>
      </c>
      <c r="AC107" s="295">
        <f t="shared" si="13"/>
        <v>0.64218309418558139</v>
      </c>
      <c r="AD107" s="341">
        <f>Llanos!U7</f>
        <v>11</v>
      </c>
      <c r="AE107" s="353">
        <v>44755</v>
      </c>
      <c r="AF107" s="342">
        <f t="shared" si="14"/>
        <v>69773581</v>
      </c>
      <c r="AG107" s="57" t="s">
        <v>27</v>
      </c>
      <c r="AH107" s="58">
        <f t="shared" si="15"/>
        <v>8</v>
      </c>
    </row>
    <row r="108" spans="1:34" s="12" customFormat="1" ht="16.5" x14ac:dyDescent="0.3">
      <c r="A108" s="134" t="s">
        <v>105</v>
      </c>
      <c r="B108" s="23" t="s">
        <v>297</v>
      </c>
      <c r="C108" s="143" t="s">
        <v>18</v>
      </c>
      <c r="D108" s="107" t="s">
        <v>298</v>
      </c>
      <c r="E108" s="176">
        <v>397057</v>
      </c>
      <c r="F108" s="32" t="s">
        <v>118</v>
      </c>
      <c r="G108" s="37">
        <v>44256</v>
      </c>
      <c r="H108" s="61">
        <v>179831000</v>
      </c>
      <c r="I108" s="49"/>
      <c r="J108" s="50"/>
      <c r="K108" s="50"/>
      <c r="L108" s="50">
        <v>10700000</v>
      </c>
      <c r="M108" s="50">
        <v>3348000</v>
      </c>
      <c r="N108" s="50">
        <v>14441000</v>
      </c>
      <c r="O108" s="50">
        <v>3348000</v>
      </c>
      <c r="P108" s="50"/>
      <c r="Q108" s="50">
        <v>3511332</v>
      </c>
      <c r="R108" s="66"/>
      <c r="S108" s="50"/>
      <c r="T108" s="50">
        <v>11799666</v>
      </c>
      <c r="U108" s="50">
        <v>36396000</v>
      </c>
      <c r="V108" s="50">
        <v>14321452</v>
      </c>
      <c r="W108" s="50"/>
      <c r="X108" s="50">
        <v>17615000</v>
      </c>
      <c r="Y108" s="50"/>
      <c r="Z108" s="51"/>
      <c r="AA108" s="15"/>
      <c r="AB108" s="292">
        <f t="shared" si="12"/>
        <v>115480450</v>
      </c>
      <c r="AC108" s="295">
        <f t="shared" si="13"/>
        <v>0.64216097335831979</v>
      </c>
      <c r="AD108" s="341">
        <f>Llanos!U15</f>
        <v>12</v>
      </c>
      <c r="AE108" s="353">
        <v>44784</v>
      </c>
      <c r="AF108" s="342">
        <f t="shared" si="14"/>
        <v>64350550</v>
      </c>
      <c r="AG108" s="57" t="s">
        <v>27</v>
      </c>
      <c r="AH108" s="58">
        <f t="shared" si="15"/>
        <v>9</v>
      </c>
    </row>
    <row r="109" spans="1:34" s="12" customFormat="1" ht="16.5" x14ac:dyDescent="0.3">
      <c r="A109" s="134" t="s">
        <v>55</v>
      </c>
      <c r="B109" s="23" t="s">
        <v>283</v>
      </c>
      <c r="C109" s="143" t="s">
        <v>18</v>
      </c>
      <c r="D109" s="107" t="s">
        <v>284</v>
      </c>
      <c r="E109" s="176">
        <v>496516</v>
      </c>
      <c r="F109" s="32" t="s">
        <v>182</v>
      </c>
      <c r="G109" s="37">
        <v>44252</v>
      </c>
      <c r="H109" s="61">
        <v>200000000</v>
      </c>
      <c r="I109" s="49"/>
      <c r="J109" s="50"/>
      <c r="K109" s="50"/>
      <c r="L109" s="50"/>
      <c r="M109" s="50">
        <v>10500000</v>
      </c>
      <c r="N109" s="50">
        <v>17377000</v>
      </c>
      <c r="O109" s="50">
        <v>6000000</v>
      </c>
      <c r="P109" s="50">
        <v>12354000</v>
      </c>
      <c r="Q109" s="50">
        <v>877000</v>
      </c>
      <c r="R109" s="66"/>
      <c r="S109" s="50">
        <v>35500000</v>
      </c>
      <c r="T109" s="50">
        <v>17377000</v>
      </c>
      <c r="U109" s="50"/>
      <c r="V109" s="50">
        <v>13754000</v>
      </c>
      <c r="W109" s="50">
        <v>6877000</v>
      </c>
      <c r="X109" s="50">
        <v>6877000</v>
      </c>
      <c r="Y109" s="50"/>
      <c r="Z109" s="51"/>
      <c r="AA109" s="15"/>
      <c r="AB109" s="292">
        <f t="shared" si="12"/>
        <v>127493000</v>
      </c>
      <c r="AC109" s="295">
        <f t="shared" si="13"/>
        <v>0.63746499999999995</v>
      </c>
      <c r="AD109" s="341">
        <f>'Eje Cafetero'!U24</f>
        <v>12</v>
      </c>
      <c r="AE109" s="353">
        <v>44712</v>
      </c>
      <c r="AF109" s="342">
        <f t="shared" si="14"/>
        <v>72507000</v>
      </c>
      <c r="AG109" s="57" t="s">
        <v>27</v>
      </c>
      <c r="AH109" s="58">
        <f t="shared" si="15"/>
        <v>10</v>
      </c>
    </row>
    <row r="110" spans="1:34" s="12" customFormat="1" ht="16.5" x14ac:dyDescent="0.3">
      <c r="A110" s="134" t="s">
        <v>105</v>
      </c>
      <c r="B110" s="23" t="s">
        <v>301</v>
      </c>
      <c r="C110" s="143" t="s">
        <v>18</v>
      </c>
      <c r="D110" s="107" t="s">
        <v>302</v>
      </c>
      <c r="E110" s="176">
        <v>397137</v>
      </c>
      <c r="F110" s="32" t="s">
        <v>118</v>
      </c>
      <c r="G110" s="37">
        <v>44260</v>
      </c>
      <c r="H110" s="61">
        <v>200000000</v>
      </c>
      <c r="I110" s="49"/>
      <c r="J110" s="50">
        <v>10700000</v>
      </c>
      <c r="K110" s="50"/>
      <c r="L110" s="50"/>
      <c r="M110" s="50"/>
      <c r="N110" s="50">
        <v>18433409</v>
      </c>
      <c r="O110" s="50"/>
      <c r="P110" s="50">
        <v>4477803</v>
      </c>
      <c r="Q110" s="50">
        <v>4477803</v>
      </c>
      <c r="R110" s="66"/>
      <c r="S110" s="50">
        <v>43420000</v>
      </c>
      <c r="T110" s="50">
        <v>23033409</v>
      </c>
      <c r="U110" s="50"/>
      <c r="V110" s="50">
        <v>10010000</v>
      </c>
      <c r="W110" s="50">
        <v>12555606</v>
      </c>
      <c r="X110" s="50"/>
      <c r="Y110" s="50"/>
      <c r="Z110" s="51"/>
      <c r="AA110" s="15"/>
      <c r="AB110" s="292">
        <f t="shared" si="12"/>
        <v>127108030</v>
      </c>
      <c r="AC110" s="295">
        <f t="shared" si="13"/>
        <v>0.63554014999999997</v>
      </c>
      <c r="AD110" s="341">
        <f>Llanos!U10</f>
        <v>12</v>
      </c>
      <c r="AE110" s="353">
        <v>44672</v>
      </c>
      <c r="AF110" s="342">
        <f t="shared" si="14"/>
        <v>72891970</v>
      </c>
      <c r="AG110" s="57" t="s">
        <v>27</v>
      </c>
      <c r="AH110" s="58">
        <f t="shared" si="15"/>
        <v>8</v>
      </c>
    </row>
    <row r="111" spans="1:34" s="12" customFormat="1" ht="16.5" x14ac:dyDescent="0.3">
      <c r="A111" s="134" t="s">
        <v>23</v>
      </c>
      <c r="B111" s="26" t="s">
        <v>211</v>
      </c>
      <c r="C111" s="143" t="s">
        <v>18</v>
      </c>
      <c r="D111" s="107" t="s">
        <v>212</v>
      </c>
      <c r="E111" s="176">
        <v>397341</v>
      </c>
      <c r="F111" s="33" t="s">
        <v>191</v>
      </c>
      <c r="G111" s="37">
        <v>44267</v>
      </c>
      <c r="H111" s="61">
        <v>200000000</v>
      </c>
      <c r="I111" s="49"/>
      <c r="J111" s="50"/>
      <c r="K111" s="50"/>
      <c r="L111" s="50"/>
      <c r="M111" s="50"/>
      <c r="N111" s="50">
        <v>14700000</v>
      </c>
      <c r="O111" s="50">
        <v>1755666.66</v>
      </c>
      <c r="P111" s="50"/>
      <c r="Q111" s="50">
        <v>33631566.659999996</v>
      </c>
      <c r="R111" s="66">
        <v>11577833.33</v>
      </c>
      <c r="S111" s="50"/>
      <c r="T111" s="50">
        <v>25436316.66</v>
      </c>
      <c r="U111" s="50">
        <v>22046320.329999998</v>
      </c>
      <c r="V111" s="50">
        <v>6377833.3300000001</v>
      </c>
      <c r="W111" s="50">
        <v>11577833.33</v>
      </c>
      <c r="X111" s="50"/>
      <c r="Y111" s="50"/>
      <c r="Z111" s="51"/>
      <c r="AA111" s="15"/>
      <c r="AB111" s="292">
        <f t="shared" si="12"/>
        <v>127103370.29999998</v>
      </c>
      <c r="AC111" s="295">
        <f t="shared" si="13"/>
        <v>0.63551685149999992</v>
      </c>
      <c r="AD111" s="341">
        <f>Central!R10</f>
        <v>9</v>
      </c>
      <c r="AE111" s="353">
        <v>44734</v>
      </c>
      <c r="AF111" s="342">
        <f t="shared" si="14"/>
        <v>72896629.700000018</v>
      </c>
      <c r="AG111" s="57" t="s">
        <v>27</v>
      </c>
      <c r="AH111" s="58">
        <f t="shared" si="15"/>
        <v>8</v>
      </c>
    </row>
    <row r="112" spans="1:34" ht="16.5" x14ac:dyDescent="0.3">
      <c r="A112" s="146" t="s">
        <v>89</v>
      </c>
      <c r="B112" s="23" t="s">
        <v>338</v>
      </c>
      <c r="C112" s="142" t="s">
        <v>18</v>
      </c>
      <c r="D112" s="108" t="s">
        <v>339</v>
      </c>
      <c r="E112" s="176">
        <v>396608</v>
      </c>
      <c r="F112" s="32" t="s">
        <v>146</v>
      </c>
      <c r="G112" s="37">
        <v>44251</v>
      </c>
      <c r="H112" s="61">
        <v>158933000</v>
      </c>
      <c r="I112" s="49"/>
      <c r="J112" s="50"/>
      <c r="K112" s="50">
        <v>10700000</v>
      </c>
      <c r="L112" s="50"/>
      <c r="M112" s="50"/>
      <c r="N112" s="50"/>
      <c r="O112" s="50"/>
      <c r="P112" s="50"/>
      <c r="Q112" s="50"/>
      <c r="R112" s="66">
        <v>7800000</v>
      </c>
      <c r="S112" s="50">
        <v>14131583</v>
      </c>
      <c r="T112" s="50">
        <v>2938916</v>
      </c>
      <c r="U112" s="50">
        <v>10000000</v>
      </c>
      <c r="V112" s="50"/>
      <c r="W112" s="50">
        <v>33979869.280000001</v>
      </c>
      <c r="X112" s="50">
        <v>16844831.209999997</v>
      </c>
      <c r="Y112" s="50"/>
      <c r="Z112" s="51"/>
      <c r="AA112" s="15"/>
      <c r="AB112" s="292">
        <f t="shared" si="12"/>
        <v>96395199.489999995</v>
      </c>
      <c r="AC112" s="295">
        <f t="shared" si="13"/>
        <v>0.60651469166252447</v>
      </c>
      <c r="AD112" s="341">
        <f>'Caribe II'!Q8</f>
        <v>10</v>
      </c>
      <c r="AE112" s="353">
        <v>44833</v>
      </c>
      <c r="AF112" s="342">
        <f t="shared" si="14"/>
        <v>62537800.510000005</v>
      </c>
      <c r="AG112" s="57" t="s">
        <v>27</v>
      </c>
      <c r="AH112" s="58">
        <f t="shared" si="15"/>
        <v>7</v>
      </c>
    </row>
    <row r="113" spans="1:34" s="12" customFormat="1" ht="16.5" x14ac:dyDescent="0.3">
      <c r="A113" s="134" t="s">
        <v>105</v>
      </c>
      <c r="B113" s="23" t="s">
        <v>178</v>
      </c>
      <c r="C113" s="143" t="s">
        <v>18</v>
      </c>
      <c r="D113" s="107" t="s">
        <v>179</v>
      </c>
      <c r="E113" s="176">
        <v>397009</v>
      </c>
      <c r="F113" s="32" t="s">
        <v>131</v>
      </c>
      <c r="G113" s="37">
        <v>44256</v>
      </c>
      <c r="H113" s="61">
        <v>198488000</v>
      </c>
      <c r="I113" s="49">
        <v>10700000</v>
      </c>
      <c r="J113" s="50"/>
      <c r="K113" s="50"/>
      <c r="L113" s="50">
        <v>5700000</v>
      </c>
      <c r="M113" s="50"/>
      <c r="N113" s="50">
        <v>13540000</v>
      </c>
      <c r="O113" s="50">
        <v>8333499</v>
      </c>
      <c r="P113" s="50"/>
      <c r="Q113" s="50">
        <v>8560000</v>
      </c>
      <c r="R113" s="66">
        <v>31810496.699999999</v>
      </c>
      <c r="S113" s="50"/>
      <c r="T113" s="50"/>
      <c r="U113" s="50"/>
      <c r="V113" s="50"/>
      <c r="W113" s="50">
        <v>38933489.57</v>
      </c>
      <c r="X113" s="50">
        <v>877833</v>
      </c>
      <c r="Y113" s="50"/>
      <c r="Z113" s="51"/>
      <c r="AA113" s="15"/>
      <c r="AB113" s="292">
        <f t="shared" si="12"/>
        <v>118455318.27000001</v>
      </c>
      <c r="AC113" s="295">
        <f t="shared" si="13"/>
        <v>0.59678831098101659</v>
      </c>
      <c r="AD113" s="341">
        <f>Llanos!U17</f>
        <v>11</v>
      </c>
      <c r="AE113" s="353">
        <v>44714</v>
      </c>
      <c r="AF113" s="342">
        <f t="shared" si="14"/>
        <v>80032681.729999989</v>
      </c>
      <c r="AG113" s="57" t="s">
        <v>27</v>
      </c>
      <c r="AH113" s="58">
        <f t="shared" si="15"/>
        <v>8</v>
      </c>
    </row>
    <row r="114" spans="1:34" ht="16.5" x14ac:dyDescent="0.3">
      <c r="A114" s="134" t="s">
        <v>16</v>
      </c>
      <c r="B114" s="23" t="s">
        <v>413</v>
      </c>
      <c r="C114" s="143" t="s">
        <v>18</v>
      </c>
      <c r="D114" s="107" t="s">
        <v>414</v>
      </c>
      <c r="E114" s="176">
        <v>397449</v>
      </c>
      <c r="F114" s="32" t="s">
        <v>268</v>
      </c>
      <c r="G114" s="37">
        <v>44279</v>
      </c>
      <c r="H114" s="61">
        <v>199953000</v>
      </c>
      <c r="I114" s="49"/>
      <c r="J114" s="50"/>
      <c r="K114" s="50"/>
      <c r="L114" s="50"/>
      <c r="M114" s="50"/>
      <c r="N114" s="50"/>
      <c r="O114" s="50"/>
      <c r="P114" s="50"/>
      <c r="Q114" s="50"/>
      <c r="R114" s="50"/>
      <c r="S114" s="50">
        <v>8560000</v>
      </c>
      <c r="T114" s="50">
        <v>7755666</v>
      </c>
      <c r="U114" s="50">
        <v>19679984</v>
      </c>
      <c r="V114" s="50">
        <v>8070000</v>
      </c>
      <c r="W114" s="50">
        <v>22995000</v>
      </c>
      <c r="X114" s="50">
        <v>52000000</v>
      </c>
      <c r="Y114" s="50"/>
      <c r="Z114" s="51"/>
      <c r="AA114" s="15"/>
      <c r="AB114" s="292">
        <f t="shared" si="12"/>
        <v>119060650</v>
      </c>
      <c r="AC114" s="295">
        <f t="shared" si="13"/>
        <v>0.59544317914709954</v>
      </c>
      <c r="AD114" s="341">
        <f>'Caribe I'!S13</f>
        <v>7</v>
      </c>
      <c r="AE114" s="353"/>
      <c r="AF114" s="342">
        <f t="shared" si="14"/>
        <v>80892350</v>
      </c>
      <c r="AG114" s="57" t="s">
        <v>27</v>
      </c>
      <c r="AH114" s="58">
        <f t="shared" si="15"/>
        <v>6</v>
      </c>
    </row>
    <row r="115" spans="1:34" s="12" customFormat="1" ht="16.5" x14ac:dyDescent="0.3">
      <c r="A115" s="134" t="s">
        <v>32</v>
      </c>
      <c r="B115" s="26" t="s">
        <v>352</v>
      </c>
      <c r="C115" s="143" t="s">
        <v>18</v>
      </c>
      <c r="D115" s="107" t="s">
        <v>353</v>
      </c>
      <c r="E115" s="176">
        <v>396434</v>
      </c>
      <c r="F115" s="33" t="s">
        <v>61</v>
      </c>
      <c r="G115" s="37">
        <v>44251</v>
      </c>
      <c r="H115" s="62">
        <v>175000000</v>
      </c>
      <c r="I115" s="49"/>
      <c r="J115" s="50"/>
      <c r="K115" s="50"/>
      <c r="L115" s="50"/>
      <c r="M115" s="50"/>
      <c r="N115" s="50">
        <v>4400000</v>
      </c>
      <c r="O115" s="50"/>
      <c r="P115" s="50"/>
      <c r="Q115" s="50">
        <v>10700000</v>
      </c>
      <c r="R115" s="66"/>
      <c r="S115" s="50">
        <v>54757000</v>
      </c>
      <c r="T115" s="50">
        <v>8775000</v>
      </c>
      <c r="U115" s="50"/>
      <c r="V115" s="50">
        <v>6154000</v>
      </c>
      <c r="W115" s="50"/>
      <c r="X115" s="50">
        <v>19304000</v>
      </c>
      <c r="Y115" s="50"/>
      <c r="Z115" s="51"/>
      <c r="AA115" s="15"/>
      <c r="AB115" s="292">
        <f t="shared" si="12"/>
        <v>104090000</v>
      </c>
      <c r="AC115" s="295">
        <f t="shared" si="13"/>
        <v>0.5948</v>
      </c>
      <c r="AD115" s="341">
        <f>Amazonía!V20</f>
        <v>13</v>
      </c>
      <c r="AE115" s="353">
        <v>44721</v>
      </c>
      <c r="AF115" s="342">
        <f t="shared" si="14"/>
        <v>70910000</v>
      </c>
      <c r="AG115" s="57" t="s">
        <v>27</v>
      </c>
      <c r="AH115" s="58">
        <f t="shared" si="15"/>
        <v>6</v>
      </c>
    </row>
    <row r="116" spans="1:34" s="12" customFormat="1" ht="16.5" x14ac:dyDescent="0.3">
      <c r="A116" s="134" t="s">
        <v>55</v>
      </c>
      <c r="B116" s="26" t="s">
        <v>234</v>
      </c>
      <c r="C116" s="143" t="s">
        <v>18</v>
      </c>
      <c r="D116" s="107" t="s">
        <v>235</v>
      </c>
      <c r="E116" s="176">
        <v>396761</v>
      </c>
      <c r="F116" s="33" t="s">
        <v>128</v>
      </c>
      <c r="G116" s="37">
        <v>44252</v>
      </c>
      <c r="H116" s="62">
        <v>199200000</v>
      </c>
      <c r="I116" s="49"/>
      <c r="J116" s="50"/>
      <c r="K116" s="50"/>
      <c r="L116" s="50">
        <v>10700000</v>
      </c>
      <c r="M116" s="50"/>
      <c r="N116" s="50"/>
      <c r="O116" s="50"/>
      <c r="P116" s="50"/>
      <c r="Q116" s="50">
        <v>10700000</v>
      </c>
      <c r="R116" s="66">
        <v>41439150</v>
      </c>
      <c r="S116" s="50"/>
      <c r="T116" s="50">
        <v>24934126</v>
      </c>
      <c r="U116" s="50">
        <v>3000000</v>
      </c>
      <c r="V116" s="50">
        <v>6900000</v>
      </c>
      <c r="W116" s="50">
        <v>3900000</v>
      </c>
      <c r="X116" s="50">
        <v>16800000</v>
      </c>
      <c r="Y116" s="50"/>
      <c r="Z116" s="51"/>
      <c r="AA116" s="15"/>
      <c r="AB116" s="292">
        <f t="shared" si="12"/>
        <v>118373276</v>
      </c>
      <c r="AC116" s="295">
        <f t="shared" si="13"/>
        <v>0.59424335341365464</v>
      </c>
      <c r="AD116" s="341">
        <f>'Eje Cafetero'!U19</f>
        <v>12</v>
      </c>
      <c r="AE116" s="353">
        <v>44741</v>
      </c>
      <c r="AF116" s="342">
        <f t="shared" si="14"/>
        <v>80826724</v>
      </c>
      <c r="AG116" s="57" t="s">
        <v>27</v>
      </c>
      <c r="AH116" s="58">
        <f t="shared" si="15"/>
        <v>8</v>
      </c>
    </row>
    <row r="117" spans="1:34" ht="16.5" x14ac:dyDescent="0.3">
      <c r="A117" s="134" t="s">
        <v>49</v>
      </c>
      <c r="B117" s="38" t="s">
        <v>295</v>
      </c>
      <c r="C117" s="143" t="s">
        <v>18</v>
      </c>
      <c r="D117" s="107" t="s">
        <v>296</v>
      </c>
      <c r="E117" s="176">
        <v>397186</v>
      </c>
      <c r="F117" s="33" t="s">
        <v>125</v>
      </c>
      <c r="G117" s="37">
        <v>44264</v>
      </c>
      <c r="H117" s="62">
        <v>163890000</v>
      </c>
      <c r="I117" s="49"/>
      <c r="J117" s="50">
        <v>10700000</v>
      </c>
      <c r="K117" s="50"/>
      <c r="L117" s="50"/>
      <c r="M117" s="50"/>
      <c r="N117" s="50"/>
      <c r="O117" s="50"/>
      <c r="P117" s="50"/>
      <c r="Q117" s="50"/>
      <c r="R117" s="66">
        <v>22104600</v>
      </c>
      <c r="S117" s="50">
        <v>10706666</v>
      </c>
      <c r="T117" s="50">
        <v>6406666</v>
      </c>
      <c r="U117" s="50">
        <v>17606666</v>
      </c>
      <c r="V117" s="50">
        <v>5906666</v>
      </c>
      <c r="W117" s="50">
        <v>8513332</v>
      </c>
      <c r="X117" s="50">
        <v>15000000</v>
      </c>
      <c r="Y117" s="50"/>
      <c r="Z117" s="51"/>
      <c r="AA117" s="15"/>
      <c r="AB117" s="292">
        <f t="shared" si="12"/>
        <v>96944596</v>
      </c>
      <c r="AC117" s="295">
        <f t="shared" si="13"/>
        <v>0.59152233815363964</v>
      </c>
      <c r="AD117" s="341">
        <f>Santanderes!U13</f>
        <v>12</v>
      </c>
      <c r="AE117" s="353">
        <v>44767</v>
      </c>
      <c r="AF117" s="342">
        <f t="shared" si="14"/>
        <v>66945404</v>
      </c>
      <c r="AG117" s="57" t="s">
        <v>27</v>
      </c>
      <c r="AH117" s="58">
        <f t="shared" si="15"/>
        <v>8</v>
      </c>
    </row>
    <row r="118" spans="1:34" s="12" customFormat="1" ht="16.5" x14ac:dyDescent="0.3">
      <c r="A118" s="134" t="s">
        <v>89</v>
      </c>
      <c r="B118" s="23" t="s">
        <v>344</v>
      </c>
      <c r="C118" s="143" t="s">
        <v>18</v>
      </c>
      <c r="D118" s="107" t="s">
        <v>345</v>
      </c>
      <c r="E118" s="176">
        <v>397069</v>
      </c>
      <c r="F118" s="33" t="s">
        <v>151</v>
      </c>
      <c r="G118" s="37">
        <v>44260</v>
      </c>
      <c r="H118" s="61">
        <v>200000000</v>
      </c>
      <c r="I118" s="49"/>
      <c r="J118" s="50">
        <v>10700000</v>
      </c>
      <c r="K118" s="50">
        <v>10700000</v>
      </c>
      <c r="L118" s="50"/>
      <c r="M118" s="50"/>
      <c r="N118" s="50"/>
      <c r="O118" s="50"/>
      <c r="P118" s="50"/>
      <c r="Q118" s="50">
        <v>1755660</v>
      </c>
      <c r="R118" s="66">
        <v>10100000</v>
      </c>
      <c r="S118" s="50"/>
      <c r="T118" s="50">
        <v>13421660</v>
      </c>
      <c r="U118" s="50"/>
      <c r="V118" s="50">
        <v>66866000</v>
      </c>
      <c r="W118" s="50"/>
      <c r="X118" s="50">
        <v>1755660</v>
      </c>
      <c r="Y118" s="50"/>
      <c r="Z118" s="51"/>
      <c r="AA118" s="15"/>
      <c r="AB118" s="292">
        <f t="shared" si="12"/>
        <v>115298980</v>
      </c>
      <c r="AC118" s="295">
        <f t="shared" si="13"/>
        <v>0.57649490000000003</v>
      </c>
      <c r="AD118" s="341">
        <f>'Caribe II'!Q27</f>
        <v>9</v>
      </c>
      <c r="AE118" s="353">
        <v>44799</v>
      </c>
      <c r="AF118" s="342">
        <f t="shared" si="14"/>
        <v>84701020</v>
      </c>
      <c r="AG118" s="57" t="s">
        <v>27</v>
      </c>
      <c r="AH118" s="58">
        <f t="shared" si="15"/>
        <v>7</v>
      </c>
    </row>
    <row r="119" spans="1:34" ht="16.5" x14ac:dyDescent="0.3">
      <c r="A119" s="134" t="s">
        <v>105</v>
      </c>
      <c r="B119" s="26" t="s">
        <v>299</v>
      </c>
      <c r="C119" s="142" t="s">
        <v>18</v>
      </c>
      <c r="D119" s="107" t="s">
        <v>300</v>
      </c>
      <c r="E119" s="176">
        <v>397056</v>
      </c>
      <c r="F119" s="33" t="s">
        <v>108</v>
      </c>
      <c r="G119" s="37">
        <v>44256</v>
      </c>
      <c r="H119" s="62">
        <v>165000000</v>
      </c>
      <c r="I119" s="49"/>
      <c r="J119" s="50">
        <v>10700000</v>
      </c>
      <c r="K119" s="50"/>
      <c r="L119" s="50"/>
      <c r="M119" s="50"/>
      <c r="N119" s="50">
        <v>11376833</v>
      </c>
      <c r="O119" s="50"/>
      <c r="P119" s="50">
        <v>9765833</v>
      </c>
      <c r="Q119" s="50"/>
      <c r="R119" s="66"/>
      <c r="S119" s="50"/>
      <c r="T119" s="50">
        <v>26903334</v>
      </c>
      <c r="U119" s="50"/>
      <c r="V119" s="50">
        <v>14407499</v>
      </c>
      <c r="W119" s="50">
        <v>20019165</v>
      </c>
      <c r="X119" s="50"/>
      <c r="Y119" s="50"/>
      <c r="Z119" s="51"/>
      <c r="AA119" s="15"/>
      <c r="AB119" s="292">
        <f t="shared" si="12"/>
        <v>93172664</v>
      </c>
      <c r="AC119" s="295">
        <f t="shared" si="13"/>
        <v>0.56468281212121207</v>
      </c>
      <c r="AD119" s="341">
        <f>Llanos!U23</f>
        <v>12</v>
      </c>
      <c r="AE119" s="353">
        <v>44742</v>
      </c>
      <c r="AF119" s="342">
        <f t="shared" si="14"/>
        <v>71827336</v>
      </c>
      <c r="AG119" s="57" t="s">
        <v>27</v>
      </c>
      <c r="AH119" s="58">
        <f t="shared" si="15"/>
        <v>6</v>
      </c>
    </row>
    <row r="120" spans="1:34" ht="16.5" x14ac:dyDescent="0.3">
      <c r="A120" s="134" t="s">
        <v>16</v>
      </c>
      <c r="B120" s="23" t="s">
        <v>192</v>
      </c>
      <c r="C120" s="143" t="s">
        <v>18</v>
      </c>
      <c r="D120" s="107" t="s">
        <v>193</v>
      </c>
      <c r="E120" s="176">
        <v>397053</v>
      </c>
      <c r="F120" s="33" t="s">
        <v>84</v>
      </c>
      <c r="G120" s="37">
        <v>44253</v>
      </c>
      <c r="H120" s="61">
        <v>199999999</v>
      </c>
      <c r="I120" s="49"/>
      <c r="J120" s="50"/>
      <c r="K120" s="50">
        <v>10000000</v>
      </c>
      <c r="L120" s="50"/>
      <c r="M120" s="50"/>
      <c r="N120" s="50">
        <v>14277750</v>
      </c>
      <c r="O120" s="50">
        <v>20755500</v>
      </c>
      <c r="P120" s="50">
        <v>22834250</v>
      </c>
      <c r="Q120" s="50"/>
      <c r="R120" s="66">
        <v>6280000</v>
      </c>
      <c r="S120" s="50">
        <v>1755500</v>
      </c>
      <c r="T120" s="50">
        <v>3877750</v>
      </c>
      <c r="U120" s="50">
        <v>19266000</v>
      </c>
      <c r="V120" s="50"/>
      <c r="W120" s="50">
        <v>8633250</v>
      </c>
      <c r="X120" s="50">
        <v>3000000</v>
      </c>
      <c r="Y120" s="50"/>
      <c r="Z120" s="51"/>
      <c r="AA120" s="15"/>
      <c r="AB120" s="292">
        <f t="shared" si="12"/>
        <v>110680000</v>
      </c>
      <c r="AC120" s="295">
        <f t="shared" si="13"/>
        <v>0.55340000276699997</v>
      </c>
      <c r="AD120" s="341">
        <f>'Caribe I'!S7</f>
        <v>11</v>
      </c>
      <c r="AE120" s="353">
        <v>44706</v>
      </c>
      <c r="AF120" s="342">
        <f t="shared" si="14"/>
        <v>89319999</v>
      </c>
      <c r="AG120" s="57" t="s">
        <v>27</v>
      </c>
      <c r="AH120" s="58">
        <f t="shared" si="15"/>
        <v>10</v>
      </c>
    </row>
    <row r="121" spans="1:34" ht="16.5" x14ac:dyDescent="0.3">
      <c r="A121" s="134" t="s">
        <v>49</v>
      </c>
      <c r="B121" s="23" t="s">
        <v>250</v>
      </c>
      <c r="C121" s="143" t="s">
        <v>18</v>
      </c>
      <c r="D121" s="107" t="s">
        <v>251</v>
      </c>
      <c r="E121" s="176">
        <v>397210</v>
      </c>
      <c r="F121" s="32" t="s">
        <v>52</v>
      </c>
      <c r="G121" s="37">
        <v>44267</v>
      </c>
      <c r="H121" s="61">
        <v>200000000</v>
      </c>
      <c r="I121" s="49"/>
      <c r="J121" s="50"/>
      <c r="K121" s="50">
        <v>10700000</v>
      </c>
      <c r="L121" s="50"/>
      <c r="M121" s="50"/>
      <c r="N121" s="50">
        <v>7800000</v>
      </c>
      <c r="O121" s="50">
        <v>1200000</v>
      </c>
      <c r="P121" s="50">
        <v>24740000</v>
      </c>
      <c r="Q121" s="50">
        <v>11211000</v>
      </c>
      <c r="R121" s="66">
        <v>600000</v>
      </c>
      <c r="S121" s="50"/>
      <c r="T121" s="50">
        <v>21436000</v>
      </c>
      <c r="U121" s="50"/>
      <c r="V121" s="50">
        <v>17420000</v>
      </c>
      <c r="W121" s="50">
        <v>15008000</v>
      </c>
      <c r="X121" s="50"/>
      <c r="Y121" s="50"/>
      <c r="Z121" s="51"/>
      <c r="AA121" s="15"/>
      <c r="AB121" s="292">
        <f t="shared" si="12"/>
        <v>110115000</v>
      </c>
      <c r="AC121" s="295">
        <f t="shared" si="13"/>
        <v>0.55057500000000004</v>
      </c>
      <c r="AD121" s="341">
        <f>Santanderes!U9</f>
        <v>13</v>
      </c>
      <c r="AE121" s="353">
        <v>44743</v>
      </c>
      <c r="AF121" s="342">
        <f t="shared" si="14"/>
        <v>89885000</v>
      </c>
      <c r="AG121" s="57" t="s">
        <v>27</v>
      </c>
      <c r="AH121" s="58">
        <f t="shared" si="15"/>
        <v>9</v>
      </c>
    </row>
    <row r="122" spans="1:34" ht="16.5" x14ac:dyDescent="0.3">
      <c r="A122" s="134" t="s">
        <v>32</v>
      </c>
      <c r="B122" s="23" t="s">
        <v>323</v>
      </c>
      <c r="C122" s="143" t="s">
        <v>18</v>
      </c>
      <c r="D122" s="107" t="s">
        <v>324</v>
      </c>
      <c r="E122" s="176">
        <v>397270</v>
      </c>
      <c r="F122" s="32" t="s">
        <v>325</v>
      </c>
      <c r="G122" s="37">
        <v>44260</v>
      </c>
      <c r="H122" s="61">
        <v>160233000</v>
      </c>
      <c r="I122" s="49"/>
      <c r="J122" s="50"/>
      <c r="K122" s="50"/>
      <c r="L122" s="50"/>
      <c r="M122" s="50"/>
      <c r="N122" s="50"/>
      <c r="O122" s="50"/>
      <c r="P122" s="50">
        <v>10700000</v>
      </c>
      <c r="Q122" s="50"/>
      <c r="R122" s="66">
        <v>11133499</v>
      </c>
      <c r="S122" s="50">
        <v>10515000</v>
      </c>
      <c r="T122" s="50">
        <v>12455666</v>
      </c>
      <c r="U122" s="50">
        <v>28800000</v>
      </c>
      <c r="V122" s="50"/>
      <c r="W122" s="50">
        <v>12755666</v>
      </c>
      <c r="X122" s="50"/>
      <c r="Y122" s="50"/>
      <c r="Z122" s="51"/>
      <c r="AA122" s="15"/>
      <c r="AB122" s="292">
        <f t="shared" si="12"/>
        <v>86359831</v>
      </c>
      <c r="AC122" s="295">
        <f t="shared" si="13"/>
        <v>0.5389640773124138</v>
      </c>
      <c r="AD122" s="341">
        <f>Amazonía!V19</f>
        <v>10</v>
      </c>
      <c r="AE122" s="353">
        <v>44790</v>
      </c>
      <c r="AF122" s="342">
        <f t="shared" si="14"/>
        <v>73873169</v>
      </c>
      <c r="AG122" s="57" t="s">
        <v>27</v>
      </c>
      <c r="AH122" s="58">
        <f t="shared" si="15"/>
        <v>6</v>
      </c>
    </row>
    <row r="123" spans="1:34" s="12" customFormat="1" ht="16.5" x14ac:dyDescent="0.3">
      <c r="A123" s="147" t="s">
        <v>28</v>
      </c>
      <c r="B123" s="25" t="s">
        <v>174</v>
      </c>
      <c r="C123" s="143" t="s">
        <v>18</v>
      </c>
      <c r="D123" s="107" t="s">
        <v>175</v>
      </c>
      <c r="E123" s="176">
        <v>397067</v>
      </c>
      <c r="F123" s="34" t="s">
        <v>113</v>
      </c>
      <c r="G123" s="37">
        <v>44260</v>
      </c>
      <c r="H123" s="61">
        <v>150000000</v>
      </c>
      <c r="I123" s="49"/>
      <c r="J123" s="50"/>
      <c r="K123" s="50"/>
      <c r="L123" s="50"/>
      <c r="M123" s="50">
        <v>10700000</v>
      </c>
      <c r="N123" s="50">
        <v>10700000</v>
      </c>
      <c r="O123" s="50"/>
      <c r="P123" s="50">
        <v>35449000</v>
      </c>
      <c r="Q123" s="50"/>
      <c r="R123" s="66"/>
      <c r="S123" s="50">
        <v>2250000</v>
      </c>
      <c r="T123" s="50"/>
      <c r="U123" s="50"/>
      <c r="V123" s="50">
        <v>5000000</v>
      </c>
      <c r="W123" s="50">
        <v>15250000</v>
      </c>
      <c r="X123" s="50"/>
      <c r="Y123" s="50"/>
      <c r="Z123" s="51"/>
      <c r="AA123" s="15"/>
      <c r="AB123" s="292">
        <f t="shared" si="12"/>
        <v>79349000</v>
      </c>
      <c r="AC123" s="295">
        <f t="shared" si="13"/>
        <v>0.52899333333333332</v>
      </c>
      <c r="AD123" s="341">
        <f>Pacífico!U10</f>
        <v>11</v>
      </c>
      <c r="AE123" s="353">
        <v>44834</v>
      </c>
      <c r="AF123" s="342">
        <f t="shared" si="14"/>
        <v>70651000</v>
      </c>
      <c r="AG123" s="57" t="s">
        <v>27</v>
      </c>
      <c r="AH123" s="58">
        <f t="shared" si="15"/>
        <v>6</v>
      </c>
    </row>
    <row r="124" spans="1:34" s="12" customFormat="1" ht="16.5" x14ac:dyDescent="0.3">
      <c r="A124" s="134" t="s">
        <v>89</v>
      </c>
      <c r="B124" s="26" t="s">
        <v>311</v>
      </c>
      <c r="C124" s="143" t="s">
        <v>18</v>
      </c>
      <c r="D124" s="107" t="s">
        <v>312</v>
      </c>
      <c r="E124" s="176">
        <v>397345</v>
      </c>
      <c r="F124" s="32" t="s">
        <v>227</v>
      </c>
      <c r="G124" s="37">
        <v>44267</v>
      </c>
      <c r="H124" s="62">
        <v>175000000</v>
      </c>
      <c r="I124" s="49"/>
      <c r="J124" s="50"/>
      <c r="K124" s="50">
        <v>9500000</v>
      </c>
      <c r="L124" s="50"/>
      <c r="M124" s="50">
        <v>7876832</v>
      </c>
      <c r="N124" s="50">
        <v>12083000</v>
      </c>
      <c r="O124" s="50"/>
      <c r="P124" s="50"/>
      <c r="Q124" s="50"/>
      <c r="R124" s="66"/>
      <c r="S124" s="50"/>
      <c r="T124" s="50">
        <v>7483748</v>
      </c>
      <c r="U124" s="50"/>
      <c r="V124" s="50"/>
      <c r="W124" s="50"/>
      <c r="X124" s="50">
        <v>55038000</v>
      </c>
      <c r="Y124" s="50"/>
      <c r="Z124" s="51"/>
      <c r="AA124" s="15"/>
      <c r="AB124" s="292">
        <f t="shared" si="12"/>
        <v>91981580</v>
      </c>
      <c r="AC124" s="295">
        <f t="shared" si="13"/>
        <v>0.52560902857142855</v>
      </c>
      <c r="AD124" s="341">
        <f>'Caribe II'!Q32</f>
        <v>9</v>
      </c>
      <c r="AE124" s="353">
        <v>44861</v>
      </c>
      <c r="AF124" s="342">
        <f t="shared" si="14"/>
        <v>83018420</v>
      </c>
      <c r="AG124" s="57" t="s">
        <v>27</v>
      </c>
      <c r="AH124" s="58">
        <f t="shared" si="15"/>
        <v>5</v>
      </c>
    </row>
    <row r="125" spans="1:34" ht="16.5" x14ac:dyDescent="0.3">
      <c r="A125" s="134" t="s">
        <v>23</v>
      </c>
      <c r="B125" s="23" t="s">
        <v>203</v>
      </c>
      <c r="C125" s="143" t="s">
        <v>18</v>
      </c>
      <c r="D125" s="107" t="s">
        <v>204</v>
      </c>
      <c r="E125" s="176">
        <v>396874</v>
      </c>
      <c r="F125" s="32" t="s">
        <v>68</v>
      </c>
      <c r="G125" s="37">
        <v>44252</v>
      </c>
      <c r="H125" s="61">
        <v>199634000</v>
      </c>
      <c r="I125" s="49"/>
      <c r="J125" s="50"/>
      <c r="K125" s="50">
        <v>10700000</v>
      </c>
      <c r="L125" s="50">
        <v>18937261</v>
      </c>
      <c r="M125" s="50"/>
      <c r="N125" s="50">
        <v>23294000</v>
      </c>
      <c r="O125" s="50">
        <v>5633000</v>
      </c>
      <c r="P125" s="50"/>
      <c r="Q125" s="50">
        <v>7233800</v>
      </c>
      <c r="R125" s="66">
        <v>6350000</v>
      </c>
      <c r="S125" s="50">
        <v>17120000</v>
      </c>
      <c r="T125" s="50">
        <v>10700000</v>
      </c>
      <c r="U125" s="50"/>
      <c r="V125" s="50"/>
      <c r="W125" s="50">
        <v>3000000</v>
      </c>
      <c r="X125" s="50">
        <v>878000</v>
      </c>
      <c r="Y125" s="50"/>
      <c r="Z125" s="51"/>
      <c r="AA125" s="15"/>
      <c r="AB125" s="292">
        <f t="shared" si="12"/>
        <v>103846061</v>
      </c>
      <c r="AC125" s="295">
        <f t="shared" si="13"/>
        <v>0.52018223849644851</v>
      </c>
      <c r="AD125" s="341">
        <f>Central!R18</f>
        <v>8</v>
      </c>
      <c r="AE125" s="353">
        <v>44671</v>
      </c>
      <c r="AF125" s="342">
        <f t="shared" si="14"/>
        <v>95787939</v>
      </c>
      <c r="AG125" s="57" t="s">
        <v>27</v>
      </c>
      <c r="AH125" s="58">
        <f t="shared" si="15"/>
        <v>10</v>
      </c>
    </row>
    <row r="126" spans="1:34" s="12" customFormat="1" ht="16.5" x14ac:dyDescent="0.3">
      <c r="A126" s="146" t="s">
        <v>55</v>
      </c>
      <c r="B126" s="23" t="s">
        <v>180</v>
      </c>
      <c r="C126" s="142" t="s">
        <v>18</v>
      </c>
      <c r="D126" s="108" t="s">
        <v>181</v>
      </c>
      <c r="E126" s="176">
        <v>396815</v>
      </c>
      <c r="F126" s="32" t="s">
        <v>182</v>
      </c>
      <c r="G126" s="37">
        <v>44252</v>
      </c>
      <c r="H126" s="61">
        <v>200000000</v>
      </c>
      <c r="I126" s="49"/>
      <c r="J126" s="50"/>
      <c r="K126" s="50"/>
      <c r="L126" s="50"/>
      <c r="M126" s="50">
        <v>8000000</v>
      </c>
      <c r="N126" s="50">
        <v>14877000</v>
      </c>
      <c r="O126" s="50">
        <v>6877000</v>
      </c>
      <c r="P126" s="50">
        <v>6877000</v>
      </c>
      <c r="Q126" s="50">
        <v>9597000</v>
      </c>
      <c r="R126" s="66">
        <v>16928500</v>
      </c>
      <c r="S126" s="50">
        <v>8819096</v>
      </c>
      <c r="T126" s="50">
        <v>14877000</v>
      </c>
      <c r="U126" s="50"/>
      <c r="V126" s="50">
        <v>6882000</v>
      </c>
      <c r="W126" s="50">
        <v>9000000</v>
      </c>
      <c r="X126" s="50"/>
      <c r="Y126" s="50"/>
      <c r="Z126" s="51"/>
      <c r="AA126" s="15"/>
      <c r="AB126" s="292">
        <f t="shared" si="12"/>
        <v>102734596</v>
      </c>
      <c r="AC126" s="295">
        <f t="shared" si="13"/>
        <v>0.51367297999999995</v>
      </c>
      <c r="AD126" s="341">
        <f>'Eje Cafetero'!U4</f>
        <v>12</v>
      </c>
      <c r="AE126" s="353">
        <v>44712</v>
      </c>
      <c r="AF126" s="342">
        <f t="shared" si="14"/>
        <v>97265404</v>
      </c>
      <c r="AG126" s="57" t="s">
        <v>27</v>
      </c>
      <c r="AH126" s="58">
        <f t="shared" si="15"/>
        <v>10</v>
      </c>
    </row>
    <row r="127" spans="1:34" s="12" customFormat="1" ht="16.5" x14ac:dyDescent="0.3">
      <c r="A127" s="146" t="s">
        <v>28</v>
      </c>
      <c r="B127" s="23" t="s">
        <v>291</v>
      </c>
      <c r="C127" s="143" t="s">
        <v>18</v>
      </c>
      <c r="D127" s="110" t="s">
        <v>292</v>
      </c>
      <c r="E127" s="176">
        <v>397015</v>
      </c>
      <c r="F127" s="32" t="s">
        <v>31</v>
      </c>
      <c r="G127" s="37">
        <v>44264</v>
      </c>
      <c r="H127" s="61">
        <v>167841000</v>
      </c>
      <c r="I127" s="49"/>
      <c r="J127" s="50"/>
      <c r="K127" s="50"/>
      <c r="L127" s="50"/>
      <c r="M127" s="50"/>
      <c r="N127" s="50">
        <v>10700000</v>
      </c>
      <c r="O127" s="50">
        <v>3200000</v>
      </c>
      <c r="P127" s="50">
        <v>17100000</v>
      </c>
      <c r="Q127" s="50"/>
      <c r="R127" s="66">
        <v>3200000</v>
      </c>
      <c r="S127" s="50"/>
      <c r="T127" s="50">
        <v>44206499</v>
      </c>
      <c r="U127" s="50"/>
      <c r="V127" s="50">
        <v>4040000</v>
      </c>
      <c r="W127" s="50">
        <v>3200000</v>
      </c>
      <c r="X127" s="50"/>
      <c r="Y127" s="50"/>
      <c r="Z127" s="51"/>
      <c r="AA127" s="15"/>
      <c r="AB127" s="292">
        <f t="shared" si="12"/>
        <v>85646499</v>
      </c>
      <c r="AC127" s="295">
        <f t="shared" si="13"/>
        <v>0.51028353620390732</v>
      </c>
      <c r="AD127" s="341">
        <f>Pacífico!U3</f>
        <v>11</v>
      </c>
      <c r="AE127" s="353">
        <v>44743</v>
      </c>
      <c r="AF127" s="342">
        <f t="shared" si="14"/>
        <v>82194501</v>
      </c>
      <c r="AG127" s="57" t="s">
        <v>27</v>
      </c>
      <c r="AH127" s="58">
        <f t="shared" si="15"/>
        <v>7</v>
      </c>
    </row>
    <row r="128" spans="1:34" ht="16.5" x14ac:dyDescent="0.3">
      <c r="A128" s="134" t="s">
        <v>28</v>
      </c>
      <c r="B128" s="23" t="s">
        <v>287</v>
      </c>
      <c r="C128" s="143" t="s">
        <v>18</v>
      </c>
      <c r="D128" s="107" t="s">
        <v>288</v>
      </c>
      <c r="E128" s="176">
        <v>397204</v>
      </c>
      <c r="F128" s="32" t="s">
        <v>238</v>
      </c>
      <c r="G128" s="37">
        <v>44267</v>
      </c>
      <c r="H128" s="61">
        <v>199739000</v>
      </c>
      <c r="I128" s="49"/>
      <c r="J128" s="50"/>
      <c r="K128" s="50"/>
      <c r="L128" s="50">
        <v>10700000</v>
      </c>
      <c r="M128" s="50"/>
      <c r="N128" s="50"/>
      <c r="O128" s="50"/>
      <c r="P128" s="50">
        <v>9800000</v>
      </c>
      <c r="Q128" s="50">
        <v>17440000</v>
      </c>
      <c r="R128" s="66">
        <v>6740000</v>
      </c>
      <c r="S128" s="50">
        <v>29229960</v>
      </c>
      <c r="T128" s="50">
        <v>13446000</v>
      </c>
      <c r="U128" s="50">
        <v>13480000</v>
      </c>
      <c r="V128" s="50"/>
      <c r="W128" s="50"/>
      <c r="X128" s="50"/>
      <c r="Y128" s="50"/>
      <c r="Z128" s="51"/>
      <c r="AA128" s="15"/>
      <c r="AB128" s="292">
        <f t="shared" si="12"/>
        <v>100835960</v>
      </c>
      <c r="AC128" s="295">
        <f t="shared" si="13"/>
        <v>0.50483861439178124</v>
      </c>
      <c r="AD128" s="341">
        <f>Pacífico!U14</f>
        <v>11</v>
      </c>
      <c r="AE128" s="353">
        <v>44789</v>
      </c>
      <c r="AF128" s="342">
        <f t="shared" si="14"/>
        <v>98903040</v>
      </c>
      <c r="AG128" s="57" t="s">
        <v>27</v>
      </c>
      <c r="AH128" s="58">
        <f t="shared" si="15"/>
        <v>7</v>
      </c>
    </row>
    <row r="129" spans="1:34" s="12" customFormat="1" ht="16.5" x14ac:dyDescent="0.3">
      <c r="A129" s="134" t="s">
        <v>28</v>
      </c>
      <c r="B129" s="26" t="s">
        <v>262</v>
      </c>
      <c r="C129" s="143" t="s">
        <v>18</v>
      </c>
      <c r="D129" s="107" t="s">
        <v>263</v>
      </c>
      <c r="E129" s="176">
        <v>397562</v>
      </c>
      <c r="F129" s="33" t="s">
        <v>238</v>
      </c>
      <c r="G129" s="37">
        <v>44299</v>
      </c>
      <c r="H129" s="62">
        <v>189920000</v>
      </c>
      <c r="I129" s="49"/>
      <c r="J129" s="50"/>
      <c r="K129" s="50"/>
      <c r="L129" s="50"/>
      <c r="M129" s="50"/>
      <c r="N129" s="50"/>
      <c r="O129" s="50">
        <v>10700000</v>
      </c>
      <c r="P129" s="50"/>
      <c r="Q129" s="50">
        <v>18500000</v>
      </c>
      <c r="R129" s="50">
        <v>23800000</v>
      </c>
      <c r="S129" s="50">
        <v>16160000</v>
      </c>
      <c r="T129" s="50">
        <v>10200000</v>
      </c>
      <c r="U129" s="50">
        <v>10200000</v>
      </c>
      <c r="V129" s="50">
        <v>3400000</v>
      </c>
      <c r="W129" s="50">
        <v>2000000</v>
      </c>
      <c r="X129" s="50"/>
      <c r="Y129" s="50"/>
      <c r="Z129" s="51"/>
      <c r="AA129" s="15"/>
      <c r="AB129" s="292">
        <f t="shared" si="12"/>
        <v>94960000</v>
      </c>
      <c r="AC129" s="295">
        <f t="shared" si="13"/>
        <v>0.5</v>
      </c>
      <c r="AD129" s="341">
        <f>Pacífico!U28</f>
        <v>10</v>
      </c>
      <c r="AE129" s="353">
        <v>44761</v>
      </c>
      <c r="AF129" s="342">
        <f t="shared" si="14"/>
        <v>94960000</v>
      </c>
      <c r="AG129" s="57" t="s">
        <v>27</v>
      </c>
      <c r="AH129" s="58">
        <f t="shared" si="15"/>
        <v>8</v>
      </c>
    </row>
    <row r="130" spans="1:34" s="12" customFormat="1" ht="16.5" x14ac:dyDescent="0.3">
      <c r="A130" s="134" t="s">
        <v>16</v>
      </c>
      <c r="B130" s="23" t="s">
        <v>266</v>
      </c>
      <c r="C130" s="143" t="s">
        <v>18</v>
      </c>
      <c r="D130" s="107" t="s">
        <v>267</v>
      </c>
      <c r="E130" s="176">
        <v>397205</v>
      </c>
      <c r="F130" s="32" t="s">
        <v>268</v>
      </c>
      <c r="G130" s="37">
        <v>44267</v>
      </c>
      <c r="H130" s="61">
        <v>197080000</v>
      </c>
      <c r="I130" s="49"/>
      <c r="J130" s="50"/>
      <c r="K130" s="50">
        <v>10700000</v>
      </c>
      <c r="L130" s="50"/>
      <c r="M130" s="50"/>
      <c r="N130" s="50">
        <v>6633499</v>
      </c>
      <c r="O130" s="50">
        <v>4877833</v>
      </c>
      <c r="P130" s="50"/>
      <c r="Q130" s="50">
        <v>4000000</v>
      </c>
      <c r="R130" s="66">
        <v>24800000</v>
      </c>
      <c r="S130" s="50"/>
      <c r="T130" s="50">
        <v>22655666</v>
      </c>
      <c r="U130" s="50">
        <v>4000000</v>
      </c>
      <c r="V130" s="50">
        <v>6000000</v>
      </c>
      <c r="W130" s="50">
        <v>10700000</v>
      </c>
      <c r="X130" s="50">
        <v>2000000</v>
      </c>
      <c r="Y130" s="50"/>
      <c r="Z130" s="51"/>
      <c r="AA130" s="15"/>
      <c r="AB130" s="292">
        <f t="shared" ref="AB130:AB161" si="16">SUM(I130:AA130)</f>
        <v>96366998</v>
      </c>
      <c r="AC130" s="295">
        <f t="shared" ref="AC130:AC161" si="17">AB130/H130</f>
        <v>0.48897401055408973</v>
      </c>
      <c r="AD130" s="341">
        <f>'Caribe I'!S14</f>
        <v>10</v>
      </c>
      <c r="AE130" s="353">
        <v>44760</v>
      </c>
      <c r="AF130" s="342">
        <f t="shared" ref="AF130:AF161" si="18">H130-AB130</f>
        <v>100713002</v>
      </c>
      <c r="AG130" s="57" t="s">
        <v>27</v>
      </c>
      <c r="AH130" s="58">
        <f t="shared" ref="AH130:AH161" si="19">COUNT(I130:Z130)</f>
        <v>10</v>
      </c>
    </row>
    <row r="131" spans="1:34" s="12" customFormat="1" ht="16.5" x14ac:dyDescent="0.3">
      <c r="A131" s="134" t="s">
        <v>55</v>
      </c>
      <c r="B131" s="23" t="s">
        <v>209</v>
      </c>
      <c r="C131" s="143" t="s">
        <v>18</v>
      </c>
      <c r="D131" s="107" t="s">
        <v>210</v>
      </c>
      <c r="E131" s="176">
        <v>396528</v>
      </c>
      <c r="F131" s="32" t="s">
        <v>182</v>
      </c>
      <c r="G131" s="37">
        <v>44253</v>
      </c>
      <c r="H131" s="61">
        <v>190000000</v>
      </c>
      <c r="I131" s="49"/>
      <c r="J131" s="50"/>
      <c r="K131" s="50"/>
      <c r="L131" s="50"/>
      <c r="M131" s="50"/>
      <c r="N131" s="50">
        <v>10700000</v>
      </c>
      <c r="O131" s="50"/>
      <c r="P131" s="50">
        <v>9000000</v>
      </c>
      <c r="Q131" s="50">
        <v>6000000</v>
      </c>
      <c r="R131" s="66">
        <v>33702875</v>
      </c>
      <c r="S131" s="50"/>
      <c r="T131" s="50">
        <v>21456000</v>
      </c>
      <c r="U131" s="50"/>
      <c r="V131" s="50">
        <v>11634000</v>
      </c>
      <c r="W131" s="50"/>
      <c r="X131" s="50"/>
      <c r="Y131" s="50"/>
      <c r="Z131" s="51"/>
      <c r="AA131" s="15"/>
      <c r="AB131" s="292">
        <f t="shared" si="16"/>
        <v>92492875</v>
      </c>
      <c r="AC131" s="295">
        <f t="shared" si="17"/>
        <v>0.48680460526315789</v>
      </c>
      <c r="AD131" s="341">
        <f>'Eje Cafetero'!U26</f>
        <v>13</v>
      </c>
      <c r="AE131" s="353">
        <v>44741</v>
      </c>
      <c r="AF131" s="342">
        <f t="shared" si="18"/>
        <v>97507125</v>
      </c>
      <c r="AG131" s="57" t="s">
        <v>27</v>
      </c>
      <c r="AH131" s="58">
        <f t="shared" si="19"/>
        <v>6</v>
      </c>
    </row>
    <row r="132" spans="1:34" ht="16.5" x14ac:dyDescent="0.3">
      <c r="A132" s="134" t="s">
        <v>89</v>
      </c>
      <c r="B132" s="26" t="s">
        <v>246</v>
      </c>
      <c r="C132" s="143" t="s">
        <v>18</v>
      </c>
      <c r="D132" s="107" t="s">
        <v>247</v>
      </c>
      <c r="E132" s="176">
        <v>397206</v>
      </c>
      <c r="F132" s="33" t="s">
        <v>227</v>
      </c>
      <c r="G132" s="37">
        <v>44267</v>
      </c>
      <c r="H132" s="62">
        <v>200000000</v>
      </c>
      <c r="I132" s="49"/>
      <c r="J132" s="50"/>
      <c r="K132" s="50">
        <v>9000000</v>
      </c>
      <c r="L132" s="50"/>
      <c r="M132" s="50"/>
      <c r="N132" s="50"/>
      <c r="O132" s="50">
        <v>8000000</v>
      </c>
      <c r="P132" s="50">
        <v>11000000</v>
      </c>
      <c r="Q132" s="50">
        <v>25200000</v>
      </c>
      <c r="R132" s="66">
        <v>4000000</v>
      </c>
      <c r="S132" s="50"/>
      <c r="T132" s="50"/>
      <c r="U132" s="50">
        <v>600000</v>
      </c>
      <c r="V132" s="50">
        <v>4000000</v>
      </c>
      <c r="W132" s="50">
        <v>1200000</v>
      </c>
      <c r="X132" s="50">
        <v>34000000</v>
      </c>
      <c r="Y132" s="50"/>
      <c r="Z132" s="51"/>
      <c r="AA132" s="15"/>
      <c r="AB132" s="292">
        <f t="shared" si="16"/>
        <v>97000000</v>
      </c>
      <c r="AC132" s="295">
        <f t="shared" si="17"/>
        <v>0.48499999999999999</v>
      </c>
      <c r="AD132" s="341">
        <f>'Caribe II'!Q31</f>
        <v>10</v>
      </c>
      <c r="AE132" s="353">
        <v>44859</v>
      </c>
      <c r="AF132" s="342">
        <f t="shared" si="18"/>
        <v>103000000</v>
      </c>
      <c r="AG132" s="57" t="s">
        <v>27</v>
      </c>
      <c r="AH132" s="58">
        <f t="shared" si="19"/>
        <v>9</v>
      </c>
    </row>
    <row r="133" spans="1:34" ht="16.5" x14ac:dyDescent="0.3">
      <c r="A133" s="134" t="s">
        <v>23</v>
      </c>
      <c r="B133" s="23" t="s">
        <v>350</v>
      </c>
      <c r="C133" s="142" t="s">
        <v>18</v>
      </c>
      <c r="D133" s="107" t="s">
        <v>351</v>
      </c>
      <c r="E133" s="176">
        <v>397367</v>
      </c>
      <c r="F133" s="32" t="s">
        <v>191</v>
      </c>
      <c r="G133" s="37">
        <v>44267</v>
      </c>
      <c r="H133" s="61">
        <v>165000000</v>
      </c>
      <c r="I133" s="49"/>
      <c r="J133" s="50"/>
      <c r="K133" s="50"/>
      <c r="L133" s="50"/>
      <c r="M133" s="50"/>
      <c r="N133" s="50">
        <v>1755666</v>
      </c>
      <c r="O133" s="50"/>
      <c r="P133" s="50">
        <v>10700000</v>
      </c>
      <c r="Q133" s="50">
        <v>3500000</v>
      </c>
      <c r="R133" s="66"/>
      <c r="S133" s="50">
        <v>60592166</v>
      </c>
      <c r="T133" s="50">
        <v>1755666</v>
      </c>
      <c r="U133" s="50"/>
      <c r="V133" s="50"/>
      <c r="W133" s="50"/>
      <c r="X133" s="50"/>
      <c r="Y133" s="50"/>
      <c r="Z133" s="51"/>
      <c r="AA133" s="15"/>
      <c r="AB133" s="292">
        <f t="shared" si="16"/>
        <v>78303498</v>
      </c>
      <c r="AC133" s="295">
        <f t="shared" si="17"/>
        <v>0.47456665454545455</v>
      </c>
      <c r="AD133" s="343">
        <f>Central!R6</f>
        <v>8</v>
      </c>
      <c r="AE133" s="353">
        <v>44736</v>
      </c>
      <c r="AF133" s="342">
        <f t="shared" si="18"/>
        <v>86696502</v>
      </c>
      <c r="AG133" s="57" t="s">
        <v>27</v>
      </c>
      <c r="AH133" s="58">
        <f t="shared" si="19"/>
        <v>5</v>
      </c>
    </row>
    <row r="134" spans="1:34" s="12" customFormat="1" ht="16.5" x14ac:dyDescent="0.3">
      <c r="A134" s="147" t="s">
        <v>28</v>
      </c>
      <c r="B134" s="26" t="s">
        <v>236</v>
      </c>
      <c r="C134" s="143" t="s">
        <v>18</v>
      </c>
      <c r="D134" s="107" t="s">
        <v>237</v>
      </c>
      <c r="E134" s="176">
        <v>397184</v>
      </c>
      <c r="F134" s="35" t="s">
        <v>238</v>
      </c>
      <c r="G134" s="37">
        <v>44267</v>
      </c>
      <c r="H134" s="62">
        <v>199600000</v>
      </c>
      <c r="I134" s="49"/>
      <c r="J134" s="50"/>
      <c r="K134" s="50"/>
      <c r="L134" s="50"/>
      <c r="M134" s="50"/>
      <c r="N134" s="50"/>
      <c r="O134" s="50">
        <v>10700000</v>
      </c>
      <c r="P134" s="50"/>
      <c r="Q134" s="50"/>
      <c r="R134" s="66">
        <v>48699982</v>
      </c>
      <c r="S134" s="50">
        <v>3400000</v>
      </c>
      <c r="T134" s="50">
        <v>19000000</v>
      </c>
      <c r="U134" s="50"/>
      <c r="V134" s="50">
        <v>4400000</v>
      </c>
      <c r="W134" s="50"/>
      <c r="X134" s="50">
        <v>6800000</v>
      </c>
      <c r="Y134" s="50"/>
      <c r="Z134" s="51"/>
      <c r="AA134" s="15"/>
      <c r="AB134" s="292">
        <f t="shared" si="16"/>
        <v>92999982</v>
      </c>
      <c r="AC134" s="295">
        <f t="shared" si="17"/>
        <v>0.4659317735470942</v>
      </c>
      <c r="AD134" s="341">
        <f>Pacífico!U26</f>
        <v>11</v>
      </c>
      <c r="AE134" s="353">
        <v>44853</v>
      </c>
      <c r="AF134" s="342">
        <f t="shared" si="18"/>
        <v>106600018</v>
      </c>
      <c r="AG134" s="57" t="s">
        <v>27</v>
      </c>
      <c r="AH134" s="58">
        <f t="shared" si="19"/>
        <v>6</v>
      </c>
    </row>
    <row r="135" spans="1:34" ht="16.5" x14ac:dyDescent="0.3">
      <c r="A135" s="134" t="s">
        <v>23</v>
      </c>
      <c r="B135" s="26" t="s">
        <v>381</v>
      </c>
      <c r="C135" s="143" t="s">
        <v>18</v>
      </c>
      <c r="D135" s="107" t="s">
        <v>382</v>
      </c>
      <c r="E135" s="176">
        <v>397133</v>
      </c>
      <c r="F135" s="33" t="s">
        <v>191</v>
      </c>
      <c r="G135" s="37">
        <v>44260</v>
      </c>
      <c r="H135" s="62">
        <v>199984000</v>
      </c>
      <c r="I135" s="49"/>
      <c r="J135" s="50"/>
      <c r="K135" s="50"/>
      <c r="L135" s="50"/>
      <c r="M135" s="50"/>
      <c r="N135" s="50"/>
      <c r="O135" s="50"/>
      <c r="P135" s="50">
        <v>10700000</v>
      </c>
      <c r="Q135" s="50"/>
      <c r="R135" s="66"/>
      <c r="S135" s="50"/>
      <c r="T135" s="50">
        <v>14211332</v>
      </c>
      <c r="U135" s="50">
        <v>63900000</v>
      </c>
      <c r="V135" s="50"/>
      <c r="W135" s="50"/>
      <c r="X135" s="50"/>
      <c r="Y135" s="50"/>
      <c r="Z135" s="51"/>
      <c r="AA135" s="15"/>
      <c r="AB135" s="292">
        <f t="shared" si="16"/>
        <v>88811332</v>
      </c>
      <c r="AC135" s="295">
        <f t="shared" si="17"/>
        <v>0.44409218737499001</v>
      </c>
      <c r="AD135" s="341">
        <f>Central!R12</f>
        <v>8</v>
      </c>
      <c r="AE135" s="353">
        <v>44775</v>
      </c>
      <c r="AF135" s="342">
        <f t="shared" si="18"/>
        <v>111172668</v>
      </c>
      <c r="AG135" s="57" t="s">
        <v>27</v>
      </c>
      <c r="AH135" s="58">
        <f t="shared" si="19"/>
        <v>3</v>
      </c>
    </row>
    <row r="136" spans="1:34" s="12" customFormat="1" ht="16.5" x14ac:dyDescent="0.3">
      <c r="A136" s="134" t="s">
        <v>89</v>
      </c>
      <c r="B136" s="23" t="s">
        <v>225</v>
      </c>
      <c r="C136" s="143" t="s">
        <v>18</v>
      </c>
      <c r="D136" s="107" t="s">
        <v>226</v>
      </c>
      <c r="E136" s="176">
        <v>396515</v>
      </c>
      <c r="F136" s="32" t="s">
        <v>227</v>
      </c>
      <c r="G136" s="37">
        <v>44252</v>
      </c>
      <c r="H136" s="61">
        <v>200000000</v>
      </c>
      <c r="I136" s="49"/>
      <c r="J136" s="50">
        <v>10700000</v>
      </c>
      <c r="K136" s="50"/>
      <c r="L136" s="50">
        <v>19200000</v>
      </c>
      <c r="M136" s="50">
        <v>10256000</v>
      </c>
      <c r="N136" s="50">
        <v>9378000</v>
      </c>
      <c r="O136" s="50">
        <v>6378000</v>
      </c>
      <c r="P136" s="50">
        <v>6378000</v>
      </c>
      <c r="Q136" s="50"/>
      <c r="R136" s="66"/>
      <c r="S136" s="50"/>
      <c r="T136" s="50"/>
      <c r="U136" s="50"/>
      <c r="V136" s="50"/>
      <c r="W136" s="50">
        <v>24440000</v>
      </c>
      <c r="X136" s="50"/>
      <c r="Y136" s="50"/>
      <c r="Z136" s="51"/>
      <c r="AA136" s="15"/>
      <c r="AB136" s="292">
        <f t="shared" si="16"/>
        <v>86730000</v>
      </c>
      <c r="AC136" s="295">
        <f t="shared" si="17"/>
        <v>0.43364999999999998</v>
      </c>
      <c r="AD136" s="341">
        <f>'Caribe II'!Q22</f>
        <v>8</v>
      </c>
      <c r="AE136" s="353">
        <v>44839</v>
      </c>
      <c r="AF136" s="342">
        <f t="shared" si="18"/>
        <v>113270000</v>
      </c>
      <c r="AG136" s="57" t="s">
        <v>27</v>
      </c>
      <c r="AH136" s="58">
        <f t="shared" si="19"/>
        <v>7</v>
      </c>
    </row>
    <row r="137" spans="1:34" s="12" customFormat="1" ht="16.5" x14ac:dyDescent="0.3">
      <c r="A137" s="147" t="s">
        <v>105</v>
      </c>
      <c r="B137" s="25" t="s">
        <v>293</v>
      </c>
      <c r="C137" s="143" t="s">
        <v>18</v>
      </c>
      <c r="D137" s="107" t="s">
        <v>294</v>
      </c>
      <c r="E137" s="176">
        <v>397136</v>
      </c>
      <c r="F137" s="34" t="s">
        <v>131</v>
      </c>
      <c r="G137" s="37">
        <v>44260</v>
      </c>
      <c r="H137" s="61">
        <v>175000000</v>
      </c>
      <c r="I137" s="49">
        <v>10700000</v>
      </c>
      <c r="J137" s="50"/>
      <c r="K137" s="50"/>
      <c r="L137" s="50"/>
      <c r="M137" s="50"/>
      <c r="N137" s="50">
        <v>10973684</v>
      </c>
      <c r="O137" s="50">
        <v>3000000</v>
      </c>
      <c r="P137" s="50">
        <v>5633499</v>
      </c>
      <c r="Q137" s="50">
        <v>1755666</v>
      </c>
      <c r="R137" s="66">
        <v>3220000</v>
      </c>
      <c r="S137" s="50"/>
      <c r="T137" s="50"/>
      <c r="U137" s="50"/>
      <c r="V137" s="50">
        <v>31062746</v>
      </c>
      <c r="W137" s="50">
        <v>8440000</v>
      </c>
      <c r="X137" s="50"/>
      <c r="Y137" s="50"/>
      <c r="Z137" s="51"/>
      <c r="AA137" s="15"/>
      <c r="AB137" s="292">
        <f t="shared" si="16"/>
        <v>74785595</v>
      </c>
      <c r="AC137" s="295">
        <f t="shared" si="17"/>
        <v>0.42734625714285712</v>
      </c>
      <c r="AD137" s="341">
        <f>Llanos!U11</f>
        <v>11</v>
      </c>
      <c r="AE137" s="353">
        <v>44805</v>
      </c>
      <c r="AF137" s="342">
        <f t="shared" si="18"/>
        <v>100214405</v>
      </c>
      <c r="AG137" s="57" t="s">
        <v>27</v>
      </c>
      <c r="AH137" s="58">
        <f t="shared" si="19"/>
        <v>8</v>
      </c>
    </row>
    <row r="138" spans="1:34" ht="16.5" x14ac:dyDescent="0.3">
      <c r="A138" s="134" t="s">
        <v>89</v>
      </c>
      <c r="B138" s="23" t="s">
        <v>305</v>
      </c>
      <c r="C138" s="143" t="s">
        <v>18</v>
      </c>
      <c r="D138" s="107" t="s">
        <v>306</v>
      </c>
      <c r="E138" s="176">
        <v>396863</v>
      </c>
      <c r="F138" s="32" t="s">
        <v>151</v>
      </c>
      <c r="G138" s="37">
        <v>44252</v>
      </c>
      <c r="H138" s="61">
        <v>200000000</v>
      </c>
      <c r="I138" s="49"/>
      <c r="J138" s="50">
        <v>10700000</v>
      </c>
      <c r="K138" s="50"/>
      <c r="L138" s="50"/>
      <c r="M138" s="50"/>
      <c r="N138" s="50">
        <v>11633000</v>
      </c>
      <c r="O138" s="50"/>
      <c r="P138" s="50">
        <v>8666000</v>
      </c>
      <c r="Q138" s="50"/>
      <c r="R138" s="66">
        <v>4883490</v>
      </c>
      <c r="S138" s="50"/>
      <c r="T138" s="50">
        <v>2960830</v>
      </c>
      <c r="U138" s="50"/>
      <c r="V138" s="50">
        <v>46000000</v>
      </c>
      <c r="W138" s="50"/>
      <c r="X138" s="50"/>
      <c r="Y138" s="50"/>
      <c r="Z138" s="51"/>
      <c r="AA138" s="15"/>
      <c r="AB138" s="292">
        <f t="shared" si="16"/>
        <v>84843320</v>
      </c>
      <c r="AC138" s="295">
        <f t="shared" si="17"/>
        <v>0.4242166</v>
      </c>
      <c r="AD138" s="341">
        <f>'Caribe II'!Q26</f>
        <v>10</v>
      </c>
      <c r="AE138" s="353">
        <v>44797</v>
      </c>
      <c r="AF138" s="342">
        <f t="shared" si="18"/>
        <v>115156680</v>
      </c>
      <c r="AG138" s="57" t="s">
        <v>27</v>
      </c>
      <c r="AH138" s="58">
        <f t="shared" si="19"/>
        <v>6</v>
      </c>
    </row>
    <row r="139" spans="1:34" s="12" customFormat="1" ht="16.5" x14ac:dyDescent="0.3">
      <c r="A139" s="134" t="s">
        <v>28</v>
      </c>
      <c r="B139" s="23" t="s">
        <v>346</v>
      </c>
      <c r="C139" s="143" t="s">
        <v>18</v>
      </c>
      <c r="D139" s="107" t="s">
        <v>347</v>
      </c>
      <c r="E139" s="176">
        <v>397561</v>
      </c>
      <c r="F139" s="32" t="s">
        <v>113</v>
      </c>
      <c r="G139" s="37">
        <v>44299</v>
      </c>
      <c r="H139" s="61">
        <v>200000000</v>
      </c>
      <c r="I139" s="49"/>
      <c r="J139" s="50"/>
      <c r="K139" s="50"/>
      <c r="L139" s="50"/>
      <c r="M139" s="50"/>
      <c r="N139" s="50"/>
      <c r="O139" s="50"/>
      <c r="P139" s="50">
        <v>11640000</v>
      </c>
      <c r="Q139" s="50">
        <v>10700000</v>
      </c>
      <c r="R139" s="66"/>
      <c r="S139" s="50">
        <v>5820000</v>
      </c>
      <c r="T139" s="50">
        <v>5820000</v>
      </c>
      <c r="U139" s="50">
        <v>10700000</v>
      </c>
      <c r="V139" s="50">
        <v>4500000</v>
      </c>
      <c r="W139" s="50">
        <v>35332523.539999999</v>
      </c>
      <c r="X139" s="50"/>
      <c r="Y139" s="50"/>
      <c r="Z139" s="51"/>
      <c r="AA139" s="15"/>
      <c r="AB139" s="292">
        <f t="shared" si="16"/>
        <v>84512523.539999992</v>
      </c>
      <c r="AC139" s="295">
        <f t="shared" si="17"/>
        <v>0.42256261769999998</v>
      </c>
      <c r="AD139" s="341">
        <f>Pacífico!U13</f>
        <v>10</v>
      </c>
      <c r="AE139" s="353">
        <v>44854</v>
      </c>
      <c r="AF139" s="342">
        <f t="shared" si="18"/>
        <v>115487476.46000001</v>
      </c>
      <c r="AG139" s="57" t="s">
        <v>27</v>
      </c>
      <c r="AH139" s="58">
        <f t="shared" si="19"/>
        <v>7</v>
      </c>
    </row>
    <row r="140" spans="1:34" s="12" customFormat="1" ht="16.5" x14ac:dyDescent="0.3">
      <c r="A140" s="134" t="s">
        <v>105</v>
      </c>
      <c r="B140" s="23" t="s">
        <v>256</v>
      </c>
      <c r="C140" s="142" t="s">
        <v>18</v>
      </c>
      <c r="D140" s="107" t="s">
        <v>257</v>
      </c>
      <c r="E140" s="176">
        <v>397008</v>
      </c>
      <c r="F140" s="33" t="s">
        <v>131</v>
      </c>
      <c r="G140" s="37">
        <v>44256</v>
      </c>
      <c r="H140" s="61">
        <v>195100000</v>
      </c>
      <c r="I140" s="49"/>
      <c r="J140" s="50">
        <v>10700000</v>
      </c>
      <c r="K140" s="50"/>
      <c r="L140" s="50">
        <v>12800000</v>
      </c>
      <c r="M140" s="50">
        <v>4500000</v>
      </c>
      <c r="N140" s="50">
        <v>5255666</v>
      </c>
      <c r="O140" s="50">
        <v>3127833</v>
      </c>
      <c r="P140" s="50">
        <v>3500000</v>
      </c>
      <c r="Q140" s="50"/>
      <c r="R140" s="66">
        <v>12377833</v>
      </c>
      <c r="S140" s="50"/>
      <c r="T140" s="50">
        <v>29742000</v>
      </c>
      <c r="U140" s="50"/>
      <c r="V140" s="50"/>
      <c r="W140" s="50"/>
      <c r="X140" s="50"/>
      <c r="Y140" s="50"/>
      <c r="Z140" s="51"/>
      <c r="AA140" s="15"/>
      <c r="AB140" s="292">
        <f t="shared" si="16"/>
        <v>82003332</v>
      </c>
      <c r="AC140" s="295">
        <f t="shared" si="17"/>
        <v>0.42031436186570992</v>
      </c>
      <c r="AD140" s="341">
        <f>Llanos!U18</f>
        <v>12</v>
      </c>
      <c r="AE140" s="353">
        <v>44753</v>
      </c>
      <c r="AF140" s="342">
        <f t="shared" si="18"/>
        <v>113096668</v>
      </c>
      <c r="AG140" s="57" t="s">
        <v>27</v>
      </c>
      <c r="AH140" s="58">
        <f t="shared" si="19"/>
        <v>8</v>
      </c>
    </row>
    <row r="141" spans="1:34" s="12" customFormat="1" ht="16.5" x14ac:dyDescent="0.3">
      <c r="A141" s="134" t="s">
        <v>28</v>
      </c>
      <c r="B141" s="23" t="s">
        <v>289</v>
      </c>
      <c r="C141" s="143" t="s">
        <v>18</v>
      </c>
      <c r="D141" s="107" t="s">
        <v>290</v>
      </c>
      <c r="E141" s="176">
        <v>396854</v>
      </c>
      <c r="F141" s="32" t="s">
        <v>31</v>
      </c>
      <c r="G141" s="37">
        <v>44252</v>
      </c>
      <c r="H141" s="61">
        <v>178025000</v>
      </c>
      <c r="I141" s="49"/>
      <c r="J141" s="50"/>
      <c r="K141" s="50"/>
      <c r="L141" s="50"/>
      <c r="M141" s="50"/>
      <c r="N141" s="50">
        <v>10700000</v>
      </c>
      <c r="O141" s="50"/>
      <c r="P141" s="50">
        <v>4000000</v>
      </c>
      <c r="Q141" s="50">
        <v>7500000</v>
      </c>
      <c r="R141" s="50">
        <v>14397700</v>
      </c>
      <c r="S141" s="50">
        <v>35396500</v>
      </c>
      <c r="T141" s="50"/>
      <c r="U141" s="50"/>
      <c r="V141" s="50"/>
      <c r="W141" s="50">
        <v>1500000</v>
      </c>
      <c r="X141" s="50"/>
      <c r="Y141" s="50"/>
      <c r="Z141" s="51"/>
      <c r="AA141" s="15"/>
      <c r="AB141" s="292">
        <f t="shared" si="16"/>
        <v>73494200</v>
      </c>
      <c r="AC141" s="295">
        <f t="shared" si="17"/>
        <v>0.41283078219351216</v>
      </c>
      <c r="AD141" s="341">
        <f>Pacífico!U8</f>
        <v>11</v>
      </c>
      <c r="AE141" s="353">
        <v>44701</v>
      </c>
      <c r="AF141" s="342">
        <f t="shared" si="18"/>
        <v>104530800</v>
      </c>
      <c r="AG141" s="57" t="s">
        <v>27</v>
      </c>
      <c r="AH141" s="58">
        <f t="shared" si="19"/>
        <v>6</v>
      </c>
    </row>
    <row r="142" spans="1:34" ht="16.5" x14ac:dyDescent="0.3">
      <c r="A142" s="134" t="s">
        <v>89</v>
      </c>
      <c r="B142" s="23" t="s">
        <v>307</v>
      </c>
      <c r="C142" s="143" t="s">
        <v>18</v>
      </c>
      <c r="D142" s="107" t="s">
        <v>308</v>
      </c>
      <c r="E142" s="176">
        <v>396868</v>
      </c>
      <c r="F142" s="33" t="s">
        <v>151</v>
      </c>
      <c r="G142" s="37">
        <v>44252</v>
      </c>
      <c r="H142" s="61">
        <v>200000000</v>
      </c>
      <c r="I142" s="49"/>
      <c r="J142" s="50"/>
      <c r="K142" s="50">
        <v>10700000</v>
      </c>
      <c r="L142" s="50"/>
      <c r="M142" s="50"/>
      <c r="N142" s="50">
        <v>16600000</v>
      </c>
      <c r="O142" s="50">
        <v>4500000</v>
      </c>
      <c r="P142" s="50">
        <v>1755660</v>
      </c>
      <c r="Q142" s="50">
        <v>877830</v>
      </c>
      <c r="R142" s="66"/>
      <c r="S142" s="50"/>
      <c r="T142" s="50"/>
      <c r="U142" s="50"/>
      <c r="V142" s="50">
        <v>45000000</v>
      </c>
      <c r="W142" s="50"/>
      <c r="X142" s="50"/>
      <c r="Y142" s="50"/>
      <c r="Z142" s="51"/>
      <c r="AA142" s="15"/>
      <c r="AB142" s="292">
        <f t="shared" si="16"/>
        <v>79433490</v>
      </c>
      <c r="AC142" s="295">
        <f t="shared" si="17"/>
        <v>0.39716744999999998</v>
      </c>
      <c r="AD142" s="341">
        <f>'Caribe II'!Q30</f>
        <v>10</v>
      </c>
      <c r="AE142" s="353">
        <v>44795</v>
      </c>
      <c r="AF142" s="342">
        <f t="shared" si="18"/>
        <v>120566510</v>
      </c>
      <c r="AG142" s="57" t="s">
        <v>27</v>
      </c>
      <c r="AH142" s="58">
        <f t="shared" si="19"/>
        <v>6</v>
      </c>
    </row>
    <row r="143" spans="1:34" s="12" customFormat="1" ht="16.5" x14ac:dyDescent="0.3">
      <c r="A143" s="134" t="s">
        <v>105</v>
      </c>
      <c r="B143" s="23" t="s">
        <v>336</v>
      </c>
      <c r="C143" s="143" t="s">
        <v>18</v>
      </c>
      <c r="D143" s="107" t="s">
        <v>337</v>
      </c>
      <c r="E143" s="176">
        <v>496521</v>
      </c>
      <c r="F143" s="32" t="s">
        <v>131</v>
      </c>
      <c r="G143" s="37">
        <v>44251</v>
      </c>
      <c r="H143" s="61">
        <v>199994000</v>
      </c>
      <c r="I143" s="49"/>
      <c r="J143" s="50">
        <v>10700000</v>
      </c>
      <c r="K143" s="50"/>
      <c r="L143" s="50"/>
      <c r="M143" s="50">
        <v>3877833</v>
      </c>
      <c r="N143" s="50">
        <v>6877833</v>
      </c>
      <c r="O143" s="50"/>
      <c r="P143" s="50">
        <v>3000000</v>
      </c>
      <c r="Q143" s="50"/>
      <c r="R143" s="66"/>
      <c r="S143" s="50">
        <v>3877833</v>
      </c>
      <c r="T143" s="50"/>
      <c r="U143" s="50"/>
      <c r="V143" s="50">
        <v>3877833</v>
      </c>
      <c r="W143" s="50">
        <v>3000000</v>
      </c>
      <c r="X143" s="50">
        <v>42680000</v>
      </c>
      <c r="Y143" s="50"/>
      <c r="Z143" s="51"/>
      <c r="AA143" s="15"/>
      <c r="AB143" s="292">
        <f t="shared" si="16"/>
        <v>77891332</v>
      </c>
      <c r="AC143" s="295">
        <f t="shared" si="17"/>
        <v>0.38946834405032149</v>
      </c>
      <c r="AD143" s="341">
        <f>Llanos!U13</f>
        <v>9</v>
      </c>
      <c r="AE143" s="353"/>
      <c r="AF143" s="342">
        <f t="shared" si="18"/>
        <v>122102668</v>
      </c>
      <c r="AG143" s="57" t="s">
        <v>27</v>
      </c>
      <c r="AH143" s="58">
        <f t="shared" si="19"/>
        <v>8</v>
      </c>
    </row>
    <row r="144" spans="1:34" ht="16.5" x14ac:dyDescent="0.3">
      <c r="A144" s="134" t="s">
        <v>28</v>
      </c>
      <c r="B144" s="26" t="s">
        <v>369</v>
      </c>
      <c r="C144" s="143" t="s">
        <v>18</v>
      </c>
      <c r="D144" s="107" t="s">
        <v>370</v>
      </c>
      <c r="E144" s="176">
        <v>396509</v>
      </c>
      <c r="F144" s="33" t="s">
        <v>238</v>
      </c>
      <c r="G144" s="37">
        <v>44252</v>
      </c>
      <c r="H144" s="62">
        <v>199762000</v>
      </c>
      <c r="I144" s="49"/>
      <c r="J144" s="50"/>
      <c r="K144" s="50"/>
      <c r="L144" s="50"/>
      <c r="M144" s="50"/>
      <c r="N144" s="50"/>
      <c r="O144" s="50"/>
      <c r="P144" s="50"/>
      <c r="Q144" s="50"/>
      <c r="R144" s="66">
        <v>13540000</v>
      </c>
      <c r="S144" s="50"/>
      <c r="T144" s="50">
        <v>8316000</v>
      </c>
      <c r="U144" s="50"/>
      <c r="V144" s="50">
        <v>38128000</v>
      </c>
      <c r="W144" s="50"/>
      <c r="X144" s="50">
        <v>14100000</v>
      </c>
      <c r="Y144" s="50"/>
      <c r="Z144" s="51"/>
      <c r="AA144" s="15"/>
      <c r="AB144" s="292">
        <f t="shared" si="16"/>
        <v>74084000</v>
      </c>
      <c r="AC144" s="295">
        <f t="shared" si="17"/>
        <v>0.37086132497672231</v>
      </c>
      <c r="AD144" s="341">
        <f>Pacífico!U24</f>
        <v>6</v>
      </c>
      <c r="AE144" s="353"/>
      <c r="AF144" s="342">
        <f t="shared" si="18"/>
        <v>125678000</v>
      </c>
      <c r="AG144" s="57" t="s">
        <v>27</v>
      </c>
      <c r="AH144" s="58">
        <f t="shared" si="19"/>
        <v>4</v>
      </c>
    </row>
    <row r="145" spans="1:34" s="12" customFormat="1" ht="16.5" x14ac:dyDescent="0.3">
      <c r="A145" s="134" t="s">
        <v>23</v>
      </c>
      <c r="B145" s="26" t="s">
        <v>379</v>
      </c>
      <c r="C145" s="143" t="s">
        <v>18</v>
      </c>
      <c r="D145" s="107" t="s">
        <v>380</v>
      </c>
      <c r="E145" s="176">
        <v>397366</v>
      </c>
      <c r="F145" s="33" t="s">
        <v>191</v>
      </c>
      <c r="G145" s="37">
        <v>44267</v>
      </c>
      <c r="H145" s="61">
        <v>190000000</v>
      </c>
      <c r="I145" s="49"/>
      <c r="J145" s="50"/>
      <c r="K145" s="50"/>
      <c r="L145" s="50"/>
      <c r="M145" s="50">
        <v>10700000</v>
      </c>
      <c r="N145" s="50"/>
      <c r="O145" s="50"/>
      <c r="P145" s="50"/>
      <c r="Q145" s="50"/>
      <c r="R145" s="66"/>
      <c r="S145" s="50"/>
      <c r="T145" s="50">
        <v>18889165</v>
      </c>
      <c r="U145" s="50"/>
      <c r="V145" s="50"/>
      <c r="W145" s="50">
        <v>39035833</v>
      </c>
      <c r="X145" s="50"/>
      <c r="Y145" s="50"/>
      <c r="Z145" s="51"/>
      <c r="AA145" s="15"/>
      <c r="AB145" s="292">
        <f t="shared" si="16"/>
        <v>68624998</v>
      </c>
      <c r="AC145" s="295">
        <f t="shared" si="17"/>
        <v>0.36118420000000001</v>
      </c>
      <c r="AD145" s="341">
        <f>Central!R8</f>
        <v>8</v>
      </c>
      <c r="AE145" s="353">
        <v>44839</v>
      </c>
      <c r="AF145" s="342">
        <f t="shared" si="18"/>
        <v>121375002</v>
      </c>
      <c r="AG145" s="57" t="s">
        <v>27</v>
      </c>
      <c r="AH145" s="58">
        <f t="shared" si="19"/>
        <v>3</v>
      </c>
    </row>
    <row r="146" spans="1:34" s="12" customFormat="1" ht="16.5" x14ac:dyDescent="0.3">
      <c r="A146" s="134" t="s">
        <v>89</v>
      </c>
      <c r="B146" s="23" t="s">
        <v>348</v>
      </c>
      <c r="C146" s="143" t="s">
        <v>18</v>
      </c>
      <c r="D146" s="107" t="s">
        <v>349</v>
      </c>
      <c r="E146" s="176">
        <v>396613</v>
      </c>
      <c r="F146" s="33" t="s">
        <v>227</v>
      </c>
      <c r="G146" s="37">
        <v>44252</v>
      </c>
      <c r="H146" s="61">
        <v>200000000</v>
      </c>
      <c r="I146" s="49"/>
      <c r="J146" s="50">
        <v>10700000</v>
      </c>
      <c r="K146" s="50"/>
      <c r="L146" s="50"/>
      <c r="M146" s="50"/>
      <c r="N146" s="50">
        <v>3963000</v>
      </c>
      <c r="O146" s="50"/>
      <c r="P146" s="50"/>
      <c r="Q146" s="50">
        <v>4583000</v>
      </c>
      <c r="R146" s="66">
        <v>2083000</v>
      </c>
      <c r="S146" s="50">
        <v>3036000</v>
      </c>
      <c r="T146" s="50"/>
      <c r="U146" s="50">
        <v>3963000</v>
      </c>
      <c r="V146" s="50">
        <v>32240000</v>
      </c>
      <c r="W146" s="50">
        <v>10700000</v>
      </c>
      <c r="X146" s="50"/>
      <c r="Y146" s="50"/>
      <c r="Z146" s="51"/>
      <c r="AA146" s="15"/>
      <c r="AB146" s="292">
        <f t="shared" si="16"/>
        <v>71268000</v>
      </c>
      <c r="AC146" s="295">
        <f t="shared" si="17"/>
        <v>0.35633999999999999</v>
      </c>
      <c r="AD146" s="341">
        <f>'Caribe II'!Q23</f>
        <v>8</v>
      </c>
      <c r="AE146" s="353">
        <v>44840</v>
      </c>
      <c r="AF146" s="342">
        <f t="shared" si="18"/>
        <v>128732000</v>
      </c>
      <c r="AG146" s="57" t="s">
        <v>27</v>
      </c>
      <c r="AH146" s="58">
        <f t="shared" si="19"/>
        <v>8</v>
      </c>
    </row>
    <row r="147" spans="1:34" ht="16.5" x14ac:dyDescent="0.3">
      <c r="A147" s="134" t="s">
        <v>32</v>
      </c>
      <c r="B147" s="23" t="s">
        <v>239</v>
      </c>
      <c r="C147" s="142" t="s">
        <v>18</v>
      </c>
      <c r="D147" s="107" t="s">
        <v>240</v>
      </c>
      <c r="E147" s="176">
        <v>396892</v>
      </c>
      <c r="F147" s="32" t="s">
        <v>241</v>
      </c>
      <c r="G147" s="37">
        <v>44252</v>
      </c>
      <c r="H147" s="61">
        <v>148697000</v>
      </c>
      <c r="I147" s="49"/>
      <c r="J147" s="50"/>
      <c r="K147" s="50"/>
      <c r="L147" s="50"/>
      <c r="M147" s="50"/>
      <c r="N147" s="50"/>
      <c r="O147" s="50">
        <v>8799250</v>
      </c>
      <c r="P147" s="50"/>
      <c r="Q147" s="50">
        <v>19105000</v>
      </c>
      <c r="R147" s="50">
        <v>16199400</v>
      </c>
      <c r="S147" s="50"/>
      <c r="T147" s="50"/>
      <c r="U147" s="50"/>
      <c r="V147" s="50">
        <v>8799250</v>
      </c>
      <c r="W147" s="50"/>
      <c r="X147" s="50"/>
      <c r="Y147" s="50"/>
      <c r="Z147" s="51"/>
      <c r="AA147" s="15"/>
      <c r="AB147" s="292">
        <f t="shared" si="16"/>
        <v>52902900</v>
      </c>
      <c r="AC147" s="295">
        <f t="shared" si="17"/>
        <v>0.35577651196728921</v>
      </c>
      <c r="AD147" s="341">
        <f>Amazonía!V22</f>
        <v>9</v>
      </c>
      <c r="AE147" s="353">
        <v>44802</v>
      </c>
      <c r="AF147" s="342">
        <f t="shared" si="18"/>
        <v>95794100</v>
      </c>
      <c r="AG147" s="57" t="s">
        <v>27</v>
      </c>
      <c r="AH147" s="58">
        <f t="shared" si="19"/>
        <v>4</v>
      </c>
    </row>
    <row r="148" spans="1:34" ht="16.5" x14ac:dyDescent="0.3">
      <c r="A148" s="134" t="s">
        <v>105</v>
      </c>
      <c r="B148" s="26" t="s">
        <v>230</v>
      </c>
      <c r="C148" s="143" t="s">
        <v>18</v>
      </c>
      <c r="D148" s="107" t="s">
        <v>231</v>
      </c>
      <c r="E148" s="176">
        <v>397055</v>
      </c>
      <c r="F148" s="33" t="s">
        <v>108</v>
      </c>
      <c r="G148" s="37">
        <v>44256</v>
      </c>
      <c r="H148" s="62">
        <v>165000000</v>
      </c>
      <c r="I148" s="49"/>
      <c r="J148" s="50">
        <v>10700000</v>
      </c>
      <c r="K148" s="50"/>
      <c r="L148" s="50"/>
      <c r="M148" s="50"/>
      <c r="N148" s="50">
        <v>10910833.33</v>
      </c>
      <c r="O148" s="50"/>
      <c r="P148" s="50">
        <v>10018833.33</v>
      </c>
      <c r="Q148" s="50">
        <v>19639499.989999995</v>
      </c>
      <c r="R148" s="66"/>
      <c r="S148" s="50"/>
      <c r="T148" s="50">
        <v>6600000</v>
      </c>
      <c r="U148" s="50"/>
      <c r="V148" s="50"/>
      <c r="W148" s="50"/>
      <c r="X148" s="50"/>
      <c r="Y148" s="50"/>
      <c r="Z148" s="51"/>
      <c r="AA148" s="15"/>
      <c r="AB148" s="292">
        <f t="shared" si="16"/>
        <v>57869166.649999991</v>
      </c>
      <c r="AC148" s="295">
        <f t="shared" si="17"/>
        <v>0.35072222212121207</v>
      </c>
      <c r="AD148" s="341">
        <f>Llanos!U21</f>
        <v>11</v>
      </c>
      <c r="AE148" s="353"/>
      <c r="AF148" s="342">
        <f t="shared" si="18"/>
        <v>107130833.35000001</v>
      </c>
      <c r="AG148" s="57" t="s">
        <v>27</v>
      </c>
      <c r="AH148" s="58">
        <f t="shared" si="19"/>
        <v>5</v>
      </c>
    </row>
    <row r="149" spans="1:34" s="12" customFormat="1" ht="16.5" x14ac:dyDescent="0.3">
      <c r="A149" s="134" t="s">
        <v>89</v>
      </c>
      <c r="B149" s="23" t="s">
        <v>405</v>
      </c>
      <c r="C149" s="143" t="s">
        <v>18</v>
      </c>
      <c r="D149" s="107" t="s">
        <v>406</v>
      </c>
      <c r="E149" s="176">
        <v>396447</v>
      </c>
      <c r="F149" s="32" t="s">
        <v>227</v>
      </c>
      <c r="G149" s="37">
        <v>44260</v>
      </c>
      <c r="H149" s="61">
        <v>200000000</v>
      </c>
      <c r="I149" s="49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>
        <v>10700000</v>
      </c>
      <c r="U149" s="50">
        <v>6200000</v>
      </c>
      <c r="V149" s="50">
        <v>9408334</v>
      </c>
      <c r="W149" s="50">
        <v>26283333</v>
      </c>
      <c r="X149" s="50">
        <v>10700000</v>
      </c>
      <c r="Y149" s="50"/>
      <c r="Z149" s="51"/>
      <c r="AA149" s="15"/>
      <c r="AB149" s="292">
        <f t="shared" si="16"/>
        <v>63291667</v>
      </c>
      <c r="AC149" s="295">
        <f t="shared" si="17"/>
        <v>0.31645833499999998</v>
      </c>
      <c r="AD149" s="341">
        <f>'Caribe II'!Q21</f>
        <v>4</v>
      </c>
      <c r="AE149" s="353"/>
      <c r="AF149" s="342">
        <f t="shared" si="18"/>
        <v>136708333</v>
      </c>
      <c r="AG149" s="57" t="s">
        <v>27</v>
      </c>
      <c r="AH149" s="58">
        <f t="shared" si="19"/>
        <v>5</v>
      </c>
    </row>
    <row r="150" spans="1:34" s="12" customFormat="1" ht="16.5" x14ac:dyDescent="0.3">
      <c r="A150" s="134" t="s">
        <v>28</v>
      </c>
      <c r="B150" s="26" t="s">
        <v>271</v>
      </c>
      <c r="C150" s="143" t="s">
        <v>18</v>
      </c>
      <c r="D150" s="107" t="s">
        <v>272</v>
      </c>
      <c r="E150" s="176">
        <v>397272</v>
      </c>
      <c r="F150" s="33" t="s">
        <v>238</v>
      </c>
      <c r="G150" s="37">
        <v>44264</v>
      </c>
      <c r="H150" s="62">
        <v>199964000</v>
      </c>
      <c r="I150" s="49"/>
      <c r="J150" s="50"/>
      <c r="K150" s="50"/>
      <c r="L150" s="50"/>
      <c r="M150" s="50"/>
      <c r="N150" s="50">
        <v>34940000</v>
      </c>
      <c r="O150" s="50">
        <v>2840000</v>
      </c>
      <c r="P150" s="50"/>
      <c r="Q150" s="50">
        <v>6740000</v>
      </c>
      <c r="R150" s="66">
        <v>6240000</v>
      </c>
      <c r="S150" s="50"/>
      <c r="T150" s="50"/>
      <c r="U150" s="50"/>
      <c r="V150" s="50">
        <v>5680000</v>
      </c>
      <c r="W150" s="50">
        <v>3400000</v>
      </c>
      <c r="X150" s="50"/>
      <c r="Y150" s="50"/>
      <c r="Z150" s="51"/>
      <c r="AA150" s="15"/>
      <c r="AB150" s="292">
        <f t="shared" si="16"/>
        <v>59840000</v>
      </c>
      <c r="AC150" s="295">
        <f t="shared" si="17"/>
        <v>0.29925386569582524</v>
      </c>
      <c r="AD150" s="341">
        <f>Pacífico!U16</f>
        <v>10</v>
      </c>
      <c r="AE150" s="353"/>
      <c r="AF150" s="342">
        <f t="shared" si="18"/>
        <v>140124000</v>
      </c>
      <c r="AG150" s="57" t="s">
        <v>27</v>
      </c>
      <c r="AH150" s="58">
        <f t="shared" si="19"/>
        <v>6</v>
      </c>
    </row>
    <row r="151" spans="1:34" s="12" customFormat="1" ht="16.5" x14ac:dyDescent="0.3">
      <c r="A151" s="134" t="s">
        <v>28</v>
      </c>
      <c r="B151" s="26" t="s">
        <v>248</v>
      </c>
      <c r="C151" s="143" t="s">
        <v>18</v>
      </c>
      <c r="D151" s="107" t="s">
        <v>249</v>
      </c>
      <c r="E151" s="176">
        <v>397016</v>
      </c>
      <c r="F151" s="33" t="s">
        <v>238</v>
      </c>
      <c r="G151" s="37">
        <v>44264</v>
      </c>
      <c r="H151" s="62">
        <v>199997000</v>
      </c>
      <c r="I151" s="49"/>
      <c r="J151" s="50"/>
      <c r="K151" s="50"/>
      <c r="L151" s="50">
        <v>21400000</v>
      </c>
      <c r="M151" s="50">
        <v>16320000</v>
      </c>
      <c r="N151" s="50"/>
      <c r="O151" s="50">
        <v>3900000</v>
      </c>
      <c r="P151" s="50"/>
      <c r="Q151" s="50">
        <v>15320000</v>
      </c>
      <c r="R151" s="66"/>
      <c r="S151" s="50"/>
      <c r="T151" s="50">
        <v>1000000</v>
      </c>
      <c r="U151" s="50"/>
      <c r="V151" s="50"/>
      <c r="W151" s="50"/>
      <c r="X151" s="50">
        <v>500000</v>
      </c>
      <c r="Y151" s="50"/>
      <c r="Z151" s="51"/>
      <c r="AA151" s="15"/>
      <c r="AB151" s="292">
        <f t="shared" si="16"/>
        <v>58440000</v>
      </c>
      <c r="AC151" s="295">
        <f t="shared" si="17"/>
        <v>0.29220438306574598</v>
      </c>
      <c r="AD151" s="341">
        <f>Pacífico!U18</f>
        <v>10</v>
      </c>
      <c r="AE151" s="353"/>
      <c r="AF151" s="342">
        <f t="shared" si="18"/>
        <v>141557000</v>
      </c>
      <c r="AG151" s="57" t="s">
        <v>27</v>
      </c>
      <c r="AH151" s="58">
        <f t="shared" si="19"/>
        <v>6</v>
      </c>
    </row>
    <row r="152" spans="1:34" s="12" customFormat="1" ht="16.5" x14ac:dyDescent="0.3">
      <c r="A152" s="146" t="s">
        <v>89</v>
      </c>
      <c r="B152" s="23" t="s">
        <v>273</v>
      </c>
      <c r="C152" s="143" t="s">
        <v>18</v>
      </c>
      <c r="D152" s="107" t="s">
        <v>274</v>
      </c>
      <c r="E152" s="176">
        <v>396758</v>
      </c>
      <c r="F152" s="32" t="s">
        <v>92</v>
      </c>
      <c r="G152" s="37">
        <v>44251</v>
      </c>
      <c r="H152" s="61">
        <v>150000000</v>
      </c>
      <c r="I152" s="49"/>
      <c r="J152" s="50"/>
      <c r="K152" s="50"/>
      <c r="L152" s="50"/>
      <c r="M152" s="50"/>
      <c r="N152" s="50">
        <v>10700000</v>
      </c>
      <c r="O152" s="50"/>
      <c r="P152" s="50"/>
      <c r="Q152" s="50">
        <v>4254000</v>
      </c>
      <c r="R152" s="66">
        <v>22196000</v>
      </c>
      <c r="S152" s="50"/>
      <c r="T152" s="50"/>
      <c r="U152" s="50">
        <v>877000</v>
      </c>
      <c r="V152" s="50">
        <v>4650000</v>
      </c>
      <c r="W152" s="50"/>
      <c r="X152" s="50"/>
      <c r="Y152" s="50"/>
      <c r="Z152" s="51"/>
      <c r="AA152" s="15"/>
      <c r="AB152" s="292">
        <f t="shared" si="16"/>
        <v>42677000</v>
      </c>
      <c r="AC152" s="295">
        <f t="shared" si="17"/>
        <v>0.28451333333333334</v>
      </c>
      <c r="AD152" s="341">
        <f>'Caribe II'!Q18</f>
        <v>6</v>
      </c>
      <c r="AE152" s="353"/>
      <c r="AF152" s="342">
        <f t="shared" si="18"/>
        <v>107323000</v>
      </c>
      <c r="AG152" s="57" t="s">
        <v>27</v>
      </c>
      <c r="AH152" s="58">
        <f t="shared" si="19"/>
        <v>5</v>
      </c>
    </row>
    <row r="153" spans="1:34" ht="16.5" x14ac:dyDescent="0.3">
      <c r="A153" s="149" t="s">
        <v>89</v>
      </c>
      <c r="B153" s="156" t="s">
        <v>285</v>
      </c>
      <c r="C153" s="144" t="s">
        <v>18</v>
      </c>
      <c r="D153" s="151" t="s">
        <v>286</v>
      </c>
      <c r="E153" s="175">
        <v>397203</v>
      </c>
      <c r="F153" s="152" t="s">
        <v>92</v>
      </c>
      <c r="G153" s="73">
        <v>44267</v>
      </c>
      <c r="H153" s="157">
        <v>200000000</v>
      </c>
      <c r="I153" s="75"/>
      <c r="J153" s="76"/>
      <c r="K153" s="76"/>
      <c r="L153" s="76">
        <v>10700000</v>
      </c>
      <c r="M153" s="76">
        <v>878000</v>
      </c>
      <c r="N153" s="76">
        <v>22078000</v>
      </c>
      <c r="O153" s="76"/>
      <c r="P153" s="76">
        <v>7006000</v>
      </c>
      <c r="Q153" s="76">
        <v>6128000</v>
      </c>
      <c r="R153" s="166"/>
      <c r="S153" s="76"/>
      <c r="T153" s="76">
        <v>5250000</v>
      </c>
      <c r="U153" s="76">
        <v>878000</v>
      </c>
      <c r="V153" s="76"/>
      <c r="W153" s="76"/>
      <c r="X153" s="76"/>
      <c r="Y153" s="76"/>
      <c r="Z153" s="77"/>
      <c r="AA153" s="78"/>
      <c r="AB153" s="291">
        <f t="shared" si="16"/>
        <v>52918000</v>
      </c>
      <c r="AC153" s="295">
        <f t="shared" si="17"/>
        <v>0.26458999999999999</v>
      </c>
      <c r="AD153" s="341">
        <f>'Caribe II'!Q11</f>
        <v>7</v>
      </c>
      <c r="AE153" s="352" t="s">
        <v>21</v>
      </c>
      <c r="AF153" s="345">
        <f t="shared" si="18"/>
        <v>147082000</v>
      </c>
      <c r="AG153" s="79" t="s">
        <v>27</v>
      </c>
      <c r="AH153" s="80">
        <f t="shared" si="19"/>
        <v>7</v>
      </c>
    </row>
    <row r="154" spans="1:34" ht="16.5" x14ac:dyDescent="0.3">
      <c r="A154" s="134" t="s">
        <v>89</v>
      </c>
      <c r="B154" s="23" t="s">
        <v>332</v>
      </c>
      <c r="C154" s="142" t="s">
        <v>18</v>
      </c>
      <c r="D154" s="107" t="s">
        <v>333</v>
      </c>
      <c r="E154" s="176">
        <v>396436</v>
      </c>
      <c r="F154" s="32" t="s">
        <v>227</v>
      </c>
      <c r="G154" s="37">
        <v>44252</v>
      </c>
      <c r="H154" s="61">
        <v>200000000</v>
      </c>
      <c r="I154" s="49"/>
      <c r="J154" s="50">
        <v>10700000</v>
      </c>
      <c r="K154" s="50"/>
      <c r="L154" s="50"/>
      <c r="M154" s="50">
        <v>5000000</v>
      </c>
      <c r="N154" s="50">
        <v>4277500</v>
      </c>
      <c r="O154" s="50"/>
      <c r="P154" s="50"/>
      <c r="Q154" s="50"/>
      <c r="R154" s="66">
        <v>4916000</v>
      </c>
      <c r="S154" s="50">
        <v>4897500</v>
      </c>
      <c r="T154" s="50"/>
      <c r="U154" s="50">
        <v>5333000</v>
      </c>
      <c r="V154" s="50">
        <v>4000000</v>
      </c>
      <c r="W154" s="50">
        <v>10700000</v>
      </c>
      <c r="X154" s="50"/>
      <c r="Y154" s="50"/>
      <c r="Z154" s="51"/>
      <c r="AA154" s="15"/>
      <c r="AB154" s="292">
        <f t="shared" si="16"/>
        <v>49824000</v>
      </c>
      <c r="AC154" s="295">
        <f t="shared" si="17"/>
        <v>0.24912000000000001</v>
      </c>
      <c r="AD154" s="341">
        <f>'Caribe II'!Q20</f>
        <v>8</v>
      </c>
      <c r="AE154" s="353"/>
      <c r="AF154" s="342">
        <f t="shared" si="18"/>
        <v>150176000</v>
      </c>
      <c r="AG154" s="57" t="s">
        <v>27</v>
      </c>
      <c r="AH154" s="58">
        <f t="shared" si="19"/>
        <v>8</v>
      </c>
    </row>
    <row r="155" spans="1:34" ht="16.5" x14ac:dyDescent="0.3">
      <c r="A155" s="146" t="s">
        <v>89</v>
      </c>
      <c r="B155" s="83" t="s">
        <v>383</v>
      </c>
      <c r="C155" s="143" t="s">
        <v>18</v>
      </c>
      <c r="D155" s="367" t="s">
        <v>384</v>
      </c>
      <c r="E155" s="176">
        <v>396756</v>
      </c>
      <c r="F155" s="355" t="s">
        <v>92</v>
      </c>
      <c r="G155" s="37">
        <v>44251</v>
      </c>
      <c r="H155" s="314">
        <v>200000000</v>
      </c>
      <c r="I155" s="49"/>
      <c r="J155" s="50">
        <v>10700000</v>
      </c>
      <c r="K155" s="50"/>
      <c r="L155" s="50"/>
      <c r="M155" s="50"/>
      <c r="N155" s="50"/>
      <c r="O155" s="50"/>
      <c r="P155" s="50"/>
      <c r="Q155" s="50"/>
      <c r="R155" s="66"/>
      <c r="S155" s="50">
        <v>10390000</v>
      </c>
      <c r="T155" s="50">
        <v>20608000</v>
      </c>
      <c r="U155" s="50">
        <v>3000000</v>
      </c>
      <c r="V155" s="50"/>
      <c r="W155" s="50"/>
      <c r="X155" s="50"/>
      <c r="Y155" s="50"/>
      <c r="Z155" s="51"/>
      <c r="AA155" s="15"/>
      <c r="AB155" s="292">
        <f t="shared" si="16"/>
        <v>44698000</v>
      </c>
      <c r="AC155" s="295">
        <f t="shared" si="17"/>
        <v>0.22348999999999999</v>
      </c>
      <c r="AD155" s="341">
        <f>'Caribe II'!Q3</f>
        <v>6</v>
      </c>
      <c r="AE155" s="353"/>
      <c r="AF155" s="342">
        <f t="shared" si="18"/>
        <v>155302000</v>
      </c>
      <c r="AG155" s="57" t="s">
        <v>27</v>
      </c>
      <c r="AH155" s="58">
        <f t="shared" si="19"/>
        <v>4</v>
      </c>
    </row>
    <row r="156" spans="1:34" ht="16.5" x14ac:dyDescent="0.3">
      <c r="A156" s="146" t="s">
        <v>89</v>
      </c>
      <c r="B156" s="24" t="s">
        <v>363</v>
      </c>
      <c r="C156" s="143" t="s">
        <v>18</v>
      </c>
      <c r="D156" s="107" t="s">
        <v>364</v>
      </c>
      <c r="E156" s="176">
        <v>397135</v>
      </c>
      <c r="F156" s="32" t="s">
        <v>146</v>
      </c>
      <c r="G156" s="37">
        <v>44258</v>
      </c>
      <c r="H156" s="61">
        <v>163440000</v>
      </c>
      <c r="I156" s="49"/>
      <c r="J156" s="50"/>
      <c r="K156" s="50"/>
      <c r="L156" s="50">
        <v>10700000</v>
      </c>
      <c r="M156" s="50"/>
      <c r="N156" s="50"/>
      <c r="O156" s="50"/>
      <c r="P156" s="50">
        <v>1000000</v>
      </c>
      <c r="Q156" s="50"/>
      <c r="R156" s="66"/>
      <c r="S156" s="50"/>
      <c r="T156" s="50"/>
      <c r="U156" s="50">
        <v>16716666</v>
      </c>
      <c r="V156" s="50"/>
      <c r="W156" s="50"/>
      <c r="X156" s="50">
        <v>6016666</v>
      </c>
      <c r="Y156" s="50"/>
      <c r="Z156" s="51"/>
      <c r="AA156" s="15"/>
      <c r="AB156" s="292">
        <f t="shared" si="16"/>
        <v>34433332</v>
      </c>
      <c r="AC156" s="295">
        <f t="shared" si="17"/>
        <v>0.21067873225648556</v>
      </c>
      <c r="AD156" s="341">
        <f>'Caribe II'!Q15</f>
        <v>5</v>
      </c>
      <c r="AE156" s="353"/>
      <c r="AF156" s="342">
        <f t="shared" si="18"/>
        <v>129006668</v>
      </c>
      <c r="AG156" s="57" t="s">
        <v>27</v>
      </c>
      <c r="AH156" s="58">
        <f t="shared" si="19"/>
        <v>4</v>
      </c>
    </row>
    <row r="157" spans="1:34" ht="16.5" x14ac:dyDescent="0.3">
      <c r="A157" s="146" t="s">
        <v>89</v>
      </c>
      <c r="B157" s="23" t="s">
        <v>375</v>
      </c>
      <c r="C157" s="143" t="s">
        <v>18</v>
      </c>
      <c r="D157" s="108" t="s">
        <v>376</v>
      </c>
      <c r="E157" s="176">
        <v>396514</v>
      </c>
      <c r="F157" s="32" t="s">
        <v>146</v>
      </c>
      <c r="G157" s="37">
        <v>44252</v>
      </c>
      <c r="H157" s="61">
        <v>179983000</v>
      </c>
      <c r="I157" s="49"/>
      <c r="J157" s="50"/>
      <c r="K157" s="50">
        <v>10700000</v>
      </c>
      <c r="L157" s="50"/>
      <c r="M157" s="50"/>
      <c r="N157" s="50"/>
      <c r="O157" s="50"/>
      <c r="P157" s="50"/>
      <c r="Q157" s="50"/>
      <c r="R157" s="66"/>
      <c r="S157" s="50">
        <v>8657545</v>
      </c>
      <c r="T157" s="50">
        <v>6420000</v>
      </c>
      <c r="U157" s="50">
        <v>11041545</v>
      </c>
      <c r="V157" s="50"/>
      <c r="W157" s="50"/>
      <c r="X157" s="50"/>
      <c r="Y157" s="50"/>
      <c r="Z157" s="51"/>
      <c r="AA157" s="15"/>
      <c r="AB157" s="292">
        <f t="shared" si="16"/>
        <v>36819090</v>
      </c>
      <c r="AC157" s="295">
        <f t="shared" si="17"/>
        <v>0.20456982048304562</v>
      </c>
      <c r="AD157" s="341">
        <f>'Caribe II'!Q7</f>
        <v>6</v>
      </c>
      <c r="AE157" s="353"/>
      <c r="AF157" s="342">
        <f t="shared" si="18"/>
        <v>143163910</v>
      </c>
      <c r="AG157" s="57" t="s">
        <v>27</v>
      </c>
      <c r="AH157" s="58">
        <f t="shared" si="19"/>
        <v>4</v>
      </c>
    </row>
    <row r="158" spans="1:34" s="12" customFormat="1" ht="16.5" x14ac:dyDescent="0.3">
      <c r="A158" s="134" t="s">
        <v>16</v>
      </c>
      <c r="B158" s="23" t="s">
        <v>403</v>
      </c>
      <c r="C158" s="143" t="s">
        <v>18</v>
      </c>
      <c r="D158" s="107" t="s">
        <v>404</v>
      </c>
      <c r="E158" s="176">
        <v>396994</v>
      </c>
      <c r="F158" s="33" t="s">
        <v>84</v>
      </c>
      <c r="G158" s="37">
        <v>44253</v>
      </c>
      <c r="H158" s="61">
        <v>199998000</v>
      </c>
      <c r="I158" s="49"/>
      <c r="J158" s="50"/>
      <c r="K158" s="50"/>
      <c r="L158" s="50"/>
      <c r="M158" s="50"/>
      <c r="N158" s="50"/>
      <c r="O158" s="50"/>
      <c r="P158" s="50"/>
      <c r="Q158" s="50"/>
      <c r="R158" s="66"/>
      <c r="S158" s="50">
        <v>16077750</v>
      </c>
      <c r="T158" s="50"/>
      <c r="U158" s="50">
        <v>3077750</v>
      </c>
      <c r="V158" s="50">
        <v>12155500</v>
      </c>
      <c r="W158" s="50">
        <v>6077750</v>
      </c>
      <c r="X158" s="50">
        <v>3000000</v>
      </c>
      <c r="Y158" s="50"/>
      <c r="Z158" s="51"/>
      <c r="AA158" s="15"/>
      <c r="AB158" s="292">
        <f t="shared" si="16"/>
        <v>40388750</v>
      </c>
      <c r="AC158" s="295">
        <f t="shared" si="17"/>
        <v>0.20194576945769457</v>
      </c>
      <c r="AD158" s="341">
        <f>'Caribe I'!S12</f>
        <v>7</v>
      </c>
      <c r="AE158" s="353"/>
      <c r="AF158" s="342">
        <f t="shared" si="18"/>
        <v>159609250</v>
      </c>
      <c r="AG158" s="57" t="s">
        <v>27</v>
      </c>
      <c r="AH158" s="58">
        <f t="shared" si="19"/>
        <v>5</v>
      </c>
    </row>
    <row r="159" spans="1:34" ht="16.5" x14ac:dyDescent="0.3">
      <c r="A159" s="134" t="s">
        <v>16</v>
      </c>
      <c r="B159" s="23" t="s">
        <v>367</v>
      </c>
      <c r="C159" s="143" t="s">
        <v>18</v>
      </c>
      <c r="D159" s="107" t="s">
        <v>368</v>
      </c>
      <c r="E159" s="176">
        <v>397068</v>
      </c>
      <c r="F159" s="32" t="s">
        <v>268</v>
      </c>
      <c r="G159" s="37">
        <v>44260</v>
      </c>
      <c r="H159" s="61">
        <v>195534000</v>
      </c>
      <c r="I159" s="49"/>
      <c r="J159" s="50"/>
      <c r="K159" s="50"/>
      <c r="L159" s="50"/>
      <c r="M159" s="50"/>
      <c r="N159" s="50"/>
      <c r="O159" s="50">
        <v>3877833</v>
      </c>
      <c r="P159" s="50"/>
      <c r="Q159" s="50">
        <v>4000000</v>
      </c>
      <c r="R159" s="66">
        <v>2083000</v>
      </c>
      <c r="S159" s="50">
        <v>21388000</v>
      </c>
      <c r="T159" s="50"/>
      <c r="U159" s="50"/>
      <c r="V159" s="50">
        <v>5083000</v>
      </c>
      <c r="W159" s="50"/>
      <c r="X159" s="50">
        <v>3000000</v>
      </c>
      <c r="Y159" s="50"/>
      <c r="Z159" s="51"/>
      <c r="AA159" s="15"/>
      <c r="AB159" s="292">
        <f t="shared" si="16"/>
        <v>39431833</v>
      </c>
      <c r="AC159" s="295">
        <f t="shared" si="17"/>
        <v>0.20166228379719128</v>
      </c>
      <c r="AD159" s="341">
        <f>'Caribe I'!S19</f>
        <v>9</v>
      </c>
      <c r="AE159" s="353"/>
      <c r="AF159" s="342">
        <f t="shared" si="18"/>
        <v>156102167</v>
      </c>
      <c r="AG159" s="57" t="s">
        <v>27</v>
      </c>
      <c r="AH159" s="58">
        <f t="shared" si="19"/>
        <v>6</v>
      </c>
    </row>
    <row r="160" spans="1:34" ht="16.5" x14ac:dyDescent="0.3">
      <c r="A160" s="149" t="s">
        <v>55</v>
      </c>
      <c r="B160" s="70" t="s">
        <v>377</v>
      </c>
      <c r="C160" s="144" t="s">
        <v>18</v>
      </c>
      <c r="D160" s="151" t="s">
        <v>378</v>
      </c>
      <c r="E160" s="175">
        <v>397310</v>
      </c>
      <c r="F160" s="72" t="s">
        <v>182</v>
      </c>
      <c r="G160" s="73">
        <v>44260</v>
      </c>
      <c r="H160" s="74">
        <v>200000000</v>
      </c>
      <c r="I160" s="75"/>
      <c r="J160" s="76"/>
      <c r="K160" s="76"/>
      <c r="L160" s="76"/>
      <c r="M160" s="76"/>
      <c r="N160" s="76">
        <v>8750000</v>
      </c>
      <c r="O160" s="76"/>
      <c r="P160" s="76">
        <v>3000000</v>
      </c>
      <c r="Q160" s="76"/>
      <c r="R160" s="166"/>
      <c r="S160" s="76">
        <v>9884000</v>
      </c>
      <c r="T160" s="76">
        <v>8750000</v>
      </c>
      <c r="U160" s="76"/>
      <c r="V160" s="76"/>
      <c r="W160" s="76">
        <v>6343000</v>
      </c>
      <c r="X160" s="76"/>
      <c r="Y160" s="76"/>
      <c r="Z160" s="77"/>
      <c r="AA160" s="78"/>
      <c r="AB160" s="291">
        <f t="shared" si="16"/>
        <v>36727000</v>
      </c>
      <c r="AC160" s="295">
        <f t="shared" si="17"/>
        <v>0.18363499999999999</v>
      </c>
      <c r="AD160" s="341">
        <f>'Eje Cafetero'!U27</f>
        <v>8</v>
      </c>
      <c r="AE160" s="352" t="s">
        <v>21</v>
      </c>
      <c r="AF160" s="345">
        <f t="shared" si="18"/>
        <v>163273000</v>
      </c>
      <c r="AG160" s="79" t="s">
        <v>318</v>
      </c>
      <c r="AH160" s="80">
        <f t="shared" si="19"/>
        <v>5</v>
      </c>
    </row>
    <row r="161" spans="1:34" ht="16.5" x14ac:dyDescent="0.3">
      <c r="A161" s="134" t="s">
        <v>89</v>
      </c>
      <c r="B161" s="23" t="s">
        <v>330</v>
      </c>
      <c r="C161" s="142" t="s">
        <v>18</v>
      </c>
      <c r="D161" s="107" t="s">
        <v>331</v>
      </c>
      <c r="E161" s="176">
        <v>397424</v>
      </c>
      <c r="F161" s="33" t="s">
        <v>151</v>
      </c>
      <c r="G161" s="37">
        <v>44279</v>
      </c>
      <c r="H161" s="61">
        <v>200000000</v>
      </c>
      <c r="I161" s="49"/>
      <c r="J161" s="50">
        <v>8250000</v>
      </c>
      <c r="K161" s="50">
        <v>8250000</v>
      </c>
      <c r="L161" s="50"/>
      <c r="M161" s="50"/>
      <c r="N161" s="50">
        <v>4450000</v>
      </c>
      <c r="O161" s="50">
        <v>2000000</v>
      </c>
      <c r="P161" s="50">
        <v>11155660</v>
      </c>
      <c r="Q161" s="50"/>
      <c r="R161" s="66"/>
      <c r="S161" s="50"/>
      <c r="T161" s="50"/>
      <c r="U161" s="50"/>
      <c r="V161" s="50"/>
      <c r="W161" s="50"/>
      <c r="X161" s="50"/>
      <c r="Y161" s="50"/>
      <c r="Z161" s="51"/>
      <c r="AA161" s="15"/>
      <c r="AB161" s="292">
        <f t="shared" si="16"/>
        <v>34105660</v>
      </c>
      <c r="AC161" s="295">
        <f t="shared" si="17"/>
        <v>0.17052829999999999</v>
      </c>
      <c r="AD161" s="341">
        <f>'Caribe II'!Q29</f>
        <v>7</v>
      </c>
      <c r="AE161" s="353"/>
      <c r="AF161" s="342">
        <f t="shared" si="18"/>
        <v>165894340</v>
      </c>
      <c r="AG161" s="57" t="s">
        <v>27</v>
      </c>
      <c r="AH161" s="58">
        <f t="shared" si="19"/>
        <v>5</v>
      </c>
    </row>
    <row r="162" spans="1:34" s="12" customFormat="1" ht="16.5" x14ac:dyDescent="0.3">
      <c r="A162" s="146" t="s">
        <v>89</v>
      </c>
      <c r="B162" s="23" t="s">
        <v>309</v>
      </c>
      <c r="C162" s="143" t="s">
        <v>18</v>
      </c>
      <c r="D162" s="107" t="s">
        <v>310</v>
      </c>
      <c r="E162" s="176">
        <v>397054</v>
      </c>
      <c r="F162" s="32" t="s">
        <v>92</v>
      </c>
      <c r="G162" s="37">
        <v>44253</v>
      </c>
      <c r="H162" s="61">
        <v>200000000</v>
      </c>
      <c r="I162" s="49"/>
      <c r="J162" s="50"/>
      <c r="K162" s="50">
        <v>10500000</v>
      </c>
      <c r="L162" s="50"/>
      <c r="M162" s="50">
        <v>3756000</v>
      </c>
      <c r="N162" s="50">
        <v>2878000</v>
      </c>
      <c r="O162" s="50">
        <v>2150000</v>
      </c>
      <c r="P162" s="50"/>
      <c r="Q162" s="50">
        <v>13528000</v>
      </c>
      <c r="R162" s="66">
        <v>878000</v>
      </c>
      <c r="S162" s="50"/>
      <c r="T162" s="50"/>
      <c r="U162" s="50"/>
      <c r="V162" s="50"/>
      <c r="W162" s="50"/>
      <c r="X162" s="50"/>
      <c r="Y162" s="50"/>
      <c r="Z162" s="51"/>
      <c r="AA162" s="15"/>
      <c r="AB162" s="292">
        <f t="shared" ref="AB162:AB179" si="20">SUM(I162:AA162)</f>
        <v>33690000</v>
      </c>
      <c r="AC162" s="295">
        <f t="shared" ref="AC162:AC179" si="21">AB162/H162</f>
        <v>0.16844999999999999</v>
      </c>
      <c r="AD162" s="341">
        <f>'Caribe II'!Q16</f>
        <v>7</v>
      </c>
      <c r="AE162" s="353"/>
      <c r="AF162" s="342">
        <f t="shared" ref="AF162:AF179" si="22">H162-AB162</f>
        <v>166310000</v>
      </c>
      <c r="AG162" s="57" t="s">
        <v>27</v>
      </c>
      <c r="AH162" s="58">
        <f t="shared" ref="AH162:AH179" si="23">COUNT(I162:Z162)</f>
        <v>6</v>
      </c>
    </row>
    <row r="163" spans="1:34" ht="16.5" x14ac:dyDescent="0.3">
      <c r="A163" s="134" t="s">
        <v>89</v>
      </c>
      <c r="B163" s="26" t="s">
        <v>313</v>
      </c>
      <c r="C163" s="143" t="s">
        <v>18</v>
      </c>
      <c r="D163" s="107" t="s">
        <v>314</v>
      </c>
      <c r="E163" s="176">
        <v>397369</v>
      </c>
      <c r="F163" s="32" t="s">
        <v>227</v>
      </c>
      <c r="G163" s="37">
        <v>44267</v>
      </c>
      <c r="H163" s="62">
        <v>175000000</v>
      </c>
      <c r="I163" s="49"/>
      <c r="J163" s="50">
        <v>8000000</v>
      </c>
      <c r="K163" s="50"/>
      <c r="L163" s="50"/>
      <c r="M163" s="50"/>
      <c r="N163" s="50">
        <v>6000000</v>
      </c>
      <c r="O163" s="50"/>
      <c r="P163" s="50">
        <v>4833332</v>
      </c>
      <c r="Q163" s="50"/>
      <c r="R163" s="66">
        <v>10000000</v>
      </c>
      <c r="S163" s="50"/>
      <c r="T163" s="50"/>
      <c r="U163" s="50"/>
      <c r="V163" s="50"/>
      <c r="W163" s="50"/>
      <c r="X163" s="50"/>
      <c r="Y163" s="50"/>
      <c r="Z163" s="51"/>
      <c r="AA163" s="15"/>
      <c r="AB163" s="292">
        <f t="shared" si="20"/>
        <v>28833332</v>
      </c>
      <c r="AC163" s="295">
        <f t="shared" si="21"/>
        <v>0.16476189714285713</v>
      </c>
      <c r="AD163" s="341">
        <f>'Caribe II'!Q33</f>
        <v>9</v>
      </c>
      <c r="AE163" s="353"/>
      <c r="AF163" s="342">
        <f t="shared" si="22"/>
        <v>146166668</v>
      </c>
      <c r="AG163" s="57" t="s">
        <v>27</v>
      </c>
      <c r="AH163" s="58">
        <f t="shared" si="23"/>
        <v>4</v>
      </c>
    </row>
    <row r="164" spans="1:34" s="12" customFormat="1" ht="16.5" x14ac:dyDescent="0.3">
      <c r="A164" s="149" t="s">
        <v>105</v>
      </c>
      <c r="B164" s="156" t="s">
        <v>315</v>
      </c>
      <c r="C164" s="144" t="s">
        <v>18</v>
      </c>
      <c r="D164" s="151" t="s">
        <v>316</v>
      </c>
      <c r="E164" s="175">
        <v>397073</v>
      </c>
      <c r="F164" s="152" t="s">
        <v>317</v>
      </c>
      <c r="G164" s="73">
        <v>44256</v>
      </c>
      <c r="H164" s="157">
        <v>200000000</v>
      </c>
      <c r="I164" s="75"/>
      <c r="J164" s="76">
        <v>10700000</v>
      </c>
      <c r="K164" s="76"/>
      <c r="L164" s="76"/>
      <c r="M164" s="76"/>
      <c r="N164" s="76">
        <v>1755666</v>
      </c>
      <c r="O164" s="76"/>
      <c r="P164" s="76">
        <v>8233499</v>
      </c>
      <c r="Q164" s="76"/>
      <c r="R164" s="166">
        <v>11322000</v>
      </c>
      <c r="S164" s="76"/>
      <c r="T164" s="76"/>
      <c r="U164" s="76"/>
      <c r="V164" s="76"/>
      <c r="W164" s="76"/>
      <c r="X164" s="76"/>
      <c r="Y164" s="76"/>
      <c r="Z164" s="77"/>
      <c r="AA164" s="78"/>
      <c r="AB164" s="291">
        <f t="shared" si="20"/>
        <v>32011165</v>
      </c>
      <c r="AC164" s="295">
        <f t="shared" si="21"/>
        <v>0.16005582500000001</v>
      </c>
      <c r="AD164" s="341">
        <f>Llanos!U22</f>
        <v>8</v>
      </c>
      <c r="AE164" s="352" t="s">
        <v>21</v>
      </c>
      <c r="AF164" s="345">
        <f t="shared" si="22"/>
        <v>167988835</v>
      </c>
      <c r="AG164" s="79" t="s">
        <v>318</v>
      </c>
      <c r="AH164" s="80">
        <f t="shared" si="23"/>
        <v>4</v>
      </c>
    </row>
    <row r="165" spans="1:34" ht="16.5" x14ac:dyDescent="0.3">
      <c r="A165" s="134" t="s">
        <v>89</v>
      </c>
      <c r="B165" s="23" t="s">
        <v>334</v>
      </c>
      <c r="C165" s="143" t="s">
        <v>18</v>
      </c>
      <c r="D165" s="107" t="s">
        <v>335</v>
      </c>
      <c r="E165" s="176">
        <v>397226</v>
      </c>
      <c r="F165" s="32" t="s">
        <v>151</v>
      </c>
      <c r="G165" s="37">
        <v>44267</v>
      </c>
      <c r="H165" s="61">
        <v>200000000</v>
      </c>
      <c r="I165" s="49"/>
      <c r="J165" s="50">
        <v>10700000</v>
      </c>
      <c r="K165" s="50"/>
      <c r="L165" s="50"/>
      <c r="M165" s="50"/>
      <c r="N165" s="50"/>
      <c r="O165" s="50"/>
      <c r="P165" s="50">
        <v>6161320</v>
      </c>
      <c r="Q165" s="50">
        <v>4480660</v>
      </c>
      <c r="R165" s="66">
        <v>3500000</v>
      </c>
      <c r="S165" s="50"/>
      <c r="T165" s="50"/>
      <c r="U165" s="50"/>
      <c r="V165" s="50">
        <v>3500000</v>
      </c>
      <c r="W165" s="50"/>
      <c r="X165" s="50"/>
      <c r="Y165" s="50"/>
      <c r="Z165" s="51"/>
      <c r="AA165" s="15"/>
      <c r="AB165" s="292">
        <f t="shared" si="20"/>
        <v>28341980</v>
      </c>
      <c r="AC165" s="295">
        <f t="shared" si="21"/>
        <v>0.1417099</v>
      </c>
      <c r="AD165" s="341">
        <f>'Caribe II'!Q24</f>
        <v>8</v>
      </c>
      <c r="AE165" s="353"/>
      <c r="AF165" s="342">
        <f t="shared" si="22"/>
        <v>171658020</v>
      </c>
      <c r="AG165" s="57" t="s">
        <v>27</v>
      </c>
      <c r="AH165" s="58">
        <f t="shared" si="23"/>
        <v>5</v>
      </c>
    </row>
    <row r="166" spans="1:34" s="12" customFormat="1" ht="16.5" x14ac:dyDescent="0.3">
      <c r="A166" s="134" t="s">
        <v>16</v>
      </c>
      <c r="B166" s="23" t="s">
        <v>401</v>
      </c>
      <c r="C166" s="143" t="s">
        <v>18</v>
      </c>
      <c r="D166" s="107" t="s">
        <v>402</v>
      </c>
      <c r="E166" s="176">
        <v>397273</v>
      </c>
      <c r="F166" s="33" t="s">
        <v>268</v>
      </c>
      <c r="G166" s="37">
        <v>44264</v>
      </c>
      <c r="H166" s="61">
        <v>175000000</v>
      </c>
      <c r="I166" s="49"/>
      <c r="J166" s="50"/>
      <c r="K166" s="50"/>
      <c r="L166" s="50"/>
      <c r="M166" s="50"/>
      <c r="N166" s="50"/>
      <c r="O166" s="50"/>
      <c r="P166" s="50"/>
      <c r="Q166" s="50">
        <v>4280000</v>
      </c>
      <c r="R166" s="66"/>
      <c r="S166" s="50"/>
      <c r="T166" s="50">
        <v>6000000</v>
      </c>
      <c r="U166" s="50">
        <v>1200000</v>
      </c>
      <c r="V166" s="50">
        <v>6500000</v>
      </c>
      <c r="W166" s="50"/>
      <c r="X166" s="50">
        <v>6000000</v>
      </c>
      <c r="Y166" s="50"/>
      <c r="Z166" s="51"/>
      <c r="AA166" s="15"/>
      <c r="AB166" s="292">
        <f t="shared" si="20"/>
        <v>23980000</v>
      </c>
      <c r="AC166" s="295">
        <f t="shared" si="21"/>
        <v>0.13702857142857142</v>
      </c>
      <c r="AD166" s="341">
        <f>'Caribe I'!S20</f>
        <v>7</v>
      </c>
      <c r="AE166" s="353"/>
      <c r="AF166" s="342">
        <f t="shared" si="22"/>
        <v>151020000</v>
      </c>
      <c r="AG166" s="57" t="s">
        <v>27</v>
      </c>
      <c r="AH166" s="58">
        <f t="shared" si="23"/>
        <v>5</v>
      </c>
    </row>
    <row r="167" spans="1:34" ht="16.5" x14ac:dyDescent="0.3">
      <c r="A167" s="134" t="s">
        <v>49</v>
      </c>
      <c r="B167" s="23" t="s">
        <v>373</v>
      </c>
      <c r="C167" s="143" t="s">
        <v>18</v>
      </c>
      <c r="D167" s="107" t="s">
        <v>374</v>
      </c>
      <c r="E167" s="176">
        <v>397318</v>
      </c>
      <c r="F167" s="32" t="s">
        <v>125</v>
      </c>
      <c r="G167" s="37">
        <v>44260</v>
      </c>
      <c r="H167" s="61">
        <v>172130000</v>
      </c>
      <c r="I167" s="49"/>
      <c r="J167" s="50"/>
      <c r="K167" s="50"/>
      <c r="L167" s="50">
        <v>10700000</v>
      </c>
      <c r="M167" s="50"/>
      <c r="N167" s="50"/>
      <c r="O167" s="50"/>
      <c r="P167" s="50"/>
      <c r="Q167" s="50"/>
      <c r="R167" s="66"/>
      <c r="S167" s="50"/>
      <c r="T167" s="50"/>
      <c r="U167" s="50"/>
      <c r="V167" s="50"/>
      <c r="W167" s="50"/>
      <c r="X167" s="50">
        <v>11500000</v>
      </c>
      <c r="Y167" s="50"/>
      <c r="Z167" s="51"/>
      <c r="AA167" s="15"/>
      <c r="AB167" s="292">
        <f t="shared" si="20"/>
        <v>22200000</v>
      </c>
      <c r="AC167" s="295">
        <f t="shared" si="21"/>
        <v>0.12897228838668448</v>
      </c>
      <c r="AD167" s="341">
        <f>Santanderes!U8</f>
        <v>10</v>
      </c>
      <c r="AE167" s="353"/>
      <c r="AF167" s="342">
        <f t="shared" si="22"/>
        <v>149930000</v>
      </c>
      <c r="AG167" s="57" t="s">
        <v>27</v>
      </c>
      <c r="AH167" s="58">
        <f t="shared" si="23"/>
        <v>2</v>
      </c>
    </row>
    <row r="168" spans="1:34" ht="16.5" x14ac:dyDescent="0.3">
      <c r="A168" s="146" t="s">
        <v>89</v>
      </c>
      <c r="B168" s="23" t="s">
        <v>340</v>
      </c>
      <c r="C168" s="142" t="s">
        <v>18</v>
      </c>
      <c r="D168" s="108" t="s">
        <v>341</v>
      </c>
      <c r="E168" s="176">
        <v>396810</v>
      </c>
      <c r="F168" s="32" t="s">
        <v>92</v>
      </c>
      <c r="G168" s="37">
        <v>44251</v>
      </c>
      <c r="H168" s="61">
        <v>200000000</v>
      </c>
      <c r="I168" s="49"/>
      <c r="J168" s="50">
        <v>10700000</v>
      </c>
      <c r="K168" s="50"/>
      <c r="L168" s="50"/>
      <c r="M168" s="50">
        <v>10700000</v>
      </c>
      <c r="N168" s="50"/>
      <c r="O168" s="50"/>
      <c r="P168" s="50">
        <v>1756000</v>
      </c>
      <c r="Q168" s="50"/>
      <c r="R168" s="66"/>
      <c r="S168" s="50">
        <v>878000</v>
      </c>
      <c r="T168" s="50"/>
      <c r="U168" s="50"/>
      <c r="V168" s="50"/>
      <c r="W168" s="50"/>
      <c r="X168" s="50"/>
      <c r="Y168" s="50"/>
      <c r="Z168" s="51"/>
      <c r="AA168" s="15"/>
      <c r="AB168" s="292">
        <f t="shared" si="20"/>
        <v>24034000</v>
      </c>
      <c r="AC168" s="295">
        <f t="shared" si="21"/>
        <v>0.12017</v>
      </c>
      <c r="AD168" s="341">
        <f>'Caribe II'!Q4</f>
        <v>8</v>
      </c>
      <c r="AE168" s="353"/>
      <c r="AF168" s="342">
        <f t="shared" si="22"/>
        <v>175966000</v>
      </c>
      <c r="AG168" s="57" t="s">
        <v>27</v>
      </c>
      <c r="AH168" s="58">
        <f t="shared" si="23"/>
        <v>4</v>
      </c>
    </row>
    <row r="169" spans="1:34" ht="16.5" x14ac:dyDescent="0.3">
      <c r="A169" s="149" t="s">
        <v>23</v>
      </c>
      <c r="B169" s="70" t="s">
        <v>342</v>
      </c>
      <c r="C169" s="144" t="s">
        <v>18</v>
      </c>
      <c r="D169" s="151" t="s">
        <v>343</v>
      </c>
      <c r="E169" s="175">
        <v>396873</v>
      </c>
      <c r="F169" s="72" t="s">
        <v>68</v>
      </c>
      <c r="G169" s="73">
        <v>44252</v>
      </c>
      <c r="H169" s="74">
        <v>199934000</v>
      </c>
      <c r="I169" s="75"/>
      <c r="J169" s="76"/>
      <c r="K169" s="76">
        <v>10700000</v>
      </c>
      <c r="L169" s="76"/>
      <c r="M169" s="76"/>
      <c r="N169" s="76"/>
      <c r="O169" s="76"/>
      <c r="P169" s="76"/>
      <c r="Q169" s="76"/>
      <c r="R169" s="166">
        <v>12072000</v>
      </c>
      <c r="S169" s="76"/>
      <c r="T169" s="76"/>
      <c r="U169" s="76"/>
      <c r="V169" s="76"/>
      <c r="W169" s="76"/>
      <c r="X169" s="76"/>
      <c r="Y169" s="76"/>
      <c r="Z169" s="77"/>
      <c r="AA169" s="78"/>
      <c r="AB169" s="291">
        <f t="shared" si="20"/>
        <v>22772000</v>
      </c>
      <c r="AC169" s="295">
        <f t="shared" si="21"/>
        <v>0.11389758620344714</v>
      </c>
      <c r="AD169" s="341">
        <f>Central!R16</f>
        <v>7</v>
      </c>
      <c r="AE169" s="352" t="s">
        <v>21</v>
      </c>
      <c r="AF169" s="345">
        <f t="shared" si="22"/>
        <v>177162000</v>
      </c>
      <c r="AG169" s="79" t="s">
        <v>318</v>
      </c>
      <c r="AH169" s="80">
        <f t="shared" si="23"/>
        <v>2</v>
      </c>
    </row>
    <row r="170" spans="1:34" s="12" customFormat="1" ht="16.5" x14ac:dyDescent="0.3">
      <c r="A170" s="146" t="s">
        <v>32</v>
      </c>
      <c r="B170" s="23" t="s">
        <v>399</v>
      </c>
      <c r="C170" s="143" t="s">
        <v>18</v>
      </c>
      <c r="D170" s="107" t="s">
        <v>400</v>
      </c>
      <c r="E170" s="176">
        <v>397059</v>
      </c>
      <c r="F170" s="32" t="s">
        <v>241</v>
      </c>
      <c r="G170" s="37">
        <v>44256</v>
      </c>
      <c r="H170" s="61">
        <v>138758000</v>
      </c>
      <c r="I170" s="49"/>
      <c r="J170" s="50"/>
      <c r="K170" s="50"/>
      <c r="L170" s="50"/>
      <c r="M170" s="50"/>
      <c r="N170" s="50"/>
      <c r="O170" s="50"/>
      <c r="P170" s="50"/>
      <c r="Q170" s="50"/>
      <c r="R170" s="66"/>
      <c r="S170" s="50"/>
      <c r="T170" s="50"/>
      <c r="U170" s="50"/>
      <c r="V170" s="50">
        <v>13565000</v>
      </c>
      <c r="W170" s="50"/>
      <c r="X170" s="50"/>
      <c r="Y170" s="50"/>
      <c r="Z170" s="51"/>
      <c r="AA170" s="15"/>
      <c r="AB170" s="292">
        <f t="shared" si="20"/>
        <v>13565000</v>
      </c>
      <c r="AC170" s="295">
        <f t="shared" si="21"/>
        <v>9.776012914570692E-2</v>
      </c>
      <c r="AD170" s="341">
        <f>Amazonía!V21</f>
        <v>6</v>
      </c>
      <c r="AE170" s="353"/>
      <c r="AF170" s="342">
        <f t="shared" si="22"/>
        <v>125193000</v>
      </c>
      <c r="AG170" s="57" t="s">
        <v>27</v>
      </c>
      <c r="AH170" s="58">
        <f t="shared" si="23"/>
        <v>1</v>
      </c>
    </row>
    <row r="171" spans="1:34" ht="16.5" x14ac:dyDescent="0.3">
      <c r="A171" s="149" t="s">
        <v>16</v>
      </c>
      <c r="B171" s="156" t="s">
        <v>354</v>
      </c>
      <c r="C171" s="144" t="s">
        <v>18</v>
      </c>
      <c r="D171" s="151" t="s">
        <v>355</v>
      </c>
      <c r="E171" s="175">
        <v>398776</v>
      </c>
      <c r="F171" s="152" t="s">
        <v>356</v>
      </c>
      <c r="G171" s="73">
        <v>44349</v>
      </c>
      <c r="H171" s="157">
        <v>99960000</v>
      </c>
      <c r="I171" s="75"/>
      <c r="J171" s="76"/>
      <c r="K171" s="76"/>
      <c r="L171" s="76"/>
      <c r="M171" s="76"/>
      <c r="N171" s="76"/>
      <c r="O171" s="76"/>
      <c r="P171" s="76"/>
      <c r="Q171" s="76"/>
      <c r="R171" s="166">
        <v>8500000</v>
      </c>
      <c r="S171" s="76"/>
      <c r="T171" s="76"/>
      <c r="U171" s="76"/>
      <c r="V171" s="76"/>
      <c r="W171" s="76"/>
      <c r="X171" s="76"/>
      <c r="Y171" s="76"/>
      <c r="Z171" s="77"/>
      <c r="AA171" s="78"/>
      <c r="AB171" s="291">
        <f t="shared" si="20"/>
        <v>8500000</v>
      </c>
      <c r="AC171" s="295">
        <f t="shared" si="21"/>
        <v>8.5034013605442174E-2</v>
      </c>
      <c r="AD171" s="341">
        <f>'Caribe I'!S18</f>
        <v>5</v>
      </c>
      <c r="AE171" s="352" t="s">
        <v>21</v>
      </c>
      <c r="AF171" s="345">
        <f t="shared" si="22"/>
        <v>91460000</v>
      </c>
      <c r="AG171" s="79" t="s">
        <v>318</v>
      </c>
      <c r="AH171" s="80">
        <f t="shared" si="23"/>
        <v>1</v>
      </c>
    </row>
    <row r="172" spans="1:34" s="12" customFormat="1" ht="16.5" x14ac:dyDescent="0.3">
      <c r="A172" s="149" t="s">
        <v>23</v>
      </c>
      <c r="B172" s="70" t="s">
        <v>359</v>
      </c>
      <c r="C172" s="144" t="s">
        <v>18</v>
      </c>
      <c r="D172" s="151" t="s">
        <v>360</v>
      </c>
      <c r="E172" s="175">
        <v>396513</v>
      </c>
      <c r="F172" s="72" t="s">
        <v>26</v>
      </c>
      <c r="G172" s="73">
        <v>44260</v>
      </c>
      <c r="H172" s="74">
        <v>189998312</v>
      </c>
      <c r="I172" s="75"/>
      <c r="J172" s="76"/>
      <c r="K172" s="76"/>
      <c r="L172" s="76"/>
      <c r="M172" s="76"/>
      <c r="N172" s="76">
        <v>10700000</v>
      </c>
      <c r="O172" s="76"/>
      <c r="P172" s="76">
        <v>4280000</v>
      </c>
      <c r="Q172" s="76"/>
      <c r="R172" s="166"/>
      <c r="S172" s="76"/>
      <c r="T172" s="76"/>
      <c r="U172" s="76"/>
      <c r="V172" s="76"/>
      <c r="W172" s="76"/>
      <c r="X172" s="76"/>
      <c r="Y172" s="76"/>
      <c r="Z172" s="77"/>
      <c r="AA172" s="78"/>
      <c r="AB172" s="291">
        <f t="shared" si="20"/>
        <v>14980000</v>
      </c>
      <c r="AC172" s="295">
        <f t="shared" si="21"/>
        <v>7.884280571924239E-2</v>
      </c>
      <c r="AD172" s="341">
        <f>Central!R4</f>
        <v>7</v>
      </c>
      <c r="AE172" s="352" t="s">
        <v>21</v>
      </c>
      <c r="AF172" s="345">
        <f t="shared" si="22"/>
        <v>175018312</v>
      </c>
      <c r="AG172" s="79" t="s">
        <v>318</v>
      </c>
      <c r="AH172" s="80">
        <f t="shared" si="23"/>
        <v>2</v>
      </c>
    </row>
    <row r="173" spans="1:34" ht="16.5" x14ac:dyDescent="0.3">
      <c r="A173" s="149" t="s">
        <v>16</v>
      </c>
      <c r="B173" s="70" t="s">
        <v>415</v>
      </c>
      <c r="C173" s="144" t="s">
        <v>18</v>
      </c>
      <c r="D173" s="151" t="s">
        <v>416</v>
      </c>
      <c r="E173" s="175">
        <v>397549</v>
      </c>
      <c r="F173" s="152" t="s">
        <v>268</v>
      </c>
      <c r="G173" s="73">
        <v>44299</v>
      </c>
      <c r="H173" s="74">
        <v>173384000</v>
      </c>
      <c r="I173" s="75"/>
      <c r="J173" s="76"/>
      <c r="K173" s="76"/>
      <c r="L173" s="76"/>
      <c r="M173" s="76"/>
      <c r="N173" s="76"/>
      <c r="O173" s="76"/>
      <c r="P173" s="76"/>
      <c r="Q173" s="76"/>
      <c r="R173" s="166"/>
      <c r="S173" s="76"/>
      <c r="T173" s="76">
        <v>10700000</v>
      </c>
      <c r="U173" s="76"/>
      <c r="V173" s="76"/>
      <c r="W173" s="76"/>
      <c r="X173" s="76"/>
      <c r="Y173" s="76"/>
      <c r="Z173" s="77"/>
      <c r="AA173" s="270"/>
      <c r="AB173" s="291">
        <f t="shared" si="20"/>
        <v>10700000</v>
      </c>
      <c r="AC173" s="295">
        <f t="shared" si="21"/>
        <v>6.1712730125040374E-2</v>
      </c>
      <c r="AD173" s="341">
        <f>'Caribe I'!S15</f>
        <v>5</v>
      </c>
      <c r="AE173" s="352" t="s">
        <v>21</v>
      </c>
      <c r="AF173" s="345">
        <f t="shared" si="22"/>
        <v>162684000</v>
      </c>
      <c r="AG173" s="79" t="s">
        <v>318</v>
      </c>
      <c r="AH173" s="80">
        <f t="shared" si="23"/>
        <v>1</v>
      </c>
    </row>
    <row r="174" spans="1:34" s="12" customFormat="1" ht="16.5" x14ac:dyDescent="0.3">
      <c r="A174" s="146" t="s">
        <v>89</v>
      </c>
      <c r="B174" s="23" t="s">
        <v>385</v>
      </c>
      <c r="C174" s="143" t="s">
        <v>18</v>
      </c>
      <c r="D174" s="107" t="s">
        <v>386</v>
      </c>
      <c r="E174" s="176">
        <v>397005</v>
      </c>
      <c r="F174" s="32" t="s">
        <v>92</v>
      </c>
      <c r="G174" s="37">
        <v>44253</v>
      </c>
      <c r="H174" s="61">
        <v>200000000</v>
      </c>
      <c r="I174" s="49"/>
      <c r="J174" s="50"/>
      <c r="K174" s="50"/>
      <c r="L174" s="50"/>
      <c r="M174" s="50">
        <v>10700000</v>
      </c>
      <c r="N174" s="50"/>
      <c r="O174" s="50"/>
      <c r="P174" s="50"/>
      <c r="Q174" s="50"/>
      <c r="R174" s="66"/>
      <c r="S174" s="50"/>
      <c r="T174" s="50"/>
      <c r="U174" s="50"/>
      <c r="V174" s="50"/>
      <c r="W174" s="50"/>
      <c r="X174" s="50"/>
      <c r="Y174" s="50"/>
      <c r="Z174" s="51"/>
      <c r="AA174" s="297"/>
      <c r="AB174" s="292">
        <f t="shared" si="20"/>
        <v>10700000</v>
      </c>
      <c r="AC174" s="295">
        <f t="shared" si="21"/>
        <v>5.3499999999999999E-2</v>
      </c>
      <c r="AD174" s="341">
        <f>'Caribe II'!Q19</f>
        <v>4</v>
      </c>
      <c r="AE174" s="353"/>
      <c r="AF174" s="342">
        <f t="shared" si="22"/>
        <v>189300000</v>
      </c>
      <c r="AG174" s="57" t="s">
        <v>27</v>
      </c>
      <c r="AH174" s="58">
        <f t="shared" si="23"/>
        <v>1</v>
      </c>
    </row>
    <row r="175" spans="1:34" ht="16.5" x14ac:dyDescent="0.3">
      <c r="A175" s="148" t="s">
        <v>49</v>
      </c>
      <c r="B175" s="70" t="s">
        <v>387</v>
      </c>
      <c r="C175" s="150" t="s">
        <v>18</v>
      </c>
      <c r="D175" s="111" t="s">
        <v>388</v>
      </c>
      <c r="E175" s="175">
        <v>397138</v>
      </c>
      <c r="F175" s="72" t="s">
        <v>125</v>
      </c>
      <c r="G175" s="73">
        <v>44258</v>
      </c>
      <c r="H175" s="74">
        <v>200000000</v>
      </c>
      <c r="I175" s="75"/>
      <c r="J175" s="76">
        <v>10700000</v>
      </c>
      <c r="K175" s="76"/>
      <c r="L175" s="76"/>
      <c r="M175" s="76"/>
      <c r="N175" s="76"/>
      <c r="O175" s="76"/>
      <c r="P175" s="76"/>
      <c r="Q175" s="76"/>
      <c r="R175" s="166"/>
      <c r="S175" s="76"/>
      <c r="T175" s="76"/>
      <c r="U175" s="76"/>
      <c r="V175" s="76"/>
      <c r="W175" s="76"/>
      <c r="X175" s="76"/>
      <c r="Y175" s="76"/>
      <c r="Z175" s="77"/>
      <c r="AA175" s="270"/>
      <c r="AB175" s="291">
        <f t="shared" si="20"/>
        <v>10700000</v>
      </c>
      <c r="AC175" s="295">
        <f t="shared" si="21"/>
        <v>5.3499999999999999E-2</v>
      </c>
      <c r="AD175" s="341">
        <f>Santanderes!U6</f>
        <v>5</v>
      </c>
      <c r="AE175" s="352" t="s">
        <v>21</v>
      </c>
      <c r="AF175" s="345">
        <f t="shared" si="22"/>
        <v>189300000</v>
      </c>
      <c r="AG175" s="79" t="s">
        <v>318</v>
      </c>
      <c r="AH175" s="80">
        <f t="shared" si="23"/>
        <v>1</v>
      </c>
    </row>
    <row r="176" spans="1:34" s="12" customFormat="1" ht="16.5" x14ac:dyDescent="0.3">
      <c r="A176" s="149" t="s">
        <v>16</v>
      </c>
      <c r="B176" s="156" t="s">
        <v>391</v>
      </c>
      <c r="C176" s="144" t="s">
        <v>18</v>
      </c>
      <c r="D176" s="151" t="s">
        <v>392</v>
      </c>
      <c r="E176" s="175">
        <v>396871</v>
      </c>
      <c r="F176" s="152" t="s">
        <v>356</v>
      </c>
      <c r="G176" s="73">
        <v>44252</v>
      </c>
      <c r="H176" s="157">
        <v>159814000</v>
      </c>
      <c r="I176" s="75"/>
      <c r="J176" s="76"/>
      <c r="K176" s="76"/>
      <c r="L176" s="76"/>
      <c r="M176" s="76"/>
      <c r="N176" s="76">
        <v>8500000</v>
      </c>
      <c r="O176" s="76"/>
      <c r="P176" s="76"/>
      <c r="Q176" s="76"/>
      <c r="R176" s="166"/>
      <c r="S176" s="76"/>
      <c r="T176" s="76"/>
      <c r="U176" s="76"/>
      <c r="V176" s="76"/>
      <c r="W176" s="76"/>
      <c r="X176" s="76"/>
      <c r="Y176" s="76"/>
      <c r="Z176" s="77"/>
      <c r="AA176" s="270"/>
      <c r="AB176" s="291">
        <f t="shared" si="20"/>
        <v>8500000</v>
      </c>
      <c r="AC176" s="295">
        <f t="shared" si="21"/>
        <v>5.3186829689514062E-2</v>
      </c>
      <c r="AD176" s="341">
        <f>'Caribe I'!S17</f>
        <v>5</v>
      </c>
      <c r="AE176" s="352" t="s">
        <v>21</v>
      </c>
      <c r="AF176" s="345">
        <f t="shared" si="22"/>
        <v>151314000</v>
      </c>
      <c r="AG176" s="79" t="s">
        <v>318</v>
      </c>
      <c r="AH176" s="80">
        <f t="shared" si="23"/>
        <v>1</v>
      </c>
    </row>
    <row r="177" spans="1:34" s="12" customFormat="1" ht="16.5" x14ac:dyDescent="0.3">
      <c r="A177" s="149" t="s">
        <v>89</v>
      </c>
      <c r="B177" s="156" t="s">
        <v>393</v>
      </c>
      <c r="C177" s="144" t="s">
        <v>18</v>
      </c>
      <c r="D177" s="151" t="s">
        <v>394</v>
      </c>
      <c r="E177" s="175">
        <v>396896</v>
      </c>
      <c r="F177" s="152" t="s">
        <v>146</v>
      </c>
      <c r="G177" s="73">
        <v>44252</v>
      </c>
      <c r="H177" s="245">
        <v>195882000</v>
      </c>
      <c r="I177" s="75"/>
      <c r="J177" s="76"/>
      <c r="K177" s="76"/>
      <c r="L177" s="76"/>
      <c r="M177" s="76"/>
      <c r="N177" s="76">
        <v>10025000</v>
      </c>
      <c r="O177" s="76"/>
      <c r="P177" s="76"/>
      <c r="Q177" s="76"/>
      <c r="R177" s="166"/>
      <c r="S177" s="76"/>
      <c r="T177" s="76"/>
      <c r="U177" s="76"/>
      <c r="V177" s="76"/>
      <c r="W177" s="76"/>
      <c r="X177" s="76"/>
      <c r="Y177" s="76"/>
      <c r="Z177" s="298"/>
      <c r="AA177" s="270"/>
      <c r="AB177" s="291">
        <f t="shared" si="20"/>
        <v>10025000</v>
      </c>
      <c r="AC177" s="295">
        <f t="shared" si="21"/>
        <v>5.1178770892680289E-2</v>
      </c>
      <c r="AD177" s="341">
        <f>'Caribe II'!Q13</f>
        <v>6</v>
      </c>
      <c r="AE177" s="352" t="s">
        <v>21</v>
      </c>
      <c r="AF177" s="345">
        <f t="shared" si="22"/>
        <v>185857000</v>
      </c>
      <c r="AG177" s="79" t="s">
        <v>318</v>
      </c>
      <c r="AH177" s="80">
        <f t="shared" si="23"/>
        <v>1</v>
      </c>
    </row>
    <row r="178" spans="1:34" ht="16.5" x14ac:dyDescent="0.3">
      <c r="A178" s="303" t="s">
        <v>16</v>
      </c>
      <c r="B178" s="304" t="s">
        <v>395</v>
      </c>
      <c r="C178" s="150" t="s">
        <v>18</v>
      </c>
      <c r="D178" s="305" t="s">
        <v>396</v>
      </c>
      <c r="E178" s="175">
        <v>396809</v>
      </c>
      <c r="F178" s="306" t="s">
        <v>356</v>
      </c>
      <c r="G178" s="307">
        <v>44252</v>
      </c>
      <c r="H178" s="308">
        <v>174240000</v>
      </c>
      <c r="I178" s="309"/>
      <c r="J178" s="166"/>
      <c r="K178" s="166">
        <v>8500000</v>
      </c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6"/>
      <c r="W178" s="166"/>
      <c r="X178" s="166"/>
      <c r="Y178" s="166"/>
      <c r="Z178" s="310"/>
      <c r="AA178" s="270"/>
      <c r="AB178" s="291">
        <f t="shared" si="20"/>
        <v>8500000</v>
      </c>
      <c r="AC178" s="295">
        <f t="shared" si="21"/>
        <v>4.8783287419651059E-2</v>
      </c>
      <c r="AD178" s="341">
        <f>'Caribe I'!S16</f>
        <v>5</v>
      </c>
      <c r="AE178" s="352" t="s">
        <v>21</v>
      </c>
      <c r="AF178" s="345">
        <f t="shared" si="22"/>
        <v>165740000</v>
      </c>
      <c r="AG178" s="311" t="s">
        <v>318</v>
      </c>
      <c r="AH178" s="312">
        <f t="shared" si="23"/>
        <v>1</v>
      </c>
    </row>
    <row r="179" spans="1:34" ht="17.25" thickBot="1" x14ac:dyDescent="0.35">
      <c r="A179" s="260" t="s">
        <v>28</v>
      </c>
      <c r="B179" s="261" t="s">
        <v>411</v>
      </c>
      <c r="C179" s="271" t="s">
        <v>18</v>
      </c>
      <c r="D179" s="262" t="s">
        <v>412</v>
      </c>
      <c r="E179" s="272">
        <v>397448</v>
      </c>
      <c r="F179" s="263" t="s">
        <v>238</v>
      </c>
      <c r="G179" s="264">
        <v>44279</v>
      </c>
      <c r="H179" s="265">
        <v>174120000</v>
      </c>
      <c r="I179" s="266"/>
      <c r="J179" s="267"/>
      <c r="K179" s="267"/>
      <c r="L179" s="267"/>
      <c r="M179" s="267"/>
      <c r="N179" s="267"/>
      <c r="O179" s="267"/>
      <c r="P179" s="267"/>
      <c r="Q179" s="267"/>
      <c r="R179" s="267"/>
      <c r="S179" s="267"/>
      <c r="T179" s="267"/>
      <c r="U179" s="267"/>
      <c r="V179" s="267"/>
      <c r="W179" s="267"/>
      <c r="X179" s="267"/>
      <c r="Y179" s="267"/>
      <c r="Z179" s="268"/>
      <c r="AA179" s="270"/>
      <c r="AB179" s="291">
        <f t="shared" si="20"/>
        <v>0</v>
      </c>
      <c r="AC179" s="295">
        <f t="shared" si="21"/>
        <v>0</v>
      </c>
      <c r="AD179" s="348">
        <f>Pacífico!U17</f>
        <v>5</v>
      </c>
      <c r="AE179" s="352" t="s">
        <v>21</v>
      </c>
      <c r="AF179" s="345">
        <f t="shared" si="22"/>
        <v>174120000</v>
      </c>
      <c r="AG179" s="269" t="s">
        <v>318</v>
      </c>
      <c r="AH179" s="273">
        <f t="shared" si="23"/>
        <v>0</v>
      </c>
    </row>
    <row r="180" spans="1:34" ht="17.25" thickBot="1" x14ac:dyDescent="0.35">
      <c r="A180" s="274"/>
      <c r="B180" s="275"/>
      <c r="C180" s="275"/>
      <c r="D180" s="276"/>
      <c r="E180" s="276"/>
      <c r="F180" s="277"/>
      <c r="G180" s="278"/>
      <c r="H180" s="279"/>
      <c r="I180" s="280">
        <f t="shared" ref="I180:AB180" si="24">SUM(I2:I177)</f>
        <v>127000000</v>
      </c>
      <c r="J180" s="280">
        <f t="shared" si="24"/>
        <v>592250000</v>
      </c>
      <c r="K180" s="280">
        <f t="shared" si="24"/>
        <v>496397763</v>
      </c>
      <c r="L180" s="280">
        <f t="shared" si="24"/>
        <v>510606907.72999996</v>
      </c>
      <c r="M180" s="280">
        <f t="shared" si="24"/>
        <v>1071605351.27</v>
      </c>
      <c r="N180" s="280">
        <f t="shared" si="24"/>
        <v>1836394450.47</v>
      </c>
      <c r="O180" s="280">
        <f t="shared" si="24"/>
        <v>1173319748.0500002</v>
      </c>
      <c r="P180" s="280">
        <f t="shared" si="24"/>
        <v>1455584947.6599998</v>
      </c>
      <c r="Q180" s="280">
        <f t="shared" si="24"/>
        <v>1465736230.2700002</v>
      </c>
      <c r="R180" s="280">
        <f t="shared" si="24"/>
        <v>1791620753.7999997</v>
      </c>
      <c r="S180" s="280">
        <f t="shared" si="24"/>
        <v>1637958282.9899998</v>
      </c>
      <c r="T180" s="280">
        <f t="shared" si="24"/>
        <v>2678636369.7099996</v>
      </c>
      <c r="U180" s="280">
        <f t="shared" si="24"/>
        <v>1135561495.3800001</v>
      </c>
      <c r="V180" s="280">
        <f>SUM(V2:V179)</f>
        <v>2004977683.46</v>
      </c>
      <c r="W180" s="280">
        <f>SUM(W2:W179)</f>
        <v>1844883248.0699995</v>
      </c>
      <c r="X180" s="280">
        <f>SUM(X2:X179)</f>
        <v>1848317258.4099998</v>
      </c>
      <c r="Y180" s="280">
        <f t="shared" si="24"/>
        <v>0</v>
      </c>
      <c r="Z180" s="280">
        <f t="shared" si="24"/>
        <v>0</v>
      </c>
      <c r="AA180" s="281">
        <f t="shared" si="24"/>
        <v>314139900</v>
      </c>
      <c r="AB180" s="282">
        <f t="shared" si="24"/>
        <v>21984990390.27</v>
      </c>
      <c r="AC180" s="357"/>
      <c r="AD180" s="344"/>
      <c r="AE180" s="361"/>
      <c r="AF180" s="358"/>
      <c r="AG180" s="283"/>
      <c r="AH180" s="284"/>
    </row>
    <row r="181" spans="1:34" ht="16.5" x14ac:dyDescent="0.3">
      <c r="A181" s="246" t="s">
        <v>32</v>
      </c>
      <c r="B181" s="83" t="s">
        <v>422</v>
      </c>
      <c r="C181" s="142" t="s">
        <v>418</v>
      </c>
      <c r="D181" s="247" t="s">
        <v>423</v>
      </c>
      <c r="E181" s="176">
        <v>302762</v>
      </c>
      <c r="F181" s="355" t="s">
        <v>61</v>
      </c>
      <c r="G181" s="36">
        <v>44544</v>
      </c>
      <c r="H181" s="314">
        <v>173982000</v>
      </c>
      <c r="I181" s="65"/>
      <c r="J181" s="66"/>
      <c r="K181" s="66"/>
      <c r="L181" s="66"/>
      <c r="M181" s="66"/>
      <c r="N181" s="66"/>
      <c r="O181" s="66"/>
      <c r="P181" s="66"/>
      <c r="Q181" s="66"/>
      <c r="R181" s="66">
        <v>7328500</v>
      </c>
      <c r="S181" s="66">
        <v>23556500</v>
      </c>
      <c r="T181" s="66"/>
      <c r="U181" s="66">
        <v>52362800</v>
      </c>
      <c r="V181" s="66">
        <v>33355200</v>
      </c>
      <c r="W181" s="66">
        <v>11042500</v>
      </c>
      <c r="X181" s="66">
        <v>19982500</v>
      </c>
      <c r="Y181" s="66"/>
      <c r="Z181" s="67"/>
      <c r="AA181" s="15"/>
      <c r="AB181" s="292">
        <f t="shared" ref="AB181:AB244" si="25">SUM(I181:Z181)</f>
        <v>147628000</v>
      </c>
      <c r="AC181" s="17">
        <f t="shared" ref="AC181:AC244" si="26">AB181/H181</f>
        <v>0.84852456001195531</v>
      </c>
      <c r="AD181" s="356">
        <f>VLOOKUP(D179:D367,Amazonía!$A$27:$T$75,20,FALSE)</f>
        <v>5</v>
      </c>
      <c r="AE181" s="351">
        <v>44756</v>
      </c>
      <c r="AF181" s="342">
        <f t="shared" ref="AF181:AF244" si="27">H181-AB181</f>
        <v>26354000</v>
      </c>
      <c r="AG181" s="57" t="s">
        <v>27</v>
      </c>
      <c r="AH181" s="58">
        <f t="shared" ref="AH181:AH244" si="28">COUNT(I181:Z181)</f>
        <v>6</v>
      </c>
    </row>
    <row r="182" spans="1:34" ht="16.5" x14ac:dyDescent="0.3">
      <c r="A182" s="134" t="s">
        <v>32</v>
      </c>
      <c r="B182" s="26" t="s">
        <v>417</v>
      </c>
      <c r="C182" s="143" t="s">
        <v>418</v>
      </c>
      <c r="D182" s="247" t="s">
        <v>419</v>
      </c>
      <c r="E182" s="176">
        <v>302847</v>
      </c>
      <c r="F182" s="33" t="s">
        <v>61</v>
      </c>
      <c r="G182" s="37">
        <v>44544</v>
      </c>
      <c r="H182" s="62">
        <v>140230000</v>
      </c>
      <c r="I182" s="49"/>
      <c r="J182" s="50"/>
      <c r="K182" s="50"/>
      <c r="L182" s="50"/>
      <c r="M182" s="50"/>
      <c r="N182" s="50"/>
      <c r="O182" s="50"/>
      <c r="P182" s="50"/>
      <c r="Q182" s="50"/>
      <c r="R182" s="66">
        <v>7328500</v>
      </c>
      <c r="S182" s="50">
        <v>28275499</v>
      </c>
      <c r="T182" s="50">
        <v>11495000</v>
      </c>
      <c r="U182" s="50">
        <v>10143664</v>
      </c>
      <c r="V182" s="50">
        <v>22500332</v>
      </c>
      <c r="W182" s="50">
        <v>9819530</v>
      </c>
      <c r="X182" s="50">
        <v>18011672</v>
      </c>
      <c r="Y182" s="50"/>
      <c r="Z182" s="51"/>
      <c r="AA182" s="15"/>
      <c r="AB182" s="292">
        <f t="shared" si="25"/>
        <v>107574197</v>
      </c>
      <c r="AC182" s="17">
        <f t="shared" si="26"/>
        <v>0.7671268416173429</v>
      </c>
      <c r="AD182" s="341">
        <f>VLOOKUP(D180:D368,Amazonía!$A$27:$T$75,20,FALSE)</f>
        <v>5</v>
      </c>
      <c r="AE182" s="353">
        <v>44754</v>
      </c>
      <c r="AF182" s="342">
        <f t="shared" si="27"/>
        <v>32655803</v>
      </c>
      <c r="AG182" s="57" t="s">
        <v>27</v>
      </c>
      <c r="AH182" s="58">
        <f t="shared" si="28"/>
        <v>7</v>
      </c>
    </row>
    <row r="183" spans="1:34" ht="16.5" x14ac:dyDescent="0.3">
      <c r="A183" s="246" t="s">
        <v>28</v>
      </c>
      <c r="B183" s="83" t="s">
        <v>956</v>
      </c>
      <c r="C183" s="248" t="s">
        <v>418</v>
      </c>
      <c r="D183" s="247" t="s">
        <v>957</v>
      </c>
      <c r="E183" s="249">
        <v>303507</v>
      </c>
      <c r="F183" s="355" t="s">
        <v>31</v>
      </c>
      <c r="G183" s="36">
        <v>44588</v>
      </c>
      <c r="H183" s="314">
        <v>176894000</v>
      </c>
      <c r="I183" s="65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>
        <v>10700000</v>
      </c>
      <c r="W183" s="66">
        <v>7305300</v>
      </c>
      <c r="X183" s="66">
        <v>93528350</v>
      </c>
      <c r="Y183" s="66"/>
      <c r="Z183" s="67"/>
      <c r="AA183" s="15"/>
      <c r="AB183" s="292">
        <f t="shared" si="25"/>
        <v>111533650</v>
      </c>
      <c r="AC183" s="17">
        <f t="shared" si="26"/>
        <v>0.63051121010322564</v>
      </c>
      <c r="AD183" s="341">
        <f>VLOOKUP(D183:D625,Pacífico!$A$32:$S$105,19,FALSE)</f>
        <v>3</v>
      </c>
      <c r="AE183" s="353"/>
      <c r="AF183" s="342">
        <f t="shared" si="27"/>
        <v>65360350</v>
      </c>
      <c r="AG183" s="187" t="s">
        <v>27</v>
      </c>
      <c r="AH183" s="196">
        <f t="shared" si="28"/>
        <v>3</v>
      </c>
    </row>
    <row r="184" spans="1:34" ht="16.5" x14ac:dyDescent="0.3">
      <c r="A184" s="134" t="s">
        <v>32</v>
      </c>
      <c r="B184" s="26" t="s">
        <v>857</v>
      </c>
      <c r="C184" s="145" t="s">
        <v>418</v>
      </c>
      <c r="D184" s="112" t="s">
        <v>858</v>
      </c>
      <c r="E184" s="35">
        <v>302789</v>
      </c>
      <c r="F184" s="33" t="s">
        <v>859</v>
      </c>
      <c r="G184" s="37">
        <v>44544</v>
      </c>
      <c r="H184" s="62">
        <v>189742000</v>
      </c>
      <c r="I184" s="49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66"/>
      <c r="U184" s="50">
        <v>61432472</v>
      </c>
      <c r="V184" s="50">
        <v>18368500</v>
      </c>
      <c r="W184" s="50">
        <v>7668500</v>
      </c>
      <c r="X184" s="50">
        <v>18368500</v>
      </c>
      <c r="Y184" s="50"/>
      <c r="Z184" s="51"/>
      <c r="AA184" s="15"/>
      <c r="AB184" s="16">
        <f t="shared" si="25"/>
        <v>105837972</v>
      </c>
      <c r="AC184" s="295">
        <f t="shared" si="26"/>
        <v>0.55779939075165219</v>
      </c>
      <c r="AD184" s="341">
        <f>VLOOKUP(D182:D370,Amazonía!$A$27:$T$75,20,FALSE)</f>
        <v>3</v>
      </c>
      <c r="AE184" s="353">
        <v>44838</v>
      </c>
      <c r="AF184" s="342">
        <f t="shared" si="27"/>
        <v>83904028</v>
      </c>
      <c r="AG184" s="57" t="s">
        <v>27</v>
      </c>
      <c r="AH184" s="58">
        <f t="shared" si="28"/>
        <v>4</v>
      </c>
    </row>
    <row r="185" spans="1:34" ht="16.5" x14ac:dyDescent="0.3">
      <c r="A185" s="134" t="s">
        <v>55</v>
      </c>
      <c r="B185" s="26" t="s">
        <v>482</v>
      </c>
      <c r="C185" s="145" t="s">
        <v>418</v>
      </c>
      <c r="D185" s="112" t="s">
        <v>483</v>
      </c>
      <c r="E185" s="35">
        <v>302784</v>
      </c>
      <c r="F185" s="33" t="s">
        <v>128</v>
      </c>
      <c r="G185" s="37">
        <v>44544</v>
      </c>
      <c r="H185" s="62">
        <v>195000000</v>
      </c>
      <c r="I185" s="49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66"/>
      <c r="U185" s="50">
        <v>6420000</v>
      </c>
      <c r="V185" s="50">
        <v>17608500</v>
      </c>
      <c r="W185" s="50">
        <v>6908500</v>
      </c>
      <c r="X185" s="50">
        <v>76883500</v>
      </c>
      <c r="Y185" s="50"/>
      <c r="Z185" s="51"/>
      <c r="AA185" s="15"/>
      <c r="AB185" s="16">
        <f t="shared" si="25"/>
        <v>107820500</v>
      </c>
      <c r="AC185" s="295">
        <f t="shared" si="26"/>
        <v>0.55292564102564101</v>
      </c>
      <c r="AD185" s="341">
        <f>VLOOKUP(D185:D561,'Eje Cafetero'!$A$34:$S$102,19,FALSE)</f>
        <v>5</v>
      </c>
      <c r="AE185" s="353">
        <v>44858</v>
      </c>
      <c r="AF185" s="342">
        <f t="shared" si="27"/>
        <v>87179500</v>
      </c>
      <c r="AG185" s="57" t="s">
        <v>27</v>
      </c>
      <c r="AH185" s="58">
        <f t="shared" si="28"/>
        <v>4</v>
      </c>
    </row>
    <row r="186" spans="1:34" ht="16.5" x14ac:dyDescent="0.3">
      <c r="A186" s="134" t="s">
        <v>32</v>
      </c>
      <c r="B186" s="26" t="s">
        <v>1334</v>
      </c>
      <c r="C186" s="145" t="s">
        <v>418</v>
      </c>
      <c r="D186" s="112" t="s">
        <v>1335</v>
      </c>
      <c r="E186" s="35">
        <v>302749</v>
      </c>
      <c r="F186" s="33" t="s">
        <v>859</v>
      </c>
      <c r="G186" s="37">
        <v>44588</v>
      </c>
      <c r="H186" s="62">
        <v>148884000</v>
      </c>
      <c r="I186" s="49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66">
        <v>6420000</v>
      </c>
      <c r="U186" s="50">
        <v>41317000</v>
      </c>
      <c r="V186" s="50">
        <v>14968500</v>
      </c>
      <c r="W186" s="50">
        <v>4268500</v>
      </c>
      <c r="X186" s="50">
        <v>14968500</v>
      </c>
      <c r="Y186" s="50"/>
      <c r="Z186" s="51"/>
      <c r="AA186" s="15"/>
      <c r="AB186" s="16">
        <f t="shared" si="25"/>
        <v>81942500</v>
      </c>
      <c r="AC186" s="295">
        <f t="shared" si="26"/>
        <v>0.55037814674511698</v>
      </c>
      <c r="AD186" s="341">
        <f>VLOOKUP(D184:D372,Amazonía!$A$27:$T$75,20,FALSE)</f>
        <v>4</v>
      </c>
      <c r="AE186" s="353">
        <v>44838</v>
      </c>
      <c r="AF186" s="342">
        <f t="shared" si="27"/>
        <v>66941500</v>
      </c>
      <c r="AG186" s="57" t="s">
        <v>27</v>
      </c>
      <c r="AH186" s="58">
        <f t="shared" si="28"/>
        <v>5</v>
      </c>
    </row>
    <row r="187" spans="1:34" ht="16.5" x14ac:dyDescent="0.3">
      <c r="A187" s="134" t="s">
        <v>32</v>
      </c>
      <c r="B187" s="26" t="s">
        <v>862</v>
      </c>
      <c r="C187" s="145" t="s">
        <v>418</v>
      </c>
      <c r="D187" s="112" t="s">
        <v>863</v>
      </c>
      <c r="E187" s="35">
        <v>302775</v>
      </c>
      <c r="F187" s="33" t="s">
        <v>35</v>
      </c>
      <c r="G187" s="37">
        <v>44544</v>
      </c>
      <c r="H187" s="62">
        <v>188620000</v>
      </c>
      <c r="I187" s="49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66"/>
      <c r="U187" s="50">
        <v>6318900</v>
      </c>
      <c r="V187" s="50"/>
      <c r="W187" s="50">
        <v>93515100</v>
      </c>
      <c r="X187" s="50"/>
      <c r="Y187" s="50"/>
      <c r="Z187" s="51"/>
      <c r="AA187" s="15"/>
      <c r="AB187" s="16">
        <f t="shared" si="25"/>
        <v>99834000</v>
      </c>
      <c r="AC187" s="295">
        <f t="shared" si="26"/>
        <v>0.5292863959283215</v>
      </c>
      <c r="AD187" s="341">
        <f>VLOOKUP(D185:D373,Amazonía!$A$27:$T$75,20,FALSE)</f>
        <v>3</v>
      </c>
      <c r="AE187" s="353">
        <v>44859</v>
      </c>
      <c r="AF187" s="342">
        <f t="shared" si="27"/>
        <v>88786000</v>
      </c>
      <c r="AG187" s="57" t="s">
        <v>27</v>
      </c>
      <c r="AH187" s="58">
        <f t="shared" si="28"/>
        <v>2</v>
      </c>
    </row>
    <row r="188" spans="1:34" ht="16.5" x14ac:dyDescent="0.3">
      <c r="A188" s="134" t="s">
        <v>32</v>
      </c>
      <c r="B188" s="23" t="s">
        <v>855</v>
      </c>
      <c r="C188" s="145" t="s">
        <v>418</v>
      </c>
      <c r="D188" s="112" t="s">
        <v>856</v>
      </c>
      <c r="E188" s="35">
        <v>302556</v>
      </c>
      <c r="F188" s="32" t="s">
        <v>35</v>
      </c>
      <c r="G188" s="37">
        <v>44544</v>
      </c>
      <c r="H188" s="61">
        <v>199542000</v>
      </c>
      <c r="I188" s="49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66">
        <v>6420000</v>
      </c>
      <c r="U188" s="50"/>
      <c r="V188" s="50">
        <v>1817000</v>
      </c>
      <c r="W188" s="50">
        <v>908500</v>
      </c>
      <c r="X188" s="50">
        <v>89798250</v>
      </c>
      <c r="Y188" s="50"/>
      <c r="Z188" s="51"/>
      <c r="AA188" s="15"/>
      <c r="AB188" s="16">
        <f t="shared" si="25"/>
        <v>98943750</v>
      </c>
      <c r="AC188" s="295">
        <f t="shared" si="26"/>
        <v>0.49585425624680518</v>
      </c>
      <c r="AD188" s="341">
        <f>VLOOKUP(D186:D374,Amazonía!$A$27:$T$75,20,FALSE)</f>
        <v>3</v>
      </c>
      <c r="AE188" s="353">
        <v>44854</v>
      </c>
      <c r="AF188" s="342">
        <f t="shared" si="27"/>
        <v>100598250</v>
      </c>
      <c r="AG188" s="57" t="s">
        <v>27</v>
      </c>
      <c r="AH188" s="58">
        <f t="shared" si="28"/>
        <v>4</v>
      </c>
    </row>
    <row r="189" spans="1:34" ht="16.5" x14ac:dyDescent="0.3">
      <c r="A189" s="134" t="s">
        <v>28</v>
      </c>
      <c r="B189" s="26" t="s">
        <v>436</v>
      </c>
      <c r="C189" s="145" t="s">
        <v>418</v>
      </c>
      <c r="D189" s="112" t="s">
        <v>437</v>
      </c>
      <c r="E189" s="35">
        <v>302250</v>
      </c>
      <c r="F189" s="33" t="s">
        <v>81</v>
      </c>
      <c r="G189" s="37">
        <v>44544</v>
      </c>
      <c r="H189" s="62">
        <v>200000000</v>
      </c>
      <c r="I189" s="49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66">
        <v>6420000</v>
      </c>
      <c r="U189" s="50">
        <v>12583331</v>
      </c>
      <c r="V189" s="50">
        <v>6916665</v>
      </c>
      <c r="W189" s="50">
        <v>72374999</v>
      </c>
      <c r="X189" s="50"/>
      <c r="Y189" s="50"/>
      <c r="Z189" s="51"/>
      <c r="AA189" s="15"/>
      <c r="AB189" s="16">
        <f t="shared" si="25"/>
        <v>98294995</v>
      </c>
      <c r="AC189" s="295">
        <f t="shared" si="26"/>
        <v>0.49147497499999998</v>
      </c>
      <c r="AD189" s="341">
        <f>VLOOKUP(D189:D631,Pacífico!$A$32:$S$105,19,FALSE)</f>
        <v>3</v>
      </c>
      <c r="AE189" s="353">
        <v>44866</v>
      </c>
      <c r="AF189" s="342">
        <f t="shared" si="27"/>
        <v>101705005</v>
      </c>
      <c r="AG189" s="57" t="s">
        <v>27</v>
      </c>
      <c r="AH189" s="58">
        <f t="shared" si="28"/>
        <v>4</v>
      </c>
    </row>
    <row r="190" spans="1:34" ht="16.5" x14ac:dyDescent="0.3">
      <c r="A190" s="134" t="s">
        <v>23</v>
      </c>
      <c r="B190" s="26" t="s">
        <v>1170</v>
      </c>
      <c r="C190" s="145" t="s">
        <v>418</v>
      </c>
      <c r="D190" s="112" t="s">
        <v>1171</v>
      </c>
      <c r="E190" s="35">
        <v>303784</v>
      </c>
      <c r="F190" s="33" t="s">
        <v>44</v>
      </c>
      <c r="G190" s="37">
        <v>44588</v>
      </c>
      <c r="H190" s="62">
        <v>193338000</v>
      </c>
      <c r="I190" s="49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66"/>
      <c r="U190" s="50">
        <v>6420000</v>
      </c>
      <c r="V190" s="50">
        <v>2500000</v>
      </c>
      <c r="W190" s="50">
        <v>8408500</v>
      </c>
      <c r="X190" s="50">
        <v>77486250</v>
      </c>
      <c r="Y190" s="50"/>
      <c r="Z190" s="51"/>
      <c r="AA190" s="15"/>
      <c r="AB190" s="16">
        <f t="shared" si="25"/>
        <v>94814750</v>
      </c>
      <c r="AC190" s="295">
        <f t="shared" si="26"/>
        <v>0.49040928322419802</v>
      </c>
      <c r="AD190" s="341">
        <f>VLOOKUP(D190:D663,Central!$A$29:$R$107,18,FALSE)</f>
        <v>2</v>
      </c>
      <c r="AE190" s="353">
        <v>44874</v>
      </c>
      <c r="AF190" s="342">
        <f t="shared" si="27"/>
        <v>98523250</v>
      </c>
      <c r="AG190" s="57" t="s">
        <v>27</v>
      </c>
      <c r="AH190" s="58">
        <f t="shared" si="28"/>
        <v>4</v>
      </c>
    </row>
    <row r="191" spans="1:34" ht="16.5" x14ac:dyDescent="0.3">
      <c r="A191" s="134" t="s">
        <v>16</v>
      </c>
      <c r="B191" s="26" t="s">
        <v>585</v>
      </c>
      <c r="C191" s="145" t="s">
        <v>418</v>
      </c>
      <c r="D191" s="112" t="s">
        <v>586</v>
      </c>
      <c r="E191" s="35">
        <v>302765</v>
      </c>
      <c r="F191" s="33" t="s">
        <v>268</v>
      </c>
      <c r="G191" s="37">
        <v>44544</v>
      </c>
      <c r="H191" s="62">
        <v>200000000</v>
      </c>
      <c r="I191" s="49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66">
        <v>6420000</v>
      </c>
      <c r="U191" s="50"/>
      <c r="V191" s="50"/>
      <c r="W191" s="50">
        <v>908500</v>
      </c>
      <c r="X191" s="50">
        <v>90108500</v>
      </c>
      <c r="Y191" s="50"/>
      <c r="Z191" s="51"/>
      <c r="AA191" s="15"/>
      <c r="AB191" s="16">
        <f t="shared" si="25"/>
        <v>97437000</v>
      </c>
      <c r="AC191" s="295">
        <f t="shared" si="26"/>
        <v>0.48718499999999998</v>
      </c>
      <c r="AD191" s="341">
        <f>VLOOKUP(D191:D409,'Caribe I'!$A$25:$Q$83,17,FALSE)</f>
        <v>3</v>
      </c>
      <c r="AE191" s="353"/>
      <c r="AF191" s="342">
        <f t="shared" si="27"/>
        <v>102563000</v>
      </c>
      <c r="AG191" s="57" t="s">
        <v>27</v>
      </c>
      <c r="AH191" s="58">
        <f t="shared" si="28"/>
        <v>3</v>
      </c>
    </row>
    <row r="192" spans="1:34" ht="16.5" x14ac:dyDescent="0.3">
      <c r="A192" s="134" t="s">
        <v>16</v>
      </c>
      <c r="B192" s="26" t="s">
        <v>1038</v>
      </c>
      <c r="C192" s="145" t="s">
        <v>418</v>
      </c>
      <c r="D192" s="112" t="s">
        <v>1039</v>
      </c>
      <c r="E192" s="35">
        <v>303789</v>
      </c>
      <c r="F192" s="33" t="s">
        <v>268</v>
      </c>
      <c r="G192" s="37">
        <v>44588</v>
      </c>
      <c r="H192" s="62">
        <v>195534000</v>
      </c>
      <c r="I192" s="49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66"/>
      <c r="U192" s="50">
        <v>6420000</v>
      </c>
      <c r="V192" s="50"/>
      <c r="W192" s="50"/>
      <c r="X192" s="50">
        <v>86547460</v>
      </c>
      <c r="Y192" s="50"/>
      <c r="Z192" s="51"/>
      <c r="AA192" s="15"/>
      <c r="AB192" s="16">
        <f t="shared" si="25"/>
        <v>92967460</v>
      </c>
      <c r="AC192" s="295">
        <f t="shared" si="26"/>
        <v>0.4754541921098121</v>
      </c>
      <c r="AD192" s="341">
        <f>VLOOKUP(D192:D410,'Caribe I'!$A$25:$Q$83,17,FALSE)</f>
        <v>3</v>
      </c>
      <c r="AE192" s="353"/>
      <c r="AF192" s="342">
        <f t="shared" si="27"/>
        <v>102566540</v>
      </c>
      <c r="AG192" s="57" t="s">
        <v>27</v>
      </c>
      <c r="AH192" s="58">
        <f t="shared" si="28"/>
        <v>2</v>
      </c>
    </row>
    <row r="193" spans="1:34" ht="16.5" x14ac:dyDescent="0.3">
      <c r="A193" s="134" t="s">
        <v>55</v>
      </c>
      <c r="B193" s="26" t="s">
        <v>1000</v>
      </c>
      <c r="C193" s="145" t="s">
        <v>418</v>
      </c>
      <c r="D193" s="112" t="s">
        <v>1001</v>
      </c>
      <c r="E193" s="35">
        <v>302808</v>
      </c>
      <c r="F193" s="33" t="s">
        <v>457</v>
      </c>
      <c r="G193" s="37">
        <v>44588</v>
      </c>
      <c r="H193" s="62">
        <v>200000000</v>
      </c>
      <c r="I193" s="49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66">
        <v>6420000</v>
      </c>
      <c r="U193" s="50">
        <v>4499000</v>
      </c>
      <c r="V193" s="50">
        <v>3500000</v>
      </c>
      <c r="W193" s="50">
        <v>11499000</v>
      </c>
      <c r="X193" s="50">
        <v>68129700</v>
      </c>
      <c r="Y193" s="50"/>
      <c r="Z193" s="51"/>
      <c r="AA193" s="15"/>
      <c r="AB193" s="16">
        <f t="shared" si="25"/>
        <v>94047700</v>
      </c>
      <c r="AC193" s="295">
        <f t="shared" si="26"/>
        <v>0.4702385</v>
      </c>
      <c r="AD193" s="341">
        <f>VLOOKUP(D193:D569,'Eje Cafetero'!$A$34:$S$102,19,FALSE)</f>
        <v>5</v>
      </c>
      <c r="AE193" s="353">
        <v>44875</v>
      </c>
      <c r="AF193" s="342">
        <f t="shared" si="27"/>
        <v>105952300</v>
      </c>
      <c r="AG193" s="57" t="s">
        <v>27</v>
      </c>
      <c r="AH193" s="58">
        <f t="shared" si="28"/>
        <v>5</v>
      </c>
    </row>
    <row r="194" spans="1:34" ht="16.5" x14ac:dyDescent="0.3">
      <c r="A194" s="134" t="s">
        <v>32</v>
      </c>
      <c r="B194" s="26" t="s">
        <v>814</v>
      </c>
      <c r="C194" s="145" t="s">
        <v>418</v>
      </c>
      <c r="D194" s="112" t="s">
        <v>815</v>
      </c>
      <c r="E194" s="35">
        <v>302549</v>
      </c>
      <c r="F194" s="33" t="s">
        <v>35</v>
      </c>
      <c r="G194" s="37">
        <v>44544</v>
      </c>
      <c r="H194" s="62">
        <v>199659000</v>
      </c>
      <c r="I194" s="49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66">
        <v>6420000</v>
      </c>
      <c r="U194" s="50"/>
      <c r="V194" s="50">
        <v>908500</v>
      </c>
      <c r="W194" s="50">
        <v>26601000</v>
      </c>
      <c r="X194" s="50">
        <v>59474000</v>
      </c>
      <c r="Y194" s="50"/>
      <c r="Z194" s="51"/>
      <c r="AA194" s="15"/>
      <c r="AB194" s="16">
        <f t="shared" si="25"/>
        <v>93403500</v>
      </c>
      <c r="AC194" s="295">
        <f t="shared" si="26"/>
        <v>0.46781512478776316</v>
      </c>
      <c r="AD194" s="341">
        <f>VLOOKUP(D192:D380,Amazonía!$A$27:$T$75,20,FALSE)</f>
        <v>3</v>
      </c>
      <c r="AE194" s="353">
        <v>44861</v>
      </c>
      <c r="AF194" s="342">
        <f t="shared" si="27"/>
        <v>106255500</v>
      </c>
      <c r="AG194" s="57" t="s">
        <v>27</v>
      </c>
      <c r="AH194" s="58">
        <f t="shared" si="28"/>
        <v>4</v>
      </c>
    </row>
    <row r="195" spans="1:34" ht="16.5" x14ac:dyDescent="0.3">
      <c r="A195" s="134" t="s">
        <v>32</v>
      </c>
      <c r="B195" s="26" t="s">
        <v>868</v>
      </c>
      <c r="C195" s="145" t="s">
        <v>418</v>
      </c>
      <c r="D195" s="112" t="s">
        <v>869</v>
      </c>
      <c r="E195" s="35">
        <v>302779</v>
      </c>
      <c r="F195" s="33" t="s">
        <v>35</v>
      </c>
      <c r="G195" s="37">
        <v>44544</v>
      </c>
      <c r="H195" s="62">
        <v>195302000</v>
      </c>
      <c r="I195" s="49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66"/>
      <c r="U195" s="50">
        <v>6000000</v>
      </c>
      <c r="V195" s="50">
        <v>11817000</v>
      </c>
      <c r="W195" s="50">
        <v>12908500</v>
      </c>
      <c r="X195" s="50">
        <v>59892500</v>
      </c>
      <c r="Y195" s="50"/>
      <c r="Z195" s="51"/>
      <c r="AA195" s="15"/>
      <c r="AB195" s="16">
        <f t="shared" si="25"/>
        <v>90618000</v>
      </c>
      <c r="AC195" s="295">
        <f t="shared" si="26"/>
        <v>0.46398910405423394</v>
      </c>
      <c r="AD195" s="341">
        <f>VLOOKUP(D193:D381,Amazonía!$A$27:$T$75,20,FALSE)</f>
        <v>4</v>
      </c>
      <c r="AE195" s="353">
        <v>44843</v>
      </c>
      <c r="AF195" s="342">
        <f t="shared" si="27"/>
        <v>104684000</v>
      </c>
      <c r="AG195" s="57" t="s">
        <v>27</v>
      </c>
      <c r="AH195" s="58">
        <f t="shared" si="28"/>
        <v>4</v>
      </c>
    </row>
    <row r="196" spans="1:34" ht="16.5" x14ac:dyDescent="0.3">
      <c r="A196" s="134" t="s">
        <v>32</v>
      </c>
      <c r="B196" s="23" t="s">
        <v>804</v>
      </c>
      <c r="C196" s="145" t="s">
        <v>418</v>
      </c>
      <c r="D196" s="112" t="s">
        <v>805</v>
      </c>
      <c r="E196" s="35">
        <v>302892</v>
      </c>
      <c r="F196" s="32" t="s">
        <v>35</v>
      </c>
      <c r="G196" s="37">
        <v>44544</v>
      </c>
      <c r="H196" s="61">
        <v>199978000</v>
      </c>
      <c r="I196" s="49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66"/>
      <c r="U196" s="50">
        <v>6420000</v>
      </c>
      <c r="V196" s="50">
        <v>908500</v>
      </c>
      <c r="W196" s="50">
        <v>63716000</v>
      </c>
      <c r="X196" s="50">
        <v>21417000</v>
      </c>
      <c r="Y196" s="50"/>
      <c r="Z196" s="51"/>
      <c r="AA196" s="15"/>
      <c r="AB196" s="16">
        <f t="shared" si="25"/>
        <v>92461500</v>
      </c>
      <c r="AC196" s="295">
        <f t="shared" si="26"/>
        <v>0.46235835941953612</v>
      </c>
      <c r="AD196" s="341">
        <f>VLOOKUP(D194:D382,Amazonía!$A$27:$T$75,20,FALSE)</f>
        <v>3</v>
      </c>
      <c r="AE196" s="353">
        <v>44861</v>
      </c>
      <c r="AF196" s="342">
        <f t="shared" si="27"/>
        <v>107516500</v>
      </c>
      <c r="AG196" s="57" t="s">
        <v>27</v>
      </c>
      <c r="AH196" s="58">
        <f t="shared" si="28"/>
        <v>4</v>
      </c>
    </row>
    <row r="197" spans="1:34" ht="16.5" x14ac:dyDescent="0.3">
      <c r="A197" s="134" t="s">
        <v>16</v>
      </c>
      <c r="B197" s="23" t="s">
        <v>552</v>
      </c>
      <c r="C197" s="145" t="s">
        <v>418</v>
      </c>
      <c r="D197" s="112" t="s">
        <v>553</v>
      </c>
      <c r="E197" s="35">
        <v>302708</v>
      </c>
      <c r="F197" s="32" t="s">
        <v>551</v>
      </c>
      <c r="G197" s="37">
        <v>44544</v>
      </c>
      <c r="H197" s="61">
        <v>200000000</v>
      </c>
      <c r="I197" s="49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66">
        <v>6420000</v>
      </c>
      <c r="U197" s="50"/>
      <c r="V197" s="50">
        <v>11650000</v>
      </c>
      <c r="W197" s="50">
        <v>22478500</v>
      </c>
      <c r="X197" s="50">
        <v>51328500</v>
      </c>
      <c r="Y197" s="50"/>
      <c r="Z197" s="51"/>
      <c r="AA197" s="15"/>
      <c r="AB197" s="16">
        <f t="shared" si="25"/>
        <v>91877000</v>
      </c>
      <c r="AC197" s="295">
        <f t="shared" si="26"/>
        <v>0.45938499999999999</v>
      </c>
      <c r="AD197" s="341">
        <f>VLOOKUP(D197:D415,'Caribe I'!$A$25:$Q$83,17,FALSE)</f>
        <v>3</v>
      </c>
      <c r="AE197" s="353">
        <v>44860</v>
      </c>
      <c r="AF197" s="342">
        <f t="shared" si="27"/>
        <v>108123000</v>
      </c>
      <c r="AG197" s="57" t="s">
        <v>27</v>
      </c>
      <c r="AH197" s="58">
        <f t="shared" si="28"/>
        <v>4</v>
      </c>
    </row>
    <row r="198" spans="1:34" ht="16.5" x14ac:dyDescent="0.3">
      <c r="A198" s="134" t="s">
        <v>32</v>
      </c>
      <c r="B198" s="23" t="s">
        <v>837</v>
      </c>
      <c r="C198" s="145" t="s">
        <v>418</v>
      </c>
      <c r="D198" s="112" t="s">
        <v>838</v>
      </c>
      <c r="E198" s="35">
        <v>302535</v>
      </c>
      <c r="F198" s="32" t="s">
        <v>828</v>
      </c>
      <c r="G198" s="37">
        <v>44544</v>
      </c>
      <c r="H198" s="61">
        <v>165922000</v>
      </c>
      <c r="I198" s="49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66"/>
      <c r="U198" s="50">
        <v>6420000</v>
      </c>
      <c r="V198" s="50">
        <v>48926500</v>
      </c>
      <c r="W198" s="50">
        <v>16200000</v>
      </c>
      <c r="X198" s="50">
        <v>4317000</v>
      </c>
      <c r="Y198" s="50"/>
      <c r="Z198" s="51"/>
      <c r="AA198" s="15"/>
      <c r="AB198" s="16">
        <f t="shared" si="25"/>
        <v>75863500</v>
      </c>
      <c r="AC198" s="295">
        <f t="shared" si="26"/>
        <v>0.45722387627921551</v>
      </c>
      <c r="AD198" s="341">
        <f>VLOOKUP(D196:D384,Amazonía!$A$27:$T$75,20,FALSE)</f>
        <v>4</v>
      </c>
      <c r="AE198" s="353">
        <v>44874</v>
      </c>
      <c r="AF198" s="342">
        <f t="shared" si="27"/>
        <v>90058500</v>
      </c>
      <c r="AG198" s="57" t="s">
        <v>27</v>
      </c>
      <c r="AH198" s="58">
        <f t="shared" si="28"/>
        <v>4</v>
      </c>
    </row>
    <row r="199" spans="1:34" ht="16.5" x14ac:dyDescent="0.3">
      <c r="A199" s="134" t="s">
        <v>32</v>
      </c>
      <c r="B199" s="23" t="s">
        <v>818</v>
      </c>
      <c r="C199" s="145" t="s">
        <v>418</v>
      </c>
      <c r="D199" s="112" t="s">
        <v>819</v>
      </c>
      <c r="E199" s="35">
        <v>302735</v>
      </c>
      <c r="F199" s="32" t="s">
        <v>35</v>
      </c>
      <c r="G199" s="37">
        <v>44544</v>
      </c>
      <c r="H199" s="61">
        <v>191127000</v>
      </c>
      <c r="I199" s="49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66">
        <v>6000000</v>
      </c>
      <c r="U199" s="50"/>
      <c r="V199" s="50">
        <v>2400000</v>
      </c>
      <c r="W199" s="50">
        <v>22217000</v>
      </c>
      <c r="X199" s="50">
        <v>56512000</v>
      </c>
      <c r="Y199" s="50"/>
      <c r="Z199" s="51"/>
      <c r="AA199" s="15"/>
      <c r="AB199" s="16">
        <f t="shared" si="25"/>
        <v>87129000</v>
      </c>
      <c r="AC199" s="295">
        <f t="shared" si="26"/>
        <v>0.45586965734825535</v>
      </c>
      <c r="AD199" s="341">
        <f>VLOOKUP(D197:D385,Amazonía!$A$27:$T$75,20,FALSE)</f>
        <v>3</v>
      </c>
      <c r="AE199" s="353">
        <v>44859</v>
      </c>
      <c r="AF199" s="342">
        <f t="shared" si="27"/>
        <v>103998000</v>
      </c>
      <c r="AG199" s="57" t="s">
        <v>27</v>
      </c>
      <c r="AH199" s="58">
        <f t="shared" si="28"/>
        <v>4</v>
      </c>
    </row>
    <row r="200" spans="1:34" ht="16.5" x14ac:dyDescent="0.3">
      <c r="A200" s="134" t="s">
        <v>89</v>
      </c>
      <c r="B200" s="23" t="s">
        <v>623</v>
      </c>
      <c r="C200" s="145" t="s">
        <v>418</v>
      </c>
      <c r="D200" s="112" t="s">
        <v>624</v>
      </c>
      <c r="E200" s="35">
        <v>302769</v>
      </c>
      <c r="F200" s="32" t="s">
        <v>622</v>
      </c>
      <c r="G200" s="37">
        <v>44544</v>
      </c>
      <c r="H200" s="61">
        <v>200000000</v>
      </c>
      <c r="I200" s="49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66"/>
      <c r="U200" s="50"/>
      <c r="V200" s="50">
        <v>40408500</v>
      </c>
      <c r="W200" s="50">
        <v>15217000</v>
      </c>
      <c r="X200" s="50">
        <v>34772000</v>
      </c>
      <c r="Y200" s="50"/>
      <c r="Z200" s="51"/>
      <c r="AA200" s="15"/>
      <c r="AB200" s="16">
        <f t="shared" si="25"/>
        <v>90397500</v>
      </c>
      <c r="AC200" s="295">
        <f t="shared" si="26"/>
        <v>0.45198749999999999</v>
      </c>
      <c r="AD200" s="341">
        <f>VLOOKUP(D200:D268,'Caribe II'!$A$38:$Q$107,17,FALSE)</f>
        <v>2</v>
      </c>
      <c r="AE200" s="353"/>
      <c r="AF200" s="342">
        <f t="shared" si="27"/>
        <v>109602500</v>
      </c>
      <c r="AG200" s="57" t="s">
        <v>27</v>
      </c>
      <c r="AH200" s="58">
        <f t="shared" si="28"/>
        <v>3</v>
      </c>
    </row>
    <row r="201" spans="1:34" ht="16.5" x14ac:dyDescent="0.3">
      <c r="A201" s="134" t="s">
        <v>32</v>
      </c>
      <c r="B201" s="26" t="s">
        <v>820</v>
      </c>
      <c r="C201" s="145" t="s">
        <v>418</v>
      </c>
      <c r="D201" s="112" t="s">
        <v>821</v>
      </c>
      <c r="E201" s="35">
        <v>302733</v>
      </c>
      <c r="F201" s="33" t="s">
        <v>35</v>
      </c>
      <c r="G201" s="37">
        <v>44544</v>
      </c>
      <c r="H201" s="62">
        <v>189778000</v>
      </c>
      <c r="I201" s="49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66">
        <v>6300000</v>
      </c>
      <c r="U201" s="50"/>
      <c r="V201" s="50">
        <v>14820000</v>
      </c>
      <c r="W201" s="50">
        <v>5708500</v>
      </c>
      <c r="X201" s="50">
        <v>58874998.689999998</v>
      </c>
      <c r="Y201" s="50"/>
      <c r="Z201" s="51"/>
      <c r="AA201" s="15"/>
      <c r="AB201" s="16">
        <f t="shared" si="25"/>
        <v>85703498.689999998</v>
      </c>
      <c r="AC201" s="295">
        <f t="shared" si="26"/>
        <v>0.45159870316896583</v>
      </c>
      <c r="AD201" s="341">
        <f>VLOOKUP(D199:D387,Amazonía!$A$27:$T$75,20,FALSE)</f>
        <v>4</v>
      </c>
      <c r="AE201" s="353">
        <v>44860</v>
      </c>
      <c r="AF201" s="342">
        <f t="shared" si="27"/>
        <v>104074501.31</v>
      </c>
      <c r="AG201" s="57" t="s">
        <v>27</v>
      </c>
      <c r="AH201" s="58">
        <f t="shared" si="28"/>
        <v>4</v>
      </c>
    </row>
    <row r="202" spans="1:34" ht="16.5" x14ac:dyDescent="0.3">
      <c r="A202" s="134" t="s">
        <v>32</v>
      </c>
      <c r="B202" s="23" t="s">
        <v>810</v>
      </c>
      <c r="C202" s="145" t="s">
        <v>418</v>
      </c>
      <c r="D202" s="112" t="s">
        <v>811</v>
      </c>
      <c r="E202" s="35">
        <v>302747</v>
      </c>
      <c r="F202" s="32" t="s">
        <v>35</v>
      </c>
      <c r="G202" s="37">
        <v>44544</v>
      </c>
      <c r="H202" s="61">
        <v>190907000</v>
      </c>
      <c r="I202" s="49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66">
        <v>6420000</v>
      </c>
      <c r="U202" s="50"/>
      <c r="V202" s="50">
        <v>15600000</v>
      </c>
      <c r="W202" s="50">
        <v>13117000</v>
      </c>
      <c r="X202" s="50">
        <v>50596000</v>
      </c>
      <c r="Y202" s="50"/>
      <c r="Z202" s="51"/>
      <c r="AA202" s="15"/>
      <c r="AB202" s="16">
        <f t="shared" si="25"/>
        <v>85733000</v>
      </c>
      <c r="AC202" s="295">
        <f t="shared" si="26"/>
        <v>0.44908253757064959</v>
      </c>
      <c r="AD202" s="341">
        <f>VLOOKUP(D200:D388,Amazonía!$A$27:$T$75,20,FALSE)</f>
        <v>4</v>
      </c>
      <c r="AE202" s="353">
        <v>44860</v>
      </c>
      <c r="AF202" s="342">
        <f t="shared" si="27"/>
        <v>105174000</v>
      </c>
      <c r="AG202" s="57" t="s">
        <v>27</v>
      </c>
      <c r="AH202" s="58">
        <f t="shared" si="28"/>
        <v>4</v>
      </c>
    </row>
    <row r="203" spans="1:34" ht="16.5" x14ac:dyDescent="0.3">
      <c r="A203" s="134" t="s">
        <v>89</v>
      </c>
      <c r="B203" s="23" t="s">
        <v>620</v>
      </c>
      <c r="C203" s="145" t="s">
        <v>418</v>
      </c>
      <c r="D203" s="112" t="s">
        <v>621</v>
      </c>
      <c r="E203" s="35">
        <v>302785</v>
      </c>
      <c r="F203" s="32" t="s">
        <v>622</v>
      </c>
      <c r="G203" s="37">
        <v>44544</v>
      </c>
      <c r="H203" s="61">
        <v>200000000</v>
      </c>
      <c r="I203" s="49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66"/>
      <c r="U203" s="50"/>
      <c r="V203" s="50">
        <v>76703550</v>
      </c>
      <c r="W203" s="50">
        <v>3600000</v>
      </c>
      <c r="X203" s="50">
        <v>9508500</v>
      </c>
      <c r="Y203" s="50"/>
      <c r="Z203" s="51"/>
      <c r="AA203" s="15"/>
      <c r="AB203" s="16">
        <f t="shared" si="25"/>
        <v>89812050</v>
      </c>
      <c r="AC203" s="295">
        <f t="shared" si="26"/>
        <v>0.44906024999999999</v>
      </c>
      <c r="AD203" s="341">
        <f>VLOOKUP(D203:D271,'Caribe II'!$A$38:$Q$107,17,FALSE)</f>
        <v>2</v>
      </c>
      <c r="AE203" s="353">
        <v>44860</v>
      </c>
      <c r="AF203" s="342">
        <f t="shared" si="27"/>
        <v>110187950</v>
      </c>
      <c r="AG203" s="57" t="s">
        <v>27</v>
      </c>
      <c r="AH203" s="58">
        <f t="shared" si="28"/>
        <v>3</v>
      </c>
    </row>
    <row r="204" spans="1:34" ht="16.5" x14ac:dyDescent="0.3">
      <c r="A204" s="134" t="s">
        <v>16</v>
      </c>
      <c r="B204" s="26" t="s">
        <v>1024</v>
      </c>
      <c r="C204" s="145" t="s">
        <v>418</v>
      </c>
      <c r="D204" s="112" t="s">
        <v>1025</v>
      </c>
      <c r="E204" s="35">
        <v>303730</v>
      </c>
      <c r="F204" s="33" t="s">
        <v>551</v>
      </c>
      <c r="G204" s="37">
        <v>44588</v>
      </c>
      <c r="H204" s="62">
        <v>200000000</v>
      </c>
      <c r="I204" s="49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66">
        <v>6420000</v>
      </c>
      <c r="U204" s="50"/>
      <c r="V204" s="50">
        <v>83100000</v>
      </c>
      <c r="W204" s="50"/>
      <c r="X204" s="50"/>
      <c r="Y204" s="50"/>
      <c r="Z204" s="51"/>
      <c r="AA204" s="15"/>
      <c r="AB204" s="16">
        <f t="shared" si="25"/>
        <v>89520000</v>
      </c>
      <c r="AC204" s="295">
        <f t="shared" si="26"/>
        <v>0.4476</v>
      </c>
      <c r="AD204" s="341">
        <f>VLOOKUP(D204:D422,'Caribe I'!$A$25:$Q$83,17,FALSE)</f>
        <v>3</v>
      </c>
      <c r="AE204" s="353">
        <v>44840</v>
      </c>
      <c r="AF204" s="342">
        <f t="shared" si="27"/>
        <v>110480000</v>
      </c>
      <c r="AG204" s="57" t="s">
        <v>27</v>
      </c>
      <c r="AH204" s="58">
        <f t="shared" si="28"/>
        <v>2</v>
      </c>
    </row>
    <row r="205" spans="1:34" ht="16.5" x14ac:dyDescent="0.3">
      <c r="A205" s="134" t="s">
        <v>16</v>
      </c>
      <c r="B205" s="23" t="s">
        <v>587</v>
      </c>
      <c r="C205" s="145" t="s">
        <v>418</v>
      </c>
      <c r="D205" s="112" t="s">
        <v>588</v>
      </c>
      <c r="E205" s="35">
        <v>302766</v>
      </c>
      <c r="F205" s="32" t="s">
        <v>268</v>
      </c>
      <c r="G205" s="37">
        <v>44544</v>
      </c>
      <c r="H205" s="61">
        <v>175925000</v>
      </c>
      <c r="I205" s="49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66">
        <v>6420000</v>
      </c>
      <c r="U205" s="50"/>
      <c r="V205" s="50"/>
      <c r="W205" s="50">
        <v>1817000</v>
      </c>
      <c r="X205" s="50">
        <v>69235000</v>
      </c>
      <c r="Y205" s="50"/>
      <c r="Z205" s="51"/>
      <c r="AA205" s="15"/>
      <c r="AB205" s="16">
        <f t="shared" si="25"/>
        <v>77472000</v>
      </c>
      <c r="AC205" s="295">
        <f t="shared" si="26"/>
        <v>0.44036947562881912</v>
      </c>
      <c r="AD205" s="341">
        <f>VLOOKUP(D205:D423,'Caribe I'!$A$25:$Q$83,17,FALSE)</f>
        <v>3</v>
      </c>
      <c r="AE205" s="353"/>
      <c r="AF205" s="342">
        <f t="shared" si="27"/>
        <v>98453000</v>
      </c>
      <c r="AG205" s="57" t="s">
        <v>27</v>
      </c>
      <c r="AH205" s="58">
        <f t="shared" si="28"/>
        <v>3</v>
      </c>
    </row>
    <row r="206" spans="1:34" ht="16.5" x14ac:dyDescent="0.3">
      <c r="A206" s="134" t="s">
        <v>55</v>
      </c>
      <c r="B206" s="26" t="s">
        <v>496</v>
      </c>
      <c r="C206" s="145" t="s">
        <v>418</v>
      </c>
      <c r="D206" s="112" t="s">
        <v>497</v>
      </c>
      <c r="E206" s="35">
        <v>302793</v>
      </c>
      <c r="F206" s="33" t="s">
        <v>457</v>
      </c>
      <c r="G206" s="37">
        <v>44544</v>
      </c>
      <c r="H206" s="62">
        <v>200000000</v>
      </c>
      <c r="I206" s="49"/>
      <c r="J206" s="50"/>
      <c r="K206" s="50"/>
      <c r="L206" s="50"/>
      <c r="M206" s="50"/>
      <c r="N206" s="50"/>
      <c r="O206" s="50"/>
      <c r="P206" s="186"/>
      <c r="Q206" s="50"/>
      <c r="R206" s="50"/>
      <c r="S206" s="50"/>
      <c r="T206" s="66">
        <v>6420000</v>
      </c>
      <c r="U206" s="50">
        <v>3500000</v>
      </c>
      <c r="V206" s="50">
        <v>7999000</v>
      </c>
      <c r="W206" s="50">
        <v>7999000</v>
      </c>
      <c r="X206" s="50">
        <v>60649540</v>
      </c>
      <c r="Y206" s="50"/>
      <c r="Z206" s="51"/>
      <c r="AA206" s="15"/>
      <c r="AB206" s="16">
        <f t="shared" si="25"/>
        <v>86567540</v>
      </c>
      <c r="AC206" s="295">
        <f t="shared" si="26"/>
        <v>0.43283769999999999</v>
      </c>
      <c r="AD206" s="341">
        <f>VLOOKUP(D206:D582,'Eje Cafetero'!$A$34:$S$102,19,FALSE)</f>
        <v>5</v>
      </c>
      <c r="AE206" s="353">
        <v>44874</v>
      </c>
      <c r="AF206" s="342">
        <f t="shared" si="27"/>
        <v>113432460</v>
      </c>
      <c r="AG206" s="57" t="s">
        <v>27</v>
      </c>
      <c r="AH206" s="58">
        <f t="shared" si="28"/>
        <v>5</v>
      </c>
    </row>
    <row r="207" spans="1:34" ht="16.5" x14ac:dyDescent="0.3">
      <c r="A207" s="134" t="s">
        <v>32</v>
      </c>
      <c r="B207" s="26" t="s">
        <v>816</v>
      </c>
      <c r="C207" s="145" t="s">
        <v>418</v>
      </c>
      <c r="D207" s="112" t="s">
        <v>817</v>
      </c>
      <c r="E207" s="35">
        <v>302812</v>
      </c>
      <c r="F207" s="33" t="s">
        <v>35</v>
      </c>
      <c r="G207" s="37">
        <v>44544</v>
      </c>
      <c r="H207" s="62">
        <v>198922000</v>
      </c>
      <c r="I207" s="49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66"/>
      <c r="U207" s="50"/>
      <c r="V207" s="50"/>
      <c r="W207" s="50">
        <v>10820000</v>
      </c>
      <c r="X207" s="50">
        <v>73441000</v>
      </c>
      <c r="Y207" s="50"/>
      <c r="Z207" s="51"/>
      <c r="AA207" s="15"/>
      <c r="AB207" s="16">
        <f t="shared" si="25"/>
        <v>84261000</v>
      </c>
      <c r="AC207" s="295">
        <f t="shared" si="26"/>
        <v>0.42358814007500428</v>
      </c>
      <c r="AD207" s="341">
        <f>VLOOKUP(D205:D393,Amazonía!$A$27:$T$75,20,FALSE)</f>
        <v>2</v>
      </c>
      <c r="AE207" s="353">
        <v>44845</v>
      </c>
      <c r="AF207" s="342">
        <f t="shared" si="27"/>
        <v>114661000</v>
      </c>
      <c r="AG207" s="57" t="s">
        <v>27</v>
      </c>
      <c r="AH207" s="58">
        <f t="shared" si="28"/>
        <v>2</v>
      </c>
    </row>
    <row r="208" spans="1:34" ht="16.5" x14ac:dyDescent="0.3">
      <c r="A208" s="134" t="s">
        <v>105</v>
      </c>
      <c r="B208" s="26" t="s">
        <v>739</v>
      </c>
      <c r="C208" s="145" t="s">
        <v>418</v>
      </c>
      <c r="D208" s="112" t="s">
        <v>740</v>
      </c>
      <c r="E208" s="35">
        <v>302819</v>
      </c>
      <c r="F208" s="33" t="s">
        <v>131</v>
      </c>
      <c r="G208" s="37">
        <v>44544</v>
      </c>
      <c r="H208" s="62">
        <v>200000000</v>
      </c>
      <c r="I208" s="49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66">
        <v>6420000</v>
      </c>
      <c r="U208" s="50"/>
      <c r="V208" s="50">
        <v>1362750</v>
      </c>
      <c r="W208" s="50">
        <v>27154250</v>
      </c>
      <c r="X208" s="50">
        <v>49460250</v>
      </c>
      <c r="Y208" s="50"/>
      <c r="Z208" s="51"/>
      <c r="AA208" s="15"/>
      <c r="AB208" s="16">
        <f t="shared" si="25"/>
        <v>84397250</v>
      </c>
      <c r="AC208" s="295">
        <f t="shared" si="26"/>
        <v>0.42198625000000001</v>
      </c>
      <c r="AD208" s="341">
        <f>VLOOKUP(D208:D586,Llanos!$A$28:$S$82,19,FALSE)</f>
        <v>3</v>
      </c>
      <c r="AE208" s="353"/>
      <c r="AF208" s="342">
        <f t="shared" si="27"/>
        <v>115602750</v>
      </c>
      <c r="AG208" s="57" t="s">
        <v>27</v>
      </c>
      <c r="AH208" s="58">
        <f t="shared" si="28"/>
        <v>4</v>
      </c>
    </row>
    <row r="209" spans="1:34" ht="16.5" x14ac:dyDescent="0.3">
      <c r="A209" s="134" t="s">
        <v>105</v>
      </c>
      <c r="B209" s="23" t="s">
        <v>793</v>
      </c>
      <c r="C209" s="145" t="s">
        <v>418</v>
      </c>
      <c r="D209" s="112" t="s">
        <v>794</v>
      </c>
      <c r="E209" s="35">
        <v>302860</v>
      </c>
      <c r="F209" s="32" t="s">
        <v>118</v>
      </c>
      <c r="G209" s="37">
        <v>44544</v>
      </c>
      <c r="H209" s="61">
        <v>200000000</v>
      </c>
      <c r="I209" s="49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66">
        <v>6420000</v>
      </c>
      <c r="U209" s="50"/>
      <c r="V209" s="50">
        <v>908500</v>
      </c>
      <c r="W209" s="50">
        <v>76792000</v>
      </c>
      <c r="X209" s="50"/>
      <c r="Y209" s="50"/>
      <c r="Z209" s="51"/>
      <c r="AA209" s="15"/>
      <c r="AB209" s="16">
        <f t="shared" si="25"/>
        <v>84120500</v>
      </c>
      <c r="AC209" s="295">
        <f t="shared" si="26"/>
        <v>0.42060249999999999</v>
      </c>
      <c r="AD209" s="341">
        <f>VLOOKUP(D209:D587,Llanos!$A$28:$S$82,19,FALSE)</f>
        <v>5</v>
      </c>
      <c r="AE209" s="353">
        <v>44838</v>
      </c>
      <c r="AF209" s="342">
        <f t="shared" si="27"/>
        <v>115879500</v>
      </c>
      <c r="AG209" s="57" t="s">
        <v>27</v>
      </c>
      <c r="AH209" s="58">
        <f t="shared" si="28"/>
        <v>3</v>
      </c>
    </row>
    <row r="210" spans="1:34" ht="16.5" x14ac:dyDescent="0.3">
      <c r="A210" s="134" t="s">
        <v>16</v>
      </c>
      <c r="B210" s="26" t="s">
        <v>1066</v>
      </c>
      <c r="C210" s="145" t="s">
        <v>418</v>
      </c>
      <c r="D210" s="112" t="s">
        <v>1067</v>
      </c>
      <c r="E210" s="35">
        <v>303597</v>
      </c>
      <c r="F210" s="33" t="s">
        <v>572</v>
      </c>
      <c r="G210" s="37">
        <v>44588</v>
      </c>
      <c r="H210" s="62">
        <v>200000000</v>
      </c>
      <c r="I210" s="49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66"/>
      <c r="U210" s="50"/>
      <c r="V210" s="50"/>
      <c r="W210" s="50">
        <v>6420000</v>
      </c>
      <c r="X210" s="50">
        <v>77445832</v>
      </c>
      <c r="Y210" s="50"/>
      <c r="Z210" s="51"/>
      <c r="AA210" s="15"/>
      <c r="AB210" s="16">
        <f t="shared" si="25"/>
        <v>83865832</v>
      </c>
      <c r="AC210" s="295">
        <f t="shared" si="26"/>
        <v>0.41932915999999998</v>
      </c>
      <c r="AD210" s="341">
        <f>VLOOKUP(D210:D428,'Caribe I'!$A$25:$Q$83,17,FALSE)</f>
        <v>2</v>
      </c>
      <c r="AE210" s="353"/>
      <c r="AF210" s="342">
        <f t="shared" si="27"/>
        <v>116134168</v>
      </c>
      <c r="AG210" s="57" t="s">
        <v>27</v>
      </c>
      <c r="AH210" s="58">
        <f t="shared" si="28"/>
        <v>2</v>
      </c>
    </row>
    <row r="211" spans="1:34" ht="16.5" x14ac:dyDescent="0.3">
      <c r="A211" s="134" t="s">
        <v>32</v>
      </c>
      <c r="B211" s="26" t="s">
        <v>835</v>
      </c>
      <c r="C211" s="145" t="s">
        <v>418</v>
      </c>
      <c r="D211" s="112" t="s">
        <v>836</v>
      </c>
      <c r="E211" s="35">
        <v>302531</v>
      </c>
      <c r="F211" s="33" t="s">
        <v>828</v>
      </c>
      <c r="G211" s="37">
        <v>44544</v>
      </c>
      <c r="H211" s="62">
        <v>149996000</v>
      </c>
      <c r="I211" s="49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66"/>
      <c r="U211" s="50">
        <v>6420000</v>
      </c>
      <c r="V211" s="50">
        <v>10700000</v>
      </c>
      <c r="W211" s="50">
        <v>12972727</v>
      </c>
      <c r="X211" s="50">
        <v>32712000</v>
      </c>
      <c r="Y211" s="50"/>
      <c r="Z211" s="51"/>
      <c r="AA211" s="15"/>
      <c r="AB211" s="16">
        <f t="shared" si="25"/>
        <v>62804727</v>
      </c>
      <c r="AC211" s="295">
        <f t="shared" si="26"/>
        <v>0.41870934558254885</v>
      </c>
      <c r="AD211" s="341">
        <f>VLOOKUP(D209:D397,Amazonía!$A$27:$T$75,20,FALSE)</f>
        <v>4</v>
      </c>
      <c r="AE211" s="353"/>
      <c r="AF211" s="342">
        <f t="shared" si="27"/>
        <v>87191273</v>
      </c>
      <c r="AG211" s="57" t="s">
        <v>27</v>
      </c>
      <c r="AH211" s="58">
        <f t="shared" si="28"/>
        <v>4</v>
      </c>
    </row>
    <row r="212" spans="1:34" ht="16.5" x14ac:dyDescent="0.3">
      <c r="A212" s="134" t="s">
        <v>89</v>
      </c>
      <c r="B212" s="26" t="s">
        <v>1084</v>
      </c>
      <c r="C212" s="145" t="s">
        <v>418</v>
      </c>
      <c r="D212" s="112" t="s">
        <v>1085</v>
      </c>
      <c r="E212" s="35">
        <v>303031</v>
      </c>
      <c r="F212" s="33" t="s">
        <v>622</v>
      </c>
      <c r="G212" s="37">
        <v>44588</v>
      </c>
      <c r="H212" s="62">
        <v>200000000</v>
      </c>
      <c r="I212" s="49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66"/>
      <c r="U212" s="50"/>
      <c r="V212" s="50"/>
      <c r="W212" s="50">
        <v>48857083.319999993</v>
      </c>
      <c r="X212" s="50">
        <v>34059801</v>
      </c>
      <c r="Y212" s="50"/>
      <c r="Z212" s="51"/>
      <c r="AA212" s="15"/>
      <c r="AB212" s="16">
        <f t="shared" si="25"/>
        <v>82916884.319999993</v>
      </c>
      <c r="AC212" s="295">
        <f t="shared" si="26"/>
        <v>0.41458442159999997</v>
      </c>
      <c r="AD212" s="341">
        <f>VLOOKUP(D212:D280,'Caribe II'!$A$38:$Q$107,17,FALSE)</f>
        <v>2</v>
      </c>
      <c r="AE212" s="353"/>
      <c r="AF212" s="342">
        <f t="shared" si="27"/>
        <v>117083115.68000001</v>
      </c>
      <c r="AG212" s="57" t="s">
        <v>27</v>
      </c>
      <c r="AH212" s="58">
        <f t="shared" si="28"/>
        <v>2</v>
      </c>
    </row>
    <row r="213" spans="1:34" ht="16.5" x14ac:dyDescent="0.3">
      <c r="A213" s="134" t="s">
        <v>32</v>
      </c>
      <c r="B213" s="23" t="s">
        <v>824</v>
      </c>
      <c r="C213" s="145" t="s">
        <v>418</v>
      </c>
      <c r="D213" s="112" t="s">
        <v>825</v>
      </c>
      <c r="E213" s="35">
        <v>302539</v>
      </c>
      <c r="F213" s="32" t="s">
        <v>61</v>
      </c>
      <c r="G213" s="37">
        <v>44544</v>
      </c>
      <c r="H213" s="61">
        <v>175422000</v>
      </c>
      <c r="I213" s="49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66"/>
      <c r="U213" s="50">
        <v>6420000</v>
      </c>
      <c r="V213" s="50">
        <v>52212000</v>
      </c>
      <c r="W213" s="50">
        <v>7442000</v>
      </c>
      <c r="X213" s="50">
        <v>5908500</v>
      </c>
      <c r="Y213" s="50"/>
      <c r="Z213" s="51"/>
      <c r="AA213" s="15"/>
      <c r="AB213" s="16">
        <f t="shared" si="25"/>
        <v>71982500</v>
      </c>
      <c r="AC213" s="295">
        <f t="shared" si="26"/>
        <v>0.41033906807583997</v>
      </c>
      <c r="AD213" s="341">
        <f>VLOOKUP(D211:D399,Amazonía!$A$27:$T$75,20,FALSE)</f>
        <v>4</v>
      </c>
      <c r="AE213" s="353"/>
      <c r="AF213" s="342">
        <f t="shared" si="27"/>
        <v>103439500</v>
      </c>
      <c r="AG213" s="57" t="s">
        <v>27</v>
      </c>
      <c r="AH213" s="58">
        <f t="shared" si="28"/>
        <v>4</v>
      </c>
    </row>
    <row r="214" spans="1:34" ht="16.5" x14ac:dyDescent="0.3">
      <c r="A214" s="134" t="s">
        <v>55</v>
      </c>
      <c r="B214" s="26" t="s">
        <v>490</v>
      </c>
      <c r="C214" s="145" t="s">
        <v>418</v>
      </c>
      <c r="D214" s="112" t="s">
        <v>491</v>
      </c>
      <c r="E214" s="35">
        <v>302032</v>
      </c>
      <c r="F214" s="33" t="s">
        <v>457</v>
      </c>
      <c r="G214" s="37">
        <v>44544</v>
      </c>
      <c r="H214" s="62">
        <v>200000000</v>
      </c>
      <c r="I214" s="49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66"/>
      <c r="U214" s="50">
        <v>6420000</v>
      </c>
      <c r="V214" s="50">
        <v>7000000</v>
      </c>
      <c r="W214" s="50">
        <v>8998000</v>
      </c>
      <c r="X214" s="50">
        <v>58700000</v>
      </c>
      <c r="Y214" s="50"/>
      <c r="Z214" s="51"/>
      <c r="AA214" s="15"/>
      <c r="AB214" s="16">
        <f t="shared" si="25"/>
        <v>81118000</v>
      </c>
      <c r="AC214" s="295">
        <f t="shared" si="26"/>
        <v>0.40559000000000001</v>
      </c>
      <c r="AD214" s="341">
        <f>VLOOKUP(D214:D590,'Eje Cafetero'!$A$34:$S$102,19,FALSE)</f>
        <v>4</v>
      </c>
      <c r="AE214" s="353">
        <v>44873</v>
      </c>
      <c r="AF214" s="342">
        <f t="shared" si="27"/>
        <v>118882000</v>
      </c>
      <c r="AG214" s="57" t="s">
        <v>27</v>
      </c>
      <c r="AH214" s="58">
        <f t="shared" si="28"/>
        <v>4</v>
      </c>
    </row>
    <row r="215" spans="1:34" ht="16.5" x14ac:dyDescent="0.3">
      <c r="A215" s="134" t="s">
        <v>32</v>
      </c>
      <c r="B215" s="26" t="s">
        <v>847</v>
      </c>
      <c r="C215" s="145" t="s">
        <v>418</v>
      </c>
      <c r="D215" s="112" t="s">
        <v>848</v>
      </c>
      <c r="E215" s="35">
        <v>302520</v>
      </c>
      <c r="F215" s="33" t="s">
        <v>828</v>
      </c>
      <c r="G215" s="37">
        <v>44544</v>
      </c>
      <c r="H215" s="62">
        <v>199334000</v>
      </c>
      <c r="I215" s="49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66"/>
      <c r="U215" s="50">
        <v>6420000</v>
      </c>
      <c r="V215" s="50">
        <v>33730500</v>
      </c>
      <c r="W215" s="50">
        <v>20326400</v>
      </c>
      <c r="X215" s="50">
        <v>20017000</v>
      </c>
      <c r="Y215" s="50"/>
      <c r="Z215" s="51"/>
      <c r="AA215" s="15"/>
      <c r="AB215" s="16">
        <f t="shared" si="25"/>
        <v>80493900</v>
      </c>
      <c r="AC215" s="295">
        <f t="shared" si="26"/>
        <v>0.40381420129029671</v>
      </c>
      <c r="AD215" s="341">
        <f>VLOOKUP(D213:D401,Amazonía!$A$27:$T$75,20,FALSE)</f>
        <v>4</v>
      </c>
      <c r="AE215" s="353">
        <v>44875</v>
      </c>
      <c r="AF215" s="342">
        <f t="shared" si="27"/>
        <v>118840100</v>
      </c>
      <c r="AG215" s="57" t="s">
        <v>27</v>
      </c>
      <c r="AH215" s="58">
        <f t="shared" si="28"/>
        <v>4</v>
      </c>
    </row>
    <row r="216" spans="1:34" ht="16.5" x14ac:dyDescent="0.3">
      <c r="A216" s="134" t="s">
        <v>55</v>
      </c>
      <c r="B216" s="26" t="s">
        <v>464</v>
      </c>
      <c r="C216" s="145" t="s">
        <v>418</v>
      </c>
      <c r="D216" s="112" t="s">
        <v>465</v>
      </c>
      <c r="E216" s="35">
        <v>302139</v>
      </c>
      <c r="F216" s="33" t="s">
        <v>128</v>
      </c>
      <c r="G216" s="37">
        <v>44544</v>
      </c>
      <c r="H216" s="62">
        <v>200000000</v>
      </c>
      <c r="I216" s="49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66">
        <v>6420000</v>
      </c>
      <c r="U216" s="50">
        <v>17608500</v>
      </c>
      <c r="V216" s="50">
        <v>12488500</v>
      </c>
      <c r="W216" s="50">
        <v>36932650</v>
      </c>
      <c r="X216" s="50">
        <v>6908500</v>
      </c>
      <c r="Y216" s="50"/>
      <c r="Z216" s="51"/>
      <c r="AA216" s="15"/>
      <c r="AB216" s="16">
        <f t="shared" si="25"/>
        <v>80358150</v>
      </c>
      <c r="AC216" s="295">
        <f t="shared" si="26"/>
        <v>0.40179074999999997</v>
      </c>
      <c r="AD216" s="341">
        <f>VLOOKUP(D216:D592,'Eje Cafetero'!$A$34:$S$102,19,FALSE)</f>
        <v>6</v>
      </c>
      <c r="AE216" s="353">
        <v>44825</v>
      </c>
      <c r="AF216" s="342">
        <f t="shared" si="27"/>
        <v>119641850</v>
      </c>
      <c r="AG216" s="57" t="s">
        <v>27</v>
      </c>
      <c r="AH216" s="58">
        <f t="shared" si="28"/>
        <v>5</v>
      </c>
    </row>
    <row r="217" spans="1:34" ht="16.5" x14ac:dyDescent="0.3">
      <c r="A217" s="134" t="s">
        <v>28</v>
      </c>
      <c r="B217" s="26" t="s">
        <v>872</v>
      </c>
      <c r="C217" s="145" t="s">
        <v>418</v>
      </c>
      <c r="D217" s="112" t="s">
        <v>873</v>
      </c>
      <c r="E217" s="35">
        <v>303664</v>
      </c>
      <c r="F217" s="33" t="s">
        <v>31</v>
      </c>
      <c r="G217" s="37">
        <v>44588</v>
      </c>
      <c r="H217" s="62">
        <v>199469000</v>
      </c>
      <c r="I217" s="49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66"/>
      <c r="U217" s="50">
        <v>6420000</v>
      </c>
      <c r="V217" s="50">
        <v>53963500</v>
      </c>
      <c r="W217" s="50">
        <v>16437750</v>
      </c>
      <c r="X217" s="50">
        <v>3237750</v>
      </c>
      <c r="Y217" s="50"/>
      <c r="Z217" s="51"/>
      <c r="AA217" s="15"/>
      <c r="AB217" s="16">
        <f t="shared" si="25"/>
        <v>80059000</v>
      </c>
      <c r="AC217" s="295">
        <f t="shared" si="26"/>
        <v>0.40136061242599103</v>
      </c>
      <c r="AD217" s="341">
        <f>VLOOKUP(D217:D658,Pacífico!$A$32:$S$105,19,FALSE)</f>
        <v>3</v>
      </c>
      <c r="AE217" s="353">
        <v>44834</v>
      </c>
      <c r="AF217" s="342">
        <f t="shared" si="27"/>
        <v>119410000</v>
      </c>
      <c r="AG217" s="57" t="s">
        <v>27</v>
      </c>
      <c r="AH217" s="58">
        <f t="shared" si="28"/>
        <v>4</v>
      </c>
    </row>
    <row r="218" spans="1:34" ht="16.5" x14ac:dyDescent="0.3">
      <c r="A218" s="134" t="s">
        <v>16</v>
      </c>
      <c r="B218" s="23" t="s">
        <v>1068</v>
      </c>
      <c r="C218" s="145" t="s">
        <v>418</v>
      </c>
      <c r="D218" s="112" t="s">
        <v>1069</v>
      </c>
      <c r="E218" s="35">
        <v>303599</v>
      </c>
      <c r="F218" s="32" t="s">
        <v>572</v>
      </c>
      <c r="G218" s="37">
        <v>44588</v>
      </c>
      <c r="H218" s="61">
        <v>200000000</v>
      </c>
      <c r="I218" s="49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66"/>
      <c r="U218" s="50"/>
      <c r="V218" s="50">
        <v>41546500</v>
      </c>
      <c r="W218" s="50">
        <v>14153666</v>
      </c>
      <c r="X218" s="50">
        <v>23725166</v>
      </c>
      <c r="Y218" s="50"/>
      <c r="Z218" s="51"/>
      <c r="AA218" s="15"/>
      <c r="AB218" s="16">
        <f t="shared" si="25"/>
        <v>79425332</v>
      </c>
      <c r="AC218" s="295">
        <f t="shared" si="26"/>
        <v>0.39712666000000002</v>
      </c>
      <c r="AD218" s="341">
        <f>VLOOKUP(D218:D436,'Caribe I'!$A$25:$Q$83,17,FALSE)</f>
        <v>2</v>
      </c>
      <c r="AE218" s="353"/>
      <c r="AF218" s="342">
        <f t="shared" si="27"/>
        <v>120574668</v>
      </c>
      <c r="AG218" s="57" t="s">
        <v>27</v>
      </c>
      <c r="AH218" s="58">
        <f t="shared" si="28"/>
        <v>3</v>
      </c>
    </row>
    <row r="219" spans="1:34" ht="16.5" x14ac:dyDescent="0.3">
      <c r="A219" s="134" t="s">
        <v>89</v>
      </c>
      <c r="B219" s="26" t="s">
        <v>616</v>
      </c>
      <c r="C219" s="145" t="s">
        <v>418</v>
      </c>
      <c r="D219" s="112" t="s">
        <v>617</v>
      </c>
      <c r="E219" s="35">
        <v>302783</v>
      </c>
      <c r="F219" s="33" t="s">
        <v>92</v>
      </c>
      <c r="G219" s="37">
        <v>44544</v>
      </c>
      <c r="H219" s="62">
        <v>200000000</v>
      </c>
      <c r="I219" s="49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66"/>
      <c r="U219" s="50"/>
      <c r="V219" s="50"/>
      <c r="W219" s="50">
        <v>23800000</v>
      </c>
      <c r="X219" s="50">
        <v>55190100</v>
      </c>
      <c r="Y219" s="50"/>
      <c r="Z219" s="51"/>
      <c r="AA219" s="15"/>
      <c r="AB219" s="16">
        <f t="shared" si="25"/>
        <v>78990100</v>
      </c>
      <c r="AC219" s="295">
        <f t="shared" si="26"/>
        <v>0.39495049999999998</v>
      </c>
      <c r="AD219" s="341">
        <f>VLOOKUP(D219:D287,'Caribe II'!$A$38:$Q$107,17,FALSE)</f>
        <v>2</v>
      </c>
      <c r="AE219" s="353"/>
      <c r="AF219" s="342">
        <f t="shared" si="27"/>
        <v>121009900</v>
      </c>
      <c r="AG219" s="57" t="s">
        <v>27</v>
      </c>
      <c r="AH219" s="58">
        <f t="shared" si="28"/>
        <v>2</v>
      </c>
    </row>
    <row r="220" spans="1:34" ht="16.5" x14ac:dyDescent="0.3">
      <c r="A220" s="134" t="s">
        <v>55</v>
      </c>
      <c r="B220" s="26" t="s">
        <v>991</v>
      </c>
      <c r="C220" s="145" t="s">
        <v>418</v>
      </c>
      <c r="D220" s="112" t="s">
        <v>992</v>
      </c>
      <c r="E220" s="35">
        <v>303290</v>
      </c>
      <c r="F220" s="33" t="s">
        <v>58</v>
      </c>
      <c r="G220" s="37">
        <v>44588</v>
      </c>
      <c r="H220" s="62">
        <v>200000000</v>
      </c>
      <c r="I220" s="49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66"/>
      <c r="U220" s="50"/>
      <c r="V220" s="50"/>
      <c r="W220" s="50"/>
      <c r="X220" s="50">
        <v>77600012</v>
      </c>
      <c r="Y220" s="50"/>
      <c r="Z220" s="51"/>
      <c r="AA220" s="15"/>
      <c r="AB220" s="16">
        <f t="shared" si="25"/>
        <v>77600012</v>
      </c>
      <c r="AC220" s="295">
        <f t="shared" si="26"/>
        <v>0.38800005999999998</v>
      </c>
      <c r="AD220" s="341">
        <f>VLOOKUP(D220:D596,'Eje Cafetero'!$A$34:$S$102,19,FALSE)</f>
        <v>2</v>
      </c>
      <c r="AE220" s="353"/>
      <c r="AF220" s="342">
        <f t="shared" si="27"/>
        <v>122399988</v>
      </c>
      <c r="AG220" s="57" t="s">
        <v>27</v>
      </c>
      <c r="AH220" s="58">
        <f t="shared" si="28"/>
        <v>1</v>
      </c>
    </row>
    <row r="221" spans="1:34" ht="16.5" x14ac:dyDescent="0.3">
      <c r="A221" s="134" t="s">
        <v>23</v>
      </c>
      <c r="B221" s="26" t="s">
        <v>670</v>
      </c>
      <c r="C221" s="145" t="s">
        <v>418</v>
      </c>
      <c r="D221" s="112" t="s">
        <v>671</v>
      </c>
      <c r="E221" s="35">
        <v>303252</v>
      </c>
      <c r="F221" s="33" t="s">
        <v>44</v>
      </c>
      <c r="G221" s="37">
        <v>44544</v>
      </c>
      <c r="H221" s="62">
        <v>184376000</v>
      </c>
      <c r="I221" s="49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66"/>
      <c r="U221" s="50">
        <v>9420000</v>
      </c>
      <c r="V221" s="50">
        <v>5830000</v>
      </c>
      <c r="W221" s="50">
        <v>9115083</v>
      </c>
      <c r="X221" s="50">
        <v>46403940</v>
      </c>
      <c r="Y221" s="50"/>
      <c r="Z221" s="51"/>
      <c r="AA221" s="15"/>
      <c r="AB221" s="16">
        <f t="shared" si="25"/>
        <v>70769023</v>
      </c>
      <c r="AC221" s="295">
        <f t="shared" si="26"/>
        <v>0.38382990736321432</v>
      </c>
      <c r="AD221" s="341">
        <f>VLOOKUP(D221:D694,Central!$A$29:$R$107,18,FALSE)</f>
        <v>1</v>
      </c>
      <c r="AE221" s="353">
        <v>44862</v>
      </c>
      <c r="AF221" s="342">
        <f t="shared" si="27"/>
        <v>113606977</v>
      </c>
      <c r="AG221" s="57" t="s">
        <v>27</v>
      </c>
      <c r="AH221" s="58">
        <f t="shared" si="28"/>
        <v>4</v>
      </c>
    </row>
    <row r="222" spans="1:34" ht="16.5" x14ac:dyDescent="0.3">
      <c r="A222" s="134" t="s">
        <v>32</v>
      </c>
      <c r="B222" s="26" t="s">
        <v>866</v>
      </c>
      <c r="C222" s="145" t="s">
        <v>418</v>
      </c>
      <c r="D222" s="112" t="s">
        <v>867</v>
      </c>
      <c r="E222" s="35">
        <v>302557</v>
      </c>
      <c r="F222" s="33" t="s">
        <v>35</v>
      </c>
      <c r="G222" s="37">
        <v>44544</v>
      </c>
      <c r="H222" s="62">
        <v>198962000</v>
      </c>
      <c r="I222" s="49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66">
        <v>6420000</v>
      </c>
      <c r="U222" s="50"/>
      <c r="V222" s="50">
        <v>16517000</v>
      </c>
      <c r="W222" s="50">
        <v>2908500</v>
      </c>
      <c r="X222" s="50">
        <v>49202500</v>
      </c>
      <c r="Y222" s="50"/>
      <c r="Z222" s="51"/>
      <c r="AA222" s="15"/>
      <c r="AB222" s="16">
        <f t="shared" si="25"/>
        <v>75048000</v>
      </c>
      <c r="AC222" s="295">
        <f t="shared" si="26"/>
        <v>0.37719765583377729</v>
      </c>
      <c r="AD222" s="341">
        <f>VLOOKUP(D220:D408,Amazonía!$A$27:$T$75,20,FALSE)</f>
        <v>4</v>
      </c>
      <c r="AE222" s="353">
        <v>44842</v>
      </c>
      <c r="AF222" s="342">
        <f t="shared" si="27"/>
        <v>123914000</v>
      </c>
      <c r="AG222" s="57" t="s">
        <v>27</v>
      </c>
      <c r="AH222" s="58">
        <f t="shared" si="28"/>
        <v>4</v>
      </c>
    </row>
    <row r="223" spans="1:34" ht="16.5" x14ac:dyDescent="0.3">
      <c r="A223" s="134" t="s">
        <v>32</v>
      </c>
      <c r="B223" s="23" t="s">
        <v>851</v>
      </c>
      <c r="C223" s="145" t="s">
        <v>418</v>
      </c>
      <c r="D223" s="112" t="s">
        <v>852</v>
      </c>
      <c r="E223" s="35">
        <v>302894</v>
      </c>
      <c r="F223" s="32" t="s">
        <v>828</v>
      </c>
      <c r="G223" s="37">
        <v>44544</v>
      </c>
      <c r="H223" s="61">
        <v>190922000</v>
      </c>
      <c r="I223" s="49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66"/>
      <c r="U223" s="50">
        <v>6420000</v>
      </c>
      <c r="V223" s="50">
        <v>40254000</v>
      </c>
      <c r="W223" s="50">
        <v>3000000</v>
      </c>
      <c r="X223" s="50">
        <v>22108500</v>
      </c>
      <c r="Y223" s="50"/>
      <c r="Z223" s="51"/>
      <c r="AA223" s="15"/>
      <c r="AB223" s="16">
        <f t="shared" si="25"/>
        <v>71782500</v>
      </c>
      <c r="AC223" s="295">
        <f t="shared" si="26"/>
        <v>0.37597814814426833</v>
      </c>
      <c r="AD223" s="341">
        <f>VLOOKUP(D221:D409,Amazonía!$A$27:$T$75,20,FALSE)</f>
        <v>4</v>
      </c>
      <c r="AE223" s="353">
        <v>44874</v>
      </c>
      <c r="AF223" s="342">
        <f t="shared" si="27"/>
        <v>119139500</v>
      </c>
      <c r="AG223" s="57" t="s">
        <v>27</v>
      </c>
      <c r="AH223" s="58">
        <f t="shared" si="28"/>
        <v>4</v>
      </c>
    </row>
    <row r="224" spans="1:34" ht="16.5" x14ac:dyDescent="0.3">
      <c r="A224" s="134" t="s">
        <v>23</v>
      </c>
      <c r="B224" s="26" t="s">
        <v>1363</v>
      </c>
      <c r="C224" s="145" t="s">
        <v>418</v>
      </c>
      <c r="D224" s="112" t="s">
        <v>1364</v>
      </c>
      <c r="E224" s="35">
        <v>304270</v>
      </c>
      <c r="F224" s="33" t="s">
        <v>44</v>
      </c>
      <c r="G224" s="37">
        <v>44600</v>
      </c>
      <c r="H224" s="62">
        <v>154876000</v>
      </c>
      <c r="I224" s="49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66"/>
      <c r="U224" s="50">
        <v>12620000</v>
      </c>
      <c r="V224" s="50">
        <v>17148997</v>
      </c>
      <c r="W224" s="50">
        <v>21717000</v>
      </c>
      <c r="X224" s="50">
        <v>6654250</v>
      </c>
      <c r="Y224" s="50"/>
      <c r="Z224" s="51"/>
      <c r="AA224" s="15"/>
      <c r="AB224" s="16">
        <f t="shared" si="25"/>
        <v>58140247</v>
      </c>
      <c r="AC224" s="295">
        <f t="shared" si="26"/>
        <v>0.37539868669128851</v>
      </c>
      <c r="AD224" s="341">
        <f>VLOOKUP(D224:D697,Central!$A$29:$R$107,18,FALSE)</f>
        <v>3</v>
      </c>
      <c r="AE224" s="353">
        <v>44860</v>
      </c>
      <c r="AF224" s="342">
        <f t="shared" si="27"/>
        <v>96735753</v>
      </c>
      <c r="AG224" s="57" t="s">
        <v>27</v>
      </c>
      <c r="AH224" s="58">
        <f t="shared" si="28"/>
        <v>4</v>
      </c>
    </row>
    <row r="225" spans="1:34" ht="16.5" x14ac:dyDescent="0.3">
      <c r="A225" s="134" t="s">
        <v>28</v>
      </c>
      <c r="B225" s="26" t="s">
        <v>916</v>
      </c>
      <c r="C225" s="145" t="s">
        <v>418</v>
      </c>
      <c r="D225" s="112" t="s">
        <v>917</v>
      </c>
      <c r="E225" s="35">
        <v>303445</v>
      </c>
      <c r="F225" s="33" t="s">
        <v>81</v>
      </c>
      <c r="G225" s="37">
        <v>44588</v>
      </c>
      <c r="H225" s="62">
        <v>122747000</v>
      </c>
      <c r="I225" s="49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66"/>
      <c r="U225" s="50">
        <v>3240000</v>
      </c>
      <c r="V225" s="50"/>
      <c r="W225" s="50"/>
      <c r="X225" s="50">
        <v>42499000</v>
      </c>
      <c r="Y225" s="50"/>
      <c r="Z225" s="51"/>
      <c r="AA225" s="15"/>
      <c r="AB225" s="16">
        <f t="shared" si="25"/>
        <v>45739000</v>
      </c>
      <c r="AC225" s="295">
        <f t="shared" si="26"/>
        <v>0.37262825160696394</v>
      </c>
      <c r="AD225" s="341">
        <f>VLOOKUP(D225:D663,Pacífico!$A$32:$S$105,19,FALSE)</f>
        <v>3</v>
      </c>
      <c r="AE225" s="353"/>
      <c r="AF225" s="342">
        <f t="shared" si="27"/>
        <v>77008000</v>
      </c>
      <c r="AG225" s="57" t="s">
        <v>27</v>
      </c>
      <c r="AH225" s="58">
        <f t="shared" si="28"/>
        <v>2</v>
      </c>
    </row>
    <row r="226" spans="1:34" ht="16.5" x14ac:dyDescent="0.3">
      <c r="A226" s="134" t="s">
        <v>16</v>
      </c>
      <c r="B226" s="26" t="s">
        <v>1371</v>
      </c>
      <c r="C226" s="145" t="s">
        <v>418</v>
      </c>
      <c r="D226" s="112" t="s">
        <v>1416</v>
      </c>
      <c r="E226" s="35">
        <v>404697</v>
      </c>
      <c r="F226" s="33" t="s">
        <v>551</v>
      </c>
      <c r="G226" s="37">
        <v>44643</v>
      </c>
      <c r="H226" s="62">
        <v>200000000</v>
      </c>
      <c r="I226" s="49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66"/>
      <c r="U226" s="50"/>
      <c r="V226" s="50"/>
      <c r="W226" s="50">
        <v>5713800</v>
      </c>
      <c r="X226" s="50">
        <v>68408000</v>
      </c>
      <c r="Y226" s="50"/>
      <c r="Z226" s="51"/>
      <c r="AA226" s="15"/>
      <c r="AB226" s="16">
        <f t="shared" si="25"/>
        <v>74121800</v>
      </c>
      <c r="AC226" s="295">
        <f t="shared" si="26"/>
        <v>0.37060900000000002</v>
      </c>
      <c r="AD226" s="341">
        <f>VLOOKUP(D226:D444,'Caribe I'!$A$25:$Q$83,17,FALSE)</f>
        <v>2</v>
      </c>
      <c r="AE226" s="353"/>
      <c r="AF226" s="342">
        <f t="shared" si="27"/>
        <v>125878200</v>
      </c>
      <c r="AG226" s="57" t="s">
        <v>27</v>
      </c>
      <c r="AH226" s="58">
        <f t="shared" si="28"/>
        <v>2</v>
      </c>
    </row>
    <row r="227" spans="1:34" ht="16.5" x14ac:dyDescent="0.3">
      <c r="A227" s="134" t="s">
        <v>105</v>
      </c>
      <c r="B227" s="26" t="s">
        <v>799</v>
      </c>
      <c r="C227" s="145" t="s">
        <v>418</v>
      </c>
      <c r="D227" s="112" t="s">
        <v>800</v>
      </c>
      <c r="E227" s="35">
        <v>302868</v>
      </c>
      <c r="F227" s="33" t="s">
        <v>118</v>
      </c>
      <c r="G227" s="37">
        <v>44544</v>
      </c>
      <c r="H227" s="62">
        <v>195000000</v>
      </c>
      <c r="I227" s="49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66">
        <v>6420000</v>
      </c>
      <c r="U227" s="50"/>
      <c r="V227" s="50">
        <v>5462500</v>
      </c>
      <c r="W227" s="50">
        <v>55408500</v>
      </c>
      <c r="X227" s="50">
        <v>3000000</v>
      </c>
      <c r="Y227" s="50"/>
      <c r="Z227" s="51"/>
      <c r="AA227" s="15"/>
      <c r="AB227" s="16">
        <f t="shared" si="25"/>
        <v>70291000</v>
      </c>
      <c r="AC227" s="295">
        <f t="shared" si="26"/>
        <v>0.36046666666666666</v>
      </c>
      <c r="AD227" s="341">
        <f>VLOOKUP(D227:D605,Llanos!$A$28:$S$82,19,FALSE)</f>
        <v>3</v>
      </c>
      <c r="AE227" s="353">
        <v>44874</v>
      </c>
      <c r="AF227" s="342">
        <f t="shared" si="27"/>
        <v>124709000</v>
      </c>
      <c r="AG227" s="57" t="s">
        <v>27</v>
      </c>
      <c r="AH227" s="58">
        <f t="shared" si="28"/>
        <v>4</v>
      </c>
    </row>
    <row r="228" spans="1:34" ht="16.5" x14ac:dyDescent="0.3">
      <c r="A228" s="134" t="s">
        <v>105</v>
      </c>
      <c r="B228" s="26" t="s">
        <v>747</v>
      </c>
      <c r="C228" s="145" t="s">
        <v>418</v>
      </c>
      <c r="D228" s="112" t="s">
        <v>748</v>
      </c>
      <c r="E228" s="35">
        <v>302971</v>
      </c>
      <c r="F228" s="33" t="s">
        <v>131</v>
      </c>
      <c r="G228" s="37">
        <v>44544</v>
      </c>
      <c r="H228" s="62">
        <v>195000000</v>
      </c>
      <c r="I228" s="49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66"/>
      <c r="U228" s="50">
        <v>6420000</v>
      </c>
      <c r="V228" s="50">
        <v>5000000</v>
      </c>
      <c r="W228" s="50"/>
      <c r="X228" s="50">
        <v>58643355</v>
      </c>
      <c r="Y228" s="50"/>
      <c r="Z228" s="51"/>
      <c r="AA228" s="15"/>
      <c r="AB228" s="16">
        <f t="shared" si="25"/>
        <v>70063355</v>
      </c>
      <c r="AC228" s="295">
        <f t="shared" si="26"/>
        <v>0.3592992564102564</v>
      </c>
      <c r="AD228" s="341">
        <f>VLOOKUP(D228:D606,Llanos!$A$28:$S$82,19,FALSE)</f>
        <v>3</v>
      </c>
      <c r="AE228" s="353"/>
      <c r="AF228" s="342">
        <f t="shared" si="27"/>
        <v>124936645</v>
      </c>
      <c r="AG228" s="57" t="s">
        <v>27</v>
      </c>
      <c r="AH228" s="58">
        <f t="shared" si="28"/>
        <v>3</v>
      </c>
    </row>
    <row r="229" spans="1:34" ht="16.5" x14ac:dyDescent="0.3">
      <c r="A229" s="134" t="s">
        <v>55</v>
      </c>
      <c r="B229" s="26" t="s">
        <v>328</v>
      </c>
      <c r="C229" s="145" t="s">
        <v>418</v>
      </c>
      <c r="D229" s="112" t="s">
        <v>548</v>
      </c>
      <c r="E229" s="35">
        <v>302863</v>
      </c>
      <c r="F229" s="33" t="s">
        <v>128</v>
      </c>
      <c r="G229" s="37">
        <v>44544</v>
      </c>
      <c r="H229" s="62">
        <v>200000000</v>
      </c>
      <c r="I229" s="49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66"/>
      <c r="U229" s="50"/>
      <c r="V229" s="50">
        <v>6420000</v>
      </c>
      <c r="W229" s="50">
        <v>16700000</v>
      </c>
      <c r="X229" s="50">
        <v>48573400</v>
      </c>
      <c r="Y229" s="50"/>
      <c r="Z229" s="51"/>
      <c r="AA229" s="15"/>
      <c r="AB229" s="16">
        <f t="shared" si="25"/>
        <v>71693400</v>
      </c>
      <c r="AC229" s="295">
        <f t="shared" si="26"/>
        <v>0.35846699999999998</v>
      </c>
      <c r="AD229" s="341">
        <f>VLOOKUP(D229:D605,'Eje Cafetero'!$A$34:$S$102,19,FALSE)</f>
        <v>2</v>
      </c>
      <c r="AE229" s="353">
        <v>44858</v>
      </c>
      <c r="AF229" s="342">
        <f t="shared" si="27"/>
        <v>128306600</v>
      </c>
      <c r="AG229" s="57" t="s">
        <v>27</v>
      </c>
      <c r="AH229" s="58">
        <f t="shared" si="28"/>
        <v>3</v>
      </c>
    </row>
    <row r="230" spans="1:34" ht="16.5" x14ac:dyDescent="0.3">
      <c r="A230" s="134" t="s">
        <v>89</v>
      </c>
      <c r="B230" s="23" t="s">
        <v>625</v>
      </c>
      <c r="C230" s="145" t="s">
        <v>418</v>
      </c>
      <c r="D230" s="112" t="s">
        <v>626</v>
      </c>
      <c r="E230" s="35">
        <v>303238</v>
      </c>
      <c r="F230" s="32" t="s">
        <v>622</v>
      </c>
      <c r="G230" s="37">
        <v>44544</v>
      </c>
      <c r="H230" s="61">
        <v>150000000</v>
      </c>
      <c r="I230" s="49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66"/>
      <c r="U230" s="50"/>
      <c r="V230" s="50">
        <v>32407301</v>
      </c>
      <c r="W230" s="50">
        <v>17608500</v>
      </c>
      <c r="X230" s="50">
        <v>3608500</v>
      </c>
      <c r="Y230" s="50"/>
      <c r="Z230" s="51"/>
      <c r="AA230" s="15"/>
      <c r="AB230" s="16">
        <f t="shared" si="25"/>
        <v>53624301</v>
      </c>
      <c r="AC230" s="295">
        <f t="shared" si="26"/>
        <v>0.35749533999999999</v>
      </c>
      <c r="AD230" s="341">
        <f>VLOOKUP(D230:D298,'Caribe II'!$A$38:$Q$107,17,FALSE)</f>
        <v>2</v>
      </c>
      <c r="AE230" s="353"/>
      <c r="AF230" s="342">
        <f t="shared" si="27"/>
        <v>96375699</v>
      </c>
      <c r="AG230" s="57" t="s">
        <v>27</v>
      </c>
      <c r="AH230" s="58">
        <f t="shared" si="28"/>
        <v>3</v>
      </c>
    </row>
    <row r="231" spans="1:34" ht="16.5" x14ac:dyDescent="0.3">
      <c r="A231" s="134" t="s">
        <v>55</v>
      </c>
      <c r="B231" s="23" t="s">
        <v>544</v>
      </c>
      <c r="C231" s="145" t="s">
        <v>418</v>
      </c>
      <c r="D231" s="112" t="s">
        <v>545</v>
      </c>
      <c r="E231" s="35">
        <v>302635</v>
      </c>
      <c r="F231" s="32" t="s">
        <v>128</v>
      </c>
      <c r="G231" s="37">
        <v>44544</v>
      </c>
      <c r="H231" s="61">
        <v>200000000</v>
      </c>
      <c r="I231" s="49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66">
        <v>6420000</v>
      </c>
      <c r="U231" s="50"/>
      <c r="V231" s="50">
        <v>13700000</v>
      </c>
      <c r="W231" s="50">
        <v>11248500</v>
      </c>
      <c r="X231" s="50">
        <v>39220316</v>
      </c>
      <c r="Y231" s="50"/>
      <c r="Z231" s="51"/>
      <c r="AA231" s="15"/>
      <c r="AB231" s="16">
        <f t="shared" si="25"/>
        <v>70588816</v>
      </c>
      <c r="AC231" s="295">
        <f t="shared" si="26"/>
        <v>0.35294407999999999</v>
      </c>
      <c r="AD231" s="341">
        <f>VLOOKUP(D231:D607,'Eje Cafetero'!$A$34:$S$102,19,FALSE)</f>
        <v>5</v>
      </c>
      <c r="AE231" s="353">
        <v>44858</v>
      </c>
      <c r="AF231" s="342">
        <f t="shared" si="27"/>
        <v>129411184</v>
      </c>
      <c r="AG231" s="57" t="s">
        <v>27</v>
      </c>
      <c r="AH231" s="58">
        <f t="shared" si="28"/>
        <v>4</v>
      </c>
    </row>
    <row r="232" spans="1:34" ht="16.5" x14ac:dyDescent="0.3">
      <c r="A232" s="134" t="s">
        <v>32</v>
      </c>
      <c r="B232" s="26" t="s">
        <v>822</v>
      </c>
      <c r="C232" s="145" t="s">
        <v>418</v>
      </c>
      <c r="D232" s="112" t="s">
        <v>823</v>
      </c>
      <c r="E232" s="35">
        <v>302770</v>
      </c>
      <c r="F232" s="33" t="s">
        <v>35</v>
      </c>
      <c r="G232" s="37">
        <v>44544</v>
      </c>
      <c r="H232" s="62">
        <v>159469000</v>
      </c>
      <c r="I232" s="49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66"/>
      <c r="U232" s="50"/>
      <c r="V232" s="50">
        <v>6300000</v>
      </c>
      <c r="W232" s="50">
        <v>1817000</v>
      </c>
      <c r="X232" s="50">
        <v>47974528</v>
      </c>
      <c r="Y232" s="50"/>
      <c r="Z232" s="51"/>
      <c r="AA232" s="15"/>
      <c r="AB232" s="16">
        <f t="shared" si="25"/>
        <v>56091528</v>
      </c>
      <c r="AC232" s="295">
        <f t="shared" si="26"/>
        <v>0.35173938508424835</v>
      </c>
      <c r="AD232" s="341">
        <f>VLOOKUP(D230:D418,Amazonía!$A$27:$T$75,20,FALSE)</f>
        <v>3</v>
      </c>
      <c r="AE232" s="353"/>
      <c r="AF232" s="342">
        <f t="shared" si="27"/>
        <v>103377472</v>
      </c>
      <c r="AG232" s="57" t="s">
        <v>27</v>
      </c>
      <c r="AH232" s="58">
        <f t="shared" si="28"/>
        <v>3</v>
      </c>
    </row>
    <row r="233" spans="1:34" ht="16.5" x14ac:dyDescent="0.3">
      <c r="A233" s="134" t="s">
        <v>89</v>
      </c>
      <c r="B233" s="26" t="s">
        <v>1122</v>
      </c>
      <c r="C233" s="145" t="s">
        <v>418</v>
      </c>
      <c r="D233" s="112" t="s">
        <v>1123</v>
      </c>
      <c r="E233" s="35">
        <v>303486</v>
      </c>
      <c r="F233" s="33" t="s">
        <v>92</v>
      </c>
      <c r="G233" s="37">
        <v>44588</v>
      </c>
      <c r="H233" s="62">
        <v>200000000</v>
      </c>
      <c r="I233" s="49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66"/>
      <c r="U233" s="50"/>
      <c r="V233" s="50">
        <v>6420000</v>
      </c>
      <c r="W233" s="50">
        <v>20548500</v>
      </c>
      <c r="X233" s="50">
        <v>43208500</v>
      </c>
      <c r="Y233" s="50"/>
      <c r="Z233" s="51"/>
      <c r="AA233" s="15"/>
      <c r="AB233" s="16">
        <f t="shared" si="25"/>
        <v>70177000</v>
      </c>
      <c r="AC233" s="295">
        <f t="shared" si="26"/>
        <v>0.350885</v>
      </c>
      <c r="AD233" s="341">
        <f>VLOOKUP(D233:D301,'Caribe II'!$A$38:$Q$107,17,FALSE)</f>
        <v>2</v>
      </c>
      <c r="AE233" s="353"/>
      <c r="AF233" s="342">
        <f t="shared" si="27"/>
        <v>129823000</v>
      </c>
      <c r="AG233" s="57" t="s">
        <v>27</v>
      </c>
      <c r="AH233" s="58">
        <f t="shared" si="28"/>
        <v>3</v>
      </c>
    </row>
    <row r="234" spans="1:34" ht="16.5" x14ac:dyDescent="0.3">
      <c r="A234" s="134" t="s">
        <v>16</v>
      </c>
      <c r="B234" s="26" t="s">
        <v>554</v>
      </c>
      <c r="C234" s="145" t="s">
        <v>418</v>
      </c>
      <c r="D234" s="112" t="s">
        <v>555</v>
      </c>
      <c r="E234" s="35">
        <v>302807</v>
      </c>
      <c r="F234" s="33" t="s">
        <v>551</v>
      </c>
      <c r="G234" s="37">
        <v>44544</v>
      </c>
      <c r="H234" s="62">
        <v>150000000</v>
      </c>
      <c r="I234" s="49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66"/>
      <c r="U234" s="50">
        <v>34191000</v>
      </c>
      <c r="V234" s="50">
        <v>6420000</v>
      </c>
      <c r="W234" s="50">
        <v>908000</v>
      </c>
      <c r="X234" s="50">
        <v>10886072.890000001</v>
      </c>
      <c r="Y234" s="50"/>
      <c r="Z234" s="51"/>
      <c r="AA234" s="15"/>
      <c r="AB234" s="16">
        <f t="shared" si="25"/>
        <v>52405072.890000001</v>
      </c>
      <c r="AC234" s="295">
        <f t="shared" si="26"/>
        <v>0.34936715260000001</v>
      </c>
      <c r="AD234" s="341">
        <f>VLOOKUP(D234:D452,'Caribe I'!$A$25:$Q$83,17,FALSE)</f>
        <v>4</v>
      </c>
      <c r="AE234" s="353"/>
      <c r="AF234" s="342">
        <f t="shared" si="27"/>
        <v>97594927.109999999</v>
      </c>
      <c r="AG234" s="57" t="s">
        <v>27</v>
      </c>
      <c r="AH234" s="58">
        <f t="shared" si="28"/>
        <v>4</v>
      </c>
    </row>
    <row r="235" spans="1:34" ht="16.5" x14ac:dyDescent="0.3">
      <c r="A235" s="134" t="s">
        <v>49</v>
      </c>
      <c r="B235" s="23" t="s">
        <v>717</v>
      </c>
      <c r="C235" s="145" t="s">
        <v>418</v>
      </c>
      <c r="D235" s="112" t="s">
        <v>718</v>
      </c>
      <c r="E235" s="35">
        <v>302840</v>
      </c>
      <c r="F235" s="32" t="s">
        <v>690</v>
      </c>
      <c r="G235" s="37">
        <v>44544</v>
      </c>
      <c r="H235" s="61">
        <v>175000000</v>
      </c>
      <c r="I235" s="49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66">
        <v>6420000</v>
      </c>
      <c r="U235" s="50">
        <v>3120000</v>
      </c>
      <c r="V235" s="50">
        <v>37270000.100000001</v>
      </c>
      <c r="W235" s="50">
        <v>6620000</v>
      </c>
      <c r="X235" s="50">
        <v>7120000</v>
      </c>
      <c r="Y235" s="50"/>
      <c r="Z235" s="51"/>
      <c r="AA235" s="15"/>
      <c r="AB235" s="16">
        <f t="shared" si="25"/>
        <v>60550000.100000001</v>
      </c>
      <c r="AC235" s="295">
        <f t="shared" si="26"/>
        <v>0.3460000005714286</v>
      </c>
      <c r="AD235" s="341">
        <f>VLOOKUP(D235:D701,Santanderes!$A$21:$S$54,19,FALSE)</f>
        <v>4</v>
      </c>
      <c r="AE235" s="353"/>
      <c r="AF235" s="342">
        <f t="shared" si="27"/>
        <v>114449999.90000001</v>
      </c>
      <c r="AG235" s="57" t="s">
        <v>27</v>
      </c>
      <c r="AH235" s="58">
        <f t="shared" si="28"/>
        <v>5</v>
      </c>
    </row>
    <row r="236" spans="1:34" ht="16.5" x14ac:dyDescent="0.3">
      <c r="A236" s="134" t="s">
        <v>28</v>
      </c>
      <c r="B236" s="26" t="s">
        <v>948</v>
      </c>
      <c r="C236" s="145" t="s">
        <v>418</v>
      </c>
      <c r="D236" s="112" t="s">
        <v>949</v>
      </c>
      <c r="E236" s="35">
        <v>303666</v>
      </c>
      <c r="F236" s="33" t="s">
        <v>447</v>
      </c>
      <c r="G236" s="37">
        <v>44588</v>
      </c>
      <c r="H236" s="62">
        <v>179902000</v>
      </c>
      <c r="I236" s="49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66"/>
      <c r="U236" s="50"/>
      <c r="V236" s="50">
        <v>6420000</v>
      </c>
      <c r="W236" s="50">
        <v>830000</v>
      </c>
      <c r="X236" s="50">
        <v>54933579</v>
      </c>
      <c r="Y236" s="50"/>
      <c r="Z236" s="51"/>
      <c r="AA236" s="15"/>
      <c r="AB236" s="16">
        <f t="shared" si="25"/>
        <v>62183579</v>
      </c>
      <c r="AC236" s="295">
        <f t="shared" si="26"/>
        <v>0.3456525163700237</v>
      </c>
      <c r="AD236" s="341">
        <f>VLOOKUP(D236:D674,Pacífico!$A$32:$S$105,19,FALSE)</f>
        <v>3</v>
      </c>
      <c r="AE236" s="353"/>
      <c r="AF236" s="342">
        <f t="shared" si="27"/>
        <v>117718421</v>
      </c>
      <c r="AG236" s="57" t="s">
        <v>27</v>
      </c>
      <c r="AH236" s="58">
        <f t="shared" si="28"/>
        <v>3</v>
      </c>
    </row>
    <row r="237" spans="1:34" ht="16.5" x14ac:dyDescent="0.3">
      <c r="A237" s="134" t="s">
        <v>16</v>
      </c>
      <c r="B237" s="26" t="s">
        <v>581</v>
      </c>
      <c r="C237" s="145" t="s">
        <v>418</v>
      </c>
      <c r="D237" s="112" t="s">
        <v>582</v>
      </c>
      <c r="E237" s="35">
        <v>302754</v>
      </c>
      <c r="F237" s="33" t="s">
        <v>551</v>
      </c>
      <c r="G237" s="37">
        <v>44544</v>
      </c>
      <c r="H237" s="62">
        <v>200000000</v>
      </c>
      <c r="I237" s="49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66">
        <v>6420000</v>
      </c>
      <c r="U237" s="50"/>
      <c r="V237" s="50"/>
      <c r="W237" s="50"/>
      <c r="X237" s="50">
        <v>60460000</v>
      </c>
      <c r="Y237" s="50"/>
      <c r="Z237" s="51"/>
      <c r="AA237" s="15"/>
      <c r="AB237" s="16">
        <f t="shared" si="25"/>
        <v>66880000</v>
      </c>
      <c r="AC237" s="295">
        <f t="shared" si="26"/>
        <v>0.33439999999999998</v>
      </c>
      <c r="AD237" s="341">
        <f>VLOOKUP(D237:D455,'Caribe I'!$A$25:$Q$83,17,FALSE)</f>
        <v>3</v>
      </c>
      <c r="AE237" s="353"/>
      <c r="AF237" s="342">
        <f t="shared" si="27"/>
        <v>133120000</v>
      </c>
      <c r="AG237" s="57" t="s">
        <v>27</v>
      </c>
      <c r="AH237" s="58">
        <f t="shared" si="28"/>
        <v>2</v>
      </c>
    </row>
    <row r="238" spans="1:34" ht="16.5" x14ac:dyDescent="0.3">
      <c r="A238" s="134" t="s">
        <v>32</v>
      </c>
      <c r="B238" s="26" t="s">
        <v>849</v>
      </c>
      <c r="C238" s="145" t="s">
        <v>418</v>
      </c>
      <c r="D238" s="112" t="s">
        <v>850</v>
      </c>
      <c r="E238" s="35">
        <v>302893</v>
      </c>
      <c r="F238" s="33" t="s">
        <v>828</v>
      </c>
      <c r="G238" s="37">
        <v>44544</v>
      </c>
      <c r="H238" s="62">
        <v>200000000</v>
      </c>
      <c r="I238" s="49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66"/>
      <c r="U238" s="50">
        <v>6420000</v>
      </c>
      <c r="V238" s="50">
        <v>43416000</v>
      </c>
      <c r="W238" s="50">
        <v>3000000</v>
      </c>
      <c r="X238" s="50">
        <v>13700000</v>
      </c>
      <c r="Y238" s="50"/>
      <c r="Z238" s="51"/>
      <c r="AA238" s="15"/>
      <c r="AB238" s="16">
        <f t="shared" si="25"/>
        <v>66536000</v>
      </c>
      <c r="AC238" s="295">
        <f t="shared" si="26"/>
        <v>0.33267999999999998</v>
      </c>
      <c r="AD238" s="341">
        <f>VLOOKUP(D236:D424,Amazonía!$A$27:$T$75,20,FALSE)</f>
        <v>4</v>
      </c>
      <c r="AE238" s="353">
        <v>44876</v>
      </c>
      <c r="AF238" s="342">
        <f t="shared" si="27"/>
        <v>133464000</v>
      </c>
      <c r="AG238" s="57" t="s">
        <v>27</v>
      </c>
      <c r="AH238" s="58">
        <f t="shared" si="28"/>
        <v>4</v>
      </c>
    </row>
    <row r="239" spans="1:34" ht="16.5" x14ac:dyDescent="0.3">
      <c r="A239" s="134" t="s">
        <v>23</v>
      </c>
      <c r="B239" s="26" t="s">
        <v>1186</v>
      </c>
      <c r="C239" s="145" t="s">
        <v>418</v>
      </c>
      <c r="D239" s="112" t="s">
        <v>1187</v>
      </c>
      <c r="E239" s="35">
        <v>303782</v>
      </c>
      <c r="F239" s="33" t="s">
        <v>68</v>
      </c>
      <c r="G239" s="37">
        <v>44588</v>
      </c>
      <c r="H239" s="62">
        <v>198651000</v>
      </c>
      <c r="I239" s="49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66">
        <v>6420000</v>
      </c>
      <c r="U239" s="50"/>
      <c r="V239" s="50">
        <v>11266000</v>
      </c>
      <c r="W239" s="50">
        <v>1362750</v>
      </c>
      <c r="X239" s="50">
        <v>46091056</v>
      </c>
      <c r="Y239" s="50"/>
      <c r="Z239" s="51"/>
      <c r="AA239" s="15"/>
      <c r="AB239" s="16">
        <f t="shared" si="25"/>
        <v>65139806</v>
      </c>
      <c r="AC239" s="295">
        <f t="shared" si="26"/>
        <v>0.32791078826685999</v>
      </c>
      <c r="AD239" s="341">
        <f>VLOOKUP(D239:D712,Central!$A$29:$R$107,18,FALSE)</f>
        <v>3</v>
      </c>
      <c r="AE239" s="353"/>
      <c r="AF239" s="342">
        <f t="shared" si="27"/>
        <v>133511194</v>
      </c>
      <c r="AG239" s="57" t="s">
        <v>27</v>
      </c>
      <c r="AH239" s="58">
        <f t="shared" si="28"/>
        <v>4</v>
      </c>
    </row>
    <row r="240" spans="1:34" ht="16.5" x14ac:dyDescent="0.3">
      <c r="A240" s="134" t="s">
        <v>23</v>
      </c>
      <c r="B240" s="26" t="s">
        <v>1258</v>
      </c>
      <c r="C240" s="145" t="s">
        <v>418</v>
      </c>
      <c r="D240" s="112" t="s">
        <v>1259</v>
      </c>
      <c r="E240" s="35">
        <v>303910</v>
      </c>
      <c r="F240" s="33" t="s">
        <v>44</v>
      </c>
      <c r="G240" s="37">
        <v>44588</v>
      </c>
      <c r="H240" s="62">
        <v>163006000</v>
      </c>
      <c r="I240" s="49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66"/>
      <c r="U240" s="50">
        <v>42222000</v>
      </c>
      <c r="V240" s="50">
        <v>10200000</v>
      </c>
      <c r="W240" s="50"/>
      <c r="X240" s="50"/>
      <c r="Y240" s="50"/>
      <c r="Z240" s="51"/>
      <c r="AA240" s="15"/>
      <c r="AB240" s="16">
        <f t="shared" si="25"/>
        <v>52422000</v>
      </c>
      <c r="AC240" s="295">
        <f t="shared" si="26"/>
        <v>0.32159552409113773</v>
      </c>
      <c r="AD240" s="341">
        <f>VLOOKUP(D240:D713,Central!$A$29:$R$107,18,FALSE)</f>
        <v>3</v>
      </c>
      <c r="AE240" s="353"/>
      <c r="AF240" s="342">
        <f t="shared" si="27"/>
        <v>110584000</v>
      </c>
      <c r="AG240" s="57" t="s">
        <v>27</v>
      </c>
      <c r="AH240" s="58">
        <f t="shared" si="28"/>
        <v>2</v>
      </c>
    </row>
    <row r="241" spans="1:34" ht="16.5" x14ac:dyDescent="0.3">
      <c r="A241" s="134" t="s">
        <v>105</v>
      </c>
      <c r="B241" s="23" t="s">
        <v>757</v>
      </c>
      <c r="C241" s="145" t="s">
        <v>418</v>
      </c>
      <c r="D241" s="112" t="s">
        <v>758</v>
      </c>
      <c r="E241" s="35">
        <v>302642</v>
      </c>
      <c r="F241" s="32" t="s">
        <v>108</v>
      </c>
      <c r="G241" s="37">
        <v>44544</v>
      </c>
      <c r="H241" s="61">
        <v>180000000</v>
      </c>
      <c r="I241" s="49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66">
        <v>6420000</v>
      </c>
      <c r="U241" s="50"/>
      <c r="V241" s="50">
        <v>14273250</v>
      </c>
      <c r="W241" s="50">
        <v>9908500</v>
      </c>
      <c r="X241" s="50">
        <v>27243000</v>
      </c>
      <c r="Y241" s="50"/>
      <c r="Z241" s="51"/>
      <c r="AA241" s="15"/>
      <c r="AB241" s="16">
        <f t="shared" si="25"/>
        <v>57844750</v>
      </c>
      <c r="AC241" s="295">
        <f t="shared" si="26"/>
        <v>0.3213597222222222</v>
      </c>
      <c r="AD241" s="341">
        <f>VLOOKUP(D241:D619,Llanos!$A$28:$S$82,19,FALSE)</f>
        <v>4</v>
      </c>
      <c r="AE241" s="353"/>
      <c r="AF241" s="342">
        <f t="shared" si="27"/>
        <v>122155250</v>
      </c>
      <c r="AG241" s="57" t="s">
        <v>27</v>
      </c>
      <c r="AH241" s="58">
        <f t="shared" si="28"/>
        <v>4</v>
      </c>
    </row>
    <row r="242" spans="1:34" ht="16.5" x14ac:dyDescent="0.3">
      <c r="A242" s="134" t="s">
        <v>55</v>
      </c>
      <c r="B242" s="26" t="s">
        <v>1012</v>
      </c>
      <c r="C242" s="145" t="s">
        <v>418</v>
      </c>
      <c r="D242" s="112" t="s">
        <v>1013</v>
      </c>
      <c r="E242" s="35">
        <v>303522</v>
      </c>
      <c r="F242" s="33" t="s">
        <v>71</v>
      </c>
      <c r="G242" s="37">
        <v>44588</v>
      </c>
      <c r="H242" s="62">
        <v>164897000</v>
      </c>
      <c r="I242" s="49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66"/>
      <c r="U242" s="50"/>
      <c r="V242" s="50">
        <v>6420000</v>
      </c>
      <c r="W242" s="50">
        <v>24277000</v>
      </c>
      <c r="X242" s="50">
        <v>21974400</v>
      </c>
      <c r="Y242" s="50"/>
      <c r="Z242" s="51"/>
      <c r="AA242" s="15"/>
      <c r="AB242" s="16">
        <f t="shared" si="25"/>
        <v>52671400</v>
      </c>
      <c r="AC242" s="295">
        <f t="shared" si="26"/>
        <v>0.31942000157674183</v>
      </c>
      <c r="AD242" s="341">
        <f>VLOOKUP(D242:D618,'Eje Cafetero'!$A$34:$S$102,19,FALSE)</f>
        <v>4</v>
      </c>
      <c r="AE242" s="353"/>
      <c r="AF242" s="342">
        <f t="shared" si="27"/>
        <v>112225600</v>
      </c>
      <c r="AG242" s="57" t="s">
        <v>27</v>
      </c>
      <c r="AH242" s="58">
        <f t="shared" si="28"/>
        <v>3</v>
      </c>
    </row>
    <row r="243" spans="1:34" ht="16.5" x14ac:dyDescent="0.3">
      <c r="A243" s="134" t="s">
        <v>32</v>
      </c>
      <c r="B243" s="26" t="s">
        <v>420</v>
      </c>
      <c r="C243" s="145" t="s">
        <v>418</v>
      </c>
      <c r="D243" s="112" t="s">
        <v>421</v>
      </c>
      <c r="E243" s="35">
        <v>303410</v>
      </c>
      <c r="F243" s="33" t="s">
        <v>61</v>
      </c>
      <c r="G243" s="37">
        <v>44588</v>
      </c>
      <c r="H243" s="62">
        <v>142435000</v>
      </c>
      <c r="I243" s="49"/>
      <c r="J243" s="50"/>
      <c r="K243" s="50"/>
      <c r="L243" s="50"/>
      <c r="M243" s="50"/>
      <c r="N243" s="50"/>
      <c r="O243" s="50"/>
      <c r="P243" s="50"/>
      <c r="Q243" s="50"/>
      <c r="R243" s="50">
        <v>7328500</v>
      </c>
      <c r="S243" s="50">
        <v>16117000</v>
      </c>
      <c r="T243" s="66"/>
      <c r="U243" s="50">
        <v>7500000</v>
      </c>
      <c r="V243" s="50">
        <v>3267000</v>
      </c>
      <c r="W243" s="50"/>
      <c r="X243" s="50">
        <v>10495000</v>
      </c>
      <c r="Y243" s="50"/>
      <c r="Z243" s="51"/>
      <c r="AA243" s="15"/>
      <c r="AB243" s="16">
        <f t="shared" si="25"/>
        <v>44707500</v>
      </c>
      <c r="AC243" s="295">
        <f t="shared" si="26"/>
        <v>0.31388001544564187</v>
      </c>
      <c r="AD243" s="341">
        <f>VLOOKUP(D241:D429,Amazonía!$A$27:$T$75,20,FALSE)</f>
        <v>5</v>
      </c>
      <c r="AE243" s="353"/>
      <c r="AF243" s="342">
        <f t="shared" si="27"/>
        <v>97727500</v>
      </c>
      <c r="AG243" s="57" t="s">
        <v>27</v>
      </c>
      <c r="AH243" s="58">
        <f t="shared" si="28"/>
        <v>5</v>
      </c>
    </row>
    <row r="244" spans="1:34" ht="16.5" x14ac:dyDescent="0.3">
      <c r="A244" s="134" t="s">
        <v>55</v>
      </c>
      <c r="B244" s="26" t="s">
        <v>528</v>
      </c>
      <c r="C244" s="145" t="s">
        <v>418</v>
      </c>
      <c r="D244" s="112" t="s">
        <v>529</v>
      </c>
      <c r="E244" s="35">
        <v>302725</v>
      </c>
      <c r="F244" s="33" t="s">
        <v>71</v>
      </c>
      <c r="G244" s="37">
        <v>44544</v>
      </c>
      <c r="H244" s="62">
        <v>198342000</v>
      </c>
      <c r="I244" s="49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66"/>
      <c r="U244" s="50"/>
      <c r="V244" s="50"/>
      <c r="W244" s="50">
        <v>6420000</v>
      </c>
      <c r="X244" s="50">
        <v>54757000</v>
      </c>
      <c r="Y244" s="50"/>
      <c r="Z244" s="51"/>
      <c r="AA244" s="15"/>
      <c r="AB244" s="16">
        <f t="shared" si="25"/>
        <v>61177000</v>
      </c>
      <c r="AC244" s="295">
        <f t="shared" si="26"/>
        <v>0.30844198404775591</v>
      </c>
      <c r="AD244" s="341">
        <f>VLOOKUP(D244:D620,'Eje Cafetero'!$A$34:$S$102,19,FALSE)</f>
        <v>2</v>
      </c>
      <c r="AE244" s="353"/>
      <c r="AF244" s="342">
        <f t="shared" si="27"/>
        <v>137165000</v>
      </c>
      <c r="AG244" s="57" t="s">
        <v>27</v>
      </c>
      <c r="AH244" s="58">
        <f t="shared" si="28"/>
        <v>2</v>
      </c>
    </row>
    <row r="245" spans="1:34" ht="16.5" x14ac:dyDescent="0.3">
      <c r="A245" s="134" t="s">
        <v>28</v>
      </c>
      <c r="B245" s="26" t="s">
        <v>876</v>
      </c>
      <c r="C245" s="145" t="s">
        <v>418</v>
      </c>
      <c r="D245" s="112" t="s">
        <v>877</v>
      </c>
      <c r="E245" s="35">
        <v>303354</v>
      </c>
      <c r="F245" s="33" t="s">
        <v>31</v>
      </c>
      <c r="G245" s="37">
        <v>44588</v>
      </c>
      <c r="H245" s="62">
        <v>187779000</v>
      </c>
      <c r="I245" s="49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66"/>
      <c r="U245" s="50">
        <v>7157750</v>
      </c>
      <c r="V245" s="50">
        <v>737750</v>
      </c>
      <c r="W245" s="50">
        <v>32871100</v>
      </c>
      <c r="X245" s="50">
        <v>16437750</v>
      </c>
      <c r="Y245" s="50"/>
      <c r="Z245" s="51"/>
      <c r="AA245" s="15"/>
      <c r="AB245" s="16">
        <f t="shared" ref="AB245:AB308" si="29">SUM(I245:Z245)</f>
        <v>57204350</v>
      </c>
      <c r="AC245" s="295">
        <f t="shared" ref="AC245:AC308" si="30">AB245/H245</f>
        <v>0.30463656745429468</v>
      </c>
      <c r="AD245" s="341">
        <f>VLOOKUP(D245:D683,Pacífico!$A$32:$S$105,19,FALSE)</f>
        <v>3</v>
      </c>
      <c r="AE245" s="353"/>
      <c r="AF245" s="342">
        <f t="shared" ref="AF245:AF308" si="31">H245-AB245</f>
        <v>130574650</v>
      </c>
      <c r="AG245" s="57" t="s">
        <v>27</v>
      </c>
      <c r="AH245" s="58">
        <f t="shared" ref="AH245:AH308" si="32">COUNT(I245:Z245)</f>
        <v>4</v>
      </c>
    </row>
    <row r="246" spans="1:34" ht="16.5" x14ac:dyDescent="0.3">
      <c r="A246" s="134" t="s">
        <v>32</v>
      </c>
      <c r="B246" s="23" t="s">
        <v>833</v>
      </c>
      <c r="C246" s="145" t="s">
        <v>418</v>
      </c>
      <c r="D246" s="112" t="s">
        <v>834</v>
      </c>
      <c r="E246" s="35">
        <v>302528</v>
      </c>
      <c r="F246" s="32" t="s">
        <v>828</v>
      </c>
      <c r="G246" s="37">
        <v>44544</v>
      </c>
      <c r="H246" s="61">
        <v>150000000</v>
      </c>
      <c r="I246" s="49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66"/>
      <c r="U246" s="50">
        <v>6420000</v>
      </c>
      <c r="V246" s="50">
        <v>12681818</v>
      </c>
      <c r="W246" s="50">
        <v>8480909</v>
      </c>
      <c r="X246" s="50">
        <v>17639909</v>
      </c>
      <c r="Y246" s="50"/>
      <c r="Z246" s="51"/>
      <c r="AA246" s="15"/>
      <c r="AB246" s="16">
        <f t="shared" si="29"/>
        <v>45222636</v>
      </c>
      <c r="AC246" s="295">
        <f t="shared" si="30"/>
        <v>0.30148424000000001</v>
      </c>
      <c r="AD246" s="341">
        <f>VLOOKUP(D244:D432,Amazonía!$A$27:$T$75,20,FALSE)</f>
        <v>4</v>
      </c>
      <c r="AE246" s="353"/>
      <c r="AF246" s="342">
        <f t="shared" si="31"/>
        <v>104777364</v>
      </c>
      <c r="AG246" s="57" t="s">
        <v>27</v>
      </c>
      <c r="AH246" s="58">
        <f t="shared" si="32"/>
        <v>4</v>
      </c>
    </row>
    <row r="247" spans="1:34" ht="16.5" x14ac:dyDescent="0.3">
      <c r="A247" s="134" t="s">
        <v>32</v>
      </c>
      <c r="B247" s="26" t="s">
        <v>1324</v>
      </c>
      <c r="C247" s="145" t="s">
        <v>418</v>
      </c>
      <c r="D247" s="112" t="s">
        <v>1325</v>
      </c>
      <c r="E247" s="35">
        <v>303303</v>
      </c>
      <c r="F247" s="33" t="s">
        <v>61</v>
      </c>
      <c r="G247" s="37">
        <v>44588</v>
      </c>
      <c r="H247" s="62">
        <v>180702000</v>
      </c>
      <c r="I247" s="49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66"/>
      <c r="U247" s="50">
        <v>6420000</v>
      </c>
      <c r="V247" s="50">
        <v>38062000</v>
      </c>
      <c r="W247" s="50">
        <v>3408500</v>
      </c>
      <c r="X247" s="50">
        <v>5625000</v>
      </c>
      <c r="Y247" s="50"/>
      <c r="Z247" s="51"/>
      <c r="AA247" s="15"/>
      <c r="AB247" s="16">
        <f t="shared" si="29"/>
        <v>53515500</v>
      </c>
      <c r="AC247" s="295">
        <f t="shared" si="30"/>
        <v>0.29615333532556365</v>
      </c>
      <c r="AD247" s="341">
        <f>VLOOKUP(D245:D433,Amazonía!$A$27:$T$75,20,FALSE)</f>
        <v>4</v>
      </c>
      <c r="AE247" s="353"/>
      <c r="AF247" s="342">
        <f t="shared" si="31"/>
        <v>127186500</v>
      </c>
      <c r="AG247" s="57" t="s">
        <v>27</v>
      </c>
      <c r="AH247" s="58">
        <f t="shared" si="32"/>
        <v>4</v>
      </c>
    </row>
    <row r="248" spans="1:34" ht="16.5" x14ac:dyDescent="0.3">
      <c r="A248" s="134" t="s">
        <v>55</v>
      </c>
      <c r="B248" s="26" t="s">
        <v>524</v>
      </c>
      <c r="C248" s="145" t="s">
        <v>418</v>
      </c>
      <c r="D248" s="112" t="s">
        <v>525</v>
      </c>
      <c r="E248" s="35">
        <v>302577</v>
      </c>
      <c r="F248" s="33" t="s">
        <v>71</v>
      </c>
      <c r="G248" s="37">
        <v>44544</v>
      </c>
      <c r="H248" s="62">
        <v>174592000</v>
      </c>
      <c r="I248" s="49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66">
        <v>6420000</v>
      </c>
      <c r="U248" s="50">
        <v>17508500</v>
      </c>
      <c r="V248" s="50">
        <v>5900000</v>
      </c>
      <c r="W248" s="50">
        <v>13807000</v>
      </c>
      <c r="X248" s="50">
        <v>6808500</v>
      </c>
      <c r="Y248" s="50"/>
      <c r="Z248" s="51"/>
      <c r="AA248" s="15"/>
      <c r="AB248" s="16">
        <f t="shared" si="29"/>
        <v>50444000</v>
      </c>
      <c r="AC248" s="295">
        <f t="shared" si="30"/>
        <v>0.28892503665689151</v>
      </c>
      <c r="AD248" s="341">
        <f>VLOOKUP(D248:D624,'Eje Cafetero'!$A$34:$S$102,19,FALSE)</f>
        <v>4</v>
      </c>
      <c r="AE248" s="353"/>
      <c r="AF248" s="342">
        <f t="shared" si="31"/>
        <v>124148000</v>
      </c>
      <c r="AG248" s="57" t="s">
        <v>27</v>
      </c>
      <c r="AH248" s="58">
        <f t="shared" si="32"/>
        <v>5</v>
      </c>
    </row>
    <row r="249" spans="1:34" ht="16.5" x14ac:dyDescent="0.3">
      <c r="A249" s="134" t="s">
        <v>23</v>
      </c>
      <c r="B249" s="26" t="s">
        <v>1190</v>
      </c>
      <c r="C249" s="145" t="s">
        <v>418</v>
      </c>
      <c r="D249" s="112" t="s">
        <v>1191</v>
      </c>
      <c r="E249" s="35">
        <v>303200</v>
      </c>
      <c r="F249" s="33" t="s">
        <v>68</v>
      </c>
      <c r="G249" s="37">
        <v>44588</v>
      </c>
      <c r="H249" s="62">
        <v>190000000</v>
      </c>
      <c r="I249" s="49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66">
        <v>6420000</v>
      </c>
      <c r="U249" s="50"/>
      <c r="V249" s="50"/>
      <c r="W249" s="50"/>
      <c r="X249" s="50">
        <v>48446350</v>
      </c>
      <c r="Y249" s="50"/>
      <c r="Z249" s="51"/>
      <c r="AA249" s="15"/>
      <c r="AB249" s="16">
        <f t="shared" si="29"/>
        <v>54866350</v>
      </c>
      <c r="AC249" s="295">
        <f t="shared" si="30"/>
        <v>0.28877026315789472</v>
      </c>
      <c r="AD249" s="341">
        <f>VLOOKUP(D249:D722,Central!$A$29:$R$107,18,FALSE)</f>
        <v>2</v>
      </c>
      <c r="AE249" s="353"/>
      <c r="AF249" s="342">
        <f t="shared" si="31"/>
        <v>135133650</v>
      </c>
      <c r="AG249" s="57" t="s">
        <v>27</v>
      </c>
      <c r="AH249" s="58">
        <f t="shared" si="32"/>
        <v>2</v>
      </c>
    </row>
    <row r="250" spans="1:34" ht="16.5" x14ac:dyDescent="0.3">
      <c r="A250" s="134" t="s">
        <v>32</v>
      </c>
      <c r="B250" s="23" t="s">
        <v>1332</v>
      </c>
      <c r="C250" s="145" t="s">
        <v>418</v>
      </c>
      <c r="D250" s="112" t="s">
        <v>1333</v>
      </c>
      <c r="E250" s="35">
        <v>303432</v>
      </c>
      <c r="F250" s="32" t="s">
        <v>859</v>
      </c>
      <c r="G250" s="37">
        <v>44588</v>
      </c>
      <c r="H250" s="61">
        <v>154410000</v>
      </c>
      <c r="I250" s="49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66">
        <v>6420000</v>
      </c>
      <c r="U250" s="50">
        <v>26529600</v>
      </c>
      <c r="V250" s="50">
        <v>11608500</v>
      </c>
      <c r="W250" s="50"/>
      <c r="X250" s="50"/>
      <c r="Y250" s="50"/>
      <c r="Z250" s="51"/>
      <c r="AA250" s="15"/>
      <c r="AB250" s="16">
        <f t="shared" si="29"/>
        <v>44558100</v>
      </c>
      <c r="AC250" s="295">
        <f t="shared" si="30"/>
        <v>0.28857004080046628</v>
      </c>
      <c r="AD250" s="341">
        <f>VLOOKUP(D248:D436,Amazonía!$A$27:$T$75,20,FALSE)</f>
        <v>4</v>
      </c>
      <c r="AE250" s="353"/>
      <c r="AF250" s="342">
        <f t="shared" si="31"/>
        <v>109851900</v>
      </c>
      <c r="AG250" s="57" t="s">
        <v>27</v>
      </c>
      <c r="AH250" s="58">
        <f t="shared" si="32"/>
        <v>3</v>
      </c>
    </row>
    <row r="251" spans="1:34" ht="16.5" x14ac:dyDescent="0.3">
      <c r="A251" s="134" t="s">
        <v>28</v>
      </c>
      <c r="B251" s="23" t="s">
        <v>940</v>
      </c>
      <c r="C251" s="145" t="s">
        <v>418</v>
      </c>
      <c r="D251" s="112" t="s">
        <v>941</v>
      </c>
      <c r="E251" s="35">
        <v>303476</v>
      </c>
      <c r="F251" s="32" t="s">
        <v>447</v>
      </c>
      <c r="G251" s="37">
        <v>44588</v>
      </c>
      <c r="H251" s="61">
        <v>200000000</v>
      </c>
      <c r="I251" s="49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66"/>
      <c r="U251" s="50">
        <v>6420000</v>
      </c>
      <c r="V251" s="50"/>
      <c r="W251" s="50">
        <v>500000</v>
      </c>
      <c r="X251" s="50">
        <v>50629876</v>
      </c>
      <c r="Y251" s="50"/>
      <c r="Z251" s="51"/>
      <c r="AA251" s="15"/>
      <c r="AB251" s="16">
        <f t="shared" si="29"/>
        <v>57549876</v>
      </c>
      <c r="AC251" s="295">
        <f t="shared" si="30"/>
        <v>0.28774938</v>
      </c>
      <c r="AD251" s="341">
        <f>VLOOKUP(D251:D689,Pacífico!$A$32:$S$105,19,FALSE)</f>
        <v>3</v>
      </c>
      <c r="AE251" s="353"/>
      <c r="AF251" s="342">
        <f t="shared" si="31"/>
        <v>142450124</v>
      </c>
      <c r="AG251" s="57" t="s">
        <v>27</v>
      </c>
      <c r="AH251" s="58">
        <f t="shared" si="32"/>
        <v>3</v>
      </c>
    </row>
    <row r="252" spans="1:34" ht="16.5" x14ac:dyDescent="0.3">
      <c r="A252" s="134" t="s">
        <v>89</v>
      </c>
      <c r="B252" s="26" t="s">
        <v>1104</v>
      </c>
      <c r="C252" s="145" t="s">
        <v>418</v>
      </c>
      <c r="D252" s="112" t="s">
        <v>1105</v>
      </c>
      <c r="E252" s="35">
        <v>303255</v>
      </c>
      <c r="F252" s="33" t="s">
        <v>622</v>
      </c>
      <c r="G252" s="37">
        <v>44588</v>
      </c>
      <c r="H252" s="62">
        <v>200000000</v>
      </c>
      <c r="I252" s="49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66"/>
      <c r="U252" s="50"/>
      <c r="V252" s="50">
        <v>43927600</v>
      </c>
      <c r="W252" s="50">
        <v>8954000</v>
      </c>
      <c r="X252" s="50">
        <v>4400000</v>
      </c>
      <c r="Y252" s="50"/>
      <c r="Z252" s="51"/>
      <c r="AA252" s="15"/>
      <c r="AB252" s="16">
        <f t="shared" si="29"/>
        <v>57281600</v>
      </c>
      <c r="AC252" s="295">
        <f t="shared" si="30"/>
        <v>0.286408</v>
      </c>
      <c r="AD252" s="341">
        <f>VLOOKUP(D252:D320,'Caribe II'!$A$38:$Q$107,17,FALSE)</f>
        <v>2</v>
      </c>
      <c r="AE252" s="353"/>
      <c r="AF252" s="342">
        <f t="shared" si="31"/>
        <v>142718400</v>
      </c>
      <c r="AG252" s="57" t="s">
        <v>27</v>
      </c>
      <c r="AH252" s="58">
        <f t="shared" si="32"/>
        <v>3</v>
      </c>
    </row>
    <row r="253" spans="1:34" ht="16.5" x14ac:dyDescent="0.3">
      <c r="A253" s="134" t="s">
        <v>105</v>
      </c>
      <c r="B253" s="26" t="s">
        <v>741</v>
      </c>
      <c r="C253" s="145" t="s">
        <v>418</v>
      </c>
      <c r="D253" s="112" t="s">
        <v>742</v>
      </c>
      <c r="E253" s="35">
        <v>302472</v>
      </c>
      <c r="F253" s="33" t="s">
        <v>131</v>
      </c>
      <c r="G253" s="37">
        <v>44544</v>
      </c>
      <c r="H253" s="62">
        <v>200000000</v>
      </c>
      <c r="I253" s="49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66">
        <v>6420000</v>
      </c>
      <c r="U253" s="50"/>
      <c r="V253" s="50"/>
      <c r="W253" s="50">
        <v>24154250</v>
      </c>
      <c r="X253" s="50">
        <v>26674250</v>
      </c>
      <c r="Y253" s="50"/>
      <c r="Z253" s="51"/>
      <c r="AA253" s="15"/>
      <c r="AB253" s="16">
        <f t="shared" si="29"/>
        <v>57248500</v>
      </c>
      <c r="AC253" s="295">
        <f t="shared" si="30"/>
        <v>0.28624250000000001</v>
      </c>
      <c r="AD253" s="341">
        <f>VLOOKUP(D253:D631,Llanos!$A$28:$S$82,19,FALSE)</f>
        <v>4</v>
      </c>
      <c r="AE253" s="353"/>
      <c r="AF253" s="342">
        <f t="shared" si="31"/>
        <v>142751500</v>
      </c>
      <c r="AG253" s="57" t="s">
        <v>27</v>
      </c>
      <c r="AH253" s="58">
        <f t="shared" si="32"/>
        <v>3</v>
      </c>
    </row>
    <row r="254" spans="1:34" ht="16.5" x14ac:dyDescent="0.3">
      <c r="A254" s="134" t="s">
        <v>89</v>
      </c>
      <c r="B254" s="26" t="s">
        <v>1078</v>
      </c>
      <c r="C254" s="145" t="s">
        <v>418</v>
      </c>
      <c r="D254" s="112" t="s">
        <v>1079</v>
      </c>
      <c r="E254" s="35">
        <v>302803</v>
      </c>
      <c r="F254" s="33" t="s">
        <v>92</v>
      </c>
      <c r="G254" s="37">
        <v>44588</v>
      </c>
      <c r="H254" s="62">
        <v>200000000</v>
      </c>
      <c r="I254" s="49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66"/>
      <c r="U254" s="50"/>
      <c r="V254" s="50"/>
      <c r="W254" s="50">
        <v>8237000</v>
      </c>
      <c r="X254" s="50">
        <v>48710000</v>
      </c>
      <c r="Y254" s="50"/>
      <c r="Z254" s="51"/>
      <c r="AA254" s="15"/>
      <c r="AB254" s="16">
        <f t="shared" si="29"/>
        <v>56947000</v>
      </c>
      <c r="AC254" s="295">
        <f t="shared" si="30"/>
        <v>0.28473500000000002</v>
      </c>
      <c r="AD254" s="341">
        <f>VLOOKUP(D254:D322,'Caribe II'!$A$38:$Q$107,17,FALSE)</f>
        <v>2</v>
      </c>
      <c r="AE254" s="353"/>
      <c r="AF254" s="342">
        <f t="shared" si="31"/>
        <v>143053000</v>
      </c>
      <c r="AG254" s="57" t="s">
        <v>27</v>
      </c>
      <c r="AH254" s="58">
        <f t="shared" si="32"/>
        <v>2</v>
      </c>
    </row>
    <row r="255" spans="1:34" ht="16.5" x14ac:dyDescent="0.3">
      <c r="A255" s="134" t="s">
        <v>32</v>
      </c>
      <c r="B255" s="23" t="s">
        <v>845</v>
      </c>
      <c r="C255" s="145" t="s">
        <v>418</v>
      </c>
      <c r="D255" s="112" t="s">
        <v>846</v>
      </c>
      <c r="E255" s="35">
        <v>302518</v>
      </c>
      <c r="F255" s="32" t="s">
        <v>828</v>
      </c>
      <c r="G255" s="37">
        <v>44544</v>
      </c>
      <c r="H255" s="61">
        <v>180000000</v>
      </c>
      <c r="I255" s="49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66"/>
      <c r="U255" s="50">
        <v>6420000</v>
      </c>
      <c r="V255" s="50">
        <v>6000000</v>
      </c>
      <c r="W255" s="50">
        <v>34700000</v>
      </c>
      <c r="X255" s="50">
        <v>3908500</v>
      </c>
      <c r="Y255" s="50"/>
      <c r="Z255" s="51"/>
      <c r="AA255" s="15"/>
      <c r="AB255" s="16">
        <f t="shared" si="29"/>
        <v>51028500</v>
      </c>
      <c r="AC255" s="295">
        <f t="shared" si="30"/>
        <v>0.28349166666666664</v>
      </c>
      <c r="AD255" s="341">
        <f>VLOOKUP(D253:D441,Amazonía!$A$27:$T$75,20,FALSE)</f>
        <v>4</v>
      </c>
      <c r="AE255" s="353">
        <v>44876</v>
      </c>
      <c r="AF255" s="342">
        <f t="shared" si="31"/>
        <v>128971500</v>
      </c>
      <c r="AG255" s="57" t="s">
        <v>27</v>
      </c>
      <c r="AH255" s="58">
        <f t="shared" si="32"/>
        <v>4</v>
      </c>
    </row>
    <row r="256" spans="1:34" ht="16.5" x14ac:dyDescent="0.3">
      <c r="A256" s="134" t="s">
        <v>28</v>
      </c>
      <c r="B256" s="23" t="s">
        <v>960</v>
      </c>
      <c r="C256" s="145" t="s">
        <v>418</v>
      </c>
      <c r="D256" s="112" t="s">
        <v>961</v>
      </c>
      <c r="E256" s="35">
        <v>303790</v>
      </c>
      <c r="F256" s="32" t="s">
        <v>452</v>
      </c>
      <c r="G256" s="37">
        <v>44588</v>
      </c>
      <c r="H256" s="61">
        <v>140991000</v>
      </c>
      <c r="I256" s="49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66"/>
      <c r="U256" s="50"/>
      <c r="V256" s="50">
        <v>6420000</v>
      </c>
      <c r="W256" s="50">
        <v>3634000</v>
      </c>
      <c r="X256" s="50">
        <v>29840500</v>
      </c>
      <c r="Y256" s="50"/>
      <c r="Z256" s="51"/>
      <c r="AA256" s="15"/>
      <c r="AB256" s="16">
        <f t="shared" si="29"/>
        <v>39894500</v>
      </c>
      <c r="AC256" s="295">
        <f t="shared" si="30"/>
        <v>0.28295777744678741</v>
      </c>
      <c r="AD256" s="341">
        <f>VLOOKUP(D256:D694,Pacífico!$A$32:$S$105,19,FALSE)</f>
        <v>3</v>
      </c>
      <c r="AE256" s="353"/>
      <c r="AF256" s="342">
        <f t="shared" si="31"/>
        <v>101096500</v>
      </c>
      <c r="AG256" s="57" t="s">
        <v>27</v>
      </c>
      <c r="AH256" s="58">
        <f t="shared" si="32"/>
        <v>3</v>
      </c>
    </row>
    <row r="257" spans="1:34" ht="16.5" x14ac:dyDescent="0.3">
      <c r="A257" s="134" t="s">
        <v>49</v>
      </c>
      <c r="B257" s="26" t="s">
        <v>1284</v>
      </c>
      <c r="C257" s="145" t="s">
        <v>418</v>
      </c>
      <c r="D257" s="112" t="s">
        <v>1285</v>
      </c>
      <c r="E257" s="35">
        <v>303441</v>
      </c>
      <c r="F257" s="33" t="s">
        <v>125</v>
      </c>
      <c r="G257" s="37">
        <v>44588</v>
      </c>
      <c r="H257" s="62">
        <v>190000000</v>
      </c>
      <c r="I257" s="49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66"/>
      <c r="U257" s="50"/>
      <c r="V257" s="50">
        <v>27932000</v>
      </c>
      <c r="W257" s="50"/>
      <c r="X257" s="50">
        <v>25527000</v>
      </c>
      <c r="Y257" s="50"/>
      <c r="Z257" s="51"/>
      <c r="AA257" s="15"/>
      <c r="AB257" s="16">
        <f t="shared" si="29"/>
        <v>53459000</v>
      </c>
      <c r="AC257" s="295">
        <f t="shared" si="30"/>
        <v>0.28136315789473682</v>
      </c>
      <c r="AD257" s="341">
        <f>VLOOKUP(D257:D723,Santanderes!$A$21:$S$54,19,FALSE)</f>
        <v>4</v>
      </c>
      <c r="AE257" s="353"/>
      <c r="AF257" s="342">
        <f t="shared" si="31"/>
        <v>136541000</v>
      </c>
      <c r="AG257" s="57" t="s">
        <v>27</v>
      </c>
      <c r="AH257" s="58">
        <f t="shared" si="32"/>
        <v>2</v>
      </c>
    </row>
    <row r="258" spans="1:34" ht="16.5" x14ac:dyDescent="0.3">
      <c r="A258" s="134" t="s">
        <v>49</v>
      </c>
      <c r="B258" s="23" t="s">
        <v>695</v>
      </c>
      <c r="C258" s="145" t="s">
        <v>418</v>
      </c>
      <c r="D258" s="112" t="s">
        <v>696</v>
      </c>
      <c r="E258" s="35">
        <v>302640</v>
      </c>
      <c r="F258" s="32" t="s">
        <v>690</v>
      </c>
      <c r="G258" s="37">
        <v>44544</v>
      </c>
      <c r="H258" s="61">
        <v>194000000</v>
      </c>
      <c r="I258" s="49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66">
        <v>6420000</v>
      </c>
      <c r="U258" s="50">
        <v>6120000</v>
      </c>
      <c r="V258" s="50">
        <v>29434072</v>
      </c>
      <c r="W258" s="50">
        <v>6120000</v>
      </c>
      <c r="X258" s="50">
        <v>6120000</v>
      </c>
      <c r="Y258" s="50"/>
      <c r="Z258" s="51"/>
      <c r="AA258" s="15"/>
      <c r="AB258" s="16">
        <f t="shared" si="29"/>
        <v>54214072</v>
      </c>
      <c r="AC258" s="295">
        <f t="shared" si="30"/>
        <v>0.27945397938144328</v>
      </c>
      <c r="AD258" s="341">
        <f>VLOOKUP(D258:D724,Santanderes!$A$21:$S$54,19,FALSE)</f>
        <v>4</v>
      </c>
      <c r="AE258" s="353"/>
      <c r="AF258" s="342">
        <f t="shared" si="31"/>
        <v>139785928</v>
      </c>
      <c r="AG258" s="57" t="s">
        <v>27</v>
      </c>
      <c r="AH258" s="58">
        <f t="shared" si="32"/>
        <v>5</v>
      </c>
    </row>
    <row r="259" spans="1:34" ht="16.5" x14ac:dyDescent="0.3">
      <c r="A259" s="134" t="s">
        <v>23</v>
      </c>
      <c r="B259" s="23" t="s">
        <v>1200</v>
      </c>
      <c r="C259" s="145" t="s">
        <v>418</v>
      </c>
      <c r="D259" s="112" t="s">
        <v>1201</v>
      </c>
      <c r="E259" s="35">
        <v>303830</v>
      </c>
      <c r="F259" s="32" t="s">
        <v>68</v>
      </c>
      <c r="G259" s="37">
        <v>44588</v>
      </c>
      <c r="H259" s="61">
        <v>199582000</v>
      </c>
      <c r="I259" s="49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66">
        <v>6420000</v>
      </c>
      <c r="U259" s="50"/>
      <c r="V259" s="50"/>
      <c r="W259" s="50"/>
      <c r="X259" s="50">
        <v>48628500</v>
      </c>
      <c r="Y259" s="50"/>
      <c r="Z259" s="51"/>
      <c r="AA259" s="15"/>
      <c r="AB259" s="16">
        <f t="shared" si="29"/>
        <v>55048500</v>
      </c>
      <c r="AC259" s="295">
        <f t="shared" si="30"/>
        <v>0.27581896162980629</v>
      </c>
      <c r="AD259" s="341">
        <f>VLOOKUP(D259:D732,Central!$A$29:$R$107,18,FALSE)</f>
        <v>2</v>
      </c>
      <c r="AE259" s="353"/>
      <c r="AF259" s="342">
        <f t="shared" si="31"/>
        <v>144533500</v>
      </c>
      <c r="AG259" s="57" t="s">
        <v>27</v>
      </c>
      <c r="AH259" s="58">
        <f t="shared" si="32"/>
        <v>2</v>
      </c>
    </row>
    <row r="260" spans="1:34" ht="16.5" x14ac:dyDescent="0.3">
      <c r="A260" s="134" t="s">
        <v>55</v>
      </c>
      <c r="B260" s="23" t="s">
        <v>470</v>
      </c>
      <c r="C260" s="145" t="s">
        <v>418</v>
      </c>
      <c r="D260" s="112" t="s">
        <v>471</v>
      </c>
      <c r="E260" s="35">
        <v>302834</v>
      </c>
      <c r="F260" s="32" t="s">
        <v>58</v>
      </c>
      <c r="G260" s="37">
        <v>44544</v>
      </c>
      <c r="H260" s="61">
        <v>200000000</v>
      </c>
      <c r="I260" s="49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66"/>
      <c r="U260" s="50"/>
      <c r="V260" s="50"/>
      <c r="W260" s="50">
        <v>16328500</v>
      </c>
      <c r="X260" s="50">
        <v>38608500</v>
      </c>
      <c r="Y260" s="50"/>
      <c r="Z260" s="51"/>
      <c r="AA260" s="15"/>
      <c r="AB260" s="16">
        <f t="shared" si="29"/>
        <v>54937000</v>
      </c>
      <c r="AC260" s="295">
        <f t="shared" si="30"/>
        <v>0.27468500000000001</v>
      </c>
      <c r="AD260" s="341">
        <f>VLOOKUP(D260:D636,'Eje Cafetero'!$A$34:$S$102,19,FALSE)</f>
        <v>3</v>
      </c>
      <c r="AE260" s="353"/>
      <c r="AF260" s="342">
        <f t="shared" si="31"/>
        <v>145063000</v>
      </c>
      <c r="AG260" s="57" t="s">
        <v>27</v>
      </c>
      <c r="AH260" s="58">
        <f t="shared" si="32"/>
        <v>2</v>
      </c>
    </row>
    <row r="261" spans="1:34" ht="16.5" x14ac:dyDescent="0.3">
      <c r="A261" s="134" t="s">
        <v>55</v>
      </c>
      <c r="B261" s="26" t="s">
        <v>526</v>
      </c>
      <c r="C261" s="145" t="s">
        <v>418</v>
      </c>
      <c r="D261" s="112" t="s">
        <v>527</v>
      </c>
      <c r="E261" s="35">
        <v>302859</v>
      </c>
      <c r="F261" s="33" t="s">
        <v>71</v>
      </c>
      <c r="G261" s="37">
        <v>44544</v>
      </c>
      <c r="H261" s="62">
        <v>150914000</v>
      </c>
      <c r="I261" s="49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66"/>
      <c r="U261" s="50"/>
      <c r="V261" s="50">
        <v>6420000</v>
      </c>
      <c r="W261" s="50">
        <v>27935022.399999999</v>
      </c>
      <c r="X261" s="50">
        <v>6808500</v>
      </c>
      <c r="Y261" s="50"/>
      <c r="Z261" s="51"/>
      <c r="AA261" s="15"/>
      <c r="AB261" s="16">
        <f t="shared" si="29"/>
        <v>41163522.399999999</v>
      </c>
      <c r="AC261" s="295">
        <f t="shared" si="30"/>
        <v>0.27276145619359371</v>
      </c>
      <c r="AD261" s="341">
        <f>VLOOKUP(D261:D637,'Eje Cafetero'!$A$34:$S$102,19,FALSE)</f>
        <v>3</v>
      </c>
      <c r="AE261" s="353"/>
      <c r="AF261" s="342">
        <f t="shared" si="31"/>
        <v>109750477.59999999</v>
      </c>
      <c r="AG261" s="57" t="s">
        <v>27</v>
      </c>
      <c r="AH261" s="58">
        <f t="shared" si="32"/>
        <v>3</v>
      </c>
    </row>
    <row r="262" spans="1:34" ht="16.5" x14ac:dyDescent="0.3">
      <c r="A262" s="134" t="s">
        <v>28</v>
      </c>
      <c r="B262" s="26" t="s">
        <v>880</v>
      </c>
      <c r="C262" s="145" t="s">
        <v>418</v>
      </c>
      <c r="D262" s="112" t="s">
        <v>881</v>
      </c>
      <c r="E262" s="35">
        <v>303365</v>
      </c>
      <c r="F262" s="33" t="s">
        <v>81</v>
      </c>
      <c r="G262" s="37">
        <v>44588</v>
      </c>
      <c r="H262" s="62">
        <v>79251000</v>
      </c>
      <c r="I262" s="49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66"/>
      <c r="U262" s="50">
        <v>3675000</v>
      </c>
      <c r="V262" s="50"/>
      <c r="W262" s="50">
        <v>1817000</v>
      </c>
      <c r="X262" s="50">
        <v>16033500</v>
      </c>
      <c r="Y262" s="50"/>
      <c r="Z262" s="51"/>
      <c r="AA262" s="15"/>
      <c r="AB262" s="16">
        <f t="shared" si="29"/>
        <v>21525500</v>
      </c>
      <c r="AC262" s="295">
        <f t="shared" si="30"/>
        <v>0.27161171467867912</v>
      </c>
      <c r="AD262" s="341">
        <f>VLOOKUP(D262:D700,Pacífico!$A$32:$S$105,19,FALSE)</f>
        <v>3</v>
      </c>
      <c r="AE262" s="353"/>
      <c r="AF262" s="342">
        <f t="shared" si="31"/>
        <v>57725500</v>
      </c>
      <c r="AG262" s="57" t="s">
        <v>27</v>
      </c>
      <c r="AH262" s="58">
        <f t="shared" si="32"/>
        <v>3</v>
      </c>
    </row>
    <row r="263" spans="1:34" ht="16.5" x14ac:dyDescent="0.3">
      <c r="A263" s="134" t="s">
        <v>105</v>
      </c>
      <c r="B263" s="26" t="s">
        <v>791</v>
      </c>
      <c r="C263" s="145" t="s">
        <v>418</v>
      </c>
      <c r="D263" s="112" t="s">
        <v>792</v>
      </c>
      <c r="E263" s="35">
        <v>302451</v>
      </c>
      <c r="F263" s="33" t="s">
        <v>118</v>
      </c>
      <c r="G263" s="37">
        <v>44544</v>
      </c>
      <c r="H263" s="62">
        <v>195000000</v>
      </c>
      <c r="I263" s="49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66"/>
      <c r="U263" s="50">
        <v>6420000</v>
      </c>
      <c r="V263" s="50">
        <v>17608500</v>
      </c>
      <c r="W263" s="50">
        <v>2554250</v>
      </c>
      <c r="X263" s="50">
        <v>26257000</v>
      </c>
      <c r="Y263" s="50"/>
      <c r="Z263" s="51"/>
      <c r="AA263" s="15"/>
      <c r="AB263" s="16">
        <f t="shared" si="29"/>
        <v>52839750</v>
      </c>
      <c r="AC263" s="295">
        <f t="shared" si="30"/>
        <v>0.27097307692307693</v>
      </c>
      <c r="AD263" s="341">
        <f>VLOOKUP(D263:D641,Llanos!$A$28:$S$82,19,FALSE)</f>
        <v>4</v>
      </c>
      <c r="AE263" s="353"/>
      <c r="AF263" s="342">
        <f t="shared" si="31"/>
        <v>142160250</v>
      </c>
      <c r="AG263" s="57" t="s">
        <v>27</v>
      </c>
      <c r="AH263" s="58">
        <f t="shared" si="32"/>
        <v>4</v>
      </c>
    </row>
    <row r="264" spans="1:34" ht="16.5" x14ac:dyDescent="0.3">
      <c r="A264" s="134" t="s">
        <v>28</v>
      </c>
      <c r="B264" s="26" t="s">
        <v>938</v>
      </c>
      <c r="C264" s="145" t="s">
        <v>418</v>
      </c>
      <c r="D264" s="112" t="s">
        <v>939</v>
      </c>
      <c r="E264" s="35">
        <v>303189</v>
      </c>
      <c r="F264" s="33" t="s">
        <v>447</v>
      </c>
      <c r="G264" s="37">
        <v>44588</v>
      </c>
      <c r="H264" s="62">
        <v>187700000</v>
      </c>
      <c r="I264" s="49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66"/>
      <c r="U264" s="50">
        <v>6420000</v>
      </c>
      <c r="V264" s="50"/>
      <c r="W264" s="50"/>
      <c r="X264" s="50">
        <v>44048593.799999997</v>
      </c>
      <c r="Y264" s="50"/>
      <c r="Z264" s="51"/>
      <c r="AA264" s="15"/>
      <c r="AB264" s="16">
        <f t="shared" si="29"/>
        <v>50468593.799999997</v>
      </c>
      <c r="AC264" s="295">
        <f t="shared" si="30"/>
        <v>0.26887902930207774</v>
      </c>
      <c r="AD264" s="341">
        <f>VLOOKUP(D264:D702,Pacífico!$A$32:$S$105,19,FALSE)</f>
        <v>3</v>
      </c>
      <c r="AE264" s="353"/>
      <c r="AF264" s="342">
        <f t="shared" si="31"/>
        <v>137231406.19999999</v>
      </c>
      <c r="AG264" s="57" t="s">
        <v>27</v>
      </c>
      <c r="AH264" s="58">
        <f t="shared" si="32"/>
        <v>2</v>
      </c>
    </row>
    <row r="265" spans="1:34" ht="16.5" x14ac:dyDescent="0.3">
      <c r="A265" s="134" t="s">
        <v>32</v>
      </c>
      <c r="B265" s="26" t="s">
        <v>1330</v>
      </c>
      <c r="C265" s="145" t="s">
        <v>418</v>
      </c>
      <c r="D265" s="112" t="s">
        <v>1331</v>
      </c>
      <c r="E265" s="35">
        <v>303415</v>
      </c>
      <c r="F265" s="33" t="s">
        <v>828</v>
      </c>
      <c r="G265" s="37">
        <v>44588</v>
      </c>
      <c r="H265" s="62">
        <v>169844000</v>
      </c>
      <c r="I265" s="49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66"/>
      <c r="U265" s="50">
        <v>6420000</v>
      </c>
      <c r="V265" s="50">
        <v>10700000</v>
      </c>
      <c r="W265" s="50">
        <v>11801818</v>
      </c>
      <c r="X265" s="50">
        <v>14531818</v>
      </c>
      <c r="Y265" s="50"/>
      <c r="Z265" s="51"/>
      <c r="AA265" s="15"/>
      <c r="AB265" s="16">
        <f t="shared" si="29"/>
        <v>43453636</v>
      </c>
      <c r="AC265" s="295">
        <f t="shared" si="30"/>
        <v>0.25584439838910999</v>
      </c>
      <c r="AD265" s="341">
        <f>VLOOKUP(D263:D451,Amazonía!$A$27:$T$75,20,FALSE)</f>
        <v>4</v>
      </c>
      <c r="AE265" s="353"/>
      <c r="AF265" s="342">
        <f t="shared" si="31"/>
        <v>126390364</v>
      </c>
      <c r="AG265" s="57" t="s">
        <v>27</v>
      </c>
      <c r="AH265" s="58">
        <f t="shared" si="32"/>
        <v>4</v>
      </c>
    </row>
    <row r="266" spans="1:34" ht="16.5" x14ac:dyDescent="0.3">
      <c r="A266" s="134" t="s">
        <v>32</v>
      </c>
      <c r="B266" s="26" t="s">
        <v>1367</v>
      </c>
      <c r="C266" s="145" t="s">
        <v>418</v>
      </c>
      <c r="D266" s="112" t="s">
        <v>1368</v>
      </c>
      <c r="E266" s="35">
        <v>304082</v>
      </c>
      <c r="F266" s="33" t="s">
        <v>35</v>
      </c>
      <c r="G266" s="37">
        <v>44600</v>
      </c>
      <c r="H266" s="62">
        <v>147322000</v>
      </c>
      <c r="I266" s="49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66"/>
      <c r="U266" s="50"/>
      <c r="V266" s="50">
        <v>6420000</v>
      </c>
      <c r="W266" s="50"/>
      <c r="X266" s="50">
        <v>30973500</v>
      </c>
      <c r="Y266" s="50"/>
      <c r="Z266" s="51"/>
      <c r="AA266" s="15"/>
      <c r="AB266" s="16">
        <f t="shared" si="29"/>
        <v>37393500</v>
      </c>
      <c r="AC266" s="295">
        <f t="shared" si="30"/>
        <v>0.25382156093455155</v>
      </c>
      <c r="AD266" s="341">
        <f>VLOOKUP(D264:D452,Amazonía!$A$27:$T$75,20,FALSE)</f>
        <v>3</v>
      </c>
      <c r="AE266" s="353"/>
      <c r="AF266" s="342">
        <f t="shared" si="31"/>
        <v>109928500</v>
      </c>
      <c r="AG266" s="57" t="s">
        <v>27</v>
      </c>
      <c r="AH266" s="58">
        <f t="shared" si="32"/>
        <v>2</v>
      </c>
    </row>
    <row r="267" spans="1:34" ht="16.5" x14ac:dyDescent="0.3">
      <c r="A267" s="134" t="s">
        <v>55</v>
      </c>
      <c r="B267" s="23" t="s">
        <v>455</v>
      </c>
      <c r="C267" s="145" t="s">
        <v>418</v>
      </c>
      <c r="D267" s="112" t="s">
        <v>456</v>
      </c>
      <c r="E267" s="35">
        <v>302780</v>
      </c>
      <c r="F267" s="32" t="s">
        <v>457</v>
      </c>
      <c r="G267" s="37">
        <v>44544</v>
      </c>
      <c r="H267" s="61">
        <v>200000000</v>
      </c>
      <c r="I267" s="49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66"/>
      <c r="U267" s="50">
        <v>9920000</v>
      </c>
      <c r="V267" s="50">
        <v>3500000</v>
      </c>
      <c r="W267" s="50">
        <v>5498000</v>
      </c>
      <c r="X267" s="50">
        <v>31686000</v>
      </c>
      <c r="Y267" s="50"/>
      <c r="Z267" s="51"/>
      <c r="AA267" s="15"/>
      <c r="AB267" s="16">
        <f t="shared" si="29"/>
        <v>50604000</v>
      </c>
      <c r="AC267" s="295">
        <f t="shared" si="30"/>
        <v>0.25302000000000002</v>
      </c>
      <c r="AD267" s="341">
        <f>VLOOKUP(D267:D643,'Eje Cafetero'!$A$34:$S$102,19,FALSE)</f>
        <v>5</v>
      </c>
      <c r="AE267" s="353"/>
      <c r="AF267" s="342">
        <f t="shared" si="31"/>
        <v>149396000</v>
      </c>
      <c r="AG267" s="57" t="s">
        <v>27</v>
      </c>
      <c r="AH267" s="58">
        <f t="shared" si="32"/>
        <v>4</v>
      </c>
    </row>
    <row r="268" spans="1:34" ht="16.5" x14ac:dyDescent="0.3">
      <c r="A268" s="134" t="s">
        <v>23</v>
      </c>
      <c r="B268" s="26" t="s">
        <v>676</v>
      </c>
      <c r="C268" s="145" t="s">
        <v>418</v>
      </c>
      <c r="D268" s="112" t="s">
        <v>677</v>
      </c>
      <c r="E268" s="35">
        <v>302875</v>
      </c>
      <c r="F268" s="33" t="s">
        <v>68</v>
      </c>
      <c r="G268" s="37">
        <v>44544</v>
      </c>
      <c r="H268" s="62">
        <v>179999230</v>
      </c>
      <c r="I268" s="49"/>
      <c r="J268" s="50"/>
      <c r="K268" s="50"/>
      <c r="L268" s="50"/>
      <c r="M268" s="50"/>
      <c r="N268" s="50"/>
      <c r="O268" s="50"/>
      <c r="P268" s="50"/>
      <c r="Q268" s="50"/>
      <c r="R268" s="50"/>
      <c r="S268" s="50">
        <v>6420000</v>
      </c>
      <c r="T268" s="66"/>
      <c r="U268" s="50"/>
      <c r="V268" s="50"/>
      <c r="W268" s="50"/>
      <c r="X268" s="50">
        <v>37986999.950000003</v>
      </c>
      <c r="Y268" s="50"/>
      <c r="Z268" s="51"/>
      <c r="AA268" s="15"/>
      <c r="AB268" s="16">
        <f t="shared" si="29"/>
        <v>44406999.950000003</v>
      </c>
      <c r="AC268" s="295">
        <f t="shared" si="30"/>
        <v>0.24670661063383439</v>
      </c>
      <c r="AD268" s="341">
        <f>VLOOKUP(D268:D741,Central!$A$29:$R$107,18,FALSE)</f>
        <v>2</v>
      </c>
      <c r="AE268" s="353"/>
      <c r="AF268" s="342">
        <f t="shared" si="31"/>
        <v>135592230.05000001</v>
      </c>
      <c r="AG268" s="57" t="s">
        <v>27</v>
      </c>
      <c r="AH268" s="58">
        <f t="shared" si="32"/>
        <v>2</v>
      </c>
    </row>
    <row r="269" spans="1:34" ht="16.5" x14ac:dyDescent="0.3">
      <c r="A269" s="134" t="s">
        <v>105</v>
      </c>
      <c r="B269" s="26" t="s">
        <v>753</v>
      </c>
      <c r="C269" s="145" t="s">
        <v>418</v>
      </c>
      <c r="D269" s="112" t="s">
        <v>754</v>
      </c>
      <c r="E269" s="35">
        <v>302781</v>
      </c>
      <c r="F269" s="33" t="s">
        <v>108</v>
      </c>
      <c r="G269" s="37">
        <v>44544</v>
      </c>
      <c r="H269" s="62">
        <v>160000000</v>
      </c>
      <c r="I269" s="49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66"/>
      <c r="U269" s="50">
        <v>6420000</v>
      </c>
      <c r="V269" s="50">
        <v>7454250</v>
      </c>
      <c r="W269" s="50">
        <v>22448500</v>
      </c>
      <c r="X269" s="50">
        <v>3000000</v>
      </c>
      <c r="Y269" s="50"/>
      <c r="Z269" s="51"/>
      <c r="AA269" s="15"/>
      <c r="AB269" s="16">
        <f t="shared" si="29"/>
        <v>39322750</v>
      </c>
      <c r="AC269" s="295">
        <f t="shared" si="30"/>
        <v>0.24576718750000001</v>
      </c>
      <c r="AD269" s="341">
        <f>VLOOKUP(D269:D647,Llanos!$A$28:$S$82,19,FALSE)</f>
        <v>3</v>
      </c>
      <c r="AE269" s="353"/>
      <c r="AF269" s="342">
        <f t="shared" si="31"/>
        <v>120677250</v>
      </c>
      <c r="AG269" s="57" t="s">
        <v>27</v>
      </c>
      <c r="AH269" s="58">
        <f t="shared" si="32"/>
        <v>4</v>
      </c>
    </row>
    <row r="270" spans="1:34" ht="16.5" x14ac:dyDescent="0.3">
      <c r="A270" s="134" t="s">
        <v>28</v>
      </c>
      <c r="B270" s="23" t="s">
        <v>968</v>
      </c>
      <c r="C270" s="145" t="s">
        <v>418</v>
      </c>
      <c r="D270" s="112" t="s">
        <v>969</v>
      </c>
      <c r="E270" s="35">
        <v>303482</v>
      </c>
      <c r="F270" s="32" t="s">
        <v>452</v>
      </c>
      <c r="G270" s="37">
        <v>44588</v>
      </c>
      <c r="H270" s="61">
        <v>154537000</v>
      </c>
      <c r="I270" s="49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66"/>
      <c r="U270" s="50"/>
      <c r="V270" s="50"/>
      <c r="W270" s="50">
        <v>22702000</v>
      </c>
      <c r="X270" s="50">
        <v>14732500</v>
      </c>
      <c r="Y270" s="50"/>
      <c r="Z270" s="51"/>
      <c r="AA270" s="15"/>
      <c r="AB270" s="16">
        <f t="shared" si="29"/>
        <v>37434500</v>
      </c>
      <c r="AC270" s="295">
        <f t="shared" si="30"/>
        <v>0.24223648705488007</v>
      </c>
      <c r="AD270" s="341">
        <f>VLOOKUP(D270:D708,Pacífico!$A$32:$S$105,19,FALSE)</f>
        <v>3</v>
      </c>
      <c r="AE270" s="353"/>
      <c r="AF270" s="342">
        <f t="shared" si="31"/>
        <v>117102500</v>
      </c>
      <c r="AG270" s="57" t="s">
        <v>27</v>
      </c>
      <c r="AH270" s="58">
        <f t="shared" si="32"/>
        <v>2</v>
      </c>
    </row>
    <row r="271" spans="1:34" ht="16.5" x14ac:dyDescent="0.3">
      <c r="A271" s="134" t="s">
        <v>89</v>
      </c>
      <c r="B271" s="26" t="s">
        <v>1082</v>
      </c>
      <c r="C271" s="145" t="s">
        <v>418</v>
      </c>
      <c r="D271" s="112" t="s">
        <v>1083</v>
      </c>
      <c r="E271" s="35">
        <v>303661</v>
      </c>
      <c r="F271" s="33" t="s">
        <v>622</v>
      </c>
      <c r="G271" s="37">
        <v>44588</v>
      </c>
      <c r="H271" s="62">
        <v>199342000</v>
      </c>
      <c r="I271" s="49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66"/>
      <c r="U271" s="50"/>
      <c r="V271" s="50">
        <v>47688600</v>
      </c>
      <c r="W271" s="50"/>
      <c r="X271" s="50"/>
      <c r="Y271" s="50"/>
      <c r="Z271" s="51"/>
      <c r="AA271" s="15"/>
      <c r="AB271" s="16">
        <f t="shared" si="29"/>
        <v>47688600</v>
      </c>
      <c r="AC271" s="295">
        <f t="shared" si="30"/>
        <v>0.23923006692016735</v>
      </c>
      <c r="AD271" s="341">
        <f>VLOOKUP(D271:D339,'Caribe II'!$A$38:$Q$107,17,FALSE)</f>
        <v>2</v>
      </c>
      <c r="AE271" s="353"/>
      <c r="AF271" s="342">
        <f t="shared" si="31"/>
        <v>151653400</v>
      </c>
      <c r="AG271" s="57" t="s">
        <v>27</v>
      </c>
      <c r="AH271" s="58">
        <f t="shared" si="32"/>
        <v>1</v>
      </c>
    </row>
    <row r="272" spans="1:34" ht="16.5" x14ac:dyDescent="0.3">
      <c r="A272" s="134" t="s">
        <v>55</v>
      </c>
      <c r="B272" s="23" t="s">
        <v>512</v>
      </c>
      <c r="C272" s="145" t="s">
        <v>418</v>
      </c>
      <c r="D272" s="112" t="s">
        <v>513</v>
      </c>
      <c r="E272" s="35">
        <v>302573</v>
      </c>
      <c r="F272" s="32" t="s">
        <v>71</v>
      </c>
      <c r="G272" s="37">
        <v>44544</v>
      </c>
      <c r="H272" s="61">
        <v>185383000</v>
      </c>
      <c r="I272" s="49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66"/>
      <c r="U272" s="50">
        <v>6420000</v>
      </c>
      <c r="V272" s="50">
        <v>10700000</v>
      </c>
      <c r="W272" s="50">
        <v>15017000</v>
      </c>
      <c r="X272" s="50">
        <v>11908500</v>
      </c>
      <c r="Y272" s="50"/>
      <c r="Z272" s="51"/>
      <c r="AA272" s="15"/>
      <c r="AB272" s="16">
        <f t="shared" si="29"/>
        <v>44045500</v>
      </c>
      <c r="AC272" s="295">
        <f t="shared" si="30"/>
        <v>0.23759190432779706</v>
      </c>
      <c r="AD272" s="341">
        <f>VLOOKUP(D272:D648,'Eje Cafetero'!$A$34:$S$102,19,FALSE)</f>
        <v>5</v>
      </c>
      <c r="AE272" s="353"/>
      <c r="AF272" s="342">
        <f t="shared" si="31"/>
        <v>141337500</v>
      </c>
      <c r="AG272" s="57" t="s">
        <v>27</v>
      </c>
      <c r="AH272" s="58">
        <f t="shared" si="32"/>
        <v>4</v>
      </c>
    </row>
    <row r="273" spans="1:34" ht="16.5" x14ac:dyDescent="0.3">
      <c r="A273" s="134" t="s">
        <v>32</v>
      </c>
      <c r="B273" s="26" t="s">
        <v>812</v>
      </c>
      <c r="C273" s="145" t="s">
        <v>418</v>
      </c>
      <c r="D273" s="112" t="s">
        <v>813</v>
      </c>
      <c r="E273" s="35">
        <v>302732</v>
      </c>
      <c r="F273" s="33" t="s">
        <v>35</v>
      </c>
      <c r="G273" s="37">
        <v>44544</v>
      </c>
      <c r="H273" s="62">
        <v>185442000</v>
      </c>
      <c r="I273" s="49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66"/>
      <c r="U273" s="50"/>
      <c r="V273" s="50">
        <v>6420000</v>
      </c>
      <c r="W273" s="50">
        <v>11525500</v>
      </c>
      <c r="X273" s="50">
        <v>25700000</v>
      </c>
      <c r="Y273" s="50"/>
      <c r="Z273" s="51"/>
      <c r="AA273" s="15"/>
      <c r="AB273" s="16">
        <f t="shared" si="29"/>
        <v>43645500</v>
      </c>
      <c r="AC273" s="295">
        <f t="shared" si="30"/>
        <v>0.23535930371760444</v>
      </c>
      <c r="AD273" s="341">
        <f>VLOOKUP(D271:D459,Amazonía!$A$27:$T$75,20,FALSE)</f>
        <v>3</v>
      </c>
      <c r="AE273" s="353"/>
      <c r="AF273" s="342">
        <f t="shared" si="31"/>
        <v>141796500</v>
      </c>
      <c r="AG273" s="57" t="s">
        <v>27</v>
      </c>
      <c r="AH273" s="58">
        <f t="shared" si="32"/>
        <v>3</v>
      </c>
    </row>
    <row r="274" spans="1:34" ht="16.5" x14ac:dyDescent="0.3">
      <c r="A274" s="134" t="s">
        <v>49</v>
      </c>
      <c r="B274" s="23" t="s">
        <v>1270</v>
      </c>
      <c r="C274" s="145" t="s">
        <v>418</v>
      </c>
      <c r="D274" s="112" t="s">
        <v>1271</v>
      </c>
      <c r="E274" s="35">
        <v>302790</v>
      </c>
      <c r="F274" s="32" t="s">
        <v>125</v>
      </c>
      <c r="G274" s="37">
        <v>44588</v>
      </c>
      <c r="H274" s="61">
        <v>200000000</v>
      </c>
      <c r="I274" s="49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66"/>
      <c r="U274" s="50"/>
      <c r="V274" s="50"/>
      <c r="W274" s="50">
        <v>5900000</v>
      </c>
      <c r="X274" s="50">
        <v>40736000</v>
      </c>
      <c r="Y274" s="50"/>
      <c r="Z274" s="51"/>
      <c r="AA274" s="15"/>
      <c r="AB274" s="16">
        <f t="shared" si="29"/>
        <v>46636000</v>
      </c>
      <c r="AC274" s="295">
        <f t="shared" si="30"/>
        <v>0.23318</v>
      </c>
      <c r="AD274" s="341">
        <f>VLOOKUP(D274:D740,Santanderes!$A$21:$S$54,19,FALSE)</f>
        <v>3</v>
      </c>
      <c r="AE274" s="353"/>
      <c r="AF274" s="342">
        <f t="shared" si="31"/>
        <v>153364000</v>
      </c>
      <c r="AG274" s="57" t="s">
        <v>27</v>
      </c>
      <c r="AH274" s="58">
        <f t="shared" si="32"/>
        <v>2</v>
      </c>
    </row>
    <row r="275" spans="1:34" ht="16.5" x14ac:dyDescent="0.3">
      <c r="A275" s="134" t="s">
        <v>32</v>
      </c>
      <c r="B275" s="26" t="s">
        <v>853</v>
      </c>
      <c r="C275" s="145" t="s">
        <v>418</v>
      </c>
      <c r="D275" s="112" t="s">
        <v>854</v>
      </c>
      <c r="E275" s="35">
        <v>302488</v>
      </c>
      <c r="F275" s="33" t="s">
        <v>828</v>
      </c>
      <c r="G275" s="37">
        <v>44544</v>
      </c>
      <c r="H275" s="62">
        <v>186242000</v>
      </c>
      <c r="I275" s="49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66"/>
      <c r="U275" s="50"/>
      <c r="V275" s="50">
        <v>908500</v>
      </c>
      <c r="W275" s="50">
        <v>18928500</v>
      </c>
      <c r="X275" s="50">
        <v>23208500</v>
      </c>
      <c r="Y275" s="50"/>
      <c r="Z275" s="51"/>
      <c r="AA275" s="15"/>
      <c r="AB275" s="16">
        <f t="shared" si="29"/>
        <v>43045500</v>
      </c>
      <c r="AC275" s="295">
        <f t="shared" si="30"/>
        <v>0.23112670611355118</v>
      </c>
      <c r="AD275" s="341">
        <f>VLOOKUP(D273:D461,Amazonía!$A$27:$T$75,20,FALSE)</f>
        <v>2</v>
      </c>
      <c r="AE275" s="353"/>
      <c r="AF275" s="342">
        <f t="shared" si="31"/>
        <v>143196500</v>
      </c>
      <c r="AG275" s="57" t="s">
        <v>27</v>
      </c>
      <c r="AH275" s="58">
        <f t="shared" si="32"/>
        <v>3</v>
      </c>
    </row>
    <row r="276" spans="1:34" ht="16.5" x14ac:dyDescent="0.3">
      <c r="A276" s="134" t="s">
        <v>55</v>
      </c>
      <c r="B276" s="23" t="s">
        <v>542</v>
      </c>
      <c r="C276" s="145" t="s">
        <v>418</v>
      </c>
      <c r="D276" s="112" t="s">
        <v>543</v>
      </c>
      <c r="E276" s="35">
        <v>302575</v>
      </c>
      <c r="F276" s="32" t="s">
        <v>71</v>
      </c>
      <c r="G276" s="37">
        <v>44544</v>
      </c>
      <c r="H276" s="61">
        <v>179952000</v>
      </c>
      <c r="I276" s="49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66"/>
      <c r="U276" s="50">
        <v>6420000</v>
      </c>
      <c r="V276" s="50">
        <v>2800000</v>
      </c>
      <c r="W276" s="50">
        <v>32336332</v>
      </c>
      <c r="X276" s="50"/>
      <c r="Y276" s="50"/>
      <c r="Z276" s="51"/>
      <c r="AA276" s="15"/>
      <c r="AB276" s="16">
        <f t="shared" si="29"/>
        <v>41556332</v>
      </c>
      <c r="AC276" s="295">
        <f t="shared" si="30"/>
        <v>0.23093009246910287</v>
      </c>
      <c r="AD276" s="341">
        <f>VLOOKUP(D276:D652,'Eje Cafetero'!$A$34:$S$102,19,FALSE)</f>
        <v>4</v>
      </c>
      <c r="AE276" s="353"/>
      <c r="AF276" s="342">
        <f t="shared" si="31"/>
        <v>138395668</v>
      </c>
      <c r="AG276" s="57" t="s">
        <v>27</v>
      </c>
      <c r="AH276" s="58">
        <f t="shared" si="32"/>
        <v>3</v>
      </c>
    </row>
    <row r="277" spans="1:34" ht="16.5" x14ac:dyDescent="0.3">
      <c r="A277" s="134" t="s">
        <v>105</v>
      </c>
      <c r="B277" s="26" t="s">
        <v>743</v>
      </c>
      <c r="C277" s="145" t="s">
        <v>418</v>
      </c>
      <c r="D277" s="112" t="s">
        <v>744</v>
      </c>
      <c r="E277" s="35">
        <v>302505</v>
      </c>
      <c r="F277" s="33" t="s">
        <v>131</v>
      </c>
      <c r="G277" s="37">
        <v>44544</v>
      </c>
      <c r="H277" s="62">
        <v>170000000</v>
      </c>
      <c r="I277" s="49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66">
        <v>6420000</v>
      </c>
      <c r="U277" s="50"/>
      <c r="V277" s="50">
        <v>3954250</v>
      </c>
      <c r="W277" s="50">
        <v>6908500</v>
      </c>
      <c r="X277" s="50">
        <v>21413250</v>
      </c>
      <c r="Y277" s="50"/>
      <c r="Z277" s="51"/>
      <c r="AA277" s="15"/>
      <c r="AB277" s="16">
        <f t="shared" si="29"/>
        <v>38696000</v>
      </c>
      <c r="AC277" s="295">
        <f t="shared" si="30"/>
        <v>0.2276235294117647</v>
      </c>
      <c r="AD277" s="341">
        <f>VLOOKUP(D277:D655,Llanos!$A$28:$S$82,19,FALSE)</f>
        <v>3</v>
      </c>
      <c r="AE277" s="353"/>
      <c r="AF277" s="342">
        <f t="shared" si="31"/>
        <v>131304000</v>
      </c>
      <c r="AG277" s="57" t="s">
        <v>27</v>
      </c>
      <c r="AH277" s="58">
        <f t="shared" si="32"/>
        <v>4</v>
      </c>
    </row>
    <row r="278" spans="1:34" ht="16.5" x14ac:dyDescent="0.3">
      <c r="A278" s="134" t="s">
        <v>49</v>
      </c>
      <c r="B278" s="23" t="s">
        <v>1274</v>
      </c>
      <c r="C278" s="145" t="s">
        <v>418</v>
      </c>
      <c r="D278" s="112" t="s">
        <v>1275</v>
      </c>
      <c r="E278" s="35">
        <v>303246</v>
      </c>
      <c r="F278" s="32" t="s">
        <v>125</v>
      </c>
      <c r="G278" s="37">
        <v>44588</v>
      </c>
      <c r="H278" s="61">
        <v>175000000</v>
      </c>
      <c r="I278" s="49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66"/>
      <c r="U278" s="50"/>
      <c r="V278" s="50">
        <v>3000000</v>
      </c>
      <c r="W278" s="50"/>
      <c r="X278" s="50">
        <v>36755000</v>
      </c>
      <c r="Y278" s="50"/>
      <c r="Z278" s="51"/>
      <c r="AA278" s="15"/>
      <c r="AB278" s="16">
        <f t="shared" si="29"/>
        <v>39755000</v>
      </c>
      <c r="AC278" s="295">
        <f t="shared" si="30"/>
        <v>0.22717142857142858</v>
      </c>
      <c r="AD278" s="341">
        <f>VLOOKUP(D278:D744,Santanderes!$A$21:$S$54,19,FALSE)</f>
        <v>3</v>
      </c>
      <c r="AE278" s="353"/>
      <c r="AF278" s="342">
        <f t="shared" si="31"/>
        <v>135245000</v>
      </c>
      <c r="AG278" s="57" t="s">
        <v>27</v>
      </c>
      <c r="AH278" s="58">
        <f t="shared" si="32"/>
        <v>2</v>
      </c>
    </row>
    <row r="279" spans="1:34" ht="16.5" x14ac:dyDescent="0.3">
      <c r="A279" s="134" t="s">
        <v>16</v>
      </c>
      <c r="B279" s="23" t="s">
        <v>1020</v>
      </c>
      <c r="C279" s="145" t="s">
        <v>418</v>
      </c>
      <c r="D279" s="112" t="s">
        <v>1021</v>
      </c>
      <c r="E279" s="35">
        <v>303768</v>
      </c>
      <c r="F279" s="32" t="s">
        <v>551</v>
      </c>
      <c r="G279" s="37">
        <v>44588</v>
      </c>
      <c r="H279" s="61">
        <v>200000000</v>
      </c>
      <c r="I279" s="49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66"/>
      <c r="U279" s="50"/>
      <c r="V279" s="50">
        <v>6420000</v>
      </c>
      <c r="W279" s="50">
        <v>37754000</v>
      </c>
      <c r="X279" s="50">
        <v>908000</v>
      </c>
      <c r="Y279" s="50"/>
      <c r="Z279" s="51"/>
      <c r="AA279" s="15"/>
      <c r="AB279" s="16">
        <f t="shared" si="29"/>
        <v>45082000</v>
      </c>
      <c r="AC279" s="295">
        <f t="shared" si="30"/>
        <v>0.22541</v>
      </c>
      <c r="AD279" s="341">
        <f>VLOOKUP(D279:D497,'Caribe I'!$A$25:$Q$83,17,FALSE)</f>
        <v>3</v>
      </c>
      <c r="AE279" s="353"/>
      <c r="AF279" s="342">
        <f t="shared" si="31"/>
        <v>154918000</v>
      </c>
      <c r="AG279" s="57" t="s">
        <v>27</v>
      </c>
      <c r="AH279" s="58">
        <f t="shared" si="32"/>
        <v>3</v>
      </c>
    </row>
    <row r="280" spans="1:34" ht="16.5" x14ac:dyDescent="0.3">
      <c r="A280" s="134" t="s">
        <v>55</v>
      </c>
      <c r="B280" s="26" t="s">
        <v>532</v>
      </c>
      <c r="C280" s="145" t="s">
        <v>418</v>
      </c>
      <c r="D280" s="112" t="s">
        <v>533</v>
      </c>
      <c r="E280" s="35">
        <v>302251</v>
      </c>
      <c r="F280" s="33" t="s">
        <v>71</v>
      </c>
      <c r="G280" s="37">
        <v>44544</v>
      </c>
      <c r="H280" s="62">
        <v>188750000</v>
      </c>
      <c r="I280" s="49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66">
        <v>6420000</v>
      </c>
      <c r="U280" s="50">
        <v>6420000</v>
      </c>
      <c r="V280" s="50"/>
      <c r="W280" s="50">
        <v>17608500</v>
      </c>
      <c r="X280" s="50">
        <v>12017000</v>
      </c>
      <c r="Y280" s="50"/>
      <c r="Z280" s="51"/>
      <c r="AA280" s="15"/>
      <c r="AB280" s="16">
        <f t="shared" si="29"/>
        <v>42465500</v>
      </c>
      <c r="AC280" s="295">
        <f t="shared" si="30"/>
        <v>0.22498278145695363</v>
      </c>
      <c r="AD280" s="341">
        <f>VLOOKUP(D280:D656,'Eje Cafetero'!$A$34:$S$102,19,FALSE)</f>
        <v>4</v>
      </c>
      <c r="AE280" s="353"/>
      <c r="AF280" s="342">
        <f t="shared" si="31"/>
        <v>146284500</v>
      </c>
      <c r="AG280" s="57" t="s">
        <v>27</v>
      </c>
      <c r="AH280" s="58">
        <f t="shared" si="32"/>
        <v>4</v>
      </c>
    </row>
    <row r="281" spans="1:34" ht="16.5" x14ac:dyDescent="0.3">
      <c r="A281" s="134" t="s">
        <v>28</v>
      </c>
      <c r="B281" s="23" t="s">
        <v>874</v>
      </c>
      <c r="C281" s="145" t="s">
        <v>418</v>
      </c>
      <c r="D281" s="112" t="s">
        <v>875</v>
      </c>
      <c r="E281" s="35">
        <v>302838</v>
      </c>
      <c r="F281" s="32" t="s">
        <v>31</v>
      </c>
      <c r="G281" s="37">
        <v>44588</v>
      </c>
      <c r="H281" s="61">
        <v>145470000</v>
      </c>
      <c r="I281" s="49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66"/>
      <c r="U281" s="50"/>
      <c r="V281" s="50">
        <v>6420000</v>
      </c>
      <c r="W281" s="50"/>
      <c r="X281" s="50">
        <v>26206000</v>
      </c>
      <c r="Y281" s="50"/>
      <c r="Z281" s="51"/>
      <c r="AA281" s="15"/>
      <c r="AB281" s="16">
        <f t="shared" si="29"/>
        <v>32626000</v>
      </c>
      <c r="AC281" s="295">
        <f t="shared" si="30"/>
        <v>0.22427992025847254</v>
      </c>
      <c r="AD281" s="341">
        <f>VLOOKUP(D281:D719,Pacífico!$A$32:$S$105,19,FALSE)</f>
        <v>3</v>
      </c>
      <c r="AE281" s="353"/>
      <c r="AF281" s="342">
        <f t="shared" si="31"/>
        <v>112844000</v>
      </c>
      <c r="AG281" s="57" t="s">
        <v>27</v>
      </c>
      <c r="AH281" s="58">
        <f t="shared" si="32"/>
        <v>2</v>
      </c>
    </row>
    <row r="282" spans="1:34" ht="16.5" x14ac:dyDescent="0.3">
      <c r="A282" s="134" t="s">
        <v>23</v>
      </c>
      <c r="B282" s="26" t="s">
        <v>678</v>
      </c>
      <c r="C282" s="145" t="s">
        <v>418</v>
      </c>
      <c r="D282" s="112" t="s">
        <v>679</v>
      </c>
      <c r="E282" s="35">
        <v>302953</v>
      </c>
      <c r="F282" s="33" t="s">
        <v>68</v>
      </c>
      <c r="G282" s="37">
        <v>44544</v>
      </c>
      <c r="H282" s="62">
        <v>169999600</v>
      </c>
      <c r="I282" s="49"/>
      <c r="J282" s="50"/>
      <c r="K282" s="50"/>
      <c r="L282" s="50"/>
      <c r="M282" s="50"/>
      <c r="N282" s="50"/>
      <c r="O282" s="50"/>
      <c r="P282" s="50"/>
      <c r="Q282" s="50"/>
      <c r="R282" s="50"/>
      <c r="S282" s="50">
        <v>6420000</v>
      </c>
      <c r="T282" s="66"/>
      <c r="U282" s="50"/>
      <c r="V282" s="50"/>
      <c r="W282" s="50">
        <v>30539992.120000001</v>
      </c>
      <c r="X282" s="50"/>
      <c r="Y282" s="50"/>
      <c r="Z282" s="51"/>
      <c r="AA282" s="15"/>
      <c r="AB282" s="16">
        <f t="shared" si="29"/>
        <v>36959992.120000005</v>
      </c>
      <c r="AC282" s="295">
        <f t="shared" si="30"/>
        <v>0.21741222991112924</v>
      </c>
      <c r="AD282" s="341">
        <f>VLOOKUP(D282:D755,Central!$A$29:$R$107,18,FALSE)</f>
        <v>2</v>
      </c>
      <c r="AE282" s="353"/>
      <c r="AF282" s="342">
        <f t="shared" si="31"/>
        <v>133039607.88</v>
      </c>
      <c r="AG282" s="57" t="s">
        <v>27</v>
      </c>
      <c r="AH282" s="58">
        <f t="shared" si="32"/>
        <v>2</v>
      </c>
    </row>
    <row r="283" spans="1:34" ht="16.5" x14ac:dyDescent="0.3">
      <c r="A283" s="134" t="s">
        <v>23</v>
      </c>
      <c r="B283" s="23" t="s">
        <v>666</v>
      </c>
      <c r="C283" s="145" t="s">
        <v>418</v>
      </c>
      <c r="D283" s="112" t="s">
        <v>667</v>
      </c>
      <c r="E283" s="35">
        <v>303262</v>
      </c>
      <c r="F283" s="32" t="s">
        <v>44</v>
      </c>
      <c r="G283" s="37">
        <v>44544</v>
      </c>
      <c r="H283" s="61">
        <v>154568000</v>
      </c>
      <c r="I283" s="49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66">
        <v>6420000</v>
      </c>
      <c r="U283" s="50"/>
      <c r="V283" s="50"/>
      <c r="W283" s="50">
        <v>16237583.33</v>
      </c>
      <c r="X283" s="50">
        <v>10620916.66</v>
      </c>
      <c r="Y283" s="50"/>
      <c r="Z283" s="51"/>
      <c r="AA283" s="15"/>
      <c r="AB283" s="16">
        <f t="shared" si="29"/>
        <v>33278499.989999998</v>
      </c>
      <c r="AC283" s="295">
        <f t="shared" si="30"/>
        <v>0.21530006204389004</v>
      </c>
      <c r="AD283" s="341">
        <f>VLOOKUP(D283:D756,Central!$A$29:$R$107,18,FALSE)</f>
        <v>2</v>
      </c>
      <c r="AE283" s="353"/>
      <c r="AF283" s="342">
        <f t="shared" si="31"/>
        <v>121289500.01000001</v>
      </c>
      <c r="AG283" s="57" t="s">
        <v>27</v>
      </c>
      <c r="AH283" s="58">
        <f t="shared" si="32"/>
        <v>3</v>
      </c>
    </row>
    <row r="284" spans="1:34" ht="16.5" x14ac:dyDescent="0.3">
      <c r="A284" s="134" t="s">
        <v>16</v>
      </c>
      <c r="B284" s="23" t="s">
        <v>589</v>
      </c>
      <c r="C284" s="145" t="s">
        <v>418</v>
      </c>
      <c r="D284" s="112" t="s">
        <v>590</v>
      </c>
      <c r="E284" s="35">
        <v>302877</v>
      </c>
      <c r="F284" s="32" t="s">
        <v>268</v>
      </c>
      <c r="G284" s="37">
        <v>44544</v>
      </c>
      <c r="H284" s="61">
        <v>169892000</v>
      </c>
      <c r="I284" s="49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66"/>
      <c r="U284" s="50"/>
      <c r="V284" s="50"/>
      <c r="W284" s="50"/>
      <c r="X284" s="50">
        <v>36332900</v>
      </c>
      <c r="Y284" s="50"/>
      <c r="Z284" s="51"/>
      <c r="AA284" s="15"/>
      <c r="AB284" s="16">
        <f t="shared" si="29"/>
        <v>36332900</v>
      </c>
      <c r="AC284" s="295">
        <f t="shared" si="30"/>
        <v>0.2138588044169237</v>
      </c>
      <c r="AD284" s="341">
        <f>VLOOKUP(D284:D502,'Caribe I'!$A$25:$Q$83,17,FALSE)</f>
        <v>1</v>
      </c>
      <c r="AE284" s="353"/>
      <c r="AF284" s="342">
        <f t="shared" si="31"/>
        <v>133559100</v>
      </c>
      <c r="AG284" s="57" t="s">
        <v>27</v>
      </c>
      <c r="AH284" s="58">
        <f t="shared" si="32"/>
        <v>1</v>
      </c>
    </row>
    <row r="285" spans="1:34" ht="16.5" x14ac:dyDescent="0.3">
      <c r="A285" s="134" t="s">
        <v>23</v>
      </c>
      <c r="B285" s="23" t="s">
        <v>686</v>
      </c>
      <c r="C285" s="145" t="s">
        <v>418</v>
      </c>
      <c r="D285" s="112" t="s">
        <v>687</v>
      </c>
      <c r="E285" s="35">
        <v>303325</v>
      </c>
      <c r="F285" s="32" t="s">
        <v>68</v>
      </c>
      <c r="G285" s="37">
        <v>44544</v>
      </c>
      <c r="H285" s="61">
        <v>199997560</v>
      </c>
      <c r="I285" s="49"/>
      <c r="J285" s="50"/>
      <c r="K285" s="50"/>
      <c r="L285" s="50"/>
      <c r="M285" s="50"/>
      <c r="N285" s="50"/>
      <c r="O285" s="50"/>
      <c r="P285" s="50"/>
      <c r="Q285" s="50"/>
      <c r="R285" s="50"/>
      <c r="S285" s="50">
        <v>6420000</v>
      </c>
      <c r="T285" s="66"/>
      <c r="U285" s="50"/>
      <c r="V285" s="50"/>
      <c r="W285" s="50">
        <v>36054999.969999999</v>
      </c>
      <c r="X285" s="50"/>
      <c r="Y285" s="50"/>
      <c r="Z285" s="51"/>
      <c r="AA285" s="15"/>
      <c r="AB285" s="16">
        <f t="shared" si="29"/>
        <v>42474999.969999999</v>
      </c>
      <c r="AC285" s="295">
        <f t="shared" si="30"/>
        <v>0.21237759085660846</v>
      </c>
      <c r="AD285" s="341">
        <f>VLOOKUP(D285:D758,Central!$A$29:$R$107,18,FALSE)</f>
        <v>2</v>
      </c>
      <c r="AE285" s="353"/>
      <c r="AF285" s="342">
        <f t="shared" si="31"/>
        <v>157522560.03</v>
      </c>
      <c r="AG285" s="57" t="s">
        <v>27</v>
      </c>
      <c r="AH285" s="58">
        <f t="shared" si="32"/>
        <v>2</v>
      </c>
    </row>
    <row r="286" spans="1:34" ht="16.5" x14ac:dyDescent="0.3">
      <c r="A286" s="134" t="s">
        <v>49</v>
      </c>
      <c r="B286" s="26" t="s">
        <v>1272</v>
      </c>
      <c r="C286" s="145" t="s">
        <v>418</v>
      </c>
      <c r="D286" s="112" t="s">
        <v>1273</v>
      </c>
      <c r="E286" s="35">
        <v>302805</v>
      </c>
      <c r="F286" s="33" t="s">
        <v>690</v>
      </c>
      <c r="G286" s="37">
        <v>44588</v>
      </c>
      <c r="H286" s="62">
        <v>185000000</v>
      </c>
      <c r="I286" s="49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66">
        <v>6420000</v>
      </c>
      <c r="U286" s="50"/>
      <c r="V286" s="50">
        <v>4070000</v>
      </c>
      <c r="W286" s="50">
        <v>13300000</v>
      </c>
      <c r="X286" s="50">
        <v>15439900</v>
      </c>
      <c r="Y286" s="50"/>
      <c r="Z286" s="51"/>
      <c r="AA286" s="15"/>
      <c r="AB286" s="16">
        <f t="shared" si="29"/>
        <v>39229900</v>
      </c>
      <c r="AC286" s="295">
        <f t="shared" si="30"/>
        <v>0.21205351351351351</v>
      </c>
      <c r="AD286" s="341">
        <f>VLOOKUP(D286:D752,Santanderes!$A$21:$S$54,19,FALSE)</f>
        <v>4</v>
      </c>
      <c r="AE286" s="353"/>
      <c r="AF286" s="342">
        <f t="shared" si="31"/>
        <v>145770100</v>
      </c>
      <c r="AG286" s="57" t="s">
        <v>27</v>
      </c>
      <c r="AH286" s="58">
        <f t="shared" si="32"/>
        <v>4</v>
      </c>
    </row>
    <row r="287" spans="1:34" ht="16.5" x14ac:dyDescent="0.3">
      <c r="A287" s="134" t="s">
        <v>55</v>
      </c>
      <c r="B287" s="26" t="s">
        <v>506</v>
      </c>
      <c r="C287" s="145" t="s">
        <v>418</v>
      </c>
      <c r="D287" s="112" t="s">
        <v>507</v>
      </c>
      <c r="E287" s="35">
        <v>302574</v>
      </c>
      <c r="F287" s="33" t="s">
        <v>71</v>
      </c>
      <c r="G287" s="37">
        <v>44544</v>
      </c>
      <c r="H287" s="62">
        <v>198302000</v>
      </c>
      <c r="I287" s="49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66">
        <v>6420000</v>
      </c>
      <c r="U287" s="50"/>
      <c r="V287" s="50">
        <v>9140500</v>
      </c>
      <c r="W287" s="50">
        <v>16408500</v>
      </c>
      <c r="X287" s="50">
        <v>10049000</v>
      </c>
      <c r="Y287" s="50"/>
      <c r="Z287" s="51"/>
      <c r="AA287" s="15"/>
      <c r="AB287" s="16">
        <f t="shared" si="29"/>
        <v>42018000</v>
      </c>
      <c r="AC287" s="295">
        <f t="shared" si="30"/>
        <v>0.2118889370757733</v>
      </c>
      <c r="AD287" s="341">
        <f>VLOOKUP(D287:D659,'Eje Cafetero'!$A$34:$S$102,19,FALSE)</f>
        <v>5</v>
      </c>
      <c r="AE287" s="353"/>
      <c r="AF287" s="342">
        <f t="shared" si="31"/>
        <v>156284000</v>
      </c>
      <c r="AG287" s="57" t="s">
        <v>27</v>
      </c>
      <c r="AH287" s="58">
        <f t="shared" si="32"/>
        <v>4</v>
      </c>
    </row>
    <row r="288" spans="1:34" ht="16.5" x14ac:dyDescent="0.3">
      <c r="A288" s="134" t="s">
        <v>16</v>
      </c>
      <c r="B288" s="26" t="s">
        <v>1040</v>
      </c>
      <c r="C288" s="145" t="s">
        <v>418</v>
      </c>
      <c r="D288" s="112" t="s">
        <v>1041</v>
      </c>
      <c r="E288" s="35">
        <v>303660</v>
      </c>
      <c r="F288" s="33" t="s">
        <v>268</v>
      </c>
      <c r="G288" s="37">
        <v>44588</v>
      </c>
      <c r="H288" s="62">
        <v>184878000</v>
      </c>
      <c r="I288" s="49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66"/>
      <c r="U288" s="50"/>
      <c r="V288" s="50"/>
      <c r="W288" s="50"/>
      <c r="X288" s="50">
        <v>38900000</v>
      </c>
      <c r="Y288" s="50"/>
      <c r="Z288" s="51"/>
      <c r="AA288" s="15"/>
      <c r="AB288" s="16">
        <f t="shared" si="29"/>
        <v>38900000</v>
      </c>
      <c r="AC288" s="295">
        <f t="shared" si="30"/>
        <v>0.21040902649314683</v>
      </c>
      <c r="AD288" s="341">
        <f>VLOOKUP(D288:D506,'Caribe I'!$A$25:$Q$83,17,FALSE)</f>
        <v>2</v>
      </c>
      <c r="AE288" s="353"/>
      <c r="AF288" s="342">
        <f t="shared" si="31"/>
        <v>145978000</v>
      </c>
      <c r="AG288" s="57" t="s">
        <v>27</v>
      </c>
      <c r="AH288" s="58">
        <f t="shared" si="32"/>
        <v>1</v>
      </c>
    </row>
    <row r="289" spans="1:34" ht="16.5" x14ac:dyDescent="0.3">
      <c r="A289" s="134" t="s">
        <v>32</v>
      </c>
      <c r="B289" s="23" t="s">
        <v>870</v>
      </c>
      <c r="C289" s="145" t="s">
        <v>418</v>
      </c>
      <c r="D289" s="112" t="s">
        <v>871</v>
      </c>
      <c r="E289" s="35">
        <v>302544</v>
      </c>
      <c r="F289" s="32" t="s">
        <v>35</v>
      </c>
      <c r="G289" s="37">
        <v>44544</v>
      </c>
      <c r="H289" s="61">
        <v>165622000</v>
      </c>
      <c r="I289" s="49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66">
        <v>6300000</v>
      </c>
      <c r="U289" s="50"/>
      <c r="V289" s="50">
        <v>12317000</v>
      </c>
      <c r="W289" s="50">
        <v>9608500</v>
      </c>
      <c r="X289" s="50">
        <v>6608500</v>
      </c>
      <c r="Y289" s="50"/>
      <c r="Z289" s="51"/>
      <c r="AA289" s="15"/>
      <c r="AB289" s="16">
        <f t="shared" si="29"/>
        <v>34834000</v>
      </c>
      <c r="AC289" s="295">
        <f t="shared" si="30"/>
        <v>0.21032230017751266</v>
      </c>
      <c r="AD289" s="341">
        <f>VLOOKUP(D287:D475,Amazonía!$A$27:$T$75,20,FALSE)</f>
        <v>4</v>
      </c>
      <c r="AE289" s="353">
        <v>44844</v>
      </c>
      <c r="AF289" s="342">
        <f t="shared" si="31"/>
        <v>130788000</v>
      </c>
      <c r="AG289" s="57" t="s">
        <v>27</v>
      </c>
      <c r="AH289" s="58">
        <f t="shared" si="32"/>
        <v>4</v>
      </c>
    </row>
    <row r="290" spans="1:34" ht="16.5" x14ac:dyDescent="0.3">
      <c r="A290" s="134" t="s">
        <v>55</v>
      </c>
      <c r="B290" s="23" t="s">
        <v>29</v>
      </c>
      <c r="C290" s="145" t="s">
        <v>418</v>
      </c>
      <c r="D290" s="112" t="s">
        <v>995</v>
      </c>
      <c r="E290" s="35">
        <v>303297</v>
      </c>
      <c r="F290" s="32" t="s">
        <v>58</v>
      </c>
      <c r="G290" s="37">
        <v>44588</v>
      </c>
      <c r="H290" s="61">
        <v>170000000</v>
      </c>
      <c r="I290" s="49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66"/>
      <c r="U290" s="50"/>
      <c r="V290" s="50"/>
      <c r="W290" s="50">
        <v>6420000</v>
      </c>
      <c r="X290" s="50">
        <v>29157800</v>
      </c>
      <c r="Y290" s="50"/>
      <c r="Z290" s="51"/>
      <c r="AA290" s="15"/>
      <c r="AB290" s="16">
        <f t="shared" si="29"/>
        <v>35577800</v>
      </c>
      <c r="AC290" s="295">
        <f t="shared" si="30"/>
        <v>0.20928117647058825</v>
      </c>
      <c r="AD290" s="341">
        <f>VLOOKUP(D290:D662,'Eje Cafetero'!$A$34:$S$102,19,FALSE)</f>
        <v>2</v>
      </c>
      <c r="AE290" s="353"/>
      <c r="AF290" s="342">
        <f t="shared" si="31"/>
        <v>134422200</v>
      </c>
      <c r="AG290" s="57" t="s">
        <v>27</v>
      </c>
      <c r="AH290" s="58">
        <f t="shared" si="32"/>
        <v>2</v>
      </c>
    </row>
    <row r="291" spans="1:34" ht="16.5" x14ac:dyDescent="0.3">
      <c r="A291" s="134" t="s">
        <v>105</v>
      </c>
      <c r="B291" s="23" t="s">
        <v>755</v>
      </c>
      <c r="C291" s="145" t="s">
        <v>418</v>
      </c>
      <c r="D291" s="112" t="s">
        <v>756</v>
      </c>
      <c r="E291" s="35">
        <v>302796</v>
      </c>
      <c r="F291" s="32" t="s">
        <v>108</v>
      </c>
      <c r="G291" s="37">
        <v>44544</v>
      </c>
      <c r="H291" s="61">
        <v>170000000</v>
      </c>
      <c r="I291" s="49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66">
        <v>6420000</v>
      </c>
      <c r="U291" s="50"/>
      <c r="V291" s="50">
        <v>3954250</v>
      </c>
      <c r="W291" s="50">
        <v>7908500</v>
      </c>
      <c r="X291" s="50">
        <v>16160000</v>
      </c>
      <c r="Y291" s="50"/>
      <c r="Z291" s="51"/>
      <c r="AA291" s="15"/>
      <c r="AB291" s="16">
        <f t="shared" si="29"/>
        <v>34442750</v>
      </c>
      <c r="AC291" s="295">
        <f t="shared" si="30"/>
        <v>0.20260441176470589</v>
      </c>
      <c r="AD291" s="341">
        <f>VLOOKUP(D291:D665,Llanos!$A$28:$S$82,19,FALSE)</f>
        <v>3</v>
      </c>
      <c r="AE291" s="353"/>
      <c r="AF291" s="342">
        <f t="shared" si="31"/>
        <v>135557250</v>
      </c>
      <c r="AG291" s="57" t="s">
        <v>27</v>
      </c>
      <c r="AH291" s="58">
        <f t="shared" si="32"/>
        <v>4</v>
      </c>
    </row>
    <row r="292" spans="1:34" ht="16.5" x14ac:dyDescent="0.3">
      <c r="A292" s="134" t="s">
        <v>55</v>
      </c>
      <c r="B292" s="26" t="s">
        <v>1008</v>
      </c>
      <c r="C292" s="145" t="s">
        <v>418</v>
      </c>
      <c r="D292" s="112" t="s">
        <v>1009</v>
      </c>
      <c r="E292" s="35">
        <v>303244</v>
      </c>
      <c r="F292" s="33" t="s">
        <v>128</v>
      </c>
      <c r="G292" s="37">
        <v>44588</v>
      </c>
      <c r="H292" s="62">
        <v>155000000</v>
      </c>
      <c r="I292" s="49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66">
        <v>6420000</v>
      </c>
      <c r="U292" s="50"/>
      <c r="V292" s="50"/>
      <c r="W292" s="50">
        <v>21455600</v>
      </c>
      <c r="X292" s="50">
        <v>3000000</v>
      </c>
      <c r="Y292" s="50"/>
      <c r="Z292" s="51"/>
      <c r="AA292" s="15"/>
      <c r="AB292" s="16">
        <f t="shared" si="29"/>
        <v>30875600</v>
      </c>
      <c r="AC292" s="295">
        <f t="shared" si="30"/>
        <v>0.1991974193548387</v>
      </c>
      <c r="AD292" s="341">
        <f>VLOOKUP(D292:D664,'Eje Cafetero'!$A$34:$S$102,19,FALSE)</f>
        <v>3</v>
      </c>
      <c r="AE292" s="353"/>
      <c r="AF292" s="342">
        <f t="shared" si="31"/>
        <v>124124400</v>
      </c>
      <c r="AG292" s="57" t="s">
        <v>27</v>
      </c>
      <c r="AH292" s="58">
        <f t="shared" si="32"/>
        <v>3</v>
      </c>
    </row>
    <row r="293" spans="1:34" ht="16.5" x14ac:dyDescent="0.3">
      <c r="A293" s="134" t="s">
        <v>32</v>
      </c>
      <c r="B293" s="23" t="s">
        <v>864</v>
      </c>
      <c r="C293" s="145" t="s">
        <v>418</v>
      </c>
      <c r="D293" s="112" t="s">
        <v>865</v>
      </c>
      <c r="E293" s="35">
        <v>302541</v>
      </c>
      <c r="F293" s="32" t="s">
        <v>35</v>
      </c>
      <c r="G293" s="37">
        <v>44544</v>
      </c>
      <c r="H293" s="61">
        <v>198942000</v>
      </c>
      <c r="I293" s="49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66">
        <v>6300000</v>
      </c>
      <c r="U293" s="50"/>
      <c r="V293" s="50">
        <v>16317000</v>
      </c>
      <c r="W293" s="50"/>
      <c r="X293" s="50">
        <v>16937000</v>
      </c>
      <c r="Y293" s="50"/>
      <c r="Z293" s="51"/>
      <c r="AA293" s="15"/>
      <c r="AB293" s="16">
        <f t="shared" si="29"/>
        <v>39554000</v>
      </c>
      <c r="AC293" s="295">
        <f t="shared" si="30"/>
        <v>0.19882176714821406</v>
      </c>
      <c r="AD293" s="341">
        <f>VLOOKUP(D291:D479,Amazonía!$A$27:$T$75,20,FALSE)</f>
        <v>4</v>
      </c>
      <c r="AE293" s="353"/>
      <c r="AF293" s="342">
        <f t="shared" si="31"/>
        <v>159388000</v>
      </c>
      <c r="AG293" s="57" t="s">
        <v>27</v>
      </c>
      <c r="AH293" s="58">
        <f t="shared" si="32"/>
        <v>3</v>
      </c>
    </row>
    <row r="294" spans="1:34" ht="16.5" x14ac:dyDescent="0.3">
      <c r="A294" s="134" t="s">
        <v>105</v>
      </c>
      <c r="B294" s="26" t="s">
        <v>737</v>
      </c>
      <c r="C294" s="145" t="s">
        <v>418</v>
      </c>
      <c r="D294" s="112" t="s">
        <v>738</v>
      </c>
      <c r="E294" s="35">
        <v>302485</v>
      </c>
      <c r="F294" s="33" t="s">
        <v>317</v>
      </c>
      <c r="G294" s="37">
        <v>44544</v>
      </c>
      <c r="H294" s="62">
        <v>200000000</v>
      </c>
      <c r="I294" s="49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66"/>
      <c r="U294" s="50">
        <v>4000000</v>
      </c>
      <c r="V294" s="50">
        <v>6420000</v>
      </c>
      <c r="W294" s="50">
        <v>23608000</v>
      </c>
      <c r="X294" s="50">
        <v>4454000</v>
      </c>
      <c r="Y294" s="50"/>
      <c r="Z294" s="51"/>
      <c r="AA294" s="15"/>
      <c r="AB294" s="16">
        <f t="shared" si="29"/>
        <v>38482000</v>
      </c>
      <c r="AC294" s="295">
        <f t="shared" si="30"/>
        <v>0.19241</v>
      </c>
      <c r="AD294" s="341">
        <f>VLOOKUP(D294:D668,Llanos!$A$28:$S$82,19,FALSE)</f>
        <v>3</v>
      </c>
      <c r="AE294" s="353"/>
      <c r="AF294" s="342">
        <f t="shared" si="31"/>
        <v>161518000</v>
      </c>
      <c r="AG294" s="57" t="s">
        <v>27</v>
      </c>
      <c r="AH294" s="58">
        <f t="shared" si="32"/>
        <v>4</v>
      </c>
    </row>
    <row r="295" spans="1:34" ht="16.5" x14ac:dyDescent="0.3">
      <c r="A295" s="134" t="s">
        <v>55</v>
      </c>
      <c r="B295" s="26" t="s">
        <v>546</v>
      </c>
      <c r="C295" s="145" t="s">
        <v>418</v>
      </c>
      <c r="D295" s="112" t="s">
        <v>547</v>
      </c>
      <c r="E295" s="35">
        <v>302142</v>
      </c>
      <c r="F295" s="33" t="s">
        <v>128</v>
      </c>
      <c r="G295" s="37">
        <v>44544</v>
      </c>
      <c r="H295" s="62">
        <v>175000000</v>
      </c>
      <c r="I295" s="49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66"/>
      <c r="U295" s="50"/>
      <c r="V295" s="50">
        <v>6420000</v>
      </c>
      <c r="W295" s="50">
        <v>19700000</v>
      </c>
      <c r="X295" s="50">
        <v>6908500</v>
      </c>
      <c r="Y295" s="50"/>
      <c r="Z295" s="51"/>
      <c r="AA295" s="15"/>
      <c r="AB295" s="16">
        <f t="shared" si="29"/>
        <v>33028500</v>
      </c>
      <c r="AC295" s="295">
        <f t="shared" si="30"/>
        <v>0.18873428571428572</v>
      </c>
      <c r="AD295" s="341">
        <f>VLOOKUP(D295:D667,'Eje Cafetero'!$A$34:$S$102,19,FALSE)</f>
        <v>3</v>
      </c>
      <c r="AE295" s="353"/>
      <c r="AF295" s="342">
        <f t="shared" si="31"/>
        <v>141971500</v>
      </c>
      <c r="AG295" s="57" t="s">
        <v>27</v>
      </c>
      <c r="AH295" s="58">
        <f t="shared" si="32"/>
        <v>3</v>
      </c>
    </row>
    <row r="296" spans="1:34" ht="16.5" x14ac:dyDescent="0.3">
      <c r="A296" s="134" t="s">
        <v>28</v>
      </c>
      <c r="B296" s="23" t="s">
        <v>920</v>
      </c>
      <c r="C296" s="145" t="s">
        <v>418</v>
      </c>
      <c r="D296" s="112" t="s">
        <v>921</v>
      </c>
      <c r="E296" s="35">
        <v>303021</v>
      </c>
      <c r="F296" s="32" t="s">
        <v>81</v>
      </c>
      <c r="G296" s="37">
        <v>44588</v>
      </c>
      <c r="H296" s="61">
        <v>165620000</v>
      </c>
      <c r="I296" s="49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66">
        <v>6420000</v>
      </c>
      <c r="U296" s="50"/>
      <c r="V296" s="50">
        <v>500000</v>
      </c>
      <c r="W296" s="50">
        <v>17450000</v>
      </c>
      <c r="X296" s="50">
        <v>6750000</v>
      </c>
      <c r="Y296" s="50"/>
      <c r="Z296" s="51"/>
      <c r="AA296" s="15"/>
      <c r="AB296" s="16">
        <f t="shared" si="29"/>
        <v>31120000</v>
      </c>
      <c r="AC296" s="295">
        <f t="shared" si="30"/>
        <v>0.18790001207583626</v>
      </c>
      <c r="AD296" s="341">
        <f>VLOOKUP(D296:D734,Pacífico!$A$32:$S$105,19,FALSE)</f>
        <v>3</v>
      </c>
      <c r="AE296" s="353"/>
      <c r="AF296" s="342">
        <f t="shared" si="31"/>
        <v>134500000</v>
      </c>
      <c r="AG296" s="57" t="s">
        <v>27</v>
      </c>
      <c r="AH296" s="58">
        <f t="shared" si="32"/>
        <v>4</v>
      </c>
    </row>
    <row r="297" spans="1:34" ht="16.5" x14ac:dyDescent="0.3">
      <c r="A297" s="134" t="s">
        <v>49</v>
      </c>
      <c r="B297" s="26" t="s">
        <v>699</v>
      </c>
      <c r="C297" s="145" t="s">
        <v>418</v>
      </c>
      <c r="D297" s="112" t="s">
        <v>700</v>
      </c>
      <c r="E297" s="35">
        <v>302772</v>
      </c>
      <c r="F297" s="33" t="s">
        <v>690</v>
      </c>
      <c r="G297" s="37">
        <v>44544</v>
      </c>
      <c r="H297" s="62">
        <v>200000000</v>
      </c>
      <c r="I297" s="49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66">
        <v>6420000</v>
      </c>
      <c r="U297" s="50"/>
      <c r="V297" s="50">
        <v>7200000</v>
      </c>
      <c r="W297" s="50">
        <v>13225000</v>
      </c>
      <c r="X297" s="50">
        <v>10600000</v>
      </c>
      <c r="Y297" s="50"/>
      <c r="Z297" s="51"/>
      <c r="AA297" s="15"/>
      <c r="AB297" s="16">
        <f t="shared" si="29"/>
        <v>37445000</v>
      </c>
      <c r="AC297" s="295">
        <f t="shared" si="30"/>
        <v>0.187225</v>
      </c>
      <c r="AD297" s="341">
        <f>VLOOKUP(D297:D763,Santanderes!$A$21:$S$54,19,FALSE)</f>
        <v>4</v>
      </c>
      <c r="AE297" s="353"/>
      <c r="AF297" s="342">
        <f t="shared" si="31"/>
        <v>162555000</v>
      </c>
      <c r="AG297" s="57" t="s">
        <v>27</v>
      </c>
      <c r="AH297" s="58">
        <f t="shared" si="32"/>
        <v>4</v>
      </c>
    </row>
    <row r="298" spans="1:34" ht="16.5" x14ac:dyDescent="0.3">
      <c r="A298" s="134" t="s">
        <v>55</v>
      </c>
      <c r="B298" s="23" t="s">
        <v>510</v>
      </c>
      <c r="C298" s="145" t="s">
        <v>418</v>
      </c>
      <c r="D298" s="112" t="s">
        <v>511</v>
      </c>
      <c r="E298" s="35">
        <v>302252</v>
      </c>
      <c r="F298" s="32" t="s">
        <v>71</v>
      </c>
      <c r="G298" s="37">
        <v>44544</v>
      </c>
      <c r="H298" s="61">
        <v>145427000</v>
      </c>
      <c r="I298" s="49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66">
        <v>6420000</v>
      </c>
      <c r="U298" s="50"/>
      <c r="V298" s="50"/>
      <c r="W298" s="50">
        <v>6508500</v>
      </c>
      <c r="X298" s="50">
        <v>14200000</v>
      </c>
      <c r="Y298" s="50"/>
      <c r="Z298" s="51"/>
      <c r="AA298" s="15"/>
      <c r="AB298" s="16">
        <f t="shared" si="29"/>
        <v>27128500</v>
      </c>
      <c r="AC298" s="295">
        <f t="shared" si="30"/>
        <v>0.18654376422535018</v>
      </c>
      <c r="AD298" s="341">
        <f>VLOOKUP(D298:D670,'Eje Cafetero'!$A$34:$S$102,19,FALSE)</f>
        <v>3</v>
      </c>
      <c r="AE298" s="353"/>
      <c r="AF298" s="342">
        <f t="shared" si="31"/>
        <v>118298500</v>
      </c>
      <c r="AG298" s="57" t="s">
        <v>27</v>
      </c>
      <c r="AH298" s="58">
        <f t="shared" si="32"/>
        <v>3</v>
      </c>
    </row>
    <row r="299" spans="1:34" ht="16.5" x14ac:dyDescent="0.3">
      <c r="A299" s="134" t="s">
        <v>55</v>
      </c>
      <c r="B299" s="26" t="s">
        <v>530</v>
      </c>
      <c r="C299" s="145" t="s">
        <v>418</v>
      </c>
      <c r="D299" s="112" t="s">
        <v>531</v>
      </c>
      <c r="E299" s="35">
        <v>302578</v>
      </c>
      <c r="F299" s="33" t="s">
        <v>71</v>
      </c>
      <c r="G299" s="37">
        <v>44544</v>
      </c>
      <c r="H299" s="62">
        <v>199702000</v>
      </c>
      <c r="I299" s="49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66">
        <v>6420000</v>
      </c>
      <c r="U299" s="50"/>
      <c r="V299" s="50">
        <v>10700000</v>
      </c>
      <c r="W299" s="50">
        <v>13217000</v>
      </c>
      <c r="X299" s="50">
        <v>6908500</v>
      </c>
      <c r="Y299" s="50"/>
      <c r="Z299" s="51"/>
      <c r="AA299" s="15"/>
      <c r="AB299" s="16">
        <f t="shared" si="29"/>
        <v>37245500</v>
      </c>
      <c r="AC299" s="295">
        <f t="shared" si="30"/>
        <v>0.18650539303562308</v>
      </c>
      <c r="AD299" s="341">
        <f>VLOOKUP(D299:D671,'Eje Cafetero'!$A$34:$S$102,19,FALSE)</f>
        <v>4</v>
      </c>
      <c r="AE299" s="353"/>
      <c r="AF299" s="342">
        <f t="shared" si="31"/>
        <v>162456500</v>
      </c>
      <c r="AG299" s="57" t="s">
        <v>27</v>
      </c>
      <c r="AH299" s="58">
        <f t="shared" si="32"/>
        <v>4</v>
      </c>
    </row>
    <row r="300" spans="1:34" ht="16.5" x14ac:dyDescent="0.3">
      <c r="A300" s="134" t="s">
        <v>55</v>
      </c>
      <c r="B300" s="26" t="s">
        <v>540</v>
      </c>
      <c r="C300" s="145" t="s">
        <v>418</v>
      </c>
      <c r="D300" s="112" t="s">
        <v>541</v>
      </c>
      <c r="E300" s="35">
        <v>302572</v>
      </c>
      <c r="F300" s="33" t="s">
        <v>71</v>
      </c>
      <c r="G300" s="37">
        <v>44544</v>
      </c>
      <c r="H300" s="62">
        <v>157382000</v>
      </c>
      <c r="I300" s="49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66"/>
      <c r="U300" s="50"/>
      <c r="V300" s="50"/>
      <c r="W300" s="50"/>
      <c r="X300" s="50">
        <v>29337000</v>
      </c>
      <c r="Y300" s="50"/>
      <c r="Z300" s="51"/>
      <c r="AA300" s="15"/>
      <c r="AB300" s="16">
        <f t="shared" si="29"/>
        <v>29337000</v>
      </c>
      <c r="AC300" s="295">
        <f t="shared" si="30"/>
        <v>0.18640632346774091</v>
      </c>
      <c r="AD300" s="341">
        <f>VLOOKUP(D300:D672,'Eje Cafetero'!$A$34:$S$102,19,FALSE)</f>
        <v>2</v>
      </c>
      <c r="AE300" s="353"/>
      <c r="AF300" s="342">
        <f t="shared" si="31"/>
        <v>128045000</v>
      </c>
      <c r="AG300" s="57" t="s">
        <v>27</v>
      </c>
      <c r="AH300" s="58">
        <f t="shared" si="32"/>
        <v>1</v>
      </c>
    </row>
    <row r="301" spans="1:34" ht="16.5" x14ac:dyDescent="0.3">
      <c r="A301" s="134" t="s">
        <v>55</v>
      </c>
      <c r="B301" s="26" t="s">
        <v>516</v>
      </c>
      <c r="C301" s="145" t="s">
        <v>418</v>
      </c>
      <c r="D301" s="112" t="s">
        <v>517</v>
      </c>
      <c r="E301" s="35">
        <v>302569</v>
      </c>
      <c r="F301" s="33" t="s">
        <v>71</v>
      </c>
      <c r="G301" s="37">
        <v>44544</v>
      </c>
      <c r="H301" s="62">
        <v>199952000</v>
      </c>
      <c r="I301" s="49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66"/>
      <c r="U301" s="50"/>
      <c r="V301" s="50">
        <v>6420000</v>
      </c>
      <c r="W301" s="50">
        <v>22417000</v>
      </c>
      <c r="X301" s="50">
        <v>7808500</v>
      </c>
      <c r="Y301" s="50"/>
      <c r="Z301" s="51"/>
      <c r="AA301" s="15"/>
      <c r="AB301" s="16">
        <f t="shared" si="29"/>
        <v>36645500</v>
      </c>
      <c r="AC301" s="295">
        <f t="shared" si="30"/>
        <v>0.18327148515643754</v>
      </c>
      <c r="AD301" s="341">
        <f>VLOOKUP(D301:D673,'Eje Cafetero'!$A$34:$S$102,19,FALSE)</f>
        <v>3</v>
      </c>
      <c r="AE301" s="353"/>
      <c r="AF301" s="342">
        <f t="shared" si="31"/>
        <v>163306500</v>
      </c>
      <c r="AG301" s="57" t="s">
        <v>27</v>
      </c>
      <c r="AH301" s="58">
        <f t="shared" si="32"/>
        <v>3</v>
      </c>
    </row>
    <row r="302" spans="1:34" ht="16.5" x14ac:dyDescent="0.3">
      <c r="A302" s="134" t="s">
        <v>32</v>
      </c>
      <c r="B302" s="26" t="s">
        <v>806</v>
      </c>
      <c r="C302" s="145" t="s">
        <v>418</v>
      </c>
      <c r="D302" s="112" t="s">
        <v>807</v>
      </c>
      <c r="E302" s="35">
        <v>302771</v>
      </c>
      <c r="F302" s="33" t="s">
        <v>35</v>
      </c>
      <c r="G302" s="37">
        <v>44544</v>
      </c>
      <c r="H302" s="62">
        <v>126022000</v>
      </c>
      <c r="I302" s="49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66"/>
      <c r="U302" s="50"/>
      <c r="V302" s="50">
        <v>6420000</v>
      </c>
      <c r="W302" s="50"/>
      <c r="X302" s="50">
        <v>16312500</v>
      </c>
      <c r="Y302" s="50"/>
      <c r="Z302" s="51"/>
      <c r="AA302" s="15"/>
      <c r="AB302" s="16">
        <f t="shared" si="29"/>
        <v>22732500</v>
      </c>
      <c r="AC302" s="295">
        <f t="shared" si="30"/>
        <v>0.18038517084318612</v>
      </c>
      <c r="AD302" s="341">
        <f>VLOOKUP(D300:D488,Amazonía!$A$27:$T$75,20,FALSE)</f>
        <v>3</v>
      </c>
      <c r="AE302" s="353"/>
      <c r="AF302" s="342">
        <f t="shared" si="31"/>
        <v>103289500</v>
      </c>
      <c r="AG302" s="57" t="s">
        <v>27</v>
      </c>
      <c r="AH302" s="58">
        <f t="shared" si="32"/>
        <v>2</v>
      </c>
    </row>
    <row r="303" spans="1:34" ht="16.5" x14ac:dyDescent="0.3">
      <c r="A303" s="134" t="s">
        <v>105</v>
      </c>
      <c r="B303" s="23" t="s">
        <v>735</v>
      </c>
      <c r="C303" s="145" t="s">
        <v>418</v>
      </c>
      <c r="D303" s="112" t="s">
        <v>736</v>
      </c>
      <c r="E303" s="35">
        <v>302902</v>
      </c>
      <c r="F303" s="32" t="s">
        <v>131</v>
      </c>
      <c r="G303" s="37">
        <v>44544</v>
      </c>
      <c r="H303" s="61">
        <v>200000000</v>
      </c>
      <c r="I303" s="49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66">
        <v>6420000</v>
      </c>
      <c r="U303" s="50"/>
      <c r="V303" s="50">
        <v>15784500</v>
      </c>
      <c r="W303" s="50">
        <v>13508500</v>
      </c>
      <c r="X303" s="50"/>
      <c r="Y303" s="50"/>
      <c r="Z303" s="51"/>
      <c r="AA303" s="15"/>
      <c r="AB303" s="16">
        <f t="shared" si="29"/>
        <v>35713000</v>
      </c>
      <c r="AC303" s="295">
        <f t="shared" si="30"/>
        <v>0.178565</v>
      </c>
      <c r="AD303" s="341">
        <f>VLOOKUP(D303:D677,Llanos!$A$28:$S$82,19,FALSE)</f>
        <v>4</v>
      </c>
      <c r="AE303" s="353"/>
      <c r="AF303" s="342">
        <f t="shared" si="31"/>
        <v>164287000</v>
      </c>
      <c r="AG303" s="57" t="s">
        <v>27</v>
      </c>
      <c r="AH303" s="58">
        <f t="shared" si="32"/>
        <v>3</v>
      </c>
    </row>
    <row r="304" spans="1:34" ht="16.5" x14ac:dyDescent="0.3">
      <c r="A304" s="134" t="s">
        <v>16</v>
      </c>
      <c r="B304" s="26" t="s">
        <v>560</v>
      </c>
      <c r="C304" s="145" t="s">
        <v>418</v>
      </c>
      <c r="D304" s="112" t="s">
        <v>561</v>
      </c>
      <c r="E304" s="35">
        <v>302672</v>
      </c>
      <c r="F304" s="33" t="s">
        <v>551</v>
      </c>
      <c r="G304" s="37">
        <v>44544</v>
      </c>
      <c r="H304" s="62">
        <v>189163000</v>
      </c>
      <c r="I304" s="49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66"/>
      <c r="U304" s="50">
        <v>6420000</v>
      </c>
      <c r="V304" s="50">
        <v>27000000</v>
      </c>
      <c r="W304" s="50"/>
      <c r="X304" s="50"/>
      <c r="Y304" s="50"/>
      <c r="Z304" s="51"/>
      <c r="AA304" s="15"/>
      <c r="AB304" s="16">
        <f t="shared" si="29"/>
        <v>33420000</v>
      </c>
      <c r="AC304" s="295">
        <f t="shared" si="30"/>
        <v>0.17667302802345067</v>
      </c>
      <c r="AD304" s="341">
        <f>VLOOKUP(D304:D522,'Caribe I'!$A$25:$Q$83,17,FALSE)</f>
        <v>3</v>
      </c>
      <c r="AE304" s="353"/>
      <c r="AF304" s="342">
        <f t="shared" si="31"/>
        <v>155743000</v>
      </c>
      <c r="AG304" s="57" t="s">
        <v>27</v>
      </c>
      <c r="AH304" s="58">
        <f t="shared" si="32"/>
        <v>2</v>
      </c>
    </row>
    <row r="305" spans="1:34" ht="16.5" x14ac:dyDescent="0.3">
      <c r="A305" s="134" t="s">
        <v>105</v>
      </c>
      <c r="B305" s="26" t="s">
        <v>1296</v>
      </c>
      <c r="C305" s="145" t="s">
        <v>418</v>
      </c>
      <c r="D305" s="112" t="s">
        <v>1297</v>
      </c>
      <c r="E305" s="35">
        <v>303453</v>
      </c>
      <c r="F305" s="33" t="s">
        <v>131</v>
      </c>
      <c r="G305" s="37">
        <v>44588</v>
      </c>
      <c r="H305" s="62">
        <v>200000000</v>
      </c>
      <c r="I305" s="49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66"/>
      <c r="U305" s="50">
        <v>6420000</v>
      </c>
      <c r="V305" s="50">
        <v>7616833</v>
      </c>
      <c r="W305" s="50">
        <v>17862583</v>
      </c>
      <c r="X305" s="50">
        <v>3000000</v>
      </c>
      <c r="Y305" s="50"/>
      <c r="Z305" s="51"/>
      <c r="AA305" s="15"/>
      <c r="AB305" s="16">
        <f t="shared" si="29"/>
        <v>34899416</v>
      </c>
      <c r="AC305" s="295">
        <f t="shared" si="30"/>
        <v>0.17449708</v>
      </c>
      <c r="AD305" s="341">
        <f>VLOOKUP(D305:D679,Llanos!$A$28:$S$82,19,FALSE)</f>
        <v>3</v>
      </c>
      <c r="AE305" s="353"/>
      <c r="AF305" s="342">
        <f t="shared" si="31"/>
        <v>165100584</v>
      </c>
      <c r="AG305" s="57" t="s">
        <v>27</v>
      </c>
      <c r="AH305" s="58">
        <f t="shared" si="32"/>
        <v>4</v>
      </c>
    </row>
    <row r="306" spans="1:34" ht="16.5" x14ac:dyDescent="0.3">
      <c r="A306" s="134" t="s">
        <v>28</v>
      </c>
      <c r="B306" s="23" t="s">
        <v>892</v>
      </c>
      <c r="C306" s="145" t="s">
        <v>418</v>
      </c>
      <c r="D306" s="112" t="s">
        <v>893</v>
      </c>
      <c r="E306" s="35">
        <v>303398</v>
      </c>
      <c r="F306" s="32" t="s">
        <v>81</v>
      </c>
      <c r="G306" s="37">
        <v>44588</v>
      </c>
      <c r="H306" s="61">
        <v>174485000</v>
      </c>
      <c r="I306" s="49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66">
        <v>6420000</v>
      </c>
      <c r="U306" s="50"/>
      <c r="V306" s="50">
        <v>908500</v>
      </c>
      <c r="W306" s="50">
        <v>14608500</v>
      </c>
      <c r="X306" s="50">
        <v>8408500</v>
      </c>
      <c r="Y306" s="50"/>
      <c r="Z306" s="51"/>
      <c r="AA306" s="15"/>
      <c r="AB306" s="16">
        <f t="shared" si="29"/>
        <v>30345500</v>
      </c>
      <c r="AC306" s="295">
        <f t="shared" si="30"/>
        <v>0.17391466315156032</v>
      </c>
      <c r="AD306" s="341">
        <f>VLOOKUP(D306:D744,Pacífico!$A$32:$S$105,19,FALSE)</f>
        <v>3</v>
      </c>
      <c r="AE306" s="353"/>
      <c r="AF306" s="342">
        <f t="shared" si="31"/>
        <v>144139500</v>
      </c>
      <c r="AG306" s="57" t="s">
        <v>27</v>
      </c>
      <c r="AH306" s="58">
        <f t="shared" si="32"/>
        <v>4</v>
      </c>
    </row>
    <row r="307" spans="1:34" ht="16.5" x14ac:dyDescent="0.3">
      <c r="A307" s="134" t="s">
        <v>16</v>
      </c>
      <c r="B307" s="26" t="s">
        <v>556</v>
      </c>
      <c r="C307" s="145" t="s">
        <v>418</v>
      </c>
      <c r="D307" s="112" t="s">
        <v>557</v>
      </c>
      <c r="E307" s="35">
        <v>302809</v>
      </c>
      <c r="F307" s="33" t="s">
        <v>551</v>
      </c>
      <c r="G307" s="37">
        <v>44544</v>
      </c>
      <c r="H307" s="62">
        <v>194563000</v>
      </c>
      <c r="I307" s="49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66"/>
      <c r="U307" s="50">
        <v>6420000</v>
      </c>
      <c r="V307" s="50">
        <v>27000000</v>
      </c>
      <c r="W307" s="50"/>
      <c r="X307" s="50"/>
      <c r="Y307" s="50"/>
      <c r="Z307" s="51"/>
      <c r="AA307" s="15"/>
      <c r="AB307" s="16">
        <f t="shared" si="29"/>
        <v>33420000</v>
      </c>
      <c r="AC307" s="295">
        <f t="shared" si="30"/>
        <v>0.17176955536253039</v>
      </c>
      <c r="AD307" s="341">
        <f>VLOOKUP(D307:D525,'Caribe I'!$A$25:$Q$83,17,FALSE)</f>
        <v>3</v>
      </c>
      <c r="AE307" s="353"/>
      <c r="AF307" s="342">
        <f t="shared" si="31"/>
        <v>161143000</v>
      </c>
      <c r="AG307" s="57" t="s">
        <v>27</v>
      </c>
      <c r="AH307" s="58">
        <f t="shared" si="32"/>
        <v>2</v>
      </c>
    </row>
    <row r="308" spans="1:34" ht="16.5" x14ac:dyDescent="0.3">
      <c r="A308" s="134" t="s">
        <v>105</v>
      </c>
      <c r="B308" s="26" t="s">
        <v>260</v>
      </c>
      <c r="C308" s="145" t="s">
        <v>418</v>
      </c>
      <c r="D308" s="112" t="s">
        <v>801</v>
      </c>
      <c r="E308" s="35">
        <v>303070</v>
      </c>
      <c r="F308" s="33" t="s">
        <v>118</v>
      </c>
      <c r="G308" s="37">
        <v>44544</v>
      </c>
      <c r="H308" s="62">
        <v>200000000</v>
      </c>
      <c r="I308" s="49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66"/>
      <c r="U308" s="50"/>
      <c r="V308" s="50">
        <v>22350250</v>
      </c>
      <c r="W308" s="50">
        <v>7000000</v>
      </c>
      <c r="X308" s="50">
        <v>4640000</v>
      </c>
      <c r="Y308" s="50"/>
      <c r="Z308" s="51"/>
      <c r="AA308" s="15"/>
      <c r="AB308" s="16">
        <f t="shared" si="29"/>
        <v>33990250</v>
      </c>
      <c r="AC308" s="295">
        <f t="shared" si="30"/>
        <v>0.16995125</v>
      </c>
      <c r="AD308" s="341">
        <f>VLOOKUP(D308:D682,Llanos!$A$28:$S$82,19,FALSE)</f>
        <v>4</v>
      </c>
      <c r="AE308" s="353"/>
      <c r="AF308" s="342">
        <f t="shared" si="31"/>
        <v>166009750</v>
      </c>
      <c r="AG308" s="57" t="s">
        <v>27</v>
      </c>
      <c r="AH308" s="58">
        <f t="shared" si="32"/>
        <v>3</v>
      </c>
    </row>
    <row r="309" spans="1:34" ht="16.5" x14ac:dyDescent="0.3">
      <c r="A309" s="134" t="s">
        <v>23</v>
      </c>
      <c r="B309" s="23" t="s">
        <v>664</v>
      </c>
      <c r="C309" s="145" t="s">
        <v>418</v>
      </c>
      <c r="D309" s="112" t="s">
        <v>665</v>
      </c>
      <c r="E309" s="35">
        <v>302471</v>
      </c>
      <c r="F309" s="32" t="s">
        <v>44</v>
      </c>
      <c r="G309" s="37">
        <v>44544</v>
      </c>
      <c r="H309" s="61">
        <v>187118000</v>
      </c>
      <c r="I309" s="49"/>
      <c r="J309" s="50"/>
      <c r="K309" s="50"/>
      <c r="L309" s="50"/>
      <c r="M309" s="50"/>
      <c r="N309" s="50"/>
      <c r="O309" s="50"/>
      <c r="P309" s="50"/>
      <c r="Q309" s="50"/>
      <c r="R309" s="50"/>
      <c r="S309" s="50">
        <v>6420000</v>
      </c>
      <c r="T309" s="66"/>
      <c r="U309" s="50"/>
      <c r="V309" s="50"/>
      <c r="W309" s="50">
        <v>3000000</v>
      </c>
      <c r="X309" s="50">
        <v>22310000</v>
      </c>
      <c r="Y309" s="50"/>
      <c r="Z309" s="51"/>
      <c r="AA309" s="15"/>
      <c r="AB309" s="16">
        <f t="shared" ref="AB309:AB372" si="33">SUM(I309:Z309)</f>
        <v>31730000</v>
      </c>
      <c r="AC309" s="295">
        <f t="shared" ref="AC309:AC372" si="34">AB309/H309</f>
        <v>0.16957214164324116</v>
      </c>
      <c r="AD309" s="341">
        <f>VLOOKUP(D309:D782,Central!$A$29:$R$107,18,FALSE)</f>
        <v>3</v>
      </c>
      <c r="AE309" s="353"/>
      <c r="AF309" s="342">
        <f t="shared" ref="AF309:AF372" si="35">H309-AB309</f>
        <v>155388000</v>
      </c>
      <c r="AG309" s="57" t="s">
        <v>27</v>
      </c>
      <c r="AH309" s="58">
        <f t="shared" ref="AH309:AH372" si="36">COUNT(I309:Z309)</f>
        <v>3</v>
      </c>
    </row>
    <row r="310" spans="1:34" ht="16.5" x14ac:dyDescent="0.3">
      <c r="A310" s="134" t="s">
        <v>32</v>
      </c>
      <c r="B310" s="26" t="s">
        <v>826</v>
      </c>
      <c r="C310" s="145" t="s">
        <v>418</v>
      </c>
      <c r="D310" s="112" t="s">
        <v>827</v>
      </c>
      <c r="E310" s="35">
        <v>302524</v>
      </c>
      <c r="F310" s="33" t="s">
        <v>828</v>
      </c>
      <c r="G310" s="37">
        <v>44544</v>
      </c>
      <c r="H310" s="62">
        <v>200000000</v>
      </c>
      <c r="I310" s="49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66"/>
      <c r="U310" s="50"/>
      <c r="V310" s="50"/>
      <c r="W310" s="50">
        <v>6420000</v>
      </c>
      <c r="X310" s="50">
        <v>27399820</v>
      </c>
      <c r="Y310" s="50"/>
      <c r="Z310" s="51"/>
      <c r="AA310" s="15"/>
      <c r="AB310" s="16">
        <f t="shared" si="33"/>
        <v>33819820</v>
      </c>
      <c r="AC310" s="295">
        <f t="shared" si="34"/>
        <v>0.1690991</v>
      </c>
      <c r="AD310" s="341">
        <f>VLOOKUP(D308:D496,Amazonía!$A$27:$T$75,20,FALSE)</f>
        <v>2</v>
      </c>
      <c r="AE310" s="353"/>
      <c r="AF310" s="342">
        <f t="shared" si="35"/>
        <v>166180180</v>
      </c>
      <c r="AG310" s="57" t="s">
        <v>27</v>
      </c>
      <c r="AH310" s="58">
        <f t="shared" si="36"/>
        <v>2</v>
      </c>
    </row>
    <row r="311" spans="1:34" ht="16.5" x14ac:dyDescent="0.3">
      <c r="A311" s="134" t="s">
        <v>23</v>
      </c>
      <c r="B311" s="26" t="s">
        <v>1156</v>
      </c>
      <c r="C311" s="145" t="s">
        <v>418</v>
      </c>
      <c r="D311" s="112" t="s">
        <v>1157</v>
      </c>
      <c r="E311" s="35">
        <v>304081</v>
      </c>
      <c r="F311" s="33" t="s">
        <v>68</v>
      </c>
      <c r="G311" s="37">
        <v>44588</v>
      </c>
      <c r="H311" s="62">
        <v>152509000</v>
      </c>
      <c r="I311" s="49"/>
      <c r="J311" s="50"/>
      <c r="K311" s="50"/>
      <c r="L311" s="50"/>
      <c r="M311" s="50"/>
      <c r="N311" s="50"/>
      <c r="O311" s="50"/>
      <c r="P311" s="50"/>
      <c r="Q311" s="50"/>
      <c r="R311" s="50"/>
      <c r="S311" s="50">
        <v>6420000</v>
      </c>
      <c r="T311" s="66"/>
      <c r="U311" s="50"/>
      <c r="V311" s="50"/>
      <c r="W311" s="50"/>
      <c r="X311" s="50">
        <v>19272000</v>
      </c>
      <c r="Y311" s="50"/>
      <c r="Z311" s="51"/>
      <c r="AA311" s="15"/>
      <c r="AB311" s="16">
        <f t="shared" si="33"/>
        <v>25692000</v>
      </c>
      <c r="AC311" s="295">
        <f t="shared" si="34"/>
        <v>0.16846218911670788</v>
      </c>
      <c r="AD311" s="341">
        <f>VLOOKUP(D311:D784,Central!$A$29:$R$107,18,FALSE)</f>
        <v>1</v>
      </c>
      <c r="AE311" s="353"/>
      <c r="AF311" s="342">
        <f t="shared" si="35"/>
        <v>126817000</v>
      </c>
      <c r="AG311" s="57" t="s">
        <v>27</v>
      </c>
      <c r="AH311" s="58">
        <f t="shared" si="36"/>
        <v>2</v>
      </c>
    </row>
    <row r="312" spans="1:34" ht="16.5" x14ac:dyDescent="0.3">
      <c r="A312" s="134" t="s">
        <v>55</v>
      </c>
      <c r="B312" s="26" t="s">
        <v>56</v>
      </c>
      <c r="C312" s="145" t="s">
        <v>418</v>
      </c>
      <c r="D312" s="112" t="s">
        <v>990</v>
      </c>
      <c r="E312" s="35">
        <v>303348</v>
      </c>
      <c r="F312" s="33" t="s">
        <v>58</v>
      </c>
      <c r="G312" s="37">
        <v>44588</v>
      </c>
      <c r="H312" s="62">
        <v>160000000</v>
      </c>
      <c r="I312" s="49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66"/>
      <c r="U312" s="50"/>
      <c r="V312" s="50"/>
      <c r="W312" s="50">
        <v>6420000</v>
      </c>
      <c r="X312" s="50">
        <v>20336000</v>
      </c>
      <c r="Y312" s="50"/>
      <c r="Z312" s="51"/>
      <c r="AA312" s="15"/>
      <c r="AB312" s="16">
        <f t="shared" si="33"/>
        <v>26756000</v>
      </c>
      <c r="AC312" s="295">
        <f t="shared" si="34"/>
        <v>0.16722500000000001</v>
      </c>
      <c r="AD312" s="341">
        <f>VLOOKUP(D312:D684,'Eje Cafetero'!$A$34:$S$102,19,FALSE)</f>
        <v>2</v>
      </c>
      <c r="AE312" s="353"/>
      <c r="AF312" s="342">
        <f t="shared" si="35"/>
        <v>133244000</v>
      </c>
      <c r="AG312" s="57" t="s">
        <v>27</v>
      </c>
      <c r="AH312" s="58">
        <f t="shared" si="36"/>
        <v>2</v>
      </c>
    </row>
    <row r="313" spans="1:34" ht="16.5" x14ac:dyDescent="0.3">
      <c r="A313" s="134" t="s">
        <v>28</v>
      </c>
      <c r="B313" s="26" t="s">
        <v>900</v>
      </c>
      <c r="C313" s="145" t="s">
        <v>418</v>
      </c>
      <c r="D313" s="112" t="s">
        <v>901</v>
      </c>
      <c r="E313" s="35">
        <v>303435</v>
      </c>
      <c r="F313" s="33" t="s">
        <v>81</v>
      </c>
      <c r="G313" s="37">
        <v>44588</v>
      </c>
      <c r="H313" s="62">
        <v>199862000</v>
      </c>
      <c r="I313" s="49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66">
        <v>6420000</v>
      </c>
      <c r="U313" s="50"/>
      <c r="V313" s="50"/>
      <c r="W313" s="50">
        <v>1817000</v>
      </c>
      <c r="X313" s="50">
        <v>25108500</v>
      </c>
      <c r="Y313" s="50"/>
      <c r="Z313" s="51"/>
      <c r="AA313" s="15"/>
      <c r="AB313" s="16">
        <f t="shared" si="33"/>
        <v>33345500</v>
      </c>
      <c r="AC313" s="295">
        <f t="shared" si="34"/>
        <v>0.16684262140877204</v>
      </c>
      <c r="AD313" s="341">
        <f>VLOOKUP(D313:D751,Pacífico!$A$32:$S$105,19,FALSE)</f>
        <v>3</v>
      </c>
      <c r="AE313" s="353"/>
      <c r="AF313" s="342">
        <f t="shared" si="35"/>
        <v>166516500</v>
      </c>
      <c r="AG313" s="57" t="s">
        <v>27</v>
      </c>
      <c r="AH313" s="58">
        <f t="shared" si="36"/>
        <v>3</v>
      </c>
    </row>
    <row r="314" spans="1:34" ht="16.5" x14ac:dyDescent="0.3">
      <c r="A314" s="134" t="s">
        <v>23</v>
      </c>
      <c r="B314" s="23" t="s">
        <v>1238</v>
      </c>
      <c r="C314" s="145" t="s">
        <v>418</v>
      </c>
      <c r="D314" s="112" t="s">
        <v>1239</v>
      </c>
      <c r="E314" s="35">
        <v>303803</v>
      </c>
      <c r="F314" s="32" t="s">
        <v>191</v>
      </c>
      <c r="G314" s="37">
        <v>44588</v>
      </c>
      <c r="H314" s="61">
        <v>78251000</v>
      </c>
      <c r="I314" s="49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66"/>
      <c r="U314" s="50"/>
      <c r="V314" s="50"/>
      <c r="W314" s="50">
        <v>6420000</v>
      </c>
      <c r="X314" s="50">
        <v>6500000</v>
      </c>
      <c r="Y314" s="50"/>
      <c r="Z314" s="51"/>
      <c r="AA314" s="15"/>
      <c r="AB314" s="16">
        <f t="shared" si="33"/>
        <v>12920000</v>
      </c>
      <c r="AC314" s="295">
        <f t="shared" si="34"/>
        <v>0.16510971105800565</v>
      </c>
      <c r="AD314" s="341">
        <f>VLOOKUP(D314:D787,Central!$A$29:$R$107,18,FALSE)</f>
        <v>2</v>
      </c>
      <c r="AE314" s="353"/>
      <c r="AF314" s="342">
        <f t="shared" si="35"/>
        <v>65331000</v>
      </c>
      <c r="AG314" s="57" t="s">
        <v>27</v>
      </c>
      <c r="AH314" s="58">
        <f t="shared" si="36"/>
        <v>2</v>
      </c>
    </row>
    <row r="315" spans="1:34" ht="16.5" x14ac:dyDescent="0.3">
      <c r="A315" s="134" t="s">
        <v>49</v>
      </c>
      <c r="B315" s="26" t="s">
        <v>721</v>
      </c>
      <c r="C315" s="145" t="s">
        <v>418</v>
      </c>
      <c r="D315" s="112" t="s">
        <v>722</v>
      </c>
      <c r="E315" s="35">
        <v>303232</v>
      </c>
      <c r="F315" s="33" t="s">
        <v>125</v>
      </c>
      <c r="G315" s="37">
        <v>44544</v>
      </c>
      <c r="H315" s="62">
        <v>200000000</v>
      </c>
      <c r="I315" s="49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66">
        <v>6420000</v>
      </c>
      <c r="U315" s="50">
        <v>10700000</v>
      </c>
      <c r="V315" s="50">
        <v>10100000</v>
      </c>
      <c r="W315" s="50">
        <v>5200000</v>
      </c>
      <c r="X315" s="50">
        <v>500000</v>
      </c>
      <c r="Y315" s="50"/>
      <c r="Z315" s="51"/>
      <c r="AA315" s="15"/>
      <c r="AB315" s="16">
        <f t="shared" si="33"/>
        <v>32920000</v>
      </c>
      <c r="AC315" s="295">
        <f t="shared" si="34"/>
        <v>0.1646</v>
      </c>
      <c r="AD315" s="341">
        <f>VLOOKUP(D315:D781,Santanderes!$A$21:$S$54,19,FALSE)</f>
        <v>4</v>
      </c>
      <c r="AE315" s="353"/>
      <c r="AF315" s="342">
        <f t="shared" si="35"/>
        <v>167080000</v>
      </c>
      <c r="AG315" s="57" t="s">
        <v>27</v>
      </c>
      <c r="AH315" s="58">
        <f t="shared" si="36"/>
        <v>5</v>
      </c>
    </row>
    <row r="316" spans="1:34" ht="16.5" x14ac:dyDescent="0.3">
      <c r="A316" s="134" t="s">
        <v>105</v>
      </c>
      <c r="B316" s="26" t="s">
        <v>1322</v>
      </c>
      <c r="C316" s="145" t="s">
        <v>418</v>
      </c>
      <c r="D316" s="112" t="s">
        <v>1323</v>
      </c>
      <c r="E316" s="35">
        <v>303841</v>
      </c>
      <c r="F316" s="33" t="s">
        <v>118</v>
      </c>
      <c r="G316" s="37">
        <v>44588</v>
      </c>
      <c r="H316" s="62">
        <v>200000000</v>
      </c>
      <c r="I316" s="49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66"/>
      <c r="U316" s="50"/>
      <c r="V316" s="50">
        <v>6420000</v>
      </c>
      <c r="W316" s="50">
        <v>14417000</v>
      </c>
      <c r="X316" s="50">
        <v>11760000</v>
      </c>
      <c r="Y316" s="50"/>
      <c r="Z316" s="51"/>
      <c r="AA316" s="15"/>
      <c r="AB316" s="16">
        <f t="shared" si="33"/>
        <v>32597000</v>
      </c>
      <c r="AC316" s="295">
        <f t="shared" si="34"/>
        <v>0.16298499999999999</v>
      </c>
      <c r="AD316" s="341">
        <f>VLOOKUP(D316:D690,Llanos!$A$28:$S$82,19,FALSE)</f>
        <v>3</v>
      </c>
      <c r="AE316" s="353"/>
      <c r="AF316" s="342">
        <f t="shared" si="35"/>
        <v>167403000</v>
      </c>
      <c r="AG316" s="57" t="s">
        <v>27</v>
      </c>
      <c r="AH316" s="58">
        <f t="shared" si="36"/>
        <v>3</v>
      </c>
    </row>
    <row r="317" spans="1:34" ht="16.5" x14ac:dyDescent="0.3">
      <c r="A317" s="134" t="s">
        <v>16</v>
      </c>
      <c r="B317" s="23" t="s">
        <v>577</v>
      </c>
      <c r="C317" s="145" t="s">
        <v>418</v>
      </c>
      <c r="D317" s="112" t="s">
        <v>578</v>
      </c>
      <c r="E317" s="35">
        <v>302951</v>
      </c>
      <c r="F317" s="32" t="s">
        <v>551</v>
      </c>
      <c r="G317" s="37">
        <v>44544</v>
      </c>
      <c r="H317" s="61">
        <v>200000000</v>
      </c>
      <c r="I317" s="49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66"/>
      <c r="U317" s="50">
        <v>908000</v>
      </c>
      <c r="V317" s="50">
        <v>7328000</v>
      </c>
      <c r="W317" s="50">
        <v>22160000</v>
      </c>
      <c r="X317" s="50">
        <v>2126087.71</v>
      </c>
      <c r="Y317" s="50"/>
      <c r="Z317" s="51"/>
      <c r="AA317" s="15"/>
      <c r="AB317" s="16">
        <f t="shared" si="33"/>
        <v>32522087.710000001</v>
      </c>
      <c r="AC317" s="295">
        <f t="shared" si="34"/>
        <v>0.16261043855000001</v>
      </c>
      <c r="AD317" s="341">
        <f>VLOOKUP(D317:D535,'Caribe I'!$A$25:$Q$83,17,FALSE)</f>
        <v>3</v>
      </c>
      <c r="AE317" s="353"/>
      <c r="AF317" s="342">
        <f t="shared" si="35"/>
        <v>167477912.28999999</v>
      </c>
      <c r="AG317" s="57" t="s">
        <v>27</v>
      </c>
      <c r="AH317" s="58">
        <f t="shared" si="36"/>
        <v>4</v>
      </c>
    </row>
    <row r="318" spans="1:34" ht="16.5" x14ac:dyDescent="0.3">
      <c r="A318" s="134" t="s">
        <v>16</v>
      </c>
      <c r="B318" s="26" t="s">
        <v>558</v>
      </c>
      <c r="C318" s="145" t="s">
        <v>418</v>
      </c>
      <c r="D318" s="112" t="s">
        <v>559</v>
      </c>
      <c r="E318" s="35">
        <v>302822</v>
      </c>
      <c r="F318" s="33" t="s">
        <v>551</v>
      </c>
      <c r="G318" s="37">
        <v>44544</v>
      </c>
      <c r="H318" s="62">
        <v>154192000</v>
      </c>
      <c r="I318" s="49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66"/>
      <c r="U318" s="50"/>
      <c r="V318" s="50">
        <v>6420000</v>
      </c>
      <c r="W318" s="50">
        <v>18559960</v>
      </c>
      <c r="X318" s="50"/>
      <c r="Y318" s="50"/>
      <c r="Z318" s="51"/>
      <c r="AA318" s="15"/>
      <c r="AB318" s="16">
        <f t="shared" si="33"/>
        <v>24979960</v>
      </c>
      <c r="AC318" s="295">
        <f t="shared" si="34"/>
        <v>0.16200555152018262</v>
      </c>
      <c r="AD318" s="341">
        <f>VLOOKUP(D318:D536,'Caribe I'!$A$25:$Q$83,17,FALSE)</f>
        <v>3</v>
      </c>
      <c r="AE318" s="353"/>
      <c r="AF318" s="342">
        <f t="shared" si="35"/>
        <v>129212040</v>
      </c>
      <c r="AG318" s="57" t="s">
        <v>27</v>
      </c>
      <c r="AH318" s="58">
        <f t="shared" si="36"/>
        <v>2</v>
      </c>
    </row>
    <row r="319" spans="1:34" ht="16.5" x14ac:dyDescent="0.3">
      <c r="A319" s="134" t="s">
        <v>105</v>
      </c>
      <c r="B319" s="26" t="s">
        <v>1298</v>
      </c>
      <c r="C319" s="145" t="s">
        <v>418</v>
      </c>
      <c r="D319" s="112" t="s">
        <v>1299</v>
      </c>
      <c r="E319" s="35">
        <v>303505</v>
      </c>
      <c r="F319" s="33" t="s">
        <v>131</v>
      </c>
      <c r="G319" s="37">
        <v>44588</v>
      </c>
      <c r="H319" s="62">
        <v>195000000</v>
      </c>
      <c r="I319" s="49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66"/>
      <c r="U319" s="50"/>
      <c r="V319" s="50">
        <v>6874250</v>
      </c>
      <c r="W319" s="50">
        <v>454250</v>
      </c>
      <c r="X319" s="50">
        <v>23333500</v>
      </c>
      <c r="Y319" s="50"/>
      <c r="Z319" s="51"/>
      <c r="AA319" s="15"/>
      <c r="AB319" s="16">
        <f t="shared" si="33"/>
        <v>30662000</v>
      </c>
      <c r="AC319" s="295">
        <f t="shared" si="34"/>
        <v>0.15724102564102563</v>
      </c>
      <c r="AD319" s="341">
        <f>VLOOKUP(D319:D693,Llanos!$A$28:$S$82,19,FALSE)</f>
        <v>3</v>
      </c>
      <c r="AE319" s="353"/>
      <c r="AF319" s="342">
        <f t="shared" si="35"/>
        <v>164338000</v>
      </c>
      <c r="AG319" s="57" t="s">
        <v>27</v>
      </c>
      <c r="AH319" s="58">
        <f t="shared" si="36"/>
        <v>3</v>
      </c>
    </row>
    <row r="320" spans="1:34" ht="16.5" x14ac:dyDescent="0.3">
      <c r="A320" s="134" t="s">
        <v>55</v>
      </c>
      <c r="B320" s="26" t="s">
        <v>1006</v>
      </c>
      <c r="C320" s="145" t="s">
        <v>418</v>
      </c>
      <c r="D320" s="112" t="s">
        <v>1007</v>
      </c>
      <c r="E320" s="35">
        <v>303011</v>
      </c>
      <c r="F320" s="33" t="s">
        <v>457</v>
      </c>
      <c r="G320" s="37">
        <v>44588</v>
      </c>
      <c r="H320" s="62">
        <v>154996000</v>
      </c>
      <c r="I320" s="49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66"/>
      <c r="U320" s="50"/>
      <c r="V320" s="50"/>
      <c r="W320" s="50">
        <v>6420000</v>
      </c>
      <c r="X320" s="50">
        <v>17825000</v>
      </c>
      <c r="Y320" s="50"/>
      <c r="Z320" s="51"/>
      <c r="AA320" s="15"/>
      <c r="AB320" s="16">
        <f t="shared" si="33"/>
        <v>24245000</v>
      </c>
      <c r="AC320" s="295">
        <f t="shared" si="34"/>
        <v>0.1564233915713954</v>
      </c>
      <c r="AD320" s="341">
        <f>VLOOKUP(D320:D692,'Eje Cafetero'!$A$34:$S$102,19,FALSE)</f>
        <v>2</v>
      </c>
      <c r="AE320" s="353"/>
      <c r="AF320" s="342">
        <f t="shared" si="35"/>
        <v>130751000</v>
      </c>
      <c r="AG320" s="57" t="s">
        <v>27</v>
      </c>
      <c r="AH320" s="58">
        <f t="shared" si="36"/>
        <v>2</v>
      </c>
    </row>
    <row r="321" spans="1:34" ht="16.5" x14ac:dyDescent="0.3">
      <c r="A321" s="134" t="s">
        <v>105</v>
      </c>
      <c r="B321" s="26" t="s">
        <v>765</v>
      </c>
      <c r="C321" s="145" t="s">
        <v>418</v>
      </c>
      <c r="D321" s="112" t="s">
        <v>766</v>
      </c>
      <c r="E321" s="35">
        <v>302608</v>
      </c>
      <c r="F321" s="33" t="s">
        <v>108</v>
      </c>
      <c r="G321" s="37">
        <v>44544</v>
      </c>
      <c r="H321" s="62">
        <v>200000000</v>
      </c>
      <c r="I321" s="49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66">
        <v>6420000</v>
      </c>
      <c r="U321" s="50"/>
      <c r="V321" s="50"/>
      <c r="W321" s="50">
        <v>24154250</v>
      </c>
      <c r="X321" s="50">
        <v>454250</v>
      </c>
      <c r="Y321" s="50"/>
      <c r="Z321" s="51"/>
      <c r="AA321" s="15"/>
      <c r="AB321" s="16">
        <f t="shared" si="33"/>
        <v>31028500</v>
      </c>
      <c r="AC321" s="295">
        <f t="shared" si="34"/>
        <v>0.15514249999999999</v>
      </c>
      <c r="AD321" s="341">
        <f>VLOOKUP(D321:D695,Llanos!$A$28:$S$82,19,FALSE)</f>
        <v>4</v>
      </c>
      <c r="AE321" s="353"/>
      <c r="AF321" s="342">
        <f t="shared" si="35"/>
        <v>168971500</v>
      </c>
      <c r="AG321" s="57" t="s">
        <v>27</v>
      </c>
      <c r="AH321" s="58">
        <f t="shared" si="36"/>
        <v>3</v>
      </c>
    </row>
    <row r="322" spans="1:34" ht="16.5" x14ac:dyDescent="0.3">
      <c r="A322" s="134" t="s">
        <v>32</v>
      </c>
      <c r="B322" s="26" t="s">
        <v>860</v>
      </c>
      <c r="C322" s="145" t="s">
        <v>418</v>
      </c>
      <c r="D322" s="112" t="s">
        <v>861</v>
      </c>
      <c r="E322" s="35">
        <v>302705</v>
      </c>
      <c r="F322" s="33" t="s">
        <v>859</v>
      </c>
      <c r="G322" s="37">
        <v>44544</v>
      </c>
      <c r="H322" s="62">
        <v>176413000</v>
      </c>
      <c r="I322" s="49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66"/>
      <c r="U322" s="50"/>
      <c r="V322" s="50">
        <v>6420000</v>
      </c>
      <c r="W322" s="50">
        <v>17300000</v>
      </c>
      <c r="X322" s="50">
        <v>3634000</v>
      </c>
      <c r="Y322" s="50"/>
      <c r="Z322" s="51"/>
      <c r="AA322" s="15"/>
      <c r="AB322" s="16">
        <f t="shared" si="33"/>
        <v>27354000</v>
      </c>
      <c r="AC322" s="295">
        <f t="shared" si="34"/>
        <v>0.15505660013717809</v>
      </c>
      <c r="AD322" s="341">
        <f>VLOOKUP(D320:D508,Amazonía!$A$27:$T$75,20,FALSE)</f>
        <v>3</v>
      </c>
      <c r="AE322" s="353"/>
      <c r="AF322" s="342">
        <f t="shared" si="35"/>
        <v>149059000</v>
      </c>
      <c r="AG322" s="57" t="s">
        <v>27</v>
      </c>
      <c r="AH322" s="58">
        <f t="shared" si="36"/>
        <v>3</v>
      </c>
    </row>
    <row r="323" spans="1:34" ht="16.5" x14ac:dyDescent="0.3">
      <c r="A323" s="134" t="s">
        <v>23</v>
      </c>
      <c r="B323" s="26" t="s">
        <v>1176</v>
      </c>
      <c r="C323" s="145" t="s">
        <v>418</v>
      </c>
      <c r="D323" s="112" t="s">
        <v>1177</v>
      </c>
      <c r="E323" s="35">
        <v>303818</v>
      </c>
      <c r="F323" s="33" t="s">
        <v>44</v>
      </c>
      <c r="G323" s="37">
        <v>44588</v>
      </c>
      <c r="H323" s="62">
        <v>198121000</v>
      </c>
      <c r="I323" s="49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66"/>
      <c r="U323" s="50">
        <v>6420000</v>
      </c>
      <c r="V323" s="50"/>
      <c r="W323" s="50"/>
      <c r="X323" s="50">
        <v>23950250</v>
      </c>
      <c r="Y323" s="50"/>
      <c r="Z323" s="51"/>
      <c r="AA323" s="15"/>
      <c r="AB323" s="16">
        <f t="shared" si="33"/>
        <v>30370250</v>
      </c>
      <c r="AC323" s="295">
        <f t="shared" si="34"/>
        <v>0.1532914229183176</v>
      </c>
      <c r="AD323" s="341">
        <f>VLOOKUP(D323:D796,Central!$A$29:$R$107,18,FALSE)</f>
        <v>1</v>
      </c>
      <c r="AE323" s="353"/>
      <c r="AF323" s="342">
        <f t="shared" si="35"/>
        <v>167750750</v>
      </c>
      <c r="AG323" s="57" t="s">
        <v>27</v>
      </c>
      <c r="AH323" s="58">
        <f t="shared" si="36"/>
        <v>2</v>
      </c>
    </row>
    <row r="324" spans="1:34" ht="16.5" x14ac:dyDescent="0.3">
      <c r="A324" s="134" t="s">
        <v>105</v>
      </c>
      <c r="B324" s="23" t="s">
        <v>1302</v>
      </c>
      <c r="C324" s="145" t="s">
        <v>418</v>
      </c>
      <c r="D324" s="112" t="s">
        <v>1303</v>
      </c>
      <c r="E324" s="35">
        <v>302811</v>
      </c>
      <c r="F324" s="32" t="s">
        <v>118</v>
      </c>
      <c r="G324" s="37">
        <v>44588</v>
      </c>
      <c r="H324" s="61">
        <v>200000000</v>
      </c>
      <c r="I324" s="49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66"/>
      <c r="U324" s="50"/>
      <c r="V324" s="50">
        <v>25910250</v>
      </c>
      <c r="W324" s="50"/>
      <c r="X324" s="50">
        <v>4640000</v>
      </c>
      <c r="Y324" s="50"/>
      <c r="Z324" s="51"/>
      <c r="AA324" s="15"/>
      <c r="AB324" s="16">
        <f t="shared" si="33"/>
        <v>30550250</v>
      </c>
      <c r="AC324" s="295">
        <f t="shared" si="34"/>
        <v>0.15275125000000001</v>
      </c>
      <c r="AD324" s="341">
        <f>VLOOKUP(D324:D698,Llanos!$A$28:$S$82,19,FALSE)</f>
        <v>4</v>
      </c>
      <c r="AE324" s="353"/>
      <c r="AF324" s="342">
        <f t="shared" si="35"/>
        <v>169449750</v>
      </c>
      <c r="AG324" s="57" t="s">
        <v>27</v>
      </c>
      <c r="AH324" s="58">
        <f t="shared" si="36"/>
        <v>2</v>
      </c>
    </row>
    <row r="325" spans="1:34" ht="16.5" x14ac:dyDescent="0.3">
      <c r="A325" s="134" t="s">
        <v>55</v>
      </c>
      <c r="B325" s="26" t="s">
        <v>480</v>
      </c>
      <c r="C325" s="145" t="s">
        <v>418</v>
      </c>
      <c r="D325" s="112" t="s">
        <v>481</v>
      </c>
      <c r="E325" s="35">
        <v>303239</v>
      </c>
      <c r="F325" s="33" t="s">
        <v>128</v>
      </c>
      <c r="G325" s="37">
        <v>44544</v>
      </c>
      <c r="H325" s="62">
        <v>200000000</v>
      </c>
      <c r="I325" s="49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66"/>
      <c r="U325" s="50">
        <v>6420000</v>
      </c>
      <c r="V325" s="50"/>
      <c r="W325" s="50">
        <v>5500000</v>
      </c>
      <c r="X325" s="50">
        <v>18016666</v>
      </c>
      <c r="Y325" s="50"/>
      <c r="Z325" s="51"/>
      <c r="AA325" s="15"/>
      <c r="AB325" s="16">
        <f t="shared" si="33"/>
        <v>29936666</v>
      </c>
      <c r="AC325" s="295">
        <f t="shared" si="34"/>
        <v>0.14968333</v>
      </c>
      <c r="AD325" s="341">
        <f>VLOOKUP(D325:D697,'Eje Cafetero'!$A$34:$S$102,19,FALSE)</f>
        <v>2</v>
      </c>
      <c r="AE325" s="353"/>
      <c r="AF325" s="342">
        <f t="shared" si="35"/>
        <v>170063334</v>
      </c>
      <c r="AG325" s="57" t="s">
        <v>27</v>
      </c>
      <c r="AH325" s="58">
        <f t="shared" si="36"/>
        <v>3</v>
      </c>
    </row>
    <row r="326" spans="1:34" ht="16.5" x14ac:dyDescent="0.3">
      <c r="A326" s="134" t="s">
        <v>55</v>
      </c>
      <c r="B326" s="23" t="s">
        <v>518</v>
      </c>
      <c r="C326" s="145" t="s">
        <v>418</v>
      </c>
      <c r="D326" s="112" t="s">
        <v>519</v>
      </c>
      <c r="E326" s="35">
        <v>302576</v>
      </c>
      <c r="F326" s="32" t="s">
        <v>71</v>
      </c>
      <c r="G326" s="37">
        <v>44544</v>
      </c>
      <c r="H326" s="61">
        <v>194862000</v>
      </c>
      <c r="I326" s="49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66"/>
      <c r="U326" s="50">
        <v>6420000</v>
      </c>
      <c r="V326" s="50"/>
      <c r="W326" s="50"/>
      <c r="X326" s="50">
        <v>22208500</v>
      </c>
      <c r="Y326" s="50"/>
      <c r="Z326" s="51"/>
      <c r="AA326" s="15"/>
      <c r="AB326" s="16">
        <f t="shared" si="33"/>
        <v>28628500</v>
      </c>
      <c r="AC326" s="295">
        <f t="shared" si="34"/>
        <v>0.14691679239667046</v>
      </c>
      <c r="AD326" s="341">
        <f>VLOOKUP(D326:D698,'Eje Cafetero'!$A$34:$S$102,19,FALSE)</f>
        <v>3</v>
      </c>
      <c r="AE326" s="353"/>
      <c r="AF326" s="342">
        <f t="shared" si="35"/>
        <v>166233500</v>
      </c>
      <c r="AG326" s="57" t="s">
        <v>27</v>
      </c>
      <c r="AH326" s="58">
        <f t="shared" si="36"/>
        <v>2</v>
      </c>
    </row>
    <row r="327" spans="1:34" ht="16.5" x14ac:dyDescent="0.3">
      <c r="A327" s="134" t="s">
        <v>32</v>
      </c>
      <c r="B327" s="26" t="s">
        <v>839</v>
      </c>
      <c r="C327" s="145" t="s">
        <v>418</v>
      </c>
      <c r="D327" s="112" t="s">
        <v>840</v>
      </c>
      <c r="E327" s="35">
        <v>302666</v>
      </c>
      <c r="F327" s="33" t="s">
        <v>828</v>
      </c>
      <c r="G327" s="37">
        <v>44544</v>
      </c>
      <c r="H327" s="62">
        <v>199960000</v>
      </c>
      <c r="I327" s="49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66">
        <v>6420000</v>
      </c>
      <c r="U327" s="50"/>
      <c r="V327" s="50">
        <v>10700000</v>
      </c>
      <c r="W327" s="50">
        <v>5000000</v>
      </c>
      <c r="X327" s="50">
        <v>7000000</v>
      </c>
      <c r="Y327" s="50"/>
      <c r="Z327" s="51"/>
      <c r="AA327" s="15"/>
      <c r="AB327" s="16">
        <f t="shared" si="33"/>
        <v>29120000</v>
      </c>
      <c r="AC327" s="295">
        <f t="shared" si="34"/>
        <v>0.14562912582516505</v>
      </c>
      <c r="AD327" s="341">
        <f>VLOOKUP(D325:D513,Amazonía!$A$27:$T$75,20,FALSE)</f>
        <v>4</v>
      </c>
      <c r="AE327" s="353"/>
      <c r="AF327" s="342">
        <f t="shared" si="35"/>
        <v>170840000</v>
      </c>
      <c r="AG327" s="57" t="s">
        <v>27</v>
      </c>
      <c r="AH327" s="58">
        <f t="shared" si="36"/>
        <v>4</v>
      </c>
    </row>
    <row r="328" spans="1:34" ht="16.5" x14ac:dyDescent="0.3">
      <c r="A328" s="134" t="s">
        <v>28</v>
      </c>
      <c r="B328" s="26" t="s">
        <v>894</v>
      </c>
      <c r="C328" s="145" t="s">
        <v>418</v>
      </c>
      <c r="D328" s="112" t="s">
        <v>895</v>
      </c>
      <c r="E328" s="35">
        <v>303245</v>
      </c>
      <c r="F328" s="33" t="s">
        <v>81</v>
      </c>
      <c r="G328" s="37">
        <v>44588</v>
      </c>
      <c r="H328" s="62">
        <v>199682000</v>
      </c>
      <c r="I328" s="49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66"/>
      <c r="U328" s="50">
        <v>6420000</v>
      </c>
      <c r="V328" s="50"/>
      <c r="W328" s="50">
        <v>16608500</v>
      </c>
      <c r="X328" s="50">
        <v>5908500</v>
      </c>
      <c r="Y328" s="50"/>
      <c r="Z328" s="51"/>
      <c r="AA328" s="15"/>
      <c r="AB328" s="16">
        <f t="shared" si="33"/>
        <v>28937000</v>
      </c>
      <c r="AC328" s="295">
        <f t="shared" si="34"/>
        <v>0.14491541551066195</v>
      </c>
      <c r="AD328" s="341">
        <f>VLOOKUP(D328:D766,Pacífico!$A$32:$S$105,19,FALSE)</f>
        <v>3</v>
      </c>
      <c r="AE328" s="353"/>
      <c r="AF328" s="342">
        <f t="shared" si="35"/>
        <v>170745000</v>
      </c>
      <c r="AG328" s="57" t="s">
        <v>27</v>
      </c>
      <c r="AH328" s="58">
        <f t="shared" si="36"/>
        <v>3</v>
      </c>
    </row>
    <row r="329" spans="1:34" ht="16.5" x14ac:dyDescent="0.3">
      <c r="A329" s="134" t="s">
        <v>32</v>
      </c>
      <c r="B329" s="26" t="s">
        <v>1326</v>
      </c>
      <c r="C329" s="145" t="s">
        <v>418</v>
      </c>
      <c r="D329" s="112" t="s">
        <v>1327</v>
      </c>
      <c r="E329" s="35">
        <v>303369</v>
      </c>
      <c r="F329" s="33" t="s">
        <v>828</v>
      </c>
      <c r="G329" s="37">
        <v>44588</v>
      </c>
      <c r="H329" s="62">
        <v>199840000</v>
      </c>
      <c r="I329" s="49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66">
        <v>6420000</v>
      </c>
      <c r="U329" s="50"/>
      <c r="V329" s="50">
        <v>10700000</v>
      </c>
      <c r="W329" s="50">
        <v>4900000</v>
      </c>
      <c r="X329" s="50">
        <v>6800000</v>
      </c>
      <c r="Y329" s="50"/>
      <c r="Z329" s="51"/>
      <c r="AA329" s="15"/>
      <c r="AB329" s="16">
        <f t="shared" si="33"/>
        <v>28820000</v>
      </c>
      <c r="AC329" s="295">
        <f t="shared" si="34"/>
        <v>0.14421537229783826</v>
      </c>
      <c r="AD329" s="341">
        <f>VLOOKUP(D327:D515,Amazonía!$A$27:$T$75,20,FALSE)</f>
        <v>4</v>
      </c>
      <c r="AE329" s="353"/>
      <c r="AF329" s="342">
        <f t="shared" si="35"/>
        <v>171020000</v>
      </c>
      <c r="AG329" s="57" t="s">
        <v>27</v>
      </c>
      <c r="AH329" s="58">
        <f t="shared" si="36"/>
        <v>4</v>
      </c>
    </row>
    <row r="330" spans="1:34" ht="16.5" x14ac:dyDescent="0.3">
      <c r="A330" s="134" t="s">
        <v>49</v>
      </c>
      <c r="B330" s="26" t="s">
        <v>709</v>
      </c>
      <c r="C330" s="145" t="s">
        <v>418</v>
      </c>
      <c r="D330" s="112" t="s">
        <v>710</v>
      </c>
      <c r="E330" s="35">
        <v>303231</v>
      </c>
      <c r="F330" s="33" t="s">
        <v>125</v>
      </c>
      <c r="G330" s="37">
        <v>44544</v>
      </c>
      <c r="H330" s="62">
        <v>150000000</v>
      </c>
      <c r="I330" s="49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66"/>
      <c r="U330" s="50"/>
      <c r="V330" s="50">
        <v>11820000</v>
      </c>
      <c r="W330" s="50">
        <v>6400000</v>
      </c>
      <c r="X330" s="50">
        <v>3200000</v>
      </c>
      <c r="Y330" s="50"/>
      <c r="Z330" s="51"/>
      <c r="AA330" s="15"/>
      <c r="AB330" s="16">
        <f t="shared" si="33"/>
        <v>21420000</v>
      </c>
      <c r="AC330" s="295">
        <f t="shared" si="34"/>
        <v>0.14280000000000001</v>
      </c>
      <c r="AD330" s="341">
        <f>VLOOKUP(D330:D796,Santanderes!$A$21:$S$54,19,FALSE)</f>
        <v>4</v>
      </c>
      <c r="AE330" s="353"/>
      <c r="AF330" s="342">
        <f t="shared" si="35"/>
        <v>128580000</v>
      </c>
      <c r="AG330" s="57" t="s">
        <v>27</v>
      </c>
      <c r="AH330" s="58">
        <f t="shared" si="36"/>
        <v>3</v>
      </c>
    </row>
    <row r="331" spans="1:34" ht="16.5" x14ac:dyDescent="0.3">
      <c r="A331" s="134" t="s">
        <v>105</v>
      </c>
      <c r="B331" s="26" t="s">
        <v>769</v>
      </c>
      <c r="C331" s="145" t="s">
        <v>418</v>
      </c>
      <c r="D331" s="112" t="s">
        <v>770</v>
      </c>
      <c r="E331" s="35">
        <v>302636</v>
      </c>
      <c r="F331" s="33" t="s">
        <v>108</v>
      </c>
      <c r="G331" s="37">
        <v>44544</v>
      </c>
      <c r="H331" s="62">
        <v>150000000</v>
      </c>
      <c r="I331" s="49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66"/>
      <c r="U331" s="50">
        <v>6420000</v>
      </c>
      <c r="V331" s="50"/>
      <c r="W331" s="50">
        <v>14608500</v>
      </c>
      <c r="X331" s="50"/>
      <c r="Y331" s="50"/>
      <c r="Z331" s="51"/>
      <c r="AA331" s="15"/>
      <c r="AB331" s="16">
        <f t="shared" si="33"/>
        <v>21028500</v>
      </c>
      <c r="AC331" s="295">
        <f t="shared" si="34"/>
        <v>0.14019000000000001</v>
      </c>
      <c r="AD331" s="341">
        <f>VLOOKUP(D331:D705,Llanos!$A$28:$S$82,19,FALSE)</f>
        <v>3</v>
      </c>
      <c r="AE331" s="353"/>
      <c r="AF331" s="342">
        <f t="shared" si="35"/>
        <v>128971500</v>
      </c>
      <c r="AG331" s="57" t="s">
        <v>27</v>
      </c>
      <c r="AH331" s="58">
        <f t="shared" si="36"/>
        <v>2</v>
      </c>
    </row>
    <row r="332" spans="1:34" ht="16.5" x14ac:dyDescent="0.3">
      <c r="A332" s="134" t="s">
        <v>105</v>
      </c>
      <c r="B332" s="23" t="s">
        <v>763</v>
      </c>
      <c r="C332" s="145" t="s">
        <v>418</v>
      </c>
      <c r="D332" s="112" t="s">
        <v>764</v>
      </c>
      <c r="E332" s="35">
        <v>303004</v>
      </c>
      <c r="F332" s="32" t="s">
        <v>108</v>
      </c>
      <c r="G332" s="37">
        <v>44544</v>
      </c>
      <c r="H332" s="61">
        <v>175000000</v>
      </c>
      <c r="I332" s="49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66"/>
      <c r="U332" s="50">
        <v>6420000</v>
      </c>
      <c r="V332" s="50">
        <v>10629250</v>
      </c>
      <c r="W332" s="50">
        <v>3908500</v>
      </c>
      <c r="X332" s="50">
        <v>3500000</v>
      </c>
      <c r="Y332" s="50"/>
      <c r="Z332" s="51"/>
      <c r="AA332" s="15"/>
      <c r="AB332" s="16">
        <f t="shared" si="33"/>
        <v>24457750</v>
      </c>
      <c r="AC332" s="295">
        <f t="shared" si="34"/>
        <v>0.13975857142857143</v>
      </c>
      <c r="AD332" s="341">
        <f>VLOOKUP(D332:D706,Llanos!$A$28:$S$82,19,FALSE)</f>
        <v>3</v>
      </c>
      <c r="AE332" s="353"/>
      <c r="AF332" s="342">
        <f t="shared" si="35"/>
        <v>150542250</v>
      </c>
      <c r="AG332" s="57" t="s">
        <v>27</v>
      </c>
      <c r="AH332" s="58">
        <f t="shared" si="36"/>
        <v>4</v>
      </c>
    </row>
    <row r="333" spans="1:34" ht="16.5" x14ac:dyDescent="0.3">
      <c r="A333" s="134" t="s">
        <v>105</v>
      </c>
      <c r="B333" s="26" t="s">
        <v>1290</v>
      </c>
      <c r="C333" s="145" t="s">
        <v>418</v>
      </c>
      <c r="D333" s="112" t="s">
        <v>1291</v>
      </c>
      <c r="E333" s="35">
        <v>303363</v>
      </c>
      <c r="F333" s="33" t="s">
        <v>108</v>
      </c>
      <c r="G333" s="37">
        <v>44588</v>
      </c>
      <c r="H333" s="62">
        <v>200000000</v>
      </c>
      <c r="I333" s="49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66">
        <v>6420000</v>
      </c>
      <c r="U333" s="50"/>
      <c r="V333" s="50"/>
      <c r="W333" s="50">
        <v>10000000</v>
      </c>
      <c r="X333" s="50">
        <v>11290000</v>
      </c>
      <c r="Y333" s="50"/>
      <c r="Z333" s="51"/>
      <c r="AA333" s="15"/>
      <c r="AB333" s="16">
        <f t="shared" si="33"/>
        <v>27710000</v>
      </c>
      <c r="AC333" s="295">
        <f t="shared" si="34"/>
        <v>0.13855000000000001</v>
      </c>
      <c r="AD333" s="341">
        <f>VLOOKUP(D333:D707,Llanos!$A$28:$S$82,19,FALSE)</f>
        <v>3</v>
      </c>
      <c r="AE333" s="353"/>
      <c r="AF333" s="342">
        <f t="shared" si="35"/>
        <v>172290000</v>
      </c>
      <c r="AG333" s="57" t="s">
        <v>27</v>
      </c>
      <c r="AH333" s="58">
        <f t="shared" si="36"/>
        <v>3</v>
      </c>
    </row>
    <row r="334" spans="1:34" ht="16.5" x14ac:dyDescent="0.3">
      <c r="A334" s="134" t="s">
        <v>28</v>
      </c>
      <c r="B334" s="23" t="s">
        <v>904</v>
      </c>
      <c r="C334" s="145" t="s">
        <v>418</v>
      </c>
      <c r="D334" s="112" t="s">
        <v>905</v>
      </c>
      <c r="E334" s="35">
        <v>303362</v>
      </c>
      <c r="F334" s="32" t="s">
        <v>31</v>
      </c>
      <c r="G334" s="37">
        <v>44588</v>
      </c>
      <c r="H334" s="61">
        <v>167900000</v>
      </c>
      <c r="I334" s="49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66"/>
      <c r="U334" s="50"/>
      <c r="V334" s="50">
        <v>6420000</v>
      </c>
      <c r="W334" s="50"/>
      <c r="X334" s="50">
        <v>16700000</v>
      </c>
      <c r="Y334" s="50"/>
      <c r="Z334" s="51"/>
      <c r="AA334" s="15"/>
      <c r="AB334" s="16">
        <f t="shared" si="33"/>
        <v>23120000</v>
      </c>
      <c r="AC334" s="295">
        <f t="shared" si="34"/>
        <v>0.1377010125074449</v>
      </c>
      <c r="AD334" s="341">
        <f>VLOOKUP(D334:D772,Pacífico!$A$32:$S$105,19,FALSE)</f>
        <v>3</v>
      </c>
      <c r="AE334" s="353"/>
      <c r="AF334" s="342">
        <f t="shared" si="35"/>
        <v>144780000</v>
      </c>
      <c r="AG334" s="57" t="s">
        <v>27</v>
      </c>
      <c r="AH334" s="58">
        <f t="shared" si="36"/>
        <v>2</v>
      </c>
    </row>
    <row r="335" spans="1:34" ht="16.5" x14ac:dyDescent="0.3">
      <c r="A335" s="134" t="s">
        <v>105</v>
      </c>
      <c r="B335" s="23" t="s">
        <v>777</v>
      </c>
      <c r="C335" s="145" t="s">
        <v>418</v>
      </c>
      <c r="D335" s="112" t="s">
        <v>778</v>
      </c>
      <c r="E335" s="35">
        <v>303017</v>
      </c>
      <c r="F335" s="32" t="s">
        <v>108</v>
      </c>
      <c r="G335" s="37">
        <v>44544</v>
      </c>
      <c r="H335" s="61">
        <v>180000000</v>
      </c>
      <c r="I335" s="49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66">
        <v>6420000</v>
      </c>
      <c r="U335" s="50"/>
      <c r="V335" s="50">
        <v>18346500</v>
      </c>
      <c r="W335" s="50"/>
      <c r="X335" s="50"/>
      <c r="Y335" s="50"/>
      <c r="Z335" s="51"/>
      <c r="AA335" s="15"/>
      <c r="AB335" s="16">
        <f t="shared" si="33"/>
        <v>24766500</v>
      </c>
      <c r="AC335" s="295">
        <f t="shared" si="34"/>
        <v>0.13759166666666667</v>
      </c>
      <c r="AD335" s="341">
        <f>VLOOKUP(D335:D709,Llanos!$A$28:$S$82,19,FALSE)</f>
        <v>4</v>
      </c>
      <c r="AE335" s="353"/>
      <c r="AF335" s="342">
        <f t="shared" si="35"/>
        <v>155233500</v>
      </c>
      <c r="AG335" s="57" t="s">
        <v>27</v>
      </c>
      <c r="AH335" s="58">
        <f t="shared" si="36"/>
        <v>2</v>
      </c>
    </row>
    <row r="336" spans="1:34" ht="16.5" x14ac:dyDescent="0.3">
      <c r="A336" s="134" t="s">
        <v>55</v>
      </c>
      <c r="B336" s="26" t="s">
        <v>1010</v>
      </c>
      <c r="C336" s="145" t="s">
        <v>418</v>
      </c>
      <c r="D336" s="112" t="s">
        <v>1011</v>
      </c>
      <c r="E336" s="35">
        <v>303289</v>
      </c>
      <c r="F336" s="33" t="s">
        <v>71</v>
      </c>
      <c r="G336" s="37">
        <v>44588</v>
      </c>
      <c r="H336" s="62">
        <v>199902000</v>
      </c>
      <c r="I336" s="49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66"/>
      <c r="U336" s="50"/>
      <c r="V336" s="50">
        <v>6420000</v>
      </c>
      <c r="W336" s="50"/>
      <c r="X336" s="50">
        <v>20517000</v>
      </c>
      <c r="Y336" s="50"/>
      <c r="Z336" s="51"/>
      <c r="AA336" s="15"/>
      <c r="AB336" s="16">
        <f t="shared" si="33"/>
        <v>26937000</v>
      </c>
      <c r="AC336" s="295">
        <f t="shared" si="34"/>
        <v>0.13475102800372182</v>
      </c>
      <c r="AD336" s="341">
        <f>VLOOKUP(D336:D708,'Eje Cafetero'!$A$34:$S$102,19,FALSE)</f>
        <v>4</v>
      </c>
      <c r="AE336" s="353"/>
      <c r="AF336" s="342">
        <f t="shared" si="35"/>
        <v>172965000</v>
      </c>
      <c r="AG336" s="57" t="s">
        <v>27</v>
      </c>
      <c r="AH336" s="58">
        <f t="shared" si="36"/>
        <v>2</v>
      </c>
    </row>
    <row r="337" spans="1:34" ht="16.5" x14ac:dyDescent="0.3">
      <c r="A337" s="134" t="s">
        <v>28</v>
      </c>
      <c r="B337" s="26" t="s">
        <v>424</v>
      </c>
      <c r="C337" s="145" t="s">
        <v>418</v>
      </c>
      <c r="D337" s="112" t="s">
        <v>425</v>
      </c>
      <c r="E337" s="35">
        <v>302792</v>
      </c>
      <c r="F337" s="33" t="s">
        <v>31</v>
      </c>
      <c r="G337" s="37">
        <v>44544</v>
      </c>
      <c r="H337" s="62">
        <v>160000000</v>
      </c>
      <c r="I337" s="49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66"/>
      <c r="U337" s="50"/>
      <c r="V337" s="50">
        <v>6420000</v>
      </c>
      <c r="W337" s="50">
        <v>15000000</v>
      </c>
      <c r="X337" s="50"/>
      <c r="Y337" s="50"/>
      <c r="Z337" s="51"/>
      <c r="AA337" s="15"/>
      <c r="AB337" s="16">
        <f t="shared" si="33"/>
        <v>21420000</v>
      </c>
      <c r="AC337" s="295">
        <f t="shared" si="34"/>
        <v>0.13387499999999999</v>
      </c>
      <c r="AD337" s="341">
        <f>VLOOKUP(D337:D775,Pacífico!$A$32:$S$105,19,FALSE)</f>
        <v>3</v>
      </c>
      <c r="AE337" s="353"/>
      <c r="AF337" s="342">
        <f t="shared" si="35"/>
        <v>138580000</v>
      </c>
      <c r="AG337" s="57" t="s">
        <v>27</v>
      </c>
      <c r="AH337" s="58">
        <f t="shared" si="36"/>
        <v>2</v>
      </c>
    </row>
    <row r="338" spans="1:34" ht="16.5" x14ac:dyDescent="0.3">
      <c r="A338" s="134" t="s">
        <v>55</v>
      </c>
      <c r="B338" s="26" t="s">
        <v>514</v>
      </c>
      <c r="C338" s="145" t="s">
        <v>418</v>
      </c>
      <c r="D338" s="112" t="s">
        <v>515</v>
      </c>
      <c r="E338" s="35">
        <v>302962</v>
      </c>
      <c r="F338" s="33" t="s">
        <v>71</v>
      </c>
      <c r="G338" s="37">
        <v>44544</v>
      </c>
      <c r="H338" s="62">
        <v>198902000</v>
      </c>
      <c r="I338" s="49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66"/>
      <c r="U338" s="50">
        <v>6420000</v>
      </c>
      <c r="V338" s="50"/>
      <c r="W338" s="50"/>
      <c r="X338" s="50">
        <v>20000000</v>
      </c>
      <c r="Y338" s="50"/>
      <c r="Z338" s="51"/>
      <c r="AA338" s="15"/>
      <c r="AB338" s="16">
        <f t="shared" si="33"/>
        <v>26420000</v>
      </c>
      <c r="AC338" s="295">
        <f t="shared" si="34"/>
        <v>0.13282923248635006</v>
      </c>
      <c r="AD338" s="341">
        <f>VLOOKUP(D338:D710,'Eje Cafetero'!$A$34:$S$102,19,FALSE)</f>
        <v>4</v>
      </c>
      <c r="AE338" s="353"/>
      <c r="AF338" s="342">
        <f t="shared" si="35"/>
        <v>172482000</v>
      </c>
      <c r="AG338" s="57" t="s">
        <v>27</v>
      </c>
      <c r="AH338" s="58">
        <f t="shared" si="36"/>
        <v>2</v>
      </c>
    </row>
    <row r="339" spans="1:34" ht="16.5" x14ac:dyDescent="0.3">
      <c r="A339" s="134" t="s">
        <v>105</v>
      </c>
      <c r="B339" s="26" t="s">
        <v>1312</v>
      </c>
      <c r="C339" s="145" t="s">
        <v>418</v>
      </c>
      <c r="D339" s="112" t="s">
        <v>1313</v>
      </c>
      <c r="E339" s="35">
        <v>303657</v>
      </c>
      <c r="F339" s="33" t="s">
        <v>118</v>
      </c>
      <c r="G339" s="37">
        <v>44588</v>
      </c>
      <c r="H339" s="62">
        <v>200000000</v>
      </c>
      <c r="I339" s="49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66"/>
      <c r="U339" s="50"/>
      <c r="V339" s="50">
        <v>6420000</v>
      </c>
      <c r="W339" s="50">
        <v>3500000</v>
      </c>
      <c r="X339" s="50">
        <v>16608500</v>
      </c>
      <c r="Y339" s="50"/>
      <c r="Z339" s="51"/>
      <c r="AA339" s="15"/>
      <c r="AB339" s="16">
        <f t="shared" si="33"/>
        <v>26528500</v>
      </c>
      <c r="AC339" s="295">
        <f t="shared" si="34"/>
        <v>0.1326425</v>
      </c>
      <c r="AD339" s="341">
        <f>VLOOKUP(D339:D713,Llanos!$A$28:$S$82,19,FALSE)</f>
        <v>2</v>
      </c>
      <c r="AE339" s="353"/>
      <c r="AF339" s="342">
        <f t="shared" si="35"/>
        <v>173471500</v>
      </c>
      <c r="AG339" s="57" t="s">
        <v>27</v>
      </c>
      <c r="AH339" s="58">
        <f t="shared" si="36"/>
        <v>3</v>
      </c>
    </row>
    <row r="340" spans="1:34" ht="16.5" x14ac:dyDescent="0.3">
      <c r="A340" s="134" t="s">
        <v>23</v>
      </c>
      <c r="B340" s="26" t="s">
        <v>680</v>
      </c>
      <c r="C340" s="145" t="s">
        <v>418</v>
      </c>
      <c r="D340" s="112" t="s">
        <v>681</v>
      </c>
      <c r="E340" s="35">
        <v>303229</v>
      </c>
      <c r="F340" s="33" t="s">
        <v>68</v>
      </c>
      <c r="G340" s="37">
        <v>44544</v>
      </c>
      <c r="H340" s="62">
        <v>154994920</v>
      </c>
      <c r="I340" s="49"/>
      <c r="J340" s="50"/>
      <c r="K340" s="50"/>
      <c r="L340" s="50"/>
      <c r="M340" s="50"/>
      <c r="N340" s="50"/>
      <c r="O340" s="50"/>
      <c r="P340" s="50"/>
      <c r="Q340" s="50"/>
      <c r="R340" s="50"/>
      <c r="S340" s="50">
        <v>6420000</v>
      </c>
      <c r="T340" s="66"/>
      <c r="U340" s="50"/>
      <c r="V340" s="50"/>
      <c r="W340" s="50">
        <v>14030049.879999999</v>
      </c>
      <c r="X340" s="50"/>
      <c r="Y340" s="50"/>
      <c r="Z340" s="51"/>
      <c r="AA340" s="15"/>
      <c r="AB340" s="16">
        <f t="shared" si="33"/>
        <v>20450049.879999999</v>
      </c>
      <c r="AC340" s="295">
        <f t="shared" si="34"/>
        <v>0.13194012990877377</v>
      </c>
      <c r="AD340" s="341">
        <f>VLOOKUP(D340:D813,Central!$A$29:$R$107,18,FALSE)</f>
        <v>2</v>
      </c>
      <c r="AE340" s="353"/>
      <c r="AF340" s="342">
        <f t="shared" si="35"/>
        <v>134544870.12</v>
      </c>
      <c r="AG340" s="57" t="s">
        <v>27</v>
      </c>
      <c r="AH340" s="58">
        <f t="shared" si="36"/>
        <v>2</v>
      </c>
    </row>
    <row r="341" spans="1:34" ht="16.5" x14ac:dyDescent="0.3">
      <c r="A341" s="134" t="s">
        <v>55</v>
      </c>
      <c r="B341" s="26" t="s">
        <v>984</v>
      </c>
      <c r="C341" s="145" t="s">
        <v>418</v>
      </c>
      <c r="D341" s="112" t="s">
        <v>985</v>
      </c>
      <c r="E341" s="35">
        <v>303014</v>
      </c>
      <c r="F341" s="33" t="s">
        <v>457</v>
      </c>
      <c r="G341" s="37">
        <v>44588</v>
      </c>
      <c r="H341" s="62">
        <v>180000000</v>
      </c>
      <c r="I341" s="49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66"/>
      <c r="U341" s="50"/>
      <c r="V341" s="50"/>
      <c r="W341" s="50">
        <v>6420000</v>
      </c>
      <c r="X341" s="50">
        <v>17300000</v>
      </c>
      <c r="Y341" s="50"/>
      <c r="Z341" s="51"/>
      <c r="AA341" s="15"/>
      <c r="AB341" s="16">
        <f t="shared" si="33"/>
        <v>23720000</v>
      </c>
      <c r="AC341" s="295">
        <f t="shared" si="34"/>
        <v>0.13177777777777777</v>
      </c>
      <c r="AD341" s="341">
        <f>VLOOKUP(D341:D713,'Eje Cafetero'!$A$34:$S$102,19,FALSE)</f>
        <v>2</v>
      </c>
      <c r="AE341" s="353"/>
      <c r="AF341" s="342">
        <f t="shared" si="35"/>
        <v>156280000</v>
      </c>
      <c r="AG341" s="57" t="s">
        <v>27</v>
      </c>
      <c r="AH341" s="58">
        <f t="shared" si="36"/>
        <v>2</v>
      </c>
    </row>
    <row r="342" spans="1:34" ht="16.5" x14ac:dyDescent="0.3">
      <c r="A342" s="134" t="s">
        <v>55</v>
      </c>
      <c r="B342" s="26" t="s">
        <v>492</v>
      </c>
      <c r="C342" s="145" t="s">
        <v>418</v>
      </c>
      <c r="D342" s="112" t="s">
        <v>493</v>
      </c>
      <c r="E342" s="35">
        <v>302843</v>
      </c>
      <c r="F342" s="33" t="s">
        <v>128</v>
      </c>
      <c r="G342" s="37">
        <v>44544</v>
      </c>
      <c r="H342" s="62">
        <v>185000000</v>
      </c>
      <c r="I342" s="49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66"/>
      <c r="U342" s="50"/>
      <c r="V342" s="50"/>
      <c r="W342" s="50">
        <v>3877833</v>
      </c>
      <c r="X342" s="50">
        <v>20120000</v>
      </c>
      <c r="Y342" s="50"/>
      <c r="Z342" s="51"/>
      <c r="AA342" s="15"/>
      <c r="AB342" s="16">
        <f t="shared" si="33"/>
        <v>23997833</v>
      </c>
      <c r="AC342" s="295">
        <f t="shared" si="34"/>
        <v>0.1297180162162162</v>
      </c>
      <c r="AD342" s="341">
        <f>VLOOKUP(D342:D714,'Eje Cafetero'!$A$34:$S$102,19,FALSE)</f>
        <v>2</v>
      </c>
      <c r="AE342" s="353"/>
      <c r="AF342" s="342">
        <f t="shared" si="35"/>
        <v>161002167</v>
      </c>
      <c r="AG342" s="57" t="s">
        <v>27</v>
      </c>
      <c r="AH342" s="58">
        <f t="shared" si="36"/>
        <v>2</v>
      </c>
    </row>
    <row r="343" spans="1:34" ht="16.5" x14ac:dyDescent="0.3">
      <c r="A343" s="134" t="s">
        <v>23</v>
      </c>
      <c r="B343" s="26" t="s">
        <v>668</v>
      </c>
      <c r="C343" s="145" t="s">
        <v>418</v>
      </c>
      <c r="D343" s="112" t="s">
        <v>669</v>
      </c>
      <c r="E343" s="35">
        <v>302459</v>
      </c>
      <c r="F343" s="33" t="s">
        <v>44</v>
      </c>
      <c r="G343" s="37">
        <v>44544</v>
      </c>
      <c r="H343" s="62">
        <v>159365000</v>
      </c>
      <c r="I343" s="49"/>
      <c r="J343" s="50"/>
      <c r="K343" s="50"/>
      <c r="L343" s="50"/>
      <c r="M343" s="50"/>
      <c r="N343" s="50"/>
      <c r="O343" s="50"/>
      <c r="P343" s="50"/>
      <c r="Q343" s="50"/>
      <c r="R343" s="50"/>
      <c r="S343" s="50">
        <v>6420000</v>
      </c>
      <c r="T343" s="66"/>
      <c r="U343" s="50"/>
      <c r="V343" s="50"/>
      <c r="W343" s="50"/>
      <c r="X343" s="50">
        <v>14154250</v>
      </c>
      <c r="Y343" s="50"/>
      <c r="Z343" s="51"/>
      <c r="AA343" s="15"/>
      <c r="AB343" s="16">
        <f t="shared" si="33"/>
        <v>20574250</v>
      </c>
      <c r="AC343" s="295">
        <f t="shared" si="34"/>
        <v>0.12910143381545508</v>
      </c>
      <c r="AD343" s="341">
        <f>VLOOKUP(D343:D816,Central!$A$29:$R$107,18,FALSE)</f>
        <v>3</v>
      </c>
      <c r="AE343" s="353"/>
      <c r="AF343" s="342">
        <f t="shared" si="35"/>
        <v>138790750</v>
      </c>
      <c r="AG343" s="57" t="s">
        <v>27</v>
      </c>
      <c r="AH343" s="58">
        <f t="shared" si="36"/>
        <v>2</v>
      </c>
    </row>
    <row r="344" spans="1:34" ht="16.5" x14ac:dyDescent="0.3">
      <c r="A344" s="134" t="s">
        <v>23</v>
      </c>
      <c r="B344" s="23" t="s">
        <v>1262</v>
      </c>
      <c r="C344" s="145" t="s">
        <v>418</v>
      </c>
      <c r="D344" s="112" t="s">
        <v>1263</v>
      </c>
      <c r="E344" s="35">
        <v>303884</v>
      </c>
      <c r="F344" s="32" t="s">
        <v>44</v>
      </c>
      <c r="G344" s="37">
        <v>44588</v>
      </c>
      <c r="H344" s="61">
        <v>156508000</v>
      </c>
      <c r="I344" s="49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66"/>
      <c r="U344" s="50">
        <v>6420000</v>
      </c>
      <c r="V344" s="50"/>
      <c r="W344" s="50"/>
      <c r="X344" s="50">
        <v>13700000</v>
      </c>
      <c r="Y344" s="50"/>
      <c r="Z344" s="51"/>
      <c r="AA344" s="15"/>
      <c r="AB344" s="16">
        <f t="shared" si="33"/>
        <v>20120000</v>
      </c>
      <c r="AC344" s="295">
        <f t="shared" si="34"/>
        <v>0.12855572878063742</v>
      </c>
      <c r="AD344" s="341">
        <f>VLOOKUP(D344:D817,Central!$A$29:$R$107,18,FALSE)</f>
        <v>1</v>
      </c>
      <c r="AE344" s="353"/>
      <c r="AF344" s="342">
        <f t="shared" si="35"/>
        <v>136388000</v>
      </c>
      <c r="AG344" s="57" t="s">
        <v>27</v>
      </c>
      <c r="AH344" s="58">
        <f t="shared" si="36"/>
        <v>2</v>
      </c>
    </row>
    <row r="345" spans="1:34" ht="16.5" x14ac:dyDescent="0.3">
      <c r="A345" s="134" t="s">
        <v>55</v>
      </c>
      <c r="B345" s="23" t="s">
        <v>998</v>
      </c>
      <c r="C345" s="145" t="s">
        <v>418</v>
      </c>
      <c r="D345" s="112" t="s">
        <v>999</v>
      </c>
      <c r="E345" s="35">
        <v>303298</v>
      </c>
      <c r="F345" s="32" t="s">
        <v>128</v>
      </c>
      <c r="G345" s="37">
        <v>44588</v>
      </c>
      <c r="H345" s="61">
        <v>180000000</v>
      </c>
      <c r="I345" s="49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66"/>
      <c r="U345" s="50"/>
      <c r="V345" s="50">
        <v>6420000</v>
      </c>
      <c r="W345" s="50"/>
      <c r="X345" s="50">
        <v>16700000</v>
      </c>
      <c r="Y345" s="50"/>
      <c r="Z345" s="51"/>
      <c r="AA345" s="15"/>
      <c r="AB345" s="16">
        <f t="shared" si="33"/>
        <v>23120000</v>
      </c>
      <c r="AC345" s="295">
        <f t="shared" si="34"/>
        <v>0.12844444444444444</v>
      </c>
      <c r="AD345" s="341">
        <f>VLOOKUP(D345:D717,'Eje Cafetero'!$A$34:$S$102,19,FALSE)</f>
        <v>2</v>
      </c>
      <c r="AE345" s="353"/>
      <c r="AF345" s="342">
        <f t="shared" si="35"/>
        <v>156880000</v>
      </c>
      <c r="AG345" s="57" t="s">
        <v>27</v>
      </c>
      <c r="AH345" s="58">
        <f t="shared" si="36"/>
        <v>2</v>
      </c>
    </row>
    <row r="346" spans="1:34" ht="16.5" x14ac:dyDescent="0.3">
      <c r="A346" s="134" t="s">
        <v>23</v>
      </c>
      <c r="B346" s="26" t="s">
        <v>1188</v>
      </c>
      <c r="C346" s="145" t="s">
        <v>418</v>
      </c>
      <c r="D346" s="112" t="s">
        <v>1189</v>
      </c>
      <c r="E346" s="35">
        <v>303795</v>
      </c>
      <c r="F346" s="33" t="s">
        <v>68</v>
      </c>
      <c r="G346" s="37">
        <v>44588</v>
      </c>
      <c r="H346" s="62">
        <v>149998000</v>
      </c>
      <c r="I346" s="49"/>
      <c r="J346" s="50"/>
      <c r="K346" s="50"/>
      <c r="L346" s="50"/>
      <c r="M346" s="50"/>
      <c r="N346" s="50"/>
      <c r="O346" s="50"/>
      <c r="P346" s="50"/>
      <c r="Q346" s="50"/>
      <c r="R346" s="50"/>
      <c r="S346" s="50">
        <v>6420000</v>
      </c>
      <c r="T346" s="66"/>
      <c r="U346" s="50"/>
      <c r="V346" s="50"/>
      <c r="W346" s="50">
        <v>12780999.82</v>
      </c>
      <c r="X346" s="50"/>
      <c r="Y346" s="50"/>
      <c r="Z346" s="51"/>
      <c r="AA346" s="15"/>
      <c r="AB346" s="16">
        <f t="shared" si="33"/>
        <v>19200999.82</v>
      </c>
      <c r="AC346" s="295">
        <f t="shared" si="34"/>
        <v>0.12800837224496328</v>
      </c>
      <c r="AD346" s="341">
        <f>VLOOKUP(D346:D819,Central!$A$29:$R$107,18,FALSE)</f>
        <v>3</v>
      </c>
      <c r="AE346" s="353"/>
      <c r="AF346" s="342">
        <f t="shared" si="35"/>
        <v>130797000.18000001</v>
      </c>
      <c r="AG346" s="57" t="s">
        <v>27</v>
      </c>
      <c r="AH346" s="58">
        <f t="shared" si="36"/>
        <v>2</v>
      </c>
    </row>
    <row r="347" spans="1:34" ht="16.5" x14ac:dyDescent="0.3">
      <c r="A347" s="134" t="s">
        <v>105</v>
      </c>
      <c r="B347" s="23" t="s">
        <v>1316</v>
      </c>
      <c r="C347" s="145" t="s">
        <v>418</v>
      </c>
      <c r="D347" s="112" t="s">
        <v>1317</v>
      </c>
      <c r="E347" s="35">
        <v>303653</v>
      </c>
      <c r="F347" s="32" t="s">
        <v>118</v>
      </c>
      <c r="G347" s="37">
        <v>44588</v>
      </c>
      <c r="H347" s="61">
        <v>200000000</v>
      </c>
      <c r="I347" s="49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66">
        <v>6420000</v>
      </c>
      <c r="U347" s="50"/>
      <c r="V347" s="50"/>
      <c r="W347" s="50">
        <v>8362750</v>
      </c>
      <c r="X347" s="50">
        <v>10700000</v>
      </c>
      <c r="Y347" s="50"/>
      <c r="Z347" s="51"/>
      <c r="AA347" s="15"/>
      <c r="AB347" s="16">
        <f t="shared" si="33"/>
        <v>25482750</v>
      </c>
      <c r="AC347" s="295">
        <f t="shared" si="34"/>
        <v>0.12741374999999999</v>
      </c>
      <c r="AD347" s="341">
        <f>VLOOKUP(D347:D721,Llanos!$A$28:$S$82,19,FALSE)</f>
        <v>3</v>
      </c>
      <c r="AE347" s="353"/>
      <c r="AF347" s="342">
        <f t="shared" si="35"/>
        <v>174517250</v>
      </c>
      <c r="AG347" s="57" t="s">
        <v>27</v>
      </c>
      <c r="AH347" s="58">
        <f t="shared" si="36"/>
        <v>3</v>
      </c>
    </row>
    <row r="348" spans="1:34" ht="16.5" x14ac:dyDescent="0.3">
      <c r="A348" s="134" t="s">
        <v>28</v>
      </c>
      <c r="B348" s="26" t="s">
        <v>942</v>
      </c>
      <c r="C348" s="145" t="s">
        <v>418</v>
      </c>
      <c r="D348" s="112" t="s">
        <v>943</v>
      </c>
      <c r="E348" s="35">
        <v>303665</v>
      </c>
      <c r="F348" s="33" t="s">
        <v>81</v>
      </c>
      <c r="G348" s="37">
        <v>44588</v>
      </c>
      <c r="H348" s="62">
        <v>149277000</v>
      </c>
      <c r="I348" s="49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66"/>
      <c r="U348" s="50"/>
      <c r="V348" s="50"/>
      <c r="W348" s="50">
        <v>8237000</v>
      </c>
      <c r="X348" s="50">
        <v>10425000</v>
      </c>
      <c r="Y348" s="50"/>
      <c r="Z348" s="51"/>
      <c r="AA348" s="15"/>
      <c r="AB348" s="16">
        <f t="shared" si="33"/>
        <v>18662000</v>
      </c>
      <c r="AC348" s="295">
        <f t="shared" si="34"/>
        <v>0.12501591001962795</v>
      </c>
      <c r="AD348" s="341">
        <f>VLOOKUP(D348:D786,Pacífico!$A$32:$S$105,19,FALSE)</f>
        <v>3</v>
      </c>
      <c r="AE348" s="353"/>
      <c r="AF348" s="342">
        <f t="shared" si="35"/>
        <v>130615000</v>
      </c>
      <c r="AG348" s="57" t="s">
        <v>27</v>
      </c>
      <c r="AH348" s="58">
        <f t="shared" si="36"/>
        <v>2</v>
      </c>
    </row>
    <row r="349" spans="1:34" ht="16.5" x14ac:dyDescent="0.3">
      <c r="A349" s="134" t="s">
        <v>105</v>
      </c>
      <c r="B349" s="23" t="s">
        <v>1288</v>
      </c>
      <c r="C349" s="145" t="s">
        <v>418</v>
      </c>
      <c r="D349" s="112" t="s">
        <v>1289</v>
      </c>
      <c r="E349" s="35">
        <v>303367</v>
      </c>
      <c r="F349" s="32" t="s">
        <v>131</v>
      </c>
      <c r="G349" s="37">
        <v>44588</v>
      </c>
      <c r="H349" s="61">
        <v>160000000</v>
      </c>
      <c r="I349" s="49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66">
        <v>6420000</v>
      </c>
      <c r="U349" s="50"/>
      <c r="V349" s="50">
        <v>454250</v>
      </c>
      <c r="W349" s="50">
        <v>3408500</v>
      </c>
      <c r="X349" s="50">
        <v>9554250</v>
      </c>
      <c r="Y349" s="50"/>
      <c r="Z349" s="51"/>
      <c r="AA349" s="15"/>
      <c r="AB349" s="16">
        <f t="shared" si="33"/>
        <v>19837000</v>
      </c>
      <c r="AC349" s="295">
        <f t="shared" si="34"/>
        <v>0.12398125</v>
      </c>
      <c r="AD349" s="341">
        <f>VLOOKUP(D349:D723,Llanos!$A$28:$S$82,19,FALSE)</f>
        <v>3</v>
      </c>
      <c r="AE349" s="353"/>
      <c r="AF349" s="342">
        <f t="shared" si="35"/>
        <v>140163000</v>
      </c>
      <c r="AG349" s="57" t="s">
        <v>27</v>
      </c>
      <c r="AH349" s="58">
        <f t="shared" si="36"/>
        <v>4</v>
      </c>
    </row>
    <row r="350" spans="1:34" ht="16.5" x14ac:dyDescent="0.3">
      <c r="A350" s="134" t="s">
        <v>105</v>
      </c>
      <c r="B350" s="23" t="s">
        <v>779</v>
      </c>
      <c r="C350" s="145" t="s">
        <v>418</v>
      </c>
      <c r="D350" s="112" t="s">
        <v>780</v>
      </c>
      <c r="E350" s="35">
        <v>302641</v>
      </c>
      <c r="F350" s="32" t="s">
        <v>131</v>
      </c>
      <c r="G350" s="37">
        <v>44544</v>
      </c>
      <c r="H350" s="61">
        <v>194999000</v>
      </c>
      <c r="I350" s="49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66">
        <v>6420000</v>
      </c>
      <c r="U350" s="50"/>
      <c r="V350" s="50"/>
      <c r="W350" s="50">
        <v>17454250</v>
      </c>
      <c r="X350" s="50"/>
      <c r="Y350" s="50"/>
      <c r="Z350" s="51"/>
      <c r="AA350" s="15"/>
      <c r="AB350" s="16">
        <f t="shared" si="33"/>
        <v>23874250</v>
      </c>
      <c r="AC350" s="295">
        <f t="shared" si="34"/>
        <v>0.12243267914194432</v>
      </c>
      <c r="AD350" s="341">
        <f>VLOOKUP(D350:D724,Llanos!$A$28:$S$82,19,FALSE)</f>
        <v>3</v>
      </c>
      <c r="AE350" s="353"/>
      <c r="AF350" s="342">
        <f t="shared" si="35"/>
        <v>171124750</v>
      </c>
      <c r="AG350" s="57" t="s">
        <v>27</v>
      </c>
      <c r="AH350" s="58">
        <f t="shared" si="36"/>
        <v>2</v>
      </c>
    </row>
    <row r="351" spans="1:34" ht="16.5" x14ac:dyDescent="0.3">
      <c r="A351" s="134" t="s">
        <v>105</v>
      </c>
      <c r="B351" s="26" t="s">
        <v>783</v>
      </c>
      <c r="C351" s="145" t="s">
        <v>418</v>
      </c>
      <c r="D351" s="112" t="s">
        <v>784</v>
      </c>
      <c r="E351" s="35">
        <v>303240</v>
      </c>
      <c r="F351" s="33" t="s">
        <v>131</v>
      </c>
      <c r="G351" s="37">
        <v>44544</v>
      </c>
      <c r="H351" s="62">
        <v>175000000</v>
      </c>
      <c r="I351" s="49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66"/>
      <c r="U351" s="50">
        <v>6874250</v>
      </c>
      <c r="V351" s="50"/>
      <c r="W351" s="50">
        <v>454250</v>
      </c>
      <c r="X351" s="50">
        <v>13908500</v>
      </c>
      <c r="Y351" s="50"/>
      <c r="Z351" s="51"/>
      <c r="AA351" s="15"/>
      <c r="AB351" s="16">
        <f t="shared" si="33"/>
        <v>21237000</v>
      </c>
      <c r="AC351" s="295">
        <f t="shared" si="34"/>
        <v>0.12135428571428572</v>
      </c>
      <c r="AD351" s="341">
        <f>VLOOKUP(D351:D725,Llanos!$A$28:$S$82,19,FALSE)</f>
        <v>3</v>
      </c>
      <c r="AE351" s="353"/>
      <c r="AF351" s="342">
        <f t="shared" si="35"/>
        <v>153763000</v>
      </c>
      <c r="AG351" s="57" t="s">
        <v>27</v>
      </c>
      <c r="AH351" s="58">
        <f t="shared" si="36"/>
        <v>3</v>
      </c>
    </row>
    <row r="352" spans="1:34" ht="16.5" x14ac:dyDescent="0.3">
      <c r="A352" s="134" t="s">
        <v>55</v>
      </c>
      <c r="B352" s="23" t="s">
        <v>993</v>
      </c>
      <c r="C352" s="145" t="s">
        <v>418</v>
      </c>
      <c r="D352" s="112" t="s">
        <v>994</v>
      </c>
      <c r="E352" s="35">
        <v>303294</v>
      </c>
      <c r="F352" s="32" t="s">
        <v>128</v>
      </c>
      <c r="G352" s="37">
        <v>44588</v>
      </c>
      <c r="H352" s="61">
        <v>200000000</v>
      </c>
      <c r="I352" s="49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66">
        <v>6420000</v>
      </c>
      <c r="U352" s="50"/>
      <c r="V352" s="50"/>
      <c r="W352" s="50"/>
      <c r="X352" s="50">
        <v>17608500</v>
      </c>
      <c r="Y352" s="50"/>
      <c r="Z352" s="51"/>
      <c r="AA352" s="15"/>
      <c r="AB352" s="16">
        <f t="shared" si="33"/>
        <v>24028500</v>
      </c>
      <c r="AC352" s="295">
        <f t="shared" si="34"/>
        <v>0.1201425</v>
      </c>
      <c r="AD352" s="341">
        <f>VLOOKUP(D352:D724,'Eje Cafetero'!$A$34:$S$102,19,FALSE)</f>
        <v>2</v>
      </c>
      <c r="AE352" s="353"/>
      <c r="AF352" s="342">
        <f t="shared" si="35"/>
        <v>175971500</v>
      </c>
      <c r="AG352" s="57" t="s">
        <v>27</v>
      </c>
      <c r="AH352" s="58">
        <f t="shared" si="36"/>
        <v>2</v>
      </c>
    </row>
    <row r="353" spans="1:34" ht="16.5" x14ac:dyDescent="0.3">
      <c r="A353" s="134" t="s">
        <v>55</v>
      </c>
      <c r="B353" s="26" t="s">
        <v>1014</v>
      </c>
      <c r="C353" s="145" t="s">
        <v>418</v>
      </c>
      <c r="D353" s="112" t="s">
        <v>1015</v>
      </c>
      <c r="E353" s="35">
        <v>303889</v>
      </c>
      <c r="F353" s="33" t="s">
        <v>128</v>
      </c>
      <c r="G353" s="37">
        <v>44588</v>
      </c>
      <c r="H353" s="62">
        <v>200000000</v>
      </c>
      <c r="I353" s="49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66">
        <v>6420000</v>
      </c>
      <c r="U353" s="50"/>
      <c r="V353" s="50"/>
      <c r="W353" s="50"/>
      <c r="X353" s="50">
        <v>17608500</v>
      </c>
      <c r="Y353" s="50"/>
      <c r="Z353" s="51"/>
      <c r="AA353" s="15"/>
      <c r="AB353" s="16">
        <f t="shared" si="33"/>
        <v>24028500</v>
      </c>
      <c r="AC353" s="295">
        <f t="shared" si="34"/>
        <v>0.1201425</v>
      </c>
      <c r="AD353" s="341">
        <f>VLOOKUP(D353:D725,'Eje Cafetero'!$A$34:$S$102,19,FALSE)</f>
        <v>3</v>
      </c>
      <c r="AE353" s="353"/>
      <c r="AF353" s="342">
        <f t="shared" si="35"/>
        <v>175971500</v>
      </c>
      <c r="AG353" s="57" t="s">
        <v>27</v>
      </c>
      <c r="AH353" s="58">
        <f t="shared" si="36"/>
        <v>2</v>
      </c>
    </row>
    <row r="354" spans="1:34" ht="16.5" x14ac:dyDescent="0.3">
      <c r="A354" s="134" t="s">
        <v>55</v>
      </c>
      <c r="B354" s="26" t="s">
        <v>468</v>
      </c>
      <c r="C354" s="145" t="s">
        <v>418</v>
      </c>
      <c r="D354" s="112" t="s">
        <v>469</v>
      </c>
      <c r="E354" s="35">
        <v>302682</v>
      </c>
      <c r="F354" s="33" t="s">
        <v>128</v>
      </c>
      <c r="G354" s="37">
        <v>44544</v>
      </c>
      <c r="H354" s="62">
        <v>200000000</v>
      </c>
      <c r="I354" s="49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66"/>
      <c r="U354" s="50"/>
      <c r="V354" s="50"/>
      <c r="W354" s="50">
        <v>6420000</v>
      </c>
      <c r="X354" s="50">
        <v>17608500</v>
      </c>
      <c r="Y354" s="50"/>
      <c r="Z354" s="51"/>
      <c r="AA354" s="15"/>
      <c r="AB354" s="16">
        <f t="shared" si="33"/>
        <v>24028500</v>
      </c>
      <c r="AC354" s="295">
        <f t="shared" si="34"/>
        <v>0.1201425</v>
      </c>
      <c r="AD354" s="341">
        <f>VLOOKUP(D354:D726,'Eje Cafetero'!$A$34:$S$102,19,FALSE)</f>
        <v>2</v>
      </c>
      <c r="AE354" s="353"/>
      <c r="AF354" s="342">
        <f t="shared" si="35"/>
        <v>175971500</v>
      </c>
      <c r="AG354" s="57" t="s">
        <v>27</v>
      </c>
      <c r="AH354" s="58">
        <f t="shared" si="36"/>
        <v>2</v>
      </c>
    </row>
    <row r="355" spans="1:34" ht="16.5" x14ac:dyDescent="0.3">
      <c r="A355" s="134" t="s">
        <v>55</v>
      </c>
      <c r="B355" s="26" t="s">
        <v>504</v>
      </c>
      <c r="C355" s="145" t="s">
        <v>418</v>
      </c>
      <c r="D355" s="112" t="s">
        <v>505</v>
      </c>
      <c r="E355" s="35">
        <v>302568</v>
      </c>
      <c r="F355" s="33" t="s">
        <v>71</v>
      </c>
      <c r="G355" s="37">
        <v>44544</v>
      </c>
      <c r="H355" s="62">
        <v>199972000</v>
      </c>
      <c r="I355" s="49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66"/>
      <c r="U355" s="50"/>
      <c r="V355" s="50">
        <v>6420000</v>
      </c>
      <c r="W355" s="50">
        <v>13718500</v>
      </c>
      <c r="X355" s="50">
        <v>3408500</v>
      </c>
      <c r="Y355" s="50"/>
      <c r="Z355" s="51"/>
      <c r="AA355" s="15"/>
      <c r="AB355" s="16">
        <f t="shared" si="33"/>
        <v>23547000</v>
      </c>
      <c r="AC355" s="295">
        <f t="shared" si="34"/>
        <v>0.11775148520792911</v>
      </c>
      <c r="AD355" s="341">
        <f>VLOOKUP(D355:D727,'Eje Cafetero'!$A$34:$S$102,19,FALSE)</f>
        <v>3</v>
      </c>
      <c r="AE355" s="353"/>
      <c r="AF355" s="342">
        <f t="shared" si="35"/>
        <v>176425000</v>
      </c>
      <c r="AG355" s="57" t="s">
        <v>27</v>
      </c>
      <c r="AH355" s="58">
        <f t="shared" si="36"/>
        <v>3</v>
      </c>
    </row>
    <row r="356" spans="1:34" ht="16.5" x14ac:dyDescent="0.3">
      <c r="A356" s="134" t="s">
        <v>32</v>
      </c>
      <c r="B356" s="26" t="s">
        <v>1339</v>
      </c>
      <c r="C356" s="145" t="s">
        <v>418</v>
      </c>
      <c r="D356" s="112" t="s">
        <v>1340</v>
      </c>
      <c r="E356" s="35">
        <v>303649</v>
      </c>
      <c r="F356" s="33" t="s">
        <v>1338</v>
      </c>
      <c r="G356" s="37">
        <v>44588</v>
      </c>
      <c r="H356" s="62">
        <v>145602000</v>
      </c>
      <c r="I356" s="49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66"/>
      <c r="U356" s="50"/>
      <c r="V356" s="50"/>
      <c r="W356" s="50">
        <v>6420000</v>
      </c>
      <c r="X356" s="50">
        <v>10700000</v>
      </c>
      <c r="Y356" s="50"/>
      <c r="Z356" s="51"/>
      <c r="AA356" s="15"/>
      <c r="AB356" s="16">
        <f t="shared" si="33"/>
        <v>17120000</v>
      </c>
      <c r="AC356" s="295">
        <f t="shared" si="34"/>
        <v>0.11758080246150465</v>
      </c>
      <c r="AD356" s="341">
        <f>VLOOKUP(D354:D542,Amazonía!$A$27:$T$75,20,FALSE)</f>
        <v>1</v>
      </c>
      <c r="AE356" s="353"/>
      <c r="AF356" s="342">
        <f t="shared" si="35"/>
        <v>128482000</v>
      </c>
      <c r="AG356" s="57" t="s">
        <v>27</v>
      </c>
      <c r="AH356" s="58">
        <f t="shared" si="36"/>
        <v>2</v>
      </c>
    </row>
    <row r="357" spans="1:34" ht="16.5" x14ac:dyDescent="0.3">
      <c r="A357" s="134" t="s">
        <v>89</v>
      </c>
      <c r="B357" s="26" t="s">
        <v>647</v>
      </c>
      <c r="C357" s="145" t="s">
        <v>418</v>
      </c>
      <c r="D357" s="112" t="s">
        <v>648</v>
      </c>
      <c r="E357" s="35">
        <v>303236</v>
      </c>
      <c r="F357" s="33" t="s">
        <v>622</v>
      </c>
      <c r="G357" s="37">
        <v>44544</v>
      </c>
      <c r="H357" s="62">
        <v>200000000</v>
      </c>
      <c r="I357" s="49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66"/>
      <c r="U357" s="50"/>
      <c r="V357" s="50">
        <v>5400000</v>
      </c>
      <c r="W357" s="50">
        <v>4454250</v>
      </c>
      <c r="X357" s="50">
        <v>13454250</v>
      </c>
      <c r="Y357" s="50"/>
      <c r="Z357" s="51"/>
      <c r="AA357" s="15"/>
      <c r="AB357" s="16">
        <f t="shared" si="33"/>
        <v>23308500</v>
      </c>
      <c r="AC357" s="295">
        <f t="shared" si="34"/>
        <v>0.11654249999999999</v>
      </c>
      <c r="AD357" s="341">
        <f>VLOOKUP(D357:D425,'Caribe II'!$A$38:$Q$107,17,FALSE)</f>
        <v>2</v>
      </c>
      <c r="AE357" s="353"/>
      <c r="AF357" s="342">
        <f t="shared" si="35"/>
        <v>176691500</v>
      </c>
      <c r="AG357" s="57" t="s">
        <v>27</v>
      </c>
      <c r="AH357" s="58">
        <f t="shared" si="36"/>
        <v>3</v>
      </c>
    </row>
    <row r="358" spans="1:34" ht="16.5" x14ac:dyDescent="0.3">
      <c r="A358" s="134" t="s">
        <v>32</v>
      </c>
      <c r="B358" s="26" t="s">
        <v>802</v>
      </c>
      <c r="C358" s="145" t="s">
        <v>418</v>
      </c>
      <c r="D358" s="112" t="s">
        <v>803</v>
      </c>
      <c r="E358" s="35">
        <v>302547</v>
      </c>
      <c r="F358" s="33" t="s">
        <v>35</v>
      </c>
      <c r="G358" s="37">
        <v>44544</v>
      </c>
      <c r="H358" s="62">
        <v>177132000</v>
      </c>
      <c r="I358" s="49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66"/>
      <c r="U358" s="50"/>
      <c r="V358" s="50">
        <v>6420000</v>
      </c>
      <c r="W358" s="50">
        <v>908500</v>
      </c>
      <c r="X358" s="50">
        <v>13200000</v>
      </c>
      <c r="Y358" s="50"/>
      <c r="Z358" s="51"/>
      <c r="AA358" s="15"/>
      <c r="AB358" s="16">
        <f t="shared" si="33"/>
        <v>20528500</v>
      </c>
      <c r="AC358" s="295">
        <f t="shared" si="34"/>
        <v>0.11589379671657295</v>
      </c>
      <c r="AD358" s="341">
        <f>VLOOKUP(D356:D544,Amazonía!$A$27:$T$75,20,FALSE)</f>
        <v>3</v>
      </c>
      <c r="AE358" s="353"/>
      <c r="AF358" s="342">
        <f t="shared" si="35"/>
        <v>156603500</v>
      </c>
      <c r="AG358" s="57" t="s">
        <v>27</v>
      </c>
      <c r="AH358" s="58">
        <f t="shared" si="36"/>
        <v>3</v>
      </c>
    </row>
    <row r="359" spans="1:34" ht="16.5" x14ac:dyDescent="0.3">
      <c r="A359" s="134" t="s">
        <v>28</v>
      </c>
      <c r="B359" s="26" t="s">
        <v>443</v>
      </c>
      <c r="C359" s="145" t="s">
        <v>418</v>
      </c>
      <c r="D359" s="112" t="s">
        <v>444</v>
      </c>
      <c r="E359" s="35">
        <v>303026</v>
      </c>
      <c r="F359" s="33" t="s">
        <v>81</v>
      </c>
      <c r="G359" s="37">
        <v>44544</v>
      </c>
      <c r="H359" s="62">
        <v>119392000</v>
      </c>
      <c r="I359" s="49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66"/>
      <c r="U359" s="50">
        <v>3270000</v>
      </c>
      <c r="V359" s="50"/>
      <c r="W359" s="50">
        <v>4000000</v>
      </c>
      <c r="X359" s="50">
        <v>6450000</v>
      </c>
      <c r="Y359" s="50"/>
      <c r="Z359" s="51"/>
      <c r="AA359" s="15"/>
      <c r="AB359" s="16">
        <f t="shared" si="33"/>
        <v>13720000</v>
      </c>
      <c r="AC359" s="295">
        <f t="shared" si="34"/>
        <v>0.1149155722326454</v>
      </c>
      <c r="AD359" s="341">
        <f>VLOOKUP(D359:D797,Pacífico!$A$32:$S$105,19,FALSE)</f>
        <v>2</v>
      </c>
      <c r="AE359" s="353"/>
      <c r="AF359" s="342">
        <f t="shared" si="35"/>
        <v>105672000</v>
      </c>
      <c r="AG359" s="57" t="s">
        <v>27</v>
      </c>
      <c r="AH359" s="58">
        <f t="shared" si="36"/>
        <v>3</v>
      </c>
    </row>
    <row r="360" spans="1:34" ht="16.5" x14ac:dyDescent="0.3">
      <c r="A360" s="134" t="s">
        <v>28</v>
      </c>
      <c r="B360" s="23" t="s">
        <v>974</v>
      </c>
      <c r="C360" s="145" t="s">
        <v>418</v>
      </c>
      <c r="D360" s="112" t="s">
        <v>975</v>
      </c>
      <c r="E360" s="35">
        <v>303510</v>
      </c>
      <c r="F360" s="32" t="s">
        <v>31</v>
      </c>
      <c r="G360" s="37">
        <v>44588</v>
      </c>
      <c r="H360" s="61">
        <v>199853000</v>
      </c>
      <c r="I360" s="49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66"/>
      <c r="U360" s="50"/>
      <c r="V360" s="50"/>
      <c r="W360" s="50">
        <v>7305300</v>
      </c>
      <c r="X360" s="50">
        <v>15200000</v>
      </c>
      <c r="Y360" s="50"/>
      <c r="Z360" s="51"/>
      <c r="AA360" s="15"/>
      <c r="AB360" s="16">
        <f t="shared" si="33"/>
        <v>22505300</v>
      </c>
      <c r="AC360" s="295">
        <f t="shared" si="34"/>
        <v>0.1126092678118417</v>
      </c>
      <c r="AD360" s="341">
        <f>VLOOKUP(D360:D798,Pacífico!$A$32:$S$105,19,FALSE)</f>
        <v>2</v>
      </c>
      <c r="AE360" s="353"/>
      <c r="AF360" s="342">
        <f t="shared" si="35"/>
        <v>177347700</v>
      </c>
      <c r="AG360" s="57" t="s">
        <v>27</v>
      </c>
      <c r="AH360" s="58">
        <f t="shared" si="36"/>
        <v>2</v>
      </c>
    </row>
    <row r="361" spans="1:34" ht="16.5" x14ac:dyDescent="0.3">
      <c r="A361" s="134" t="s">
        <v>49</v>
      </c>
      <c r="B361" s="23" t="s">
        <v>693</v>
      </c>
      <c r="C361" s="145" t="s">
        <v>418</v>
      </c>
      <c r="D361" s="112" t="s">
        <v>694</v>
      </c>
      <c r="E361" s="35">
        <v>303261</v>
      </c>
      <c r="F361" s="32" t="s">
        <v>125</v>
      </c>
      <c r="G361" s="37">
        <v>44544</v>
      </c>
      <c r="H361" s="61">
        <v>155000000</v>
      </c>
      <c r="I361" s="49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66"/>
      <c r="U361" s="50"/>
      <c r="V361" s="50">
        <v>6420000</v>
      </c>
      <c r="W361" s="50"/>
      <c r="X361" s="50">
        <v>11000000</v>
      </c>
      <c r="Y361" s="50"/>
      <c r="Z361" s="51"/>
      <c r="AA361" s="15"/>
      <c r="AB361" s="16">
        <f t="shared" si="33"/>
        <v>17420000</v>
      </c>
      <c r="AC361" s="295">
        <f t="shared" si="34"/>
        <v>0.11238709677419355</v>
      </c>
      <c r="AD361" s="341">
        <f>VLOOKUP(D361:D827,Santanderes!$A$21:$S$54,19,FALSE)</f>
        <v>3</v>
      </c>
      <c r="AE361" s="353"/>
      <c r="AF361" s="342">
        <f t="shared" si="35"/>
        <v>137580000</v>
      </c>
      <c r="AG361" s="57" t="s">
        <v>27</v>
      </c>
      <c r="AH361" s="58">
        <f t="shared" si="36"/>
        <v>2</v>
      </c>
    </row>
    <row r="362" spans="1:34" ht="16.5" x14ac:dyDescent="0.3">
      <c r="A362" s="134" t="s">
        <v>55</v>
      </c>
      <c r="B362" s="26" t="s">
        <v>462</v>
      </c>
      <c r="C362" s="145" t="s">
        <v>418</v>
      </c>
      <c r="D362" s="112" t="s">
        <v>463</v>
      </c>
      <c r="E362" s="35">
        <v>302788</v>
      </c>
      <c r="F362" s="33" t="s">
        <v>128</v>
      </c>
      <c r="G362" s="37">
        <v>44544</v>
      </c>
      <c r="H362" s="62">
        <v>155000000</v>
      </c>
      <c r="I362" s="49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66"/>
      <c r="U362" s="50">
        <v>6420000</v>
      </c>
      <c r="V362" s="50"/>
      <c r="W362" s="50"/>
      <c r="X362" s="50">
        <v>10700000</v>
      </c>
      <c r="Y362" s="50"/>
      <c r="Z362" s="51"/>
      <c r="AA362" s="15"/>
      <c r="AB362" s="16">
        <f t="shared" si="33"/>
        <v>17120000</v>
      </c>
      <c r="AC362" s="295">
        <f t="shared" si="34"/>
        <v>0.1104516129032258</v>
      </c>
      <c r="AD362" s="341">
        <f>VLOOKUP(D362:D734,'Eje Cafetero'!$A$34:$S$102,19,FALSE)</f>
        <v>2</v>
      </c>
      <c r="AE362" s="353"/>
      <c r="AF362" s="342">
        <f t="shared" si="35"/>
        <v>137880000</v>
      </c>
      <c r="AG362" s="57" t="s">
        <v>27</v>
      </c>
      <c r="AH362" s="58">
        <f t="shared" si="36"/>
        <v>2</v>
      </c>
    </row>
    <row r="363" spans="1:34" ht="16.5" x14ac:dyDescent="0.3">
      <c r="A363" s="134" t="s">
        <v>28</v>
      </c>
      <c r="B363" s="26" t="s">
        <v>928</v>
      </c>
      <c r="C363" s="145" t="s">
        <v>418</v>
      </c>
      <c r="D363" s="112" t="s">
        <v>929</v>
      </c>
      <c r="E363" s="35">
        <v>303470</v>
      </c>
      <c r="F363" s="33" t="s">
        <v>447</v>
      </c>
      <c r="G363" s="37">
        <v>44588</v>
      </c>
      <c r="H363" s="62">
        <v>186757000</v>
      </c>
      <c r="I363" s="49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66"/>
      <c r="U363" s="50">
        <v>6420000</v>
      </c>
      <c r="V363" s="50"/>
      <c r="W363" s="50">
        <v>500000</v>
      </c>
      <c r="X363" s="50">
        <v>13580000</v>
      </c>
      <c r="Y363" s="50"/>
      <c r="Z363" s="51"/>
      <c r="AA363" s="15"/>
      <c r="AB363" s="16">
        <f t="shared" si="33"/>
        <v>20500000</v>
      </c>
      <c r="AC363" s="295">
        <f t="shared" si="34"/>
        <v>0.10976830855068351</v>
      </c>
      <c r="AD363" s="341">
        <f>VLOOKUP(D363:D801,Pacífico!$A$32:$S$105,19,FALSE)</f>
        <v>3</v>
      </c>
      <c r="AE363" s="353"/>
      <c r="AF363" s="342">
        <f t="shared" si="35"/>
        <v>166257000</v>
      </c>
      <c r="AG363" s="57" t="s">
        <v>27</v>
      </c>
      <c r="AH363" s="58">
        <f t="shared" si="36"/>
        <v>3</v>
      </c>
    </row>
    <row r="364" spans="1:34" ht="16.5" x14ac:dyDescent="0.3">
      <c r="A364" s="134" t="s">
        <v>89</v>
      </c>
      <c r="B364" s="26" t="s">
        <v>1142</v>
      </c>
      <c r="C364" s="145" t="s">
        <v>418</v>
      </c>
      <c r="D364" s="112" t="s">
        <v>1143</v>
      </c>
      <c r="E364" s="35">
        <v>303881</v>
      </c>
      <c r="F364" s="33" t="s">
        <v>622</v>
      </c>
      <c r="G364" s="37">
        <v>44588</v>
      </c>
      <c r="H364" s="62">
        <v>184997000</v>
      </c>
      <c r="I364" s="49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66"/>
      <c r="U364" s="50"/>
      <c r="V364" s="50"/>
      <c r="W364" s="50">
        <v>6420000</v>
      </c>
      <c r="X364" s="50">
        <v>13660000</v>
      </c>
      <c r="Y364" s="50"/>
      <c r="Z364" s="51"/>
      <c r="AA364" s="15"/>
      <c r="AB364" s="16">
        <f t="shared" si="33"/>
        <v>20080000</v>
      </c>
      <c r="AC364" s="295">
        <f t="shared" si="34"/>
        <v>0.10854230068595706</v>
      </c>
      <c r="AD364" s="341">
        <f>VLOOKUP(D364:D432,'Caribe II'!$A$38:$Q$107,17,FALSE)</f>
        <v>2</v>
      </c>
      <c r="AE364" s="353"/>
      <c r="AF364" s="342">
        <f t="shared" si="35"/>
        <v>164917000</v>
      </c>
      <c r="AG364" s="57" t="s">
        <v>27</v>
      </c>
      <c r="AH364" s="58">
        <f t="shared" si="36"/>
        <v>2</v>
      </c>
    </row>
    <row r="365" spans="1:34" ht="16.5" x14ac:dyDescent="0.3">
      <c r="A365" s="134" t="s">
        <v>28</v>
      </c>
      <c r="B365" s="26" t="s">
        <v>428</v>
      </c>
      <c r="C365" s="145" t="s">
        <v>418</v>
      </c>
      <c r="D365" s="112" t="s">
        <v>429</v>
      </c>
      <c r="E365" s="35">
        <v>302963</v>
      </c>
      <c r="F365" s="33" t="s">
        <v>31</v>
      </c>
      <c r="G365" s="37">
        <v>44544</v>
      </c>
      <c r="H365" s="62">
        <v>200000000</v>
      </c>
      <c r="I365" s="49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66"/>
      <c r="U365" s="50">
        <v>6420000</v>
      </c>
      <c r="V365" s="50"/>
      <c r="W365" s="50">
        <v>12500000</v>
      </c>
      <c r="X365" s="50">
        <v>2500000</v>
      </c>
      <c r="Y365" s="50"/>
      <c r="Z365" s="51"/>
      <c r="AA365" s="15"/>
      <c r="AB365" s="16">
        <f t="shared" si="33"/>
        <v>21420000</v>
      </c>
      <c r="AC365" s="295">
        <f t="shared" si="34"/>
        <v>0.1071</v>
      </c>
      <c r="AD365" s="341">
        <f>VLOOKUP(D365:D803,Pacífico!$A$32:$S$105,19,FALSE)</f>
        <v>3</v>
      </c>
      <c r="AE365" s="353"/>
      <c r="AF365" s="342">
        <f t="shared" si="35"/>
        <v>178580000</v>
      </c>
      <c r="AG365" s="57" t="s">
        <v>27</v>
      </c>
      <c r="AH365" s="58">
        <f t="shared" si="36"/>
        <v>3</v>
      </c>
    </row>
    <row r="366" spans="1:34" ht="16.5" x14ac:dyDescent="0.3">
      <c r="A366" s="134" t="s">
        <v>55</v>
      </c>
      <c r="B366" s="26" t="s">
        <v>502</v>
      </c>
      <c r="C366" s="145" t="s">
        <v>418</v>
      </c>
      <c r="D366" s="112" t="s">
        <v>503</v>
      </c>
      <c r="E366" s="35">
        <v>302832</v>
      </c>
      <c r="F366" s="33" t="s">
        <v>71</v>
      </c>
      <c r="G366" s="37">
        <v>44544</v>
      </c>
      <c r="H366" s="62">
        <v>179142000</v>
      </c>
      <c r="I366" s="49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66"/>
      <c r="U366" s="50"/>
      <c r="V366" s="50"/>
      <c r="W366" s="50">
        <v>6420000</v>
      </c>
      <c r="X366" s="50">
        <v>12517000</v>
      </c>
      <c r="Y366" s="50"/>
      <c r="Z366" s="51"/>
      <c r="AA366" s="15"/>
      <c r="AB366" s="16">
        <f t="shared" si="33"/>
        <v>18937000</v>
      </c>
      <c r="AC366" s="295">
        <f t="shared" si="34"/>
        <v>0.10570943720623863</v>
      </c>
      <c r="AD366" s="341">
        <f>VLOOKUP(D366:D738,'Eje Cafetero'!$A$34:$S$102,19,FALSE)</f>
        <v>3</v>
      </c>
      <c r="AE366" s="353"/>
      <c r="AF366" s="342">
        <f t="shared" si="35"/>
        <v>160205000</v>
      </c>
      <c r="AG366" s="57" t="s">
        <v>27</v>
      </c>
      <c r="AH366" s="58">
        <f t="shared" si="36"/>
        <v>2</v>
      </c>
    </row>
    <row r="367" spans="1:34" ht="16.5" x14ac:dyDescent="0.3">
      <c r="A367" s="134" t="s">
        <v>32</v>
      </c>
      <c r="B367" s="23" t="s">
        <v>1336</v>
      </c>
      <c r="C367" s="145" t="s">
        <v>418</v>
      </c>
      <c r="D367" s="112" t="s">
        <v>1337</v>
      </c>
      <c r="E367" s="35">
        <v>303359</v>
      </c>
      <c r="F367" s="32" t="s">
        <v>1338</v>
      </c>
      <c r="G367" s="37">
        <v>44588</v>
      </c>
      <c r="H367" s="61">
        <v>184490000</v>
      </c>
      <c r="I367" s="49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66"/>
      <c r="U367" s="50"/>
      <c r="V367" s="50">
        <v>6420000</v>
      </c>
      <c r="W367" s="50">
        <v>991000</v>
      </c>
      <c r="X367" s="50">
        <v>11691000</v>
      </c>
      <c r="Y367" s="50"/>
      <c r="Z367" s="51"/>
      <c r="AA367" s="15"/>
      <c r="AB367" s="16">
        <f t="shared" si="33"/>
        <v>19102000</v>
      </c>
      <c r="AC367" s="295">
        <f t="shared" si="34"/>
        <v>0.1035394872350805</v>
      </c>
      <c r="AD367" s="341">
        <f>VLOOKUP(D365:D553,Amazonía!$A$27:$T$75,20,FALSE)</f>
        <v>3</v>
      </c>
      <c r="AE367" s="353"/>
      <c r="AF367" s="342">
        <f t="shared" si="35"/>
        <v>165388000</v>
      </c>
      <c r="AG367" s="57" t="s">
        <v>27</v>
      </c>
      <c r="AH367" s="58">
        <f t="shared" si="36"/>
        <v>3</v>
      </c>
    </row>
    <row r="368" spans="1:34" ht="16.5" x14ac:dyDescent="0.3">
      <c r="A368" s="134" t="s">
        <v>105</v>
      </c>
      <c r="B368" s="26" t="s">
        <v>1292</v>
      </c>
      <c r="C368" s="145" t="s">
        <v>418</v>
      </c>
      <c r="D368" s="112" t="s">
        <v>1293</v>
      </c>
      <c r="E368" s="35">
        <v>303405</v>
      </c>
      <c r="F368" s="33" t="s">
        <v>108</v>
      </c>
      <c r="G368" s="37">
        <v>44588</v>
      </c>
      <c r="H368" s="62">
        <v>175000000</v>
      </c>
      <c r="I368" s="49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66">
        <v>6420000</v>
      </c>
      <c r="U368" s="50"/>
      <c r="V368" s="50">
        <v>908500</v>
      </c>
      <c r="W368" s="50"/>
      <c r="X368" s="50">
        <v>10700000</v>
      </c>
      <c r="Y368" s="50"/>
      <c r="Z368" s="51"/>
      <c r="AA368" s="15"/>
      <c r="AB368" s="16">
        <f t="shared" si="33"/>
        <v>18028500</v>
      </c>
      <c r="AC368" s="295">
        <f t="shared" si="34"/>
        <v>0.10302</v>
      </c>
      <c r="AD368" s="341">
        <f>VLOOKUP(D368:D742,Llanos!$A$28:$S$82,19,FALSE)</f>
        <v>3</v>
      </c>
      <c r="AE368" s="353"/>
      <c r="AF368" s="342">
        <f t="shared" si="35"/>
        <v>156971500</v>
      </c>
      <c r="AG368" s="57" t="s">
        <v>27</v>
      </c>
      <c r="AH368" s="58">
        <f t="shared" si="36"/>
        <v>3</v>
      </c>
    </row>
    <row r="369" spans="1:34" ht="16.5" x14ac:dyDescent="0.3">
      <c r="A369" s="134" t="s">
        <v>105</v>
      </c>
      <c r="B369" s="26" t="s">
        <v>775</v>
      </c>
      <c r="C369" s="145" t="s">
        <v>418</v>
      </c>
      <c r="D369" s="112" t="s">
        <v>776</v>
      </c>
      <c r="E369" s="35">
        <v>302638</v>
      </c>
      <c r="F369" s="33" t="s">
        <v>108</v>
      </c>
      <c r="G369" s="37">
        <v>44544</v>
      </c>
      <c r="H369" s="62">
        <v>200000000</v>
      </c>
      <c r="I369" s="49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66">
        <v>6420000</v>
      </c>
      <c r="U369" s="50"/>
      <c r="V369" s="50"/>
      <c r="W369" s="50">
        <v>11000000</v>
      </c>
      <c r="X369" s="50">
        <v>3000000</v>
      </c>
      <c r="Y369" s="50"/>
      <c r="Z369" s="51"/>
      <c r="AA369" s="15"/>
      <c r="AB369" s="16">
        <f t="shared" si="33"/>
        <v>20420000</v>
      </c>
      <c r="AC369" s="295">
        <f t="shared" si="34"/>
        <v>0.1021</v>
      </c>
      <c r="AD369" s="341">
        <f>VLOOKUP(D369:D743,Llanos!$A$28:$S$82,19,FALSE)</f>
        <v>3</v>
      </c>
      <c r="AE369" s="353"/>
      <c r="AF369" s="342">
        <f t="shared" si="35"/>
        <v>179580000</v>
      </c>
      <c r="AG369" s="57" t="s">
        <v>27</v>
      </c>
      <c r="AH369" s="58">
        <f t="shared" si="36"/>
        <v>3</v>
      </c>
    </row>
    <row r="370" spans="1:34" ht="16.5" x14ac:dyDescent="0.3">
      <c r="A370" s="134" t="s">
        <v>49</v>
      </c>
      <c r="B370" s="26" t="s">
        <v>725</v>
      </c>
      <c r="C370" s="145" t="s">
        <v>418</v>
      </c>
      <c r="D370" s="112" t="s">
        <v>726</v>
      </c>
      <c r="E370" s="35">
        <v>303101</v>
      </c>
      <c r="F370" s="33" t="s">
        <v>125</v>
      </c>
      <c r="G370" s="37">
        <v>44544</v>
      </c>
      <c r="H370" s="62">
        <v>200000000</v>
      </c>
      <c r="I370" s="49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66"/>
      <c r="U370" s="50"/>
      <c r="V370" s="50"/>
      <c r="W370" s="50">
        <v>6420000</v>
      </c>
      <c r="X370" s="50">
        <v>13980000</v>
      </c>
      <c r="Y370" s="50"/>
      <c r="Z370" s="51"/>
      <c r="AA370" s="15"/>
      <c r="AB370" s="16">
        <f t="shared" si="33"/>
        <v>20400000</v>
      </c>
      <c r="AC370" s="295">
        <f t="shared" si="34"/>
        <v>0.10199999999999999</v>
      </c>
      <c r="AD370" s="341">
        <f>VLOOKUP(D370:D836,Santanderes!$A$21:$S$54,19,FALSE)</f>
        <v>3</v>
      </c>
      <c r="AE370" s="353"/>
      <c r="AF370" s="342">
        <f t="shared" si="35"/>
        <v>179600000</v>
      </c>
      <c r="AG370" s="57" t="s">
        <v>27</v>
      </c>
      <c r="AH370" s="58">
        <f t="shared" si="36"/>
        <v>2</v>
      </c>
    </row>
    <row r="371" spans="1:34" ht="16.5" x14ac:dyDescent="0.3">
      <c r="A371" s="134" t="s">
        <v>28</v>
      </c>
      <c r="B371" s="26" t="s">
        <v>922</v>
      </c>
      <c r="C371" s="145" t="s">
        <v>418</v>
      </c>
      <c r="D371" s="112" t="s">
        <v>923</v>
      </c>
      <c r="E371" s="35">
        <v>303183</v>
      </c>
      <c r="F371" s="33" t="s">
        <v>31</v>
      </c>
      <c r="G371" s="37">
        <v>44588</v>
      </c>
      <c r="H371" s="62">
        <v>197702000</v>
      </c>
      <c r="I371" s="49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66"/>
      <c r="U371" s="50"/>
      <c r="V371" s="50">
        <v>6420000</v>
      </c>
      <c r="W371" s="50">
        <v>6816600</v>
      </c>
      <c r="X371" s="50">
        <v>6816600</v>
      </c>
      <c r="Y371" s="50"/>
      <c r="Z371" s="51"/>
      <c r="AA371" s="15"/>
      <c r="AB371" s="16">
        <f t="shared" si="33"/>
        <v>20053200</v>
      </c>
      <c r="AC371" s="295">
        <f t="shared" si="34"/>
        <v>0.10143144732981962</v>
      </c>
      <c r="AD371" s="341">
        <f>VLOOKUP(D371:D809,Pacífico!$A$32:$S$105,19,FALSE)</f>
        <v>3</v>
      </c>
      <c r="AE371" s="353"/>
      <c r="AF371" s="342">
        <f t="shared" si="35"/>
        <v>177648800</v>
      </c>
      <c r="AG371" s="57" t="s">
        <v>27</v>
      </c>
      <c r="AH371" s="58">
        <f t="shared" si="36"/>
        <v>3</v>
      </c>
    </row>
    <row r="372" spans="1:34" ht="16.5" x14ac:dyDescent="0.3">
      <c r="A372" s="134" t="s">
        <v>16</v>
      </c>
      <c r="B372" s="26" t="s">
        <v>1047</v>
      </c>
      <c r="C372" s="145" t="s">
        <v>418</v>
      </c>
      <c r="D372" s="112" t="s">
        <v>1048</v>
      </c>
      <c r="E372" s="35">
        <v>303529</v>
      </c>
      <c r="F372" s="33" t="s">
        <v>268</v>
      </c>
      <c r="G372" s="37">
        <v>44588</v>
      </c>
      <c r="H372" s="62">
        <v>199608000</v>
      </c>
      <c r="I372" s="49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66">
        <v>6420000</v>
      </c>
      <c r="U372" s="50">
        <v>6420000</v>
      </c>
      <c r="V372" s="50"/>
      <c r="W372" s="50"/>
      <c r="X372" s="50">
        <v>7280000</v>
      </c>
      <c r="Y372" s="50"/>
      <c r="Z372" s="51"/>
      <c r="AA372" s="15"/>
      <c r="AB372" s="16">
        <f t="shared" si="33"/>
        <v>20120000</v>
      </c>
      <c r="AC372" s="295">
        <f t="shared" si="34"/>
        <v>0.10079756322391888</v>
      </c>
      <c r="AD372" s="341">
        <f>VLOOKUP(D372:D590,'Caribe I'!$A$25:$Q$83,17,FALSE)</f>
        <v>3</v>
      </c>
      <c r="AE372" s="353"/>
      <c r="AF372" s="342">
        <f t="shared" si="35"/>
        <v>179488000</v>
      </c>
      <c r="AG372" s="57" t="s">
        <v>27</v>
      </c>
      <c r="AH372" s="58">
        <f t="shared" si="36"/>
        <v>3</v>
      </c>
    </row>
    <row r="373" spans="1:34" ht="16.5" x14ac:dyDescent="0.3">
      <c r="A373" s="134" t="s">
        <v>28</v>
      </c>
      <c r="B373" s="26" t="s">
        <v>926</v>
      </c>
      <c r="C373" s="145" t="s">
        <v>418</v>
      </c>
      <c r="D373" s="112" t="s">
        <v>927</v>
      </c>
      <c r="E373" s="35">
        <v>302799</v>
      </c>
      <c r="F373" s="33" t="s">
        <v>447</v>
      </c>
      <c r="G373" s="37">
        <v>44588</v>
      </c>
      <c r="H373" s="62">
        <v>198542000</v>
      </c>
      <c r="I373" s="49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66"/>
      <c r="U373" s="50">
        <v>6420000</v>
      </c>
      <c r="V373" s="50"/>
      <c r="W373" s="50">
        <v>830000</v>
      </c>
      <c r="X373" s="50">
        <v>12601916.67</v>
      </c>
      <c r="Y373" s="50"/>
      <c r="Z373" s="51"/>
      <c r="AA373" s="15"/>
      <c r="AB373" s="16">
        <f t="shared" ref="AB373:AB436" si="37">SUM(I373:Z373)</f>
        <v>19851916.670000002</v>
      </c>
      <c r="AC373" s="295">
        <f t="shared" ref="AC373:AC436" si="38">AB373/H373</f>
        <v>9.99884995114384E-2</v>
      </c>
      <c r="AD373" s="341">
        <f>VLOOKUP(D373:D811,Pacífico!$A$32:$S$105,19,FALSE)</f>
        <v>3</v>
      </c>
      <c r="AE373" s="353"/>
      <c r="AF373" s="342">
        <f t="shared" ref="AF373:AF436" si="39">H373-AB373</f>
        <v>178690083.32999998</v>
      </c>
      <c r="AG373" s="57" t="s">
        <v>27</v>
      </c>
      <c r="AH373" s="58">
        <f t="shared" ref="AH373:AH436" si="40">COUNT(I373:Z373)</f>
        <v>3</v>
      </c>
    </row>
    <row r="374" spans="1:34" ht="16.5" x14ac:dyDescent="0.3">
      <c r="A374" s="134" t="s">
        <v>32</v>
      </c>
      <c r="B374" s="26" t="s">
        <v>808</v>
      </c>
      <c r="C374" s="145" t="s">
        <v>418</v>
      </c>
      <c r="D374" s="112" t="s">
        <v>809</v>
      </c>
      <c r="E374" s="35">
        <v>302691</v>
      </c>
      <c r="F374" s="33" t="s">
        <v>35</v>
      </c>
      <c r="G374" s="37">
        <v>44544</v>
      </c>
      <c r="H374" s="62">
        <v>189668000</v>
      </c>
      <c r="I374" s="49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66"/>
      <c r="U374" s="50"/>
      <c r="V374" s="50">
        <v>6420000</v>
      </c>
      <c r="W374" s="50">
        <v>1817000</v>
      </c>
      <c r="X374" s="50">
        <v>10700000</v>
      </c>
      <c r="Y374" s="50"/>
      <c r="Z374" s="51"/>
      <c r="AA374" s="15"/>
      <c r="AB374" s="16">
        <f t="shared" si="37"/>
        <v>18937000</v>
      </c>
      <c r="AC374" s="295">
        <f t="shared" si="38"/>
        <v>9.9842883354071321E-2</v>
      </c>
      <c r="AD374" s="341">
        <f>VLOOKUP(D372:D560,Amazonía!$A$27:$T$75,20,FALSE)</f>
        <v>3</v>
      </c>
      <c r="AE374" s="353"/>
      <c r="AF374" s="342">
        <f t="shared" si="39"/>
        <v>170731000</v>
      </c>
      <c r="AG374" s="57" t="s">
        <v>27</v>
      </c>
      <c r="AH374" s="58">
        <f t="shared" si="40"/>
        <v>3</v>
      </c>
    </row>
    <row r="375" spans="1:34" ht="16.5" x14ac:dyDescent="0.3">
      <c r="A375" s="134" t="s">
        <v>16</v>
      </c>
      <c r="B375" s="23" t="s">
        <v>1022</v>
      </c>
      <c r="C375" s="145" t="s">
        <v>418</v>
      </c>
      <c r="D375" s="112" t="s">
        <v>1023</v>
      </c>
      <c r="E375" s="35">
        <v>303249</v>
      </c>
      <c r="F375" s="32" t="s">
        <v>551</v>
      </c>
      <c r="G375" s="37">
        <v>44588</v>
      </c>
      <c r="H375" s="61">
        <v>199816000</v>
      </c>
      <c r="I375" s="49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66">
        <v>6390000</v>
      </c>
      <c r="U375" s="50"/>
      <c r="V375" s="50"/>
      <c r="W375" s="50">
        <v>6575192</v>
      </c>
      <c r="X375" s="50">
        <v>6908526</v>
      </c>
      <c r="Y375" s="50"/>
      <c r="Z375" s="51"/>
      <c r="AA375" s="15"/>
      <c r="AB375" s="16">
        <f t="shared" si="37"/>
        <v>19873718</v>
      </c>
      <c r="AC375" s="295">
        <f t="shared" si="38"/>
        <v>9.9460093285822962E-2</v>
      </c>
      <c r="AD375" s="341">
        <f>VLOOKUP(D375:D593,'Caribe I'!$A$25:$Q$83,17,FALSE)</f>
        <v>3</v>
      </c>
      <c r="AE375" s="353"/>
      <c r="AF375" s="342">
        <f t="shared" si="39"/>
        <v>179942282</v>
      </c>
      <c r="AG375" s="57" t="s">
        <v>27</v>
      </c>
      <c r="AH375" s="58">
        <f t="shared" si="40"/>
        <v>3</v>
      </c>
    </row>
    <row r="376" spans="1:34" ht="16.5" x14ac:dyDescent="0.3">
      <c r="A376" s="134" t="s">
        <v>23</v>
      </c>
      <c r="B376" s="26" t="s">
        <v>1266</v>
      </c>
      <c r="C376" s="145" t="s">
        <v>418</v>
      </c>
      <c r="D376" s="112" t="s">
        <v>1267</v>
      </c>
      <c r="E376" s="35">
        <v>303883</v>
      </c>
      <c r="F376" s="33" t="s">
        <v>659</v>
      </c>
      <c r="G376" s="37">
        <v>44588</v>
      </c>
      <c r="H376" s="62">
        <v>199095000</v>
      </c>
      <c r="I376" s="49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66"/>
      <c r="U376" s="50">
        <v>6420000</v>
      </c>
      <c r="V376" s="50"/>
      <c r="W376" s="50">
        <v>6854250</v>
      </c>
      <c r="X376" s="50">
        <v>6400000</v>
      </c>
      <c r="Y376" s="50"/>
      <c r="Z376" s="51"/>
      <c r="AA376" s="15"/>
      <c r="AB376" s="16">
        <f t="shared" si="37"/>
        <v>19674250</v>
      </c>
      <c r="AC376" s="295">
        <f t="shared" si="38"/>
        <v>9.8818403274818556E-2</v>
      </c>
      <c r="AD376" s="341">
        <f>VLOOKUP(D376:D849,Central!$A$29:$R$107,18,FALSE)</f>
        <v>1</v>
      </c>
      <c r="AE376" s="353"/>
      <c r="AF376" s="342">
        <f t="shared" si="39"/>
        <v>179420750</v>
      </c>
      <c r="AG376" s="57" t="s">
        <v>27</v>
      </c>
      <c r="AH376" s="58">
        <f t="shared" si="40"/>
        <v>3</v>
      </c>
    </row>
    <row r="377" spans="1:34" ht="16.5" x14ac:dyDescent="0.3">
      <c r="A377" s="134" t="s">
        <v>16</v>
      </c>
      <c r="B377" s="26" t="s">
        <v>1351</v>
      </c>
      <c r="C377" s="145" t="s">
        <v>418</v>
      </c>
      <c r="D377" s="112" t="s">
        <v>1352</v>
      </c>
      <c r="E377" s="35">
        <v>303408</v>
      </c>
      <c r="F377" s="33" t="s">
        <v>551</v>
      </c>
      <c r="G377" s="37">
        <v>44600</v>
      </c>
      <c r="H377" s="62">
        <v>200000000</v>
      </c>
      <c r="I377" s="49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66">
        <v>6420000</v>
      </c>
      <c r="U377" s="50"/>
      <c r="V377" s="50"/>
      <c r="W377" s="50">
        <v>2725500</v>
      </c>
      <c r="X377" s="50">
        <v>10500000</v>
      </c>
      <c r="Y377" s="50"/>
      <c r="Z377" s="51"/>
      <c r="AA377" s="15"/>
      <c r="AB377" s="16">
        <f t="shared" si="37"/>
        <v>19645500</v>
      </c>
      <c r="AC377" s="295">
        <f t="shared" si="38"/>
        <v>9.8227499999999995E-2</v>
      </c>
      <c r="AD377" s="341">
        <f>VLOOKUP(D377:D595,'Caribe I'!$A$25:$Q$83,17,FALSE)</f>
        <v>3</v>
      </c>
      <c r="AE377" s="353"/>
      <c r="AF377" s="342">
        <f t="shared" si="39"/>
        <v>180354500</v>
      </c>
      <c r="AG377" s="57" t="s">
        <v>27</v>
      </c>
      <c r="AH377" s="58">
        <f t="shared" si="40"/>
        <v>3</v>
      </c>
    </row>
    <row r="378" spans="1:34" ht="16.5" x14ac:dyDescent="0.3">
      <c r="A378" s="134" t="s">
        <v>23</v>
      </c>
      <c r="B378" s="23" t="s">
        <v>1250</v>
      </c>
      <c r="C378" s="145" t="s">
        <v>418</v>
      </c>
      <c r="D378" s="112" t="s">
        <v>1251</v>
      </c>
      <c r="E378" s="35">
        <v>303815</v>
      </c>
      <c r="F378" s="32" t="s">
        <v>659</v>
      </c>
      <c r="G378" s="37">
        <v>44588</v>
      </c>
      <c r="H378" s="61">
        <v>180000000</v>
      </c>
      <c r="I378" s="49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66">
        <v>6420000</v>
      </c>
      <c r="U378" s="50"/>
      <c r="V378" s="50"/>
      <c r="W378" s="50"/>
      <c r="X378" s="50">
        <v>10227000</v>
      </c>
      <c r="Y378" s="50"/>
      <c r="Z378" s="51"/>
      <c r="AA378" s="15"/>
      <c r="AB378" s="16">
        <f t="shared" si="37"/>
        <v>16647000</v>
      </c>
      <c r="AC378" s="295">
        <f t="shared" si="38"/>
        <v>9.2483333333333334E-2</v>
      </c>
      <c r="AD378" s="341">
        <f>VLOOKUP(D378:D851,Central!$A$29:$R$107,18,FALSE)</f>
        <v>2</v>
      </c>
      <c r="AE378" s="353"/>
      <c r="AF378" s="342">
        <f t="shared" si="39"/>
        <v>163353000</v>
      </c>
      <c r="AG378" s="57" t="s">
        <v>27</v>
      </c>
      <c r="AH378" s="58">
        <f t="shared" si="40"/>
        <v>2</v>
      </c>
    </row>
    <row r="379" spans="1:34" ht="16.5" x14ac:dyDescent="0.3">
      <c r="A379" s="134" t="s">
        <v>89</v>
      </c>
      <c r="B379" s="23" t="s">
        <v>599</v>
      </c>
      <c r="C379" s="145" t="s">
        <v>418</v>
      </c>
      <c r="D379" s="112" t="s">
        <v>600</v>
      </c>
      <c r="E379" s="35">
        <v>302564</v>
      </c>
      <c r="F379" s="32" t="s">
        <v>601</v>
      </c>
      <c r="G379" s="37">
        <v>44544</v>
      </c>
      <c r="H379" s="61">
        <v>198800000</v>
      </c>
      <c r="I379" s="49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66"/>
      <c r="U379" s="50"/>
      <c r="V379" s="50"/>
      <c r="W379" s="50"/>
      <c r="X379" s="50">
        <v>18160000</v>
      </c>
      <c r="Y379" s="50"/>
      <c r="Z379" s="51"/>
      <c r="AA379" s="15"/>
      <c r="AB379" s="16">
        <f t="shared" si="37"/>
        <v>18160000</v>
      </c>
      <c r="AC379" s="295">
        <f t="shared" si="38"/>
        <v>9.1348088531187116E-2</v>
      </c>
      <c r="AD379" s="341">
        <f>VLOOKUP(D379:D447,'Caribe II'!$A$38:$Q$107,17,FALSE)</f>
        <v>2</v>
      </c>
      <c r="AE379" s="353"/>
      <c r="AF379" s="342">
        <f t="shared" si="39"/>
        <v>180640000</v>
      </c>
      <c r="AG379" s="57" t="s">
        <v>27</v>
      </c>
      <c r="AH379" s="58">
        <f t="shared" si="40"/>
        <v>1</v>
      </c>
    </row>
    <row r="380" spans="1:34" ht="16.5" x14ac:dyDescent="0.3">
      <c r="A380" s="134" t="s">
        <v>28</v>
      </c>
      <c r="B380" s="26" t="s">
        <v>978</v>
      </c>
      <c r="C380" s="145" t="s">
        <v>418</v>
      </c>
      <c r="D380" s="112" t="s">
        <v>979</v>
      </c>
      <c r="E380" s="35">
        <v>303894</v>
      </c>
      <c r="F380" s="33" t="s">
        <v>31</v>
      </c>
      <c r="G380" s="37">
        <v>44588</v>
      </c>
      <c r="H380" s="62">
        <v>124302000</v>
      </c>
      <c r="I380" s="49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66"/>
      <c r="U380" s="50"/>
      <c r="V380" s="50"/>
      <c r="W380" s="50">
        <v>6420000</v>
      </c>
      <c r="X380" s="50">
        <v>4727636</v>
      </c>
      <c r="Y380" s="50"/>
      <c r="Z380" s="51"/>
      <c r="AA380" s="15"/>
      <c r="AB380" s="16">
        <f t="shared" si="37"/>
        <v>11147636</v>
      </c>
      <c r="AC380" s="295">
        <f t="shared" si="38"/>
        <v>8.968187157085164E-2</v>
      </c>
      <c r="AD380" s="341">
        <f>VLOOKUP(D380:D818,Pacífico!$A$32:$S$105,19,FALSE)</f>
        <v>3</v>
      </c>
      <c r="AE380" s="353"/>
      <c r="AF380" s="342">
        <f t="shared" si="39"/>
        <v>113154364</v>
      </c>
      <c r="AG380" s="57" t="s">
        <v>27</v>
      </c>
      <c r="AH380" s="58">
        <f t="shared" si="40"/>
        <v>2</v>
      </c>
    </row>
    <row r="381" spans="1:34" ht="16.5" x14ac:dyDescent="0.3">
      <c r="A381" s="134" t="s">
        <v>55</v>
      </c>
      <c r="B381" s="26" t="s">
        <v>522</v>
      </c>
      <c r="C381" s="145" t="s">
        <v>418</v>
      </c>
      <c r="D381" s="112" t="s">
        <v>523</v>
      </c>
      <c r="E381" s="35">
        <v>302249</v>
      </c>
      <c r="F381" s="33" t="s">
        <v>71</v>
      </c>
      <c r="G381" s="37">
        <v>44544</v>
      </c>
      <c r="H381" s="62">
        <v>193892000</v>
      </c>
      <c r="I381" s="49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66"/>
      <c r="U381" s="50"/>
      <c r="V381" s="50">
        <v>6323700</v>
      </c>
      <c r="W381" s="50"/>
      <c r="X381" s="50">
        <v>10989500</v>
      </c>
      <c r="Y381" s="50"/>
      <c r="Z381" s="51"/>
      <c r="AA381" s="15"/>
      <c r="AB381" s="16">
        <f t="shared" si="37"/>
        <v>17313200</v>
      </c>
      <c r="AC381" s="295">
        <f t="shared" si="38"/>
        <v>8.9293008478947042E-2</v>
      </c>
      <c r="AD381" s="341">
        <f>VLOOKUP(D381:D753,'Eje Cafetero'!$A$34:$S$102,19,FALSE)</f>
        <v>2</v>
      </c>
      <c r="AE381" s="353"/>
      <c r="AF381" s="342">
        <f t="shared" si="39"/>
        <v>176578800</v>
      </c>
      <c r="AG381" s="57" t="s">
        <v>27</v>
      </c>
      <c r="AH381" s="58">
        <f t="shared" si="40"/>
        <v>2</v>
      </c>
    </row>
    <row r="382" spans="1:34" ht="16.5" x14ac:dyDescent="0.3">
      <c r="A382" s="134" t="s">
        <v>49</v>
      </c>
      <c r="B382" s="26" t="s">
        <v>1282</v>
      </c>
      <c r="C382" s="145" t="s">
        <v>418</v>
      </c>
      <c r="D382" s="112" t="s">
        <v>1283</v>
      </c>
      <c r="E382" s="35">
        <v>303785</v>
      </c>
      <c r="F382" s="33" t="s">
        <v>125</v>
      </c>
      <c r="G382" s="37">
        <v>44588</v>
      </c>
      <c r="H382" s="62">
        <v>200000000</v>
      </c>
      <c r="I382" s="49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66"/>
      <c r="U382" s="50"/>
      <c r="V382" s="50"/>
      <c r="W382" s="50">
        <v>6420000</v>
      </c>
      <c r="X382" s="50">
        <v>11400000</v>
      </c>
      <c r="Y382" s="50"/>
      <c r="Z382" s="51"/>
      <c r="AA382" s="15"/>
      <c r="AB382" s="16">
        <f t="shared" si="37"/>
        <v>17820000</v>
      </c>
      <c r="AC382" s="295">
        <f t="shared" si="38"/>
        <v>8.9099999999999999E-2</v>
      </c>
      <c r="AD382" s="341">
        <f>VLOOKUP(D382:D848,Santanderes!$A$21:$S$54,19,FALSE)</f>
        <v>3</v>
      </c>
      <c r="AE382" s="353"/>
      <c r="AF382" s="342">
        <f t="shared" si="39"/>
        <v>182180000</v>
      </c>
      <c r="AG382" s="57" t="s">
        <v>27</v>
      </c>
      <c r="AH382" s="58">
        <f t="shared" si="40"/>
        <v>2</v>
      </c>
    </row>
    <row r="383" spans="1:34" ht="16.5" x14ac:dyDescent="0.3">
      <c r="A383" s="134" t="s">
        <v>49</v>
      </c>
      <c r="B383" s="26" t="s">
        <v>697</v>
      </c>
      <c r="C383" s="145" t="s">
        <v>418</v>
      </c>
      <c r="D383" s="112" t="s">
        <v>698</v>
      </c>
      <c r="E383" s="35">
        <v>302898</v>
      </c>
      <c r="F383" s="33" t="s">
        <v>690</v>
      </c>
      <c r="G383" s="37">
        <v>44544</v>
      </c>
      <c r="H383" s="62">
        <v>200000000</v>
      </c>
      <c r="I383" s="49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66"/>
      <c r="U383" s="50"/>
      <c r="V383" s="50"/>
      <c r="W383" s="50">
        <v>6420000</v>
      </c>
      <c r="X383" s="50">
        <v>10900000</v>
      </c>
      <c r="Y383" s="50"/>
      <c r="Z383" s="51"/>
      <c r="AA383" s="15"/>
      <c r="AB383" s="16">
        <f t="shared" si="37"/>
        <v>17320000</v>
      </c>
      <c r="AC383" s="295">
        <f t="shared" si="38"/>
        <v>8.6599999999999996E-2</v>
      </c>
      <c r="AD383" s="341">
        <f>VLOOKUP(D383:D849,Santanderes!$A$21:$S$54,19,FALSE)</f>
        <v>4</v>
      </c>
      <c r="AE383" s="353"/>
      <c r="AF383" s="342">
        <f t="shared" si="39"/>
        <v>182680000</v>
      </c>
      <c r="AG383" s="57" t="s">
        <v>27</v>
      </c>
      <c r="AH383" s="58">
        <f t="shared" si="40"/>
        <v>2</v>
      </c>
    </row>
    <row r="384" spans="1:34" ht="16.5" x14ac:dyDescent="0.3">
      <c r="A384" s="134" t="s">
        <v>23</v>
      </c>
      <c r="B384" s="23" t="s">
        <v>1168</v>
      </c>
      <c r="C384" s="145" t="s">
        <v>418</v>
      </c>
      <c r="D384" s="112" t="s">
        <v>1169</v>
      </c>
      <c r="E384" s="35">
        <v>303731</v>
      </c>
      <c r="F384" s="32" t="s">
        <v>68</v>
      </c>
      <c r="G384" s="37">
        <v>44588</v>
      </c>
      <c r="H384" s="61">
        <v>198210830</v>
      </c>
      <c r="I384" s="49"/>
      <c r="J384" s="50"/>
      <c r="K384" s="50"/>
      <c r="L384" s="50"/>
      <c r="M384" s="50"/>
      <c r="N384" s="50"/>
      <c r="O384" s="50"/>
      <c r="P384" s="50"/>
      <c r="Q384" s="50"/>
      <c r="R384" s="50"/>
      <c r="S384" s="50">
        <v>6420000</v>
      </c>
      <c r="T384" s="66"/>
      <c r="U384" s="50"/>
      <c r="V384" s="50"/>
      <c r="W384" s="50"/>
      <c r="X384" s="50">
        <v>10700000</v>
      </c>
      <c r="Y384" s="50"/>
      <c r="Z384" s="51"/>
      <c r="AA384" s="15"/>
      <c r="AB384" s="16">
        <f t="shared" si="37"/>
        <v>17120000</v>
      </c>
      <c r="AC384" s="295">
        <f t="shared" si="38"/>
        <v>8.6372677012653651E-2</v>
      </c>
      <c r="AD384" s="341">
        <f>VLOOKUP(D384:D857,Central!$A$29:$R$107,18,FALSE)</f>
        <v>2</v>
      </c>
      <c r="AE384" s="353"/>
      <c r="AF384" s="342">
        <f t="shared" si="39"/>
        <v>181090830</v>
      </c>
      <c r="AG384" s="57" t="s">
        <v>27</v>
      </c>
      <c r="AH384" s="58">
        <f t="shared" si="40"/>
        <v>2</v>
      </c>
    </row>
    <row r="385" spans="1:34" ht="16.5" x14ac:dyDescent="0.3">
      <c r="A385" s="134" t="s">
        <v>23</v>
      </c>
      <c r="B385" s="26" t="s">
        <v>1174</v>
      </c>
      <c r="C385" s="145" t="s">
        <v>418</v>
      </c>
      <c r="D385" s="112" t="s">
        <v>1175</v>
      </c>
      <c r="E385" s="35">
        <v>303786</v>
      </c>
      <c r="F385" s="33" t="s">
        <v>68</v>
      </c>
      <c r="G385" s="37">
        <v>44588</v>
      </c>
      <c r="H385" s="62">
        <v>199798000</v>
      </c>
      <c r="I385" s="49"/>
      <c r="J385" s="50"/>
      <c r="K385" s="50"/>
      <c r="L385" s="50"/>
      <c r="M385" s="50"/>
      <c r="N385" s="50"/>
      <c r="O385" s="50"/>
      <c r="P385" s="50"/>
      <c r="Q385" s="50"/>
      <c r="R385" s="50"/>
      <c r="S385" s="50">
        <v>6420000</v>
      </c>
      <c r="T385" s="66"/>
      <c r="U385" s="50"/>
      <c r="V385" s="50"/>
      <c r="W385" s="50">
        <v>10700000</v>
      </c>
      <c r="X385" s="50"/>
      <c r="Y385" s="50"/>
      <c r="Z385" s="51"/>
      <c r="AA385" s="15"/>
      <c r="AB385" s="16">
        <f t="shared" si="37"/>
        <v>17120000</v>
      </c>
      <c r="AC385" s="295">
        <f t="shared" si="38"/>
        <v>8.5686543408842936E-2</v>
      </c>
      <c r="AD385" s="341">
        <f>VLOOKUP(D385:D858,Central!$A$29:$R$107,18,FALSE)</f>
        <v>1</v>
      </c>
      <c r="AE385" s="353"/>
      <c r="AF385" s="342">
        <f t="shared" si="39"/>
        <v>182678000</v>
      </c>
      <c r="AG385" s="57" t="s">
        <v>27</v>
      </c>
      <c r="AH385" s="58">
        <f t="shared" si="40"/>
        <v>2</v>
      </c>
    </row>
    <row r="386" spans="1:34" ht="16.5" x14ac:dyDescent="0.3">
      <c r="A386" s="134" t="s">
        <v>23</v>
      </c>
      <c r="B386" s="26" t="s">
        <v>682</v>
      </c>
      <c r="C386" s="145" t="s">
        <v>418</v>
      </c>
      <c r="D386" s="112" t="s">
        <v>683</v>
      </c>
      <c r="E386" s="35">
        <v>303100</v>
      </c>
      <c r="F386" s="33" t="s">
        <v>68</v>
      </c>
      <c r="G386" s="37">
        <v>44544</v>
      </c>
      <c r="H386" s="62">
        <v>199973636</v>
      </c>
      <c r="I386" s="49"/>
      <c r="J386" s="50"/>
      <c r="K386" s="50"/>
      <c r="L386" s="50"/>
      <c r="M386" s="50"/>
      <c r="N386" s="50"/>
      <c r="O386" s="50"/>
      <c r="P386" s="50"/>
      <c r="Q386" s="50"/>
      <c r="R386" s="50"/>
      <c r="S386" s="50">
        <v>6420000</v>
      </c>
      <c r="T386" s="66"/>
      <c r="U386" s="50"/>
      <c r="V386" s="50"/>
      <c r="W386" s="50"/>
      <c r="X386" s="50">
        <v>10700000</v>
      </c>
      <c r="Y386" s="50"/>
      <c r="Z386" s="51"/>
      <c r="AA386" s="15"/>
      <c r="AB386" s="16">
        <f t="shared" si="37"/>
        <v>17120000</v>
      </c>
      <c r="AC386" s="295">
        <f t="shared" si="38"/>
        <v>8.5611285279625554E-2</v>
      </c>
      <c r="AD386" s="341">
        <f>VLOOKUP(D386:D859,Central!$A$29:$R$107,18,FALSE)</f>
        <v>1</v>
      </c>
      <c r="AE386" s="353"/>
      <c r="AF386" s="342">
        <f t="shared" si="39"/>
        <v>182853636</v>
      </c>
      <c r="AG386" s="57" t="s">
        <v>27</v>
      </c>
      <c r="AH386" s="58">
        <f t="shared" si="40"/>
        <v>2</v>
      </c>
    </row>
    <row r="387" spans="1:34" ht="16.5" x14ac:dyDescent="0.3">
      <c r="A387" s="134" t="s">
        <v>28</v>
      </c>
      <c r="B387" s="26" t="s">
        <v>910</v>
      </c>
      <c r="C387" s="145" t="s">
        <v>418</v>
      </c>
      <c r="D387" s="112" t="s">
        <v>911</v>
      </c>
      <c r="E387" s="35">
        <v>303250</v>
      </c>
      <c r="F387" s="33" t="s">
        <v>447</v>
      </c>
      <c r="G387" s="37">
        <v>44588</v>
      </c>
      <c r="H387" s="62">
        <v>199978000</v>
      </c>
      <c r="I387" s="49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66"/>
      <c r="U387" s="50">
        <v>6420000</v>
      </c>
      <c r="V387" s="50"/>
      <c r="W387" s="50"/>
      <c r="X387" s="50">
        <v>10700000</v>
      </c>
      <c r="Y387" s="50"/>
      <c r="Z387" s="51"/>
      <c r="AA387" s="15"/>
      <c r="AB387" s="16">
        <f t="shared" si="37"/>
        <v>17120000</v>
      </c>
      <c r="AC387" s="295">
        <f t="shared" si="38"/>
        <v>8.560941703587395E-2</v>
      </c>
      <c r="AD387" s="341">
        <f>VLOOKUP(D387:D825,Pacífico!$A$32:$S$105,19,FALSE)</f>
        <v>3</v>
      </c>
      <c r="AE387" s="353"/>
      <c r="AF387" s="342">
        <f t="shared" si="39"/>
        <v>182858000</v>
      </c>
      <c r="AG387" s="57" t="s">
        <v>27</v>
      </c>
      <c r="AH387" s="58">
        <f t="shared" si="40"/>
        <v>2</v>
      </c>
    </row>
    <row r="388" spans="1:34" ht="16.5" x14ac:dyDescent="0.3">
      <c r="A388" s="134" t="s">
        <v>55</v>
      </c>
      <c r="B388" s="26" t="s">
        <v>1016</v>
      </c>
      <c r="C388" s="145" t="s">
        <v>418</v>
      </c>
      <c r="D388" s="112" t="s">
        <v>1017</v>
      </c>
      <c r="E388" s="35">
        <v>303888</v>
      </c>
      <c r="F388" s="33" t="s">
        <v>128</v>
      </c>
      <c r="G388" s="37">
        <v>44588</v>
      </c>
      <c r="H388" s="62">
        <v>200000000</v>
      </c>
      <c r="I388" s="49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66"/>
      <c r="U388" s="50"/>
      <c r="V388" s="50"/>
      <c r="W388" s="50"/>
      <c r="X388" s="50">
        <v>17120000</v>
      </c>
      <c r="Y388" s="50"/>
      <c r="Z388" s="51"/>
      <c r="AA388" s="15"/>
      <c r="AB388" s="16">
        <f t="shared" si="37"/>
        <v>17120000</v>
      </c>
      <c r="AC388" s="295">
        <f t="shared" si="38"/>
        <v>8.5599999999999996E-2</v>
      </c>
      <c r="AD388" s="341">
        <f>VLOOKUP(D388:D760,'Eje Cafetero'!$A$34:$S$102,19,FALSE)</f>
        <v>2</v>
      </c>
      <c r="AE388" s="353"/>
      <c r="AF388" s="342">
        <f t="shared" si="39"/>
        <v>182880000</v>
      </c>
      <c r="AG388" s="57" t="s">
        <v>27</v>
      </c>
      <c r="AH388" s="58">
        <f t="shared" si="40"/>
        <v>1</v>
      </c>
    </row>
    <row r="389" spans="1:34" ht="16.5" x14ac:dyDescent="0.3">
      <c r="A389" s="134" t="s">
        <v>105</v>
      </c>
      <c r="B389" s="23" t="s">
        <v>771</v>
      </c>
      <c r="C389" s="145" t="s">
        <v>418</v>
      </c>
      <c r="D389" s="112" t="s">
        <v>772</v>
      </c>
      <c r="E389" s="35">
        <v>302617</v>
      </c>
      <c r="F389" s="32" t="s">
        <v>108</v>
      </c>
      <c r="G389" s="37">
        <v>44544</v>
      </c>
      <c r="H389" s="61">
        <v>200000000</v>
      </c>
      <c r="I389" s="49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66"/>
      <c r="U389" s="50"/>
      <c r="V389" s="50">
        <v>6420000</v>
      </c>
      <c r="W389" s="50">
        <v>4000000</v>
      </c>
      <c r="X389" s="50">
        <v>6454250</v>
      </c>
      <c r="Y389" s="50"/>
      <c r="Z389" s="51"/>
      <c r="AA389" s="15"/>
      <c r="AB389" s="16">
        <f t="shared" si="37"/>
        <v>16874250</v>
      </c>
      <c r="AC389" s="295">
        <f t="shared" si="38"/>
        <v>8.4371249999999995E-2</v>
      </c>
      <c r="AD389" s="341">
        <f>VLOOKUP(D389:D763,Llanos!$A$28:$S$82,19,FALSE)</f>
        <v>3</v>
      </c>
      <c r="AE389" s="353"/>
      <c r="AF389" s="342">
        <f t="shared" si="39"/>
        <v>183125750</v>
      </c>
      <c r="AG389" s="57" t="s">
        <v>27</v>
      </c>
      <c r="AH389" s="58">
        <f t="shared" si="40"/>
        <v>3</v>
      </c>
    </row>
    <row r="390" spans="1:34" ht="16.5" x14ac:dyDescent="0.3">
      <c r="A390" s="134" t="s">
        <v>23</v>
      </c>
      <c r="B390" s="26" t="s">
        <v>1180</v>
      </c>
      <c r="C390" s="145" t="s">
        <v>418</v>
      </c>
      <c r="D390" s="112" t="s">
        <v>1181</v>
      </c>
      <c r="E390" s="35">
        <v>303663</v>
      </c>
      <c r="F390" s="33" t="s">
        <v>659</v>
      </c>
      <c r="G390" s="37">
        <v>44588</v>
      </c>
      <c r="H390" s="62">
        <v>200000000</v>
      </c>
      <c r="I390" s="49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66"/>
      <c r="U390" s="50"/>
      <c r="V390" s="50">
        <v>6420000</v>
      </c>
      <c r="W390" s="50">
        <v>10157250</v>
      </c>
      <c r="X390" s="50"/>
      <c r="Y390" s="50"/>
      <c r="Z390" s="51"/>
      <c r="AA390" s="15"/>
      <c r="AB390" s="16">
        <f t="shared" si="37"/>
        <v>16577250</v>
      </c>
      <c r="AC390" s="295">
        <f t="shared" si="38"/>
        <v>8.2886249999999995E-2</v>
      </c>
      <c r="AD390" s="341">
        <f>VLOOKUP(D390:D863,Central!$A$29:$R$107,18,FALSE)</f>
        <v>2</v>
      </c>
      <c r="AE390" s="353"/>
      <c r="AF390" s="342">
        <f t="shared" si="39"/>
        <v>183422750</v>
      </c>
      <c r="AG390" s="57" t="s">
        <v>27</v>
      </c>
      <c r="AH390" s="58">
        <f t="shared" si="40"/>
        <v>2</v>
      </c>
    </row>
    <row r="391" spans="1:34" ht="16.5" x14ac:dyDescent="0.3">
      <c r="A391" s="134" t="s">
        <v>28</v>
      </c>
      <c r="B391" s="26" t="s">
        <v>152</v>
      </c>
      <c r="C391" s="145" t="s">
        <v>418</v>
      </c>
      <c r="D391" s="112" t="s">
        <v>438</v>
      </c>
      <c r="E391" s="35">
        <v>302967</v>
      </c>
      <c r="F391" s="33" t="s">
        <v>81</v>
      </c>
      <c r="G391" s="37">
        <v>44544</v>
      </c>
      <c r="H391" s="62">
        <v>159681000</v>
      </c>
      <c r="I391" s="49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66"/>
      <c r="U391" s="50">
        <v>4938450</v>
      </c>
      <c r="V391" s="50"/>
      <c r="W391" s="50">
        <v>8230750</v>
      </c>
      <c r="X391" s="50"/>
      <c r="Y391" s="50"/>
      <c r="Z391" s="51"/>
      <c r="AA391" s="15"/>
      <c r="AB391" s="16">
        <f t="shared" si="37"/>
        <v>13169200</v>
      </c>
      <c r="AC391" s="295">
        <f t="shared" si="38"/>
        <v>8.2471928407261974E-2</v>
      </c>
      <c r="AD391" s="341">
        <f>VLOOKUP(D391:D829,Pacífico!$A$32:$S$105,19,FALSE)</f>
        <v>3</v>
      </c>
      <c r="AE391" s="353"/>
      <c r="AF391" s="342">
        <f t="shared" si="39"/>
        <v>146511800</v>
      </c>
      <c r="AG391" s="57" t="s">
        <v>27</v>
      </c>
      <c r="AH391" s="58">
        <f t="shared" si="40"/>
        <v>2</v>
      </c>
    </row>
    <row r="392" spans="1:34" ht="16.5" x14ac:dyDescent="0.3">
      <c r="A392" s="134" t="s">
        <v>28</v>
      </c>
      <c r="B392" s="26" t="s">
        <v>970</v>
      </c>
      <c r="C392" s="145" t="s">
        <v>418</v>
      </c>
      <c r="D392" s="112" t="s">
        <v>971</v>
      </c>
      <c r="E392" s="35">
        <v>303866</v>
      </c>
      <c r="F392" s="33" t="s">
        <v>452</v>
      </c>
      <c r="G392" s="37">
        <v>44588</v>
      </c>
      <c r="H392" s="62">
        <v>194662000</v>
      </c>
      <c r="I392" s="49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66"/>
      <c r="U392" s="50"/>
      <c r="V392" s="50">
        <v>6420000</v>
      </c>
      <c r="W392" s="50">
        <v>1817000</v>
      </c>
      <c r="X392" s="50">
        <v>7817000</v>
      </c>
      <c r="Y392" s="50"/>
      <c r="Z392" s="51"/>
      <c r="AA392" s="15"/>
      <c r="AB392" s="16">
        <f t="shared" si="37"/>
        <v>16054000</v>
      </c>
      <c r="AC392" s="295">
        <f t="shared" si="38"/>
        <v>8.2471155130431212E-2</v>
      </c>
      <c r="AD392" s="341">
        <f>VLOOKUP(D392:D830,Pacífico!$A$32:$S$105,19,FALSE)</f>
        <v>3</v>
      </c>
      <c r="AE392" s="353"/>
      <c r="AF392" s="342">
        <f t="shared" si="39"/>
        <v>178608000</v>
      </c>
      <c r="AG392" s="57" t="s">
        <v>27</v>
      </c>
      <c r="AH392" s="58">
        <f t="shared" si="40"/>
        <v>3</v>
      </c>
    </row>
    <row r="393" spans="1:34" ht="16.5" x14ac:dyDescent="0.3">
      <c r="A393" s="134" t="s">
        <v>49</v>
      </c>
      <c r="B393" s="26" t="s">
        <v>723</v>
      </c>
      <c r="C393" s="145" t="s">
        <v>418</v>
      </c>
      <c r="D393" s="112" t="s">
        <v>724</v>
      </c>
      <c r="E393" s="35">
        <v>302777</v>
      </c>
      <c r="F393" s="33" t="s">
        <v>125</v>
      </c>
      <c r="G393" s="37">
        <v>44544</v>
      </c>
      <c r="H393" s="62">
        <v>180000000</v>
      </c>
      <c r="I393" s="49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66"/>
      <c r="U393" s="50"/>
      <c r="V393" s="50"/>
      <c r="W393" s="50">
        <v>6420000</v>
      </c>
      <c r="X393" s="50">
        <v>8300000</v>
      </c>
      <c r="Y393" s="50"/>
      <c r="Z393" s="51"/>
      <c r="AA393" s="15"/>
      <c r="AB393" s="16">
        <f t="shared" si="37"/>
        <v>14720000</v>
      </c>
      <c r="AC393" s="295">
        <f t="shared" si="38"/>
        <v>8.1777777777777783E-2</v>
      </c>
      <c r="AD393" s="341">
        <f>VLOOKUP(D393:D859,Santanderes!$A$21:$S$54,19,FALSE)</f>
        <v>4</v>
      </c>
      <c r="AE393" s="353"/>
      <c r="AF393" s="342">
        <f t="shared" si="39"/>
        <v>165280000</v>
      </c>
      <c r="AG393" s="57" t="s">
        <v>27</v>
      </c>
      <c r="AH393" s="58">
        <f t="shared" si="40"/>
        <v>2</v>
      </c>
    </row>
    <row r="394" spans="1:34" ht="16.5" x14ac:dyDescent="0.3">
      <c r="A394" s="134" t="s">
        <v>55</v>
      </c>
      <c r="B394" s="26" t="s">
        <v>1018</v>
      </c>
      <c r="C394" s="145" t="s">
        <v>418</v>
      </c>
      <c r="D394" s="112" t="s">
        <v>1019</v>
      </c>
      <c r="E394" s="35">
        <v>303899</v>
      </c>
      <c r="F394" s="33" t="s">
        <v>457</v>
      </c>
      <c r="G394" s="37">
        <v>44588</v>
      </c>
      <c r="H394" s="62">
        <v>150000000</v>
      </c>
      <c r="I394" s="49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66"/>
      <c r="U394" s="50"/>
      <c r="V394" s="50">
        <v>6420000</v>
      </c>
      <c r="W394" s="50"/>
      <c r="X394" s="50">
        <v>5000000</v>
      </c>
      <c r="Y394" s="50"/>
      <c r="Z394" s="51"/>
      <c r="AA394" s="15"/>
      <c r="AB394" s="16">
        <f t="shared" si="37"/>
        <v>11420000</v>
      </c>
      <c r="AC394" s="295">
        <f t="shared" si="38"/>
        <v>7.6133333333333331E-2</v>
      </c>
      <c r="AD394" s="341">
        <f>VLOOKUP(D394:D766,'Eje Cafetero'!$A$34:$S$102,19,FALSE)</f>
        <v>3</v>
      </c>
      <c r="AE394" s="353"/>
      <c r="AF394" s="342">
        <f t="shared" si="39"/>
        <v>138580000</v>
      </c>
      <c r="AG394" s="57" t="s">
        <v>27</v>
      </c>
      <c r="AH394" s="58">
        <f t="shared" si="40"/>
        <v>2</v>
      </c>
    </row>
    <row r="395" spans="1:34" ht="16.5" x14ac:dyDescent="0.3">
      <c r="A395" s="134" t="s">
        <v>49</v>
      </c>
      <c r="B395" s="26" t="s">
        <v>1276</v>
      </c>
      <c r="C395" s="145" t="s">
        <v>418</v>
      </c>
      <c r="D395" s="112" t="s">
        <v>1277</v>
      </c>
      <c r="E395" s="35">
        <v>303402</v>
      </c>
      <c r="F395" s="33" t="s">
        <v>690</v>
      </c>
      <c r="G395" s="37">
        <v>44588</v>
      </c>
      <c r="H395" s="62">
        <v>200000000</v>
      </c>
      <c r="I395" s="49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66"/>
      <c r="U395" s="50"/>
      <c r="V395" s="50"/>
      <c r="W395" s="50"/>
      <c r="X395" s="50">
        <v>15020000</v>
      </c>
      <c r="Y395" s="50"/>
      <c r="Z395" s="51"/>
      <c r="AA395" s="15"/>
      <c r="AB395" s="16">
        <f t="shared" si="37"/>
        <v>15020000</v>
      </c>
      <c r="AC395" s="295">
        <f t="shared" si="38"/>
        <v>7.51E-2</v>
      </c>
      <c r="AD395" s="341">
        <f>VLOOKUP(D395:D861,Santanderes!$A$21:$S$54,19,FALSE)</f>
        <v>3</v>
      </c>
      <c r="AE395" s="353"/>
      <c r="AF395" s="342">
        <f t="shared" si="39"/>
        <v>184980000</v>
      </c>
      <c r="AG395" s="57" t="s">
        <v>27</v>
      </c>
      <c r="AH395" s="58">
        <f t="shared" si="40"/>
        <v>1</v>
      </c>
    </row>
    <row r="396" spans="1:34" ht="16.5" x14ac:dyDescent="0.3">
      <c r="A396" s="134" t="s">
        <v>105</v>
      </c>
      <c r="B396" s="26" t="s">
        <v>1318</v>
      </c>
      <c r="C396" s="145" t="s">
        <v>418</v>
      </c>
      <c r="D396" s="112" t="s">
        <v>1319</v>
      </c>
      <c r="E396" s="35">
        <v>303496</v>
      </c>
      <c r="F396" s="33" t="s">
        <v>131</v>
      </c>
      <c r="G396" s="37">
        <v>44588</v>
      </c>
      <c r="H396" s="62">
        <v>180000000</v>
      </c>
      <c r="I396" s="49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66">
        <v>6420000</v>
      </c>
      <c r="U396" s="50"/>
      <c r="V396" s="50"/>
      <c r="W396" s="50"/>
      <c r="X396" s="50">
        <v>7000000</v>
      </c>
      <c r="Y396" s="50"/>
      <c r="Z396" s="51"/>
      <c r="AA396" s="15"/>
      <c r="AB396" s="16">
        <f t="shared" si="37"/>
        <v>13420000</v>
      </c>
      <c r="AC396" s="295">
        <f t="shared" si="38"/>
        <v>7.4555555555555555E-2</v>
      </c>
      <c r="AD396" s="341">
        <f>VLOOKUP(D396:D770,Llanos!$A$28:$S$82,19,FALSE)</f>
        <v>3</v>
      </c>
      <c r="AE396" s="353"/>
      <c r="AF396" s="342">
        <f t="shared" si="39"/>
        <v>166580000</v>
      </c>
      <c r="AG396" s="57" t="s">
        <v>27</v>
      </c>
      <c r="AH396" s="58">
        <f t="shared" si="40"/>
        <v>2</v>
      </c>
    </row>
    <row r="397" spans="1:34" ht="16.5" x14ac:dyDescent="0.3">
      <c r="A397" s="134" t="s">
        <v>23</v>
      </c>
      <c r="B397" s="26" t="s">
        <v>1210</v>
      </c>
      <c r="C397" s="145" t="s">
        <v>418</v>
      </c>
      <c r="D397" s="112" t="s">
        <v>1211</v>
      </c>
      <c r="E397" s="35">
        <v>303783</v>
      </c>
      <c r="F397" s="33" t="s">
        <v>191</v>
      </c>
      <c r="G397" s="37">
        <v>44588</v>
      </c>
      <c r="H397" s="62">
        <v>183049000</v>
      </c>
      <c r="I397" s="49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66"/>
      <c r="U397" s="50"/>
      <c r="V397" s="50">
        <v>6420000</v>
      </c>
      <c r="W397" s="50"/>
      <c r="X397" s="50">
        <v>7000000</v>
      </c>
      <c r="Y397" s="50"/>
      <c r="Z397" s="51"/>
      <c r="AA397" s="15"/>
      <c r="AB397" s="16">
        <f t="shared" si="37"/>
        <v>13420000</v>
      </c>
      <c r="AC397" s="295">
        <f t="shared" si="38"/>
        <v>7.3313702888297666E-2</v>
      </c>
      <c r="AD397" s="341">
        <f>VLOOKUP(D397:D870,Central!$A$29:$R$107,18,FALSE)</f>
        <v>2</v>
      </c>
      <c r="AE397" s="353"/>
      <c r="AF397" s="342">
        <f t="shared" si="39"/>
        <v>169629000</v>
      </c>
      <c r="AG397" s="57" t="s">
        <v>27</v>
      </c>
      <c r="AH397" s="58">
        <f t="shared" si="40"/>
        <v>2</v>
      </c>
    </row>
    <row r="398" spans="1:34" ht="16.5" x14ac:dyDescent="0.3">
      <c r="A398" s="134" t="s">
        <v>89</v>
      </c>
      <c r="B398" s="26" t="s">
        <v>1138</v>
      </c>
      <c r="C398" s="145" t="s">
        <v>418</v>
      </c>
      <c r="D398" s="112" t="s">
        <v>1139</v>
      </c>
      <c r="E398" s="35">
        <v>303833</v>
      </c>
      <c r="F398" s="33" t="s">
        <v>92</v>
      </c>
      <c r="G398" s="37">
        <v>44588</v>
      </c>
      <c r="H398" s="62">
        <v>200000000</v>
      </c>
      <c r="I398" s="49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66"/>
      <c r="U398" s="50"/>
      <c r="V398" s="50"/>
      <c r="W398" s="50">
        <v>6725500</v>
      </c>
      <c r="X398" s="50">
        <v>7200000</v>
      </c>
      <c r="Y398" s="50"/>
      <c r="Z398" s="51"/>
      <c r="AA398" s="15"/>
      <c r="AB398" s="16">
        <f t="shared" si="37"/>
        <v>13925500</v>
      </c>
      <c r="AC398" s="295">
        <f t="shared" si="38"/>
        <v>6.9627499999999995E-2</v>
      </c>
      <c r="AD398" s="341">
        <f>VLOOKUP(D398:D466,'Caribe II'!$A$38:$Q$107,17,FALSE)</f>
        <v>2</v>
      </c>
      <c r="AE398" s="353"/>
      <c r="AF398" s="342">
        <f t="shared" si="39"/>
        <v>186074500</v>
      </c>
      <c r="AG398" s="57" t="s">
        <v>27</v>
      </c>
      <c r="AH398" s="58">
        <f t="shared" si="40"/>
        <v>2</v>
      </c>
    </row>
    <row r="399" spans="1:34" ht="16.5" x14ac:dyDescent="0.3">
      <c r="A399" s="134" t="s">
        <v>49</v>
      </c>
      <c r="B399" s="26" t="s">
        <v>729</v>
      </c>
      <c r="C399" s="145" t="s">
        <v>418</v>
      </c>
      <c r="D399" s="112" t="s">
        <v>730</v>
      </c>
      <c r="E399" s="35">
        <v>303242</v>
      </c>
      <c r="F399" s="33" t="s">
        <v>690</v>
      </c>
      <c r="G399" s="37">
        <v>44544</v>
      </c>
      <c r="H399" s="62">
        <v>190000000</v>
      </c>
      <c r="I399" s="49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66"/>
      <c r="U399" s="50"/>
      <c r="V399" s="50"/>
      <c r="W399" s="50">
        <v>12220000</v>
      </c>
      <c r="X399" s="50">
        <v>879000</v>
      </c>
      <c r="Y399" s="50"/>
      <c r="Z399" s="51"/>
      <c r="AA399" s="15"/>
      <c r="AB399" s="16">
        <f t="shared" si="37"/>
        <v>13099000</v>
      </c>
      <c r="AC399" s="295">
        <f t="shared" si="38"/>
        <v>6.8942105263157888E-2</v>
      </c>
      <c r="AD399" s="341">
        <f>VLOOKUP(D399:D865,Santanderes!$A$21:$S$54,19,FALSE)</f>
        <v>3</v>
      </c>
      <c r="AE399" s="353"/>
      <c r="AF399" s="342">
        <f t="shared" si="39"/>
        <v>176901000</v>
      </c>
      <c r="AG399" s="57" t="s">
        <v>27</v>
      </c>
      <c r="AH399" s="58">
        <f t="shared" si="40"/>
        <v>2</v>
      </c>
    </row>
    <row r="400" spans="1:34" ht="16.5" x14ac:dyDescent="0.3">
      <c r="A400" s="134" t="s">
        <v>28</v>
      </c>
      <c r="B400" s="26" t="s">
        <v>962</v>
      </c>
      <c r="C400" s="145" t="s">
        <v>418</v>
      </c>
      <c r="D400" s="112" t="s">
        <v>963</v>
      </c>
      <c r="E400" s="35">
        <v>303791</v>
      </c>
      <c r="F400" s="33" t="s">
        <v>452</v>
      </c>
      <c r="G400" s="37">
        <v>44588</v>
      </c>
      <c r="H400" s="62">
        <v>182622000</v>
      </c>
      <c r="I400" s="49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66"/>
      <c r="U400" s="50"/>
      <c r="V400" s="50"/>
      <c r="W400" s="50">
        <v>6420000</v>
      </c>
      <c r="X400" s="50">
        <v>6108500</v>
      </c>
      <c r="Y400" s="50"/>
      <c r="Z400" s="51"/>
      <c r="AA400" s="15"/>
      <c r="AB400" s="16">
        <f t="shared" si="37"/>
        <v>12528500</v>
      </c>
      <c r="AC400" s="295">
        <f t="shared" si="38"/>
        <v>6.8603454129294389E-2</v>
      </c>
      <c r="AD400" s="341">
        <f>VLOOKUP(D400:D838,Pacífico!$A$32:$S$105,19,FALSE)</f>
        <v>3</v>
      </c>
      <c r="AE400" s="353"/>
      <c r="AF400" s="342">
        <f t="shared" si="39"/>
        <v>170093500</v>
      </c>
      <c r="AG400" s="57" t="s">
        <v>27</v>
      </c>
      <c r="AH400" s="58">
        <f t="shared" si="40"/>
        <v>2</v>
      </c>
    </row>
    <row r="401" spans="1:34" ht="16.5" x14ac:dyDescent="0.3">
      <c r="A401" s="134" t="s">
        <v>23</v>
      </c>
      <c r="B401" s="26" t="s">
        <v>1234</v>
      </c>
      <c r="C401" s="145" t="s">
        <v>418</v>
      </c>
      <c r="D401" s="112" t="s">
        <v>1235</v>
      </c>
      <c r="E401" s="35">
        <v>303492</v>
      </c>
      <c r="F401" s="33" t="s">
        <v>659</v>
      </c>
      <c r="G401" s="37">
        <v>44588</v>
      </c>
      <c r="H401" s="62">
        <v>200000000</v>
      </c>
      <c r="I401" s="49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66"/>
      <c r="U401" s="50"/>
      <c r="V401" s="50">
        <v>6420000</v>
      </c>
      <c r="W401" s="50">
        <v>3100000</v>
      </c>
      <c r="X401" s="50">
        <v>4200000</v>
      </c>
      <c r="Y401" s="50"/>
      <c r="Z401" s="51"/>
      <c r="AA401" s="15"/>
      <c r="AB401" s="16">
        <f t="shared" si="37"/>
        <v>13720000</v>
      </c>
      <c r="AC401" s="295">
        <f t="shared" si="38"/>
        <v>6.8599999999999994E-2</v>
      </c>
      <c r="AD401" s="341">
        <f>VLOOKUP(D401:D874,Central!$A$29:$R$107,18,FALSE)</f>
        <v>1</v>
      </c>
      <c r="AE401" s="353"/>
      <c r="AF401" s="342">
        <f t="shared" si="39"/>
        <v>186280000</v>
      </c>
      <c r="AG401" s="57" t="s">
        <v>27</v>
      </c>
      <c r="AH401" s="58">
        <f t="shared" si="40"/>
        <v>3</v>
      </c>
    </row>
    <row r="402" spans="1:34" ht="16.5" x14ac:dyDescent="0.3">
      <c r="A402" s="134" t="s">
        <v>105</v>
      </c>
      <c r="B402" s="26" t="s">
        <v>789</v>
      </c>
      <c r="C402" s="145" t="s">
        <v>418</v>
      </c>
      <c r="D402" s="112" t="s">
        <v>790</v>
      </c>
      <c r="E402" s="35">
        <v>303241</v>
      </c>
      <c r="F402" s="33" t="s">
        <v>118</v>
      </c>
      <c r="G402" s="37">
        <v>44544</v>
      </c>
      <c r="H402" s="62">
        <v>200000000</v>
      </c>
      <c r="I402" s="49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66"/>
      <c r="U402" s="50"/>
      <c r="V402" s="50"/>
      <c r="W402" s="50">
        <v>6420000</v>
      </c>
      <c r="X402" s="50">
        <v>7090200</v>
      </c>
      <c r="Y402" s="50"/>
      <c r="Z402" s="51"/>
      <c r="AA402" s="15"/>
      <c r="AB402" s="16">
        <f t="shared" si="37"/>
        <v>13510200</v>
      </c>
      <c r="AC402" s="295">
        <f t="shared" si="38"/>
        <v>6.7551E-2</v>
      </c>
      <c r="AD402" s="341">
        <f>VLOOKUP(D402:D776,Llanos!$A$28:$S$82,19,FALSE)</f>
        <v>2</v>
      </c>
      <c r="AE402" s="353"/>
      <c r="AF402" s="342">
        <f t="shared" si="39"/>
        <v>186489800</v>
      </c>
      <c r="AG402" s="57" t="s">
        <v>27</v>
      </c>
      <c r="AH402" s="58">
        <f t="shared" si="40"/>
        <v>2</v>
      </c>
    </row>
    <row r="403" spans="1:34" ht="16.5" x14ac:dyDescent="0.3">
      <c r="A403" s="134" t="s">
        <v>28</v>
      </c>
      <c r="B403" s="26" t="s">
        <v>430</v>
      </c>
      <c r="C403" s="145" t="s">
        <v>418</v>
      </c>
      <c r="D403" s="112" t="s">
        <v>431</v>
      </c>
      <c r="E403" s="35">
        <v>302701</v>
      </c>
      <c r="F403" s="33" t="s">
        <v>31</v>
      </c>
      <c r="G403" s="37">
        <v>44544</v>
      </c>
      <c r="H403" s="62">
        <v>195000000</v>
      </c>
      <c r="I403" s="49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66"/>
      <c r="U403" s="50"/>
      <c r="V403" s="50"/>
      <c r="W403" s="50">
        <v>8920000</v>
      </c>
      <c r="X403" s="50">
        <v>4133334</v>
      </c>
      <c r="Y403" s="50"/>
      <c r="Z403" s="51"/>
      <c r="AA403" s="15"/>
      <c r="AB403" s="16">
        <f t="shared" si="37"/>
        <v>13053334</v>
      </c>
      <c r="AC403" s="295">
        <f t="shared" si="38"/>
        <v>6.6940174358974355E-2</v>
      </c>
      <c r="AD403" s="341">
        <f>VLOOKUP(D403:D841,Pacífico!$A$32:$S$105,19,FALSE)</f>
        <v>2</v>
      </c>
      <c r="AE403" s="353"/>
      <c r="AF403" s="342">
        <f t="shared" si="39"/>
        <v>181946666</v>
      </c>
      <c r="AG403" s="57" t="s">
        <v>27</v>
      </c>
      <c r="AH403" s="58">
        <f t="shared" si="40"/>
        <v>2</v>
      </c>
    </row>
    <row r="404" spans="1:34" ht="16.5" x14ac:dyDescent="0.3">
      <c r="A404" s="134" t="s">
        <v>105</v>
      </c>
      <c r="B404" s="23" t="s">
        <v>781</v>
      </c>
      <c r="C404" s="145" t="s">
        <v>418</v>
      </c>
      <c r="D404" s="112" t="s">
        <v>782</v>
      </c>
      <c r="E404" s="35">
        <v>302974</v>
      </c>
      <c r="F404" s="32" t="s">
        <v>317</v>
      </c>
      <c r="G404" s="37">
        <v>44544</v>
      </c>
      <c r="H404" s="61">
        <v>195000000</v>
      </c>
      <c r="I404" s="49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66"/>
      <c r="U404" s="50"/>
      <c r="V404" s="50">
        <v>6420000</v>
      </c>
      <c r="W404" s="50">
        <v>6600000</v>
      </c>
      <c r="X404" s="50"/>
      <c r="Y404" s="50"/>
      <c r="Z404" s="51"/>
      <c r="AA404" s="15"/>
      <c r="AB404" s="16">
        <f t="shared" si="37"/>
        <v>13020000</v>
      </c>
      <c r="AC404" s="295">
        <f t="shared" si="38"/>
        <v>6.6769230769230775E-2</v>
      </c>
      <c r="AD404" s="341">
        <f>VLOOKUP(D404:D778,Llanos!$A$28:$S$82,19,FALSE)</f>
        <v>3</v>
      </c>
      <c r="AE404" s="353"/>
      <c r="AF404" s="342">
        <f t="shared" si="39"/>
        <v>181980000</v>
      </c>
      <c r="AG404" s="57" t="s">
        <v>27</v>
      </c>
      <c r="AH404" s="58">
        <f t="shared" si="40"/>
        <v>2</v>
      </c>
    </row>
    <row r="405" spans="1:34" ht="16.5" x14ac:dyDescent="0.3">
      <c r="A405" s="134" t="s">
        <v>105</v>
      </c>
      <c r="B405" s="23" t="s">
        <v>797</v>
      </c>
      <c r="C405" s="145" t="s">
        <v>418</v>
      </c>
      <c r="D405" s="112" t="s">
        <v>798</v>
      </c>
      <c r="E405" s="35">
        <v>302647</v>
      </c>
      <c r="F405" s="32" t="s">
        <v>118</v>
      </c>
      <c r="G405" s="37">
        <v>44544</v>
      </c>
      <c r="H405" s="61">
        <v>200000000</v>
      </c>
      <c r="I405" s="49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66">
        <v>6420000</v>
      </c>
      <c r="U405" s="50"/>
      <c r="V405" s="50"/>
      <c r="W405" s="50"/>
      <c r="X405" s="50">
        <v>6908500</v>
      </c>
      <c r="Y405" s="50"/>
      <c r="Z405" s="51"/>
      <c r="AA405" s="15"/>
      <c r="AB405" s="16">
        <f t="shared" si="37"/>
        <v>13328500</v>
      </c>
      <c r="AC405" s="295">
        <f t="shared" si="38"/>
        <v>6.6642499999999993E-2</v>
      </c>
      <c r="AD405" s="341">
        <f>VLOOKUP(D405:D779,Llanos!$A$28:$S$82,19,FALSE)</f>
        <v>3</v>
      </c>
      <c r="AE405" s="353"/>
      <c r="AF405" s="342">
        <f t="shared" si="39"/>
        <v>186671500</v>
      </c>
      <c r="AG405" s="57" t="s">
        <v>27</v>
      </c>
      <c r="AH405" s="58">
        <f t="shared" si="40"/>
        <v>2</v>
      </c>
    </row>
    <row r="406" spans="1:34" ht="16.5" x14ac:dyDescent="0.3">
      <c r="A406" s="134" t="s">
        <v>55</v>
      </c>
      <c r="B406" s="23" t="s">
        <v>466</v>
      </c>
      <c r="C406" s="145" t="s">
        <v>418</v>
      </c>
      <c r="D406" s="112" t="s">
        <v>467</v>
      </c>
      <c r="E406" s="35">
        <v>302833</v>
      </c>
      <c r="F406" s="32" t="s">
        <v>128</v>
      </c>
      <c r="G406" s="37">
        <v>44544</v>
      </c>
      <c r="H406" s="61">
        <v>200000000</v>
      </c>
      <c r="I406" s="49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66"/>
      <c r="U406" s="50"/>
      <c r="V406" s="50"/>
      <c r="W406" s="50"/>
      <c r="X406" s="50">
        <v>13328500</v>
      </c>
      <c r="Y406" s="50"/>
      <c r="Z406" s="51"/>
      <c r="AA406" s="15"/>
      <c r="AB406" s="16">
        <f t="shared" si="37"/>
        <v>13328500</v>
      </c>
      <c r="AC406" s="295">
        <f t="shared" si="38"/>
        <v>6.6642499999999993E-2</v>
      </c>
      <c r="AD406" s="341">
        <f>VLOOKUP(D406:D778,'Eje Cafetero'!$A$34:$S$102,19,FALSE)</f>
        <v>3</v>
      </c>
      <c r="AE406" s="353"/>
      <c r="AF406" s="342">
        <f t="shared" si="39"/>
        <v>186671500</v>
      </c>
      <c r="AG406" s="57" t="s">
        <v>27</v>
      </c>
      <c r="AH406" s="58">
        <f t="shared" si="40"/>
        <v>1</v>
      </c>
    </row>
    <row r="407" spans="1:34" ht="16.5" x14ac:dyDescent="0.3">
      <c r="A407" s="134" t="s">
        <v>23</v>
      </c>
      <c r="B407" s="26" t="s">
        <v>1212</v>
      </c>
      <c r="C407" s="145" t="s">
        <v>418</v>
      </c>
      <c r="D407" s="112" t="s">
        <v>1213</v>
      </c>
      <c r="E407" s="35">
        <v>303844</v>
      </c>
      <c r="F407" s="33" t="s">
        <v>191</v>
      </c>
      <c r="G407" s="37">
        <v>44588</v>
      </c>
      <c r="H407" s="62">
        <v>145744300</v>
      </c>
      <c r="I407" s="49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66"/>
      <c r="U407" s="50"/>
      <c r="V407" s="50">
        <v>6420000</v>
      </c>
      <c r="W407" s="50">
        <v>908500</v>
      </c>
      <c r="X407" s="50">
        <v>2250000</v>
      </c>
      <c r="Y407" s="50"/>
      <c r="Z407" s="51"/>
      <c r="AA407" s="15"/>
      <c r="AB407" s="16">
        <f t="shared" si="37"/>
        <v>9578500</v>
      </c>
      <c r="AC407" s="295">
        <f t="shared" si="38"/>
        <v>6.5721266629295283E-2</v>
      </c>
      <c r="AD407" s="341">
        <f>VLOOKUP(D407:D880,Central!$A$29:$R$107,18,FALSE)</f>
        <v>1</v>
      </c>
      <c r="AE407" s="353"/>
      <c r="AF407" s="342">
        <f t="shared" si="39"/>
        <v>136165800</v>
      </c>
      <c r="AG407" s="57" t="s">
        <v>27</v>
      </c>
      <c r="AH407" s="58">
        <f t="shared" si="40"/>
        <v>3</v>
      </c>
    </row>
    <row r="408" spans="1:34" ht="16.5" x14ac:dyDescent="0.3">
      <c r="A408" s="134" t="s">
        <v>28</v>
      </c>
      <c r="B408" s="26" t="s">
        <v>890</v>
      </c>
      <c r="C408" s="145" t="s">
        <v>418</v>
      </c>
      <c r="D408" s="112" t="s">
        <v>891</v>
      </c>
      <c r="E408" s="35">
        <v>303374</v>
      </c>
      <c r="F408" s="33" t="s">
        <v>81</v>
      </c>
      <c r="G408" s="37">
        <v>44588</v>
      </c>
      <c r="H408" s="62">
        <v>200000000</v>
      </c>
      <c r="I408" s="49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66"/>
      <c r="U408" s="50"/>
      <c r="V408" s="50">
        <v>4800000</v>
      </c>
      <c r="W408" s="50"/>
      <c r="X408" s="50">
        <v>8000000</v>
      </c>
      <c r="Y408" s="50"/>
      <c r="Z408" s="51"/>
      <c r="AA408" s="15"/>
      <c r="AB408" s="16">
        <f t="shared" si="37"/>
        <v>12800000</v>
      </c>
      <c r="AC408" s="295">
        <f t="shared" si="38"/>
        <v>6.4000000000000001E-2</v>
      </c>
      <c r="AD408" s="341">
        <f>VLOOKUP(D408:D846,Pacífico!$A$32:$S$105,19,FALSE)</f>
        <v>2</v>
      </c>
      <c r="AE408" s="353"/>
      <c r="AF408" s="342">
        <f t="shared" si="39"/>
        <v>187200000</v>
      </c>
      <c r="AG408" s="57" t="s">
        <v>27</v>
      </c>
      <c r="AH408" s="58">
        <f t="shared" si="40"/>
        <v>2</v>
      </c>
    </row>
    <row r="409" spans="1:34" ht="16.5" x14ac:dyDescent="0.3">
      <c r="A409" s="134" t="s">
        <v>89</v>
      </c>
      <c r="B409" s="23" t="s">
        <v>631</v>
      </c>
      <c r="C409" s="145" t="s">
        <v>418</v>
      </c>
      <c r="D409" s="112" t="s">
        <v>632</v>
      </c>
      <c r="E409" s="35">
        <v>302872</v>
      </c>
      <c r="F409" s="32" t="s">
        <v>622</v>
      </c>
      <c r="G409" s="37">
        <v>44544</v>
      </c>
      <c r="H409" s="61">
        <v>200000000</v>
      </c>
      <c r="I409" s="49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66"/>
      <c r="U409" s="50"/>
      <c r="V409" s="50">
        <v>4800000</v>
      </c>
      <c r="W409" s="50">
        <v>1986416</v>
      </c>
      <c r="X409" s="50">
        <v>5986416</v>
      </c>
      <c r="Y409" s="50"/>
      <c r="Z409" s="51"/>
      <c r="AA409" s="15"/>
      <c r="AB409" s="16">
        <f t="shared" si="37"/>
        <v>12772832</v>
      </c>
      <c r="AC409" s="295">
        <f t="shared" si="38"/>
        <v>6.3864160000000003E-2</v>
      </c>
      <c r="AD409" s="341">
        <f>VLOOKUP(D409:D477,'Caribe II'!$A$38:$Q$107,17,FALSE)</f>
        <v>2</v>
      </c>
      <c r="AE409" s="353"/>
      <c r="AF409" s="342">
        <f t="shared" si="39"/>
        <v>187227168</v>
      </c>
      <c r="AG409" s="57" t="s">
        <v>27</v>
      </c>
      <c r="AH409" s="58">
        <f t="shared" si="40"/>
        <v>3</v>
      </c>
    </row>
    <row r="410" spans="1:34" ht="16.5" x14ac:dyDescent="0.3">
      <c r="A410" s="134" t="s">
        <v>28</v>
      </c>
      <c r="B410" s="23" t="s">
        <v>972</v>
      </c>
      <c r="C410" s="145" t="s">
        <v>418</v>
      </c>
      <c r="D410" s="112" t="s">
        <v>973</v>
      </c>
      <c r="E410" s="35">
        <v>303843</v>
      </c>
      <c r="F410" s="32" t="s">
        <v>452</v>
      </c>
      <c r="G410" s="37">
        <v>44588</v>
      </c>
      <c r="H410" s="61">
        <v>183641000</v>
      </c>
      <c r="I410" s="49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66"/>
      <c r="U410" s="50"/>
      <c r="V410" s="50">
        <v>6426000</v>
      </c>
      <c r="W410" s="50">
        <v>1090200</v>
      </c>
      <c r="X410" s="50">
        <v>4055400</v>
      </c>
      <c r="Y410" s="50"/>
      <c r="Z410" s="51"/>
      <c r="AA410" s="15"/>
      <c r="AB410" s="16">
        <f t="shared" si="37"/>
        <v>11571600</v>
      </c>
      <c r="AC410" s="295">
        <f t="shared" si="38"/>
        <v>6.3012072467477309E-2</v>
      </c>
      <c r="AD410" s="341">
        <f>VLOOKUP(D410:D848,Pacífico!$A$32:$S$105,19,FALSE)</f>
        <v>3</v>
      </c>
      <c r="AE410" s="353"/>
      <c r="AF410" s="342">
        <f t="shared" si="39"/>
        <v>172069400</v>
      </c>
      <c r="AG410" s="57" t="s">
        <v>27</v>
      </c>
      <c r="AH410" s="58">
        <f t="shared" si="40"/>
        <v>3</v>
      </c>
    </row>
    <row r="411" spans="1:34" ht="16.5" x14ac:dyDescent="0.3">
      <c r="A411" s="134" t="s">
        <v>89</v>
      </c>
      <c r="B411" s="26" t="s">
        <v>635</v>
      </c>
      <c r="C411" s="145" t="s">
        <v>418</v>
      </c>
      <c r="D411" s="112" t="s">
        <v>636</v>
      </c>
      <c r="E411" s="35">
        <v>303095</v>
      </c>
      <c r="F411" s="33" t="s">
        <v>622</v>
      </c>
      <c r="G411" s="37">
        <v>44544</v>
      </c>
      <c r="H411" s="62">
        <v>189695000</v>
      </c>
      <c r="I411" s="49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66"/>
      <c r="U411" s="50"/>
      <c r="V411" s="50"/>
      <c r="W411" s="50"/>
      <c r="X411" s="50">
        <v>11828500</v>
      </c>
      <c r="Y411" s="50"/>
      <c r="Z411" s="51"/>
      <c r="AA411" s="15"/>
      <c r="AB411" s="16">
        <f t="shared" si="37"/>
        <v>11828500</v>
      </c>
      <c r="AC411" s="295">
        <f t="shared" si="38"/>
        <v>6.2355359919871373E-2</v>
      </c>
      <c r="AD411" s="341">
        <f>VLOOKUP(D411:D479,'Caribe II'!$A$38:$Q$107,17,FALSE)</f>
        <v>2</v>
      </c>
      <c r="AE411" s="353"/>
      <c r="AF411" s="342">
        <f t="shared" si="39"/>
        <v>177866500</v>
      </c>
      <c r="AG411" s="57" t="s">
        <v>27</v>
      </c>
      <c r="AH411" s="58">
        <f t="shared" si="40"/>
        <v>1</v>
      </c>
    </row>
    <row r="412" spans="1:34" ht="16.5" x14ac:dyDescent="0.3">
      <c r="A412" s="134" t="s">
        <v>49</v>
      </c>
      <c r="B412" s="26" t="s">
        <v>703</v>
      </c>
      <c r="C412" s="145" t="s">
        <v>418</v>
      </c>
      <c r="D412" s="112" t="s">
        <v>704</v>
      </c>
      <c r="E412" s="35">
        <v>302901</v>
      </c>
      <c r="F412" s="33" t="s">
        <v>125</v>
      </c>
      <c r="G412" s="37">
        <v>44544</v>
      </c>
      <c r="H412" s="62">
        <v>200000000</v>
      </c>
      <c r="I412" s="49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66"/>
      <c r="U412" s="50"/>
      <c r="V412" s="50">
        <v>6420000</v>
      </c>
      <c r="W412" s="50">
        <v>6000000</v>
      </c>
      <c r="X412" s="50"/>
      <c r="Y412" s="50"/>
      <c r="Z412" s="51"/>
      <c r="AA412" s="15"/>
      <c r="AB412" s="16">
        <f t="shared" si="37"/>
        <v>12420000</v>
      </c>
      <c r="AC412" s="295">
        <f t="shared" si="38"/>
        <v>6.2100000000000002E-2</v>
      </c>
      <c r="AD412" s="341">
        <f>VLOOKUP(D412:D878,Santanderes!$A$21:$S$54,19,FALSE)</f>
        <v>4</v>
      </c>
      <c r="AE412" s="353"/>
      <c r="AF412" s="342">
        <f t="shared" si="39"/>
        <v>187580000</v>
      </c>
      <c r="AG412" s="57" t="s">
        <v>27</v>
      </c>
      <c r="AH412" s="58">
        <f t="shared" si="40"/>
        <v>2</v>
      </c>
    </row>
    <row r="413" spans="1:34" ht="16.5" x14ac:dyDescent="0.3">
      <c r="A413" s="134" t="s">
        <v>55</v>
      </c>
      <c r="B413" s="23" t="s">
        <v>986</v>
      </c>
      <c r="C413" s="145" t="s">
        <v>418</v>
      </c>
      <c r="D413" s="112" t="s">
        <v>987</v>
      </c>
      <c r="E413" s="35">
        <v>303352</v>
      </c>
      <c r="F413" s="32" t="s">
        <v>58</v>
      </c>
      <c r="G413" s="37">
        <v>44588</v>
      </c>
      <c r="H413" s="61">
        <v>200000000</v>
      </c>
      <c r="I413" s="49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66"/>
      <c r="U413" s="50"/>
      <c r="V413" s="50"/>
      <c r="W413" s="50"/>
      <c r="X413" s="50">
        <v>11920000</v>
      </c>
      <c r="Y413" s="50"/>
      <c r="Z413" s="51"/>
      <c r="AA413" s="15"/>
      <c r="AB413" s="16">
        <f t="shared" si="37"/>
        <v>11920000</v>
      </c>
      <c r="AC413" s="295">
        <f t="shared" si="38"/>
        <v>5.96E-2</v>
      </c>
      <c r="AD413" s="341">
        <f>VLOOKUP(D413:D785,'Eje Cafetero'!$A$34:$S$102,19,FALSE)</f>
        <v>2</v>
      </c>
      <c r="AE413" s="353"/>
      <c r="AF413" s="342">
        <f t="shared" si="39"/>
        <v>188080000</v>
      </c>
      <c r="AG413" s="57" t="s">
        <v>27</v>
      </c>
      <c r="AH413" s="58">
        <f t="shared" si="40"/>
        <v>1</v>
      </c>
    </row>
    <row r="414" spans="1:34" ht="16.5" x14ac:dyDescent="0.3">
      <c r="A414" s="134" t="s">
        <v>23</v>
      </c>
      <c r="B414" s="26" t="s">
        <v>1206</v>
      </c>
      <c r="C414" s="145" t="s">
        <v>418</v>
      </c>
      <c r="D414" s="112" t="s">
        <v>1207</v>
      </c>
      <c r="E414" s="35">
        <v>303858</v>
      </c>
      <c r="F414" s="33" t="s">
        <v>191</v>
      </c>
      <c r="G414" s="37">
        <v>44588</v>
      </c>
      <c r="H414" s="62">
        <v>192333000</v>
      </c>
      <c r="I414" s="49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66"/>
      <c r="U414" s="50"/>
      <c r="V414" s="50">
        <v>6420000</v>
      </c>
      <c r="W414" s="50">
        <v>908500</v>
      </c>
      <c r="X414" s="50">
        <v>4000000</v>
      </c>
      <c r="Y414" s="50"/>
      <c r="Z414" s="51"/>
      <c r="AA414" s="15"/>
      <c r="AB414" s="16">
        <f t="shared" si="37"/>
        <v>11328500</v>
      </c>
      <c r="AC414" s="295">
        <f t="shared" si="38"/>
        <v>5.8900448700950958E-2</v>
      </c>
      <c r="AD414" s="341">
        <f>VLOOKUP(D414:D887,Central!$A$29:$R$107,18,FALSE)</f>
        <v>1</v>
      </c>
      <c r="AE414" s="353"/>
      <c r="AF414" s="342">
        <f t="shared" si="39"/>
        <v>181004500</v>
      </c>
      <c r="AG414" s="57" t="s">
        <v>27</v>
      </c>
      <c r="AH414" s="58">
        <f t="shared" si="40"/>
        <v>3</v>
      </c>
    </row>
    <row r="415" spans="1:34" ht="16.5" x14ac:dyDescent="0.3">
      <c r="A415" s="134" t="s">
        <v>28</v>
      </c>
      <c r="B415" s="26" t="s">
        <v>934</v>
      </c>
      <c r="C415" s="145" t="s">
        <v>418</v>
      </c>
      <c r="D415" s="112" t="s">
        <v>935</v>
      </c>
      <c r="E415" s="35">
        <v>303865</v>
      </c>
      <c r="F415" s="33" t="s">
        <v>452</v>
      </c>
      <c r="G415" s="37">
        <v>44588</v>
      </c>
      <c r="H415" s="62">
        <v>183002000</v>
      </c>
      <c r="I415" s="49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66"/>
      <c r="U415" s="50"/>
      <c r="V415" s="50"/>
      <c r="W415" s="50">
        <v>6420000</v>
      </c>
      <c r="X415" s="50">
        <v>4317000</v>
      </c>
      <c r="Y415" s="50"/>
      <c r="Z415" s="51"/>
      <c r="AA415" s="15"/>
      <c r="AB415" s="16">
        <f t="shared" si="37"/>
        <v>10737000</v>
      </c>
      <c r="AC415" s="295">
        <f t="shared" si="38"/>
        <v>5.8671489929071813E-2</v>
      </c>
      <c r="AD415" s="341">
        <f>VLOOKUP(D415:D853,Pacífico!$A$32:$S$105,19,FALSE)</f>
        <v>3</v>
      </c>
      <c r="AE415" s="353"/>
      <c r="AF415" s="342">
        <f t="shared" si="39"/>
        <v>172265000</v>
      </c>
      <c r="AG415" s="57" t="s">
        <v>27</v>
      </c>
      <c r="AH415" s="58">
        <f t="shared" si="40"/>
        <v>2</v>
      </c>
    </row>
    <row r="416" spans="1:34" ht="16.5" x14ac:dyDescent="0.3">
      <c r="A416" s="134" t="s">
        <v>28</v>
      </c>
      <c r="B416" s="23" t="s">
        <v>882</v>
      </c>
      <c r="C416" s="145" t="s">
        <v>418</v>
      </c>
      <c r="D416" s="112" t="s">
        <v>883</v>
      </c>
      <c r="E416" s="35">
        <v>303442</v>
      </c>
      <c r="F416" s="32" t="s">
        <v>81</v>
      </c>
      <c r="G416" s="37">
        <v>44588</v>
      </c>
      <c r="H416" s="61">
        <v>120685000</v>
      </c>
      <c r="I416" s="49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66"/>
      <c r="U416" s="50">
        <v>6420000</v>
      </c>
      <c r="V416" s="50"/>
      <c r="W416" s="50"/>
      <c r="X416" s="50">
        <v>500000</v>
      </c>
      <c r="Y416" s="50"/>
      <c r="Z416" s="51"/>
      <c r="AA416" s="15"/>
      <c r="AB416" s="16">
        <f t="shared" si="37"/>
        <v>6920000</v>
      </c>
      <c r="AC416" s="295">
        <f t="shared" si="38"/>
        <v>5.7339354517959976E-2</v>
      </c>
      <c r="AD416" s="341">
        <f>VLOOKUP(D416:D854,Pacífico!$A$32:$S$105,19,FALSE)</f>
        <v>3</v>
      </c>
      <c r="AE416" s="353"/>
      <c r="AF416" s="342">
        <f t="shared" si="39"/>
        <v>113765000</v>
      </c>
      <c r="AG416" s="57" t="s">
        <v>27</v>
      </c>
      <c r="AH416" s="58">
        <f t="shared" si="40"/>
        <v>2</v>
      </c>
    </row>
    <row r="417" spans="1:34" ht="16.5" x14ac:dyDescent="0.3">
      <c r="A417" s="134" t="s">
        <v>32</v>
      </c>
      <c r="B417" s="26" t="s">
        <v>841</v>
      </c>
      <c r="C417" s="145" t="s">
        <v>418</v>
      </c>
      <c r="D417" s="112" t="s">
        <v>842</v>
      </c>
      <c r="E417" s="35">
        <v>302501</v>
      </c>
      <c r="F417" s="33" t="s">
        <v>828</v>
      </c>
      <c r="G417" s="37">
        <v>44544</v>
      </c>
      <c r="H417" s="62">
        <v>200000000</v>
      </c>
      <c r="I417" s="49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66">
        <v>6420000</v>
      </c>
      <c r="U417" s="50"/>
      <c r="V417" s="50"/>
      <c r="W417" s="50"/>
      <c r="X417" s="50">
        <v>5000000</v>
      </c>
      <c r="Y417" s="50"/>
      <c r="Z417" s="51"/>
      <c r="AA417" s="15"/>
      <c r="AB417" s="16">
        <f t="shared" si="37"/>
        <v>11420000</v>
      </c>
      <c r="AC417" s="295">
        <f t="shared" si="38"/>
        <v>5.7099999999999998E-2</v>
      </c>
      <c r="AD417" s="341">
        <f>VLOOKUP(D415:D603,Amazonía!$A$27:$T$75,20,FALSE)</f>
        <v>3</v>
      </c>
      <c r="AE417" s="353"/>
      <c r="AF417" s="342">
        <f t="shared" si="39"/>
        <v>188580000</v>
      </c>
      <c r="AG417" s="57" t="s">
        <v>27</v>
      </c>
      <c r="AH417" s="58">
        <f t="shared" si="40"/>
        <v>2</v>
      </c>
    </row>
    <row r="418" spans="1:34" ht="16.5" x14ac:dyDescent="0.3">
      <c r="A418" s="134" t="s">
        <v>105</v>
      </c>
      <c r="B418" s="23" t="s">
        <v>749</v>
      </c>
      <c r="C418" s="145" t="s">
        <v>418</v>
      </c>
      <c r="D418" s="112" t="s">
        <v>750</v>
      </c>
      <c r="E418" s="35">
        <v>303259</v>
      </c>
      <c r="F418" s="32" t="s">
        <v>131</v>
      </c>
      <c r="G418" s="37">
        <v>44544</v>
      </c>
      <c r="H418" s="61">
        <v>180000000</v>
      </c>
      <c r="I418" s="49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66"/>
      <c r="U418" s="50"/>
      <c r="V418" s="50"/>
      <c r="W418" s="50"/>
      <c r="X418" s="50">
        <v>9920000</v>
      </c>
      <c r="Y418" s="50"/>
      <c r="Z418" s="51"/>
      <c r="AA418" s="15"/>
      <c r="AB418" s="16">
        <f t="shared" si="37"/>
        <v>9920000</v>
      </c>
      <c r="AC418" s="295">
        <f t="shared" si="38"/>
        <v>5.5111111111111111E-2</v>
      </c>
      <c r="AD418" s="341">
        <f>VLOOKUP(D418:D792,Llanos!$A$28:$S$82,19,FALSE)</f>
        <v>3</v>
      </c>
      <c r="AE418" s="353"/>
      <c r="AF418" s="342">
        <f t="shared" si="39"/>
        <v>170080000</v>
      </c>
      <c r="AG418" s="57" t="s">
        <v>27</v>
      </c>
      <c r="AH418" s="58">
        <f t="shared" si="40"/>
        <v>1</v>
      </c>
    </row>
    <row r="419" spans="1:34" ht="16.5" x14ac:dyDescent="0.3">
      <c r="A419" s="134" t="s">
        <v>28</v>
      </c>
      <c r="B419" s="23" t="s">
        <v>966</v>
      </c>
      <c r="C419" s="145" t="s">
        <v>418</v>
      </c>
      <c r="D419" s="112" t="s">
        <v>967</v>
      </c>
      <c r="E419" s="35">
        <v>303806</v>
      </c>
      <c r="F419" s="32" t="s">
        <v>452</v>
      </c>
      <c r="G419" s="37">
        <v>44588</v>
      </c>
      <c r="H419" s="61">
        <v>199780000</v>
      </c>
      <c r="I419" s="49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66"/>
      <c r="U419" s="50">
        <v>6420000</v>
      </c>
      <c r="V419" s="50"/>
      <c r="W419" s="50">
        <v>500000</v>
      </c>
      <c r="X419" s="50">
        <v>4000000</v>
      </c>
      <c r="Y419" s="50"/>
      <c r="Z419" s="51"/>
      <c r="AA419" s="15"/>
      <c r="AB419" s="16">
        <f t="shared" si="37"/>
        <v>10920000</v>
      </c>
      <c r="AC419" s="295">
        <f t="shared" si="38"/>
        <v>5.4660126138752631E-2</v>
      </c>
      <c r="AD419" s="341">
        <f>VLOOKUP(D419:D857,Pacífico!$A$32:$S$105,19,FALSE)</f>
        <v>3</v>
      </c>
      <c r="AE419" s="353"/>
      <c r="AF419" s="342">
        <f t="shared" si="39"/>
        <v>188860000</v>
      </c>
      <c r="AG419" s="57" t="s">
        <v>27</v>
      </c>
      <c r="AH419" s="58">
        <f t="shared" si="40"/>
        <v>3</v>
      </c>
    </row>
    <row r="420" spans="1:34" ht="16.5" x14ac:dyDescent="0.3">
      <c r="A420" s="134" t="s">
        <v>28</v>
      </c>
      <c r="B420" s="26" t="s">
        <v>453</v>
      </c>
      <c r="C420" s="145" t="s">
        <v>418</v>
      </c>
      <c r="D420" s="112" t="s">
        <v>454</v>
      </c>
      <c r="E420" s="35">
        <v>302786</v>
      </c>
      <c r="F420" s="33" t="s">
        <v>452</v>
      </c>
      <c r="G420" s="37">
        <v>44544</v>
      </c>
      <c r="H420" s="62">
        <v>140521000</v>
      </c>
      <c r="I420" s="49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66"/>
      <c r="U420" s="50"/>
      <c r="V420" s="50"/>
      <c r="W420" s="50">
        <v>7620000</v>
      </c>
      <c r="X420" s="50"/>
      <c r="Y420" s="50"/>
      <c r="Z420" s="51"/>
      <c r="AA420" s="15"/>
      <c r="AB420" s="16">
        <f t="shared" si="37"/>
        <v>7620000</v>
      </c>
      <c r="AC420" s="295">
        <f t="shared" si="38"/>
        <v>5.4226770375958043E-2</v>
      </c>
      <c r="AD420" s="341">
        <f>VLOOKUP(D420:D858,Pacífico!$A$32:$S$105,19,FALSE)</f>
        <v>3</v>
      </c>
      <c r="AE420" s="353"/>
      <c r="AF420" s="342">
        <f t="shared" si="39"/>
        <v>132901000</v>
      </c>
      <c r="AG420" s="57" t="s">
        <v>27</v>
      </c>
      <c r="AH420" s="58">
        <f t="shared" si="40"/>
        <v>1</v>
      </c>
    </row>
    <row r="421" spans="1:34" ht="16.5" x14ac:dyDescent="0.3">
      <c r="A421" s="134" t="s">
        <v>23</v>
      </c>
      <c r="B421" s="23" t="s">
        <v>1216</v>
      </c>
      <c r="C421" s="145" t="s">
        <v>418</v>
      </c>
      <c r="D421" s="112" t="s">
        <v>1217</v>
      </c>
      <c r="E421" s="35">
        <v>303847</v>
      </c>
      <c r="F421" s="32" t="s">
        <v>191</v>
      </c>
      <c r="G421" s="37">
        <v>44588</v>
      </c>
      <c r="H421" s="61">
        <v>135852000</v>
      </c>
      <c r="I421" s="49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66"/>
      <c r="U421" s="50"/>
      <c r="V421" s="50">
        <v>6420000</v>
      </c>
      <c r="W421" s="50">
        <v>908500</v>
      </c>
      <c r="X421" s="50"/>
      <c r="Y421" s="50"/>
      <c r="Z421" s="51"/>
      <c r="AA421" s="15"/>
      <c r="AB421" s="16">
        <f t="shared" si="37"/>
        <v>7328500</v>
      </c>
      <c r="AC421" s="295">
        <f t="shared" si="38"/>
        <v>5.3944733975208312E-2</v>
      </c>
      <c r="AD421" s="341">
        <f>VLOOKUP(D421:D894,Central!$A$29:$R$107,18,FALSE)</f>
        <v>2</v>
      </c>
      <c r="AE421" s="353"/>
      <c r="AF421" s="342">
        <f t="shared" si="39"/>
        <v>128523500</v>
      </c>
      <c r="AG421" s="57" t="s">
        <v>27</v>
      </c>
      <c r="AH421" s="58">
        <f t="shared" si="40"/>
        <v>2</v>
      </c>
    </row>
    <row r="422" spans="1:34" ht="16.5" x14ac:dyDescent="0.3">
      <c r="A422" s="134" t="s">
        <v>28</v>
      </c>
      <c r="B422" s="23" t="s">
        <v>936</v>
      </c>
      <c r="C422" s="145" t="s">
        <v>418</v>
      </c>
      <c r="D422" s="112" t="s">
        <v>937</v>
      </c>
      <c r="E422" s="35">
        <v>303475</v>
      </c>
      <c r="F422" s="32" t="s">
        <v>452</v>
      </c>
      <c r="G422" s="37">
        <v>44588</v>
      </c>
      <c r="H422" s="61">
        <v>156340000</v>
      </c>
      <c r="I422" s="49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66"/>
      <c r="U422" s="50"/>
      <c r="V422" s="50"/>
      <c r="W422" s="50">
        <v>7328500</v>
      </c>
      <c r="X422" s="50">
        <v>908500</v>
      </c>
      <c r="Y422" s="50"/>
      <c r="Z422" s="51"/>
      <c r="AA422" s="15"/>
      <c r="AB422" s="16">
        <f t="shared" si="37"/>
        <v>8237000</v>
      </c>
      <c r="AC422" s="295">
        <f t="shared" si="38"/>
        <v>5.2686452603300502E-2</v>
      </c>
      <c r="AD422" s="341">
        <f>VLOOKUP(D422:D860,Pacífico!$A$32:$S$105,19,FALSE)</f>
        <v>2</v>
      </c>
      <c r="AE422" s="353"/>
      <c r="AF422" s="342">
        <f t="shared" si="39"/>
        <v>148103000</v>
      </c>
      <c r="AG422" s="57" t="s">
        <v>27</v>
      </c>
      <c r="AH422" s="58">
        <f t="shared" si="40"/>
        <v>2</v>
      </c>
    </row>
    <row r="423" spans="1:34" ht="16.5" x14ac:dyDescent="0.3">
      <c r="A423" s="134" t="s">
        <v>23</v>
      </c>
      <c r="B423" s="26" t="s">
        <v>1357</v>
      </c>
      <c r="C423" s="145" t="s">
        <v>418</v>
      </c>
      <c r="D423" s="112" t="s">
        <v>1358</v>
      </c>
      <c r="E423" s="35">
        <v>303885</v>
      </c>
      <c r="F423" s="33" t="s">
        <v>191</v>
      </c>
      <c r="G423" s="37">
        <v>44600</v>
      </c>
      <c r="H423" s="62">
        <v>199995000</v>
      </c>
      <c r="I423" s="49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66"/>
      <c r="U423" s="50"/>
      <c r="V423" s="50"/>
      <c r="W423" s="50"/>
      <c r="X423" s="50">
        <v>10420000</v>
      </c>
      <c r="Y423" s="50"/>
      <c r="Z423" s="51"/>
      <c r="AA423" s="15"/>
      <c r="AB423" s="16">
        <f t="shared" si="37"/>
        <v>10420000</v>
      </c>
      <c r="AC423" s="295">
        <f t="shared" si="38"/>
        <v>5.2101302532563315E-2</v>
      </c>
      <c r="AD423" s="341">
        <f>VLOOKUP(D423:D896,Central!$A$29:$R$107,18,FALSE)</f>
        <v>2</v>
      </c>
      <c r="AE423" s="353"/>
      <c r="AF423" s="342">
        <f t="shared" si="39"/>
        <v>189575000</v>
      </c>
      <c r="AG423" s="57" t="s">
        <v>27</v>
      </c>
      <c r="AH423" s="58">
        <f t="shared" si="40"/>
        <v>1</v>
      </c>
    </row>
    <row r="424" spans="1:34" ht="16.5" x14ac:dyDescent="0.3">
      <c r="A424" s="134" t="s">
        <v>89</v>
      </c>
      <c r="B424" s="23" t="s">
        <v>627</v>
      </c>
      <c r="C424" s="145" t="s">
        <v>418</v>
      </c>
      <c r="D424" s="112" t="s">
        <v>628</v>
      </c>
      <c r="E424" s="35">
        <v>302561</v>
      </c>
      <c r="F424" s="32" t="s">
        <v>622</v>
      </c>
      <c r="G424" s="37">
        <v>44544</v>
      </c>
      <c r="H424" s="61">
        <v>199942000</v>
      </c>
      <c r="I424" s="49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66"/>
      <c r="U424" s="50"/>
      <c r="V424" s="50"/>
      <c r="W424" s="50">
        <v>3817000</v>
      </c>
      <c r="X424" s="50">
        <v>6420000</v>
      </c>
      <c r="Y424" s="50"/>
      <c r="Z424" s="51"/>
      <c r="AA424" s="15"/>
      <c r="AB424" s="16">
        <f t="shared" si="37"/>
        <v>10237000</v>
      </c>
      <c r="AC424" s="295">
        <f t="shared" si="38"/>
        <v>5.1199847955907214E-2</v>
      </c>
      <c r="AD424" s="341">
        <f>VLOOKUP(D424:D492,'Caribe II'!$A$38:$Q$107,17,FALSE)</f>
        <v>2</v>
      </c>
      <c r="AE424" s="353"/>
      <c r="AF424" s="342">
        <f t="shared" si="39"/>
        <v>189705000</v>
      </c>
      <c r="AG424" s="57" t="s">
        <v>27</v>
      </c>
      <c r="AH424" s="58">
        <f t="shared" si="40"/>
        <v>2</v>
      </c>
    </row>
    <row r="425" spans="1:34" ht="16.5" x14ac:dyDescent="0.3">
      <c r="A425" s="134" t="s">
        <v>105</v>
      </c>
      <c r="B425" s="26" t="s">
        <v>751</v>
      </c>
      <c r="C425" s="145" t="s">
        <v>418</v>
      </c>
      <c r="D425" s="112" t="s">
        <v>752</v>
      </c>
      <c r="E425" s="35">
        <v>302504</v>
      </c>
      <c r="F425" s="33" t="s">
        <v>131</v>
      </c>
      <c r="G425" s="37">
        <v>44544</v>
      </c>
      <c r="H425" s="62">
        <v>200000000</v>
      </c>
      <c r="I425" s="49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66"/>
      <c r="U425" s="50"/>
      <c r="V425" s="50"/>
      <c r="W425" s="50">
        <v>6420000</v>
      </c>
      <c r="X425" s="50">
        <v>3700000</v>
      </c>
      <c r="Y425" s="50"/>
      <c r="Z425" s="51"/>
      <c r="AA425" s="15"/>
      <c r="AB425" s="16">
        <f t="shared" si="37"/>
        <v>10120000</v>
      </c>
      <c r="AC425" s="295">
        <f t="shared" si="38"/>
        <v>5.0599999999999999E-2</v>
      </c>
      <c r="AD425" s="341">
        <f>VLOOKUP(D425:D799,Llanos!$A$28:$S$82,19,FALSE)</f>
        <v>3</v>
      </c>
      <c r="AE425" s="353"/>
      <c r="AF425" s="342">
        <f t="shared" si="39"/>
        <v>189880000</v>
      </c>
      <c r="AG425" s="57" t="s">
        <v>27</v>
      </c>
      <c r="AH425" s="58">
        <f t="shared" si="40"/>
        <v>2</v>
      </c>
    </row>
    <row r="426" spans="1:34" ht="16.5" x14ac:dyDescent="0.3">
      <c r="A426" s="134" t="s">
        <v>23</v>
      </c>
      <c r="B426" s="26" t="s">
        <v>1268</v>
      </c>
      <c r="C426" s="145" t="s">
        <v>418</v>
      </c>
      <c r="D426" s="112" t="s">
        <v>1269</v>
      </c>
      <c r="E426" s="35">
        <v>303887</v>
      </c>
      <c r="F426" s="33" t="s">
        <v>191</v>
      </c>
      <c r="G426" s="37">
        <v>44588</v>
      </c>
      <c r="H426" s="62">
        <v>198491000</v>
      </c>
      <c r="I426" s="49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66"/>
      <c r="U426" s="50"/>
      <c r="V426" s="50"/>
      <c r="W426" s="50">
        <v>6420000</v>
      </c>
      <c r="X426" s="50">
        <v>3500000</v>
      </c>
      <c r="Y426" s="50"/>
      <c r="Z426" s="51"/>
      <c r="AA426" s="15"/>
      <c r="AB426" s="16">
        <f t="shared" si="37"/>
        <v>9920000</v>
      </c>
      <c r="AC426" s="295">
        <f t="shared" si="38"/>
        <v>4.997707704631444E-2</v>
      </c>
      <c r="AD426" s="341">
        <f>VLOOKUP(D426:D899,Central!$A$29:$R$107,18,FALSE)</f>
        <v>2</v>
      </c>
      <c r="AE426" s="353"/>
      <c r="AF426" s="342">
        <f t="shared" si="39"/>
        <v>188571000</v>
      </c>
      <c r="AG426" s="57" t="s">
        <v>27</v>
      </c>
      <c r="AH426" s="58">
        <f t="shared" si="40"/>
        <v>2</v>
      </c>
    </row>
    <row r="427" spans="1:34" ht="16.5" x14ac:dyDescent="0.3">
      <c r="A427" s="134" t="s">
        <v>32</v>
      </c>
      <c r="B427" s="23" t="s">
        <v>831</v>
      </c>
      <c r="C427" s="145" t="s">
        <v>418</v>
      </c>
      <c r="D427" s="112" t="s">
        <v>832</v>
      </c>
      <c r="E427" s="35">
        <v>302497</v>
      </c>
      <c r="F427" s="32" t="s">
        <v>828</v>
      </c>
      <c r="G427" s="37">
        <v>44544</v>
      </c>
      <c r="H427" s="61">
        <v>197702000</v>
      </c>
      <c r="I427" s="49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66"/>
      <c r="U427" s="50"/>
      <c r="V427" s="50"/>
      <c r="W427" s="50">
        <v>6420000</v>
      </c>
      <c r="X427" s="50">
        <v>3408500</v>
      </c>
      <c r="Y427" s="50"/>
      <c r="Z427" s="51"/>
      <c r="AA427" s="15"/>
      <c r="AB427" s="16">
        <f t="shared" si="37"/>
        <v>9828500</v>
      </c>
      <c r="AC427" s="295">
        <f t="shared" si="38"/>
        <v>4.9713710534036074E-2</v>
      </c>
      <c r="AD427" s="341">
        <f>VLOOKUP(D425:D613,Amazonía!$A$27:$T$75,20,FALSE)</f>
        <v>2</v>
      </c>
      <c r="AE427" s="353"/>
      <c r="AF427" s="342">
        <f t="shared" si="39"/>
        <v>187873500</v>
      </c>
      <c r="AG427" s="57" t="s">
        <v>27</v>
      </c>
      <c r="AH427" s="58">
        <f t="shared" si="40"/>
        <v>2</v>
      </c>
    </row>
    <row r="428" spans="1:34" ht="16.5" x14ac:dyDescent="0.3">
      <c r="A428" s="134" t="s">
        <v>23</v>
      </c>
      <c r="B428" s="26" t="s">
        <v>1222</v>
      </c>
      <c r="C428" s="145" t="s">
        <v>418</v>
      </c>
      <c r="D428" s="112" t="s">
        <v>1223</v>
      </c>
      <c r="E428" s="35">
        <v>303848</v>
      </c>
      <c r="F428" s="33" t="s">
        <v>191</v>
      </c>
      <c r="G428" s="37">
        <v>44588</v>
      </c>
      <c r="H428" s="62">
        <v>199891000</v>
      </c>
      <c r="I428" s="49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66"/>
      <c r="U428" s="50"/>
      <c r="V428" s="50">
        <v>6420000</v>
      </c>
      <c r="W428" s="50">
        <v>908500</v>
      </c>
      <c r="X428" s="50">
        <v>2500000</v>
      </c>
      <c r="Y428" s="50"/>
      <c r="Z428" s="51"/>
      <c r="AA428" s="15"/>
      <c r="AB428" s="16">
        <f t="shared" si="37"/>
        <v>9828500</v>
      </c>
      <c r="AC428" s="295">
        <f t="shared" si="38"/>
        <v>4.9169297267010519E-2</v>
      </c>
      <c r="AD428" s="341">
        <f>VLOOKUP(D428:D901,Central!$A$29:$R$107,18,FALSE)</f>
        <v>1</v>
      </c>
      <c r="AE428" s="353"/>
      <c r="AF428" s="342">
        <f t="shared" si="39"/>
        <v>190062500</v>
      </c>
      <c r="AG428" s="57" t="s">
        <v>27</v>
      </c>
      <c r="AH428" s="58">
        <f t="shared" si="40"/>
        <v>3</v>
      </c>
    </row>
    <row r="429" spans="1:34" ht="16.5" x14ac:dyDescent="0.3">
      <c r="A429" s="134" t="s">
        <v>55</v>
      </c>
      <c r="B429" s="23" t="s">
        <v>474</v>
      </c>
      <c r="C429" s="145" t="s">
        <v>418</v>
      </c>
      <c r="D429" s="112" t="s">
        <v>475</v>
      </c>
      <c r="E429" s="35">
        <v>302855</v>
      </c>
      <c r="F429" s="32" t="s">
        <v>457</v>
      </c>
      <c r="G429" s="37">
        <v>44544</v>
      </c>
      <c r="H429" s="61">
        <v>155000000</v>
      </c>
      <c r="I429" s="49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66"/>
      <c r="U429" s="50"/>
      <c r="V429" s="50"/>
      <c r="W429" s="50"/>
      <c r="X429" s="50">
        <v>7620000</v>
      </c>
      <c r="Y429" s="50"/>
      <c r="Z429" s="51"/>
      <c r="AA429" s="15"/>
      <c r="AB429" s="16">
        <f t="shared" si="37"/>
        <v>7620000</v>
      </c>
      <c r="AC429" s="295">
        <f t="shared" si="38"/>
        <v>4.9161290322580646E-2</v>
      </c>
      <c r="AD429" s="341">
        <f>VLOOKUP(D429:D801,'Eje Cafetero'!$A$34:$S$102,19,FALSE)</f>
        <v>3</v>
      </c>
      <c r="AE429" s="353"/>
      <c r="AF429" s="342">
        <f t="shared" si="39"/>
        <v>147380000</v>
      </c>
      <c r="AG429" s="57" t="s">
        <v>27</v>
      </c>
      <c r="AH429" s="58">
        <f t="shared" si="40"/>
        <v>1</v>
      </c>
    </row>
    <row r="430" spans="1:34" ht="16.5" x14ac:dyDescent="0.3">
      <c r="A430" s="134" t="s">
        <v>16</v>
      </c>
      <c r="B430" s="26" t="s">
        <v>244</v>
      </c>
      <c r="C430" s="145" t="s">
        <v>418</v>
      </c>
      <c r="D430" s="112" t="s">
        <v>1070</v>
      </c>
      <c r="E430" s="35">
        <v>303602</v>
      </c>
      <c r="F430" s="33" t="s">
        <v>572</v>
      </c>
      <c r="G430" s="37">
        <v>44588</v>
      </c>
      <c r="H430" s="62">
        <v>200000000</v>
      </c>
      <c r="I430" s="49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66"/>
      <c r="U430" s="50"/>
      <c r="V430" s="50"/>
      <c r="W430" s="50">
        <v>6300000</v>
      </c>
      <c r="X430" s="50">
        <v>3491835</v>
      </c>
      <c r="Y430" s="50"/>
      <c r="Z430" s="51"/>
      <c r="AA430" s="15"/>
      <c r="AB430" s="16">
        <f t="shared" si="37"/>
        <v>9791835</v>
      </c>
      <c r="AC430" s="295">
        <f t="shared" si="38"/>
        <v>4.8959175000000001E-2</v>
      </c>
      <c r="AD430" s="341">
        <f>VLOOKUP(D430:D648,'Caribe I'!$A$25:$Q$83,17,FALSE)</f>
        <v>2</v>
      </c>
      <c r="AE430" s="353"/>
      <c r="AF430" s="342">
        <f t="shared" si="39"/>
        <v>190208165</v>
      </c>
      <c r="AG430" s="57" t="s">
        <v>27</v>
      </c>
      <c r="AH430" s="58">
        <f t="shared" si="40"/>
        <v>2</v>
      </c>
    </row>
    <row r="431" spans="1:34" ht="16.5" x14ac:dyDescent="0.3">
      <c r="A431" s="134" t="s">
        <v>16</v>
      </c>
      <c r="B431" s="26" t="s">
        <v>1060</v>
      </c>
      <c r="C431" s="145" t="s">
        <v>418</v>
      </c>
      <c r="D431" s="112" t="s">
        <v>1071</v>
      </c>
      <c r="E431" s="35">
        <v>303876</v>
      </c>
      <c r="F431" s="33" t="s">
        <v>572</v>
      </c>
      <c r="G431" s="37">
        <v>44588</v>
      </c>
      <c r="H431" s="62">
        <v>200000000</v>
      </c>
      <c r="I431" s="49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66"/>
      <c r="U431" s="50"/>
      <c r="V431" s="50"/>
      <c r="W431" s="50">
        <v>6300000</v>
      </c>
      <c r="X431" s="50">
        <v>3491835</v>
      </c>
      <c r="Y431" s="50"/>
      <c r="Z431" s="51"/>
      <c r="AA431" s="15"/>
      <c r="AB431" s="16">
        <f t="shared" si="37"/>
        <v>9791835</v>
      </c>
      <c r="AC431" s="295">
        <f t="shared" si="38"/>
        <v>4.8959175000000001E-2</v>
      </c>
      <c r="AD431" s="341">
        <f>VLOOKUP(D431:D649,'Caribe I'!$A$25:$Q$83,17,FALSE)</f>
        <v>2</v>
      </c>
      <c r="AE431" s="353"/>
      <c r="AF431" s="342">
        <f t="shared" si="39"/>
        <v>190208165</v>
      </c>
      <c r="AG431" s="57" t="s">
        <v>27</v>
      </c>
      <c r="AH431" s="58">
        <f t="shared" si="40"/>
        <v>2</v>
      </c>
    </row>
    <row r="432" spans="1:34" ht="16.5" x14ac:dyDescent="0.3">
      <c r="A432" s="134" t="s">
        <v>23</v>
      </c>
      <c r="B432" s="23" t="s">
        <v>1226</v>
      </c>
      <c r="C432" s="145" t="s">
        <v>418</v>
      </c>
      <c r="D432" s="112" t="s">
        <v>1227</v>
      </c>
      <c r="E432" s="35">
        <v>303799</v>
      </c>
      <c r="F432" s="32" t="s">
        <v>191</v>
      </c>
      <c r="G432" s="37">
        <v>44588</v>
      </c>
      <c r="H432" s="61">
        <v>150000000</v>
      </c>
      <c r="I432" s="49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66"/>
      <c r="U432" s="50"/>
      <c r="V432" s="50">
        <v>6420000</v>
      </c>
      <c r="W432" s="50">
        <v>908500</v>
      </c>
      <c r="X432" s="50"/>
      <c r="Y432" s="50"/>
      <c r="Z432" s="51"/>
      <c r="AA432" s="15"/>
      <c r="AB432" s="16">
        <f t="shared" si="37"/>
        <v>7328500</v>
      </c>
      <c r="AC432" s="295">
        <f t="shared" si="38"/>
        <v>4.8856666666666666E-2</v>
      </c>
      <c r="AD432" s="341">
        <f>VLOOKUP(D432:D905,Central!$A$29:$R$107,18,FALSE)</f>
        <v>1</v>
      </c>
      <c r="AE432" s="353"/>
      <c r="AF432" s="342">
        <f t="shared" si="39"/>
        <v>142671500</v>
      </c>
      <c r="AG432" s="57" t="s">
        <v>27</v>
      </c>
      <c r="AH432" s="58">
        <f t="shared" si="40"/>
        <v>2</v>
      </c>
    </row>
    <row r="433" spans="1:34" ht="16.5" x14ac:dyDescent="0.3">
      <c r="A433" s="134" t="s">
        <v>28</v>
      </c>
      <c r="B433" s="26" t="s">
        <v>944</v>
      </c>
      <c r="C433" s="145" t="s">
        <v>418</v>
      </c>
      <c r="D433" s="112" t="s">
        <v>945</v>
      </c>
      <c r="E433" s="35">
        <v>303029</v>
      </c>
      <c r="F433" s="33" t="s">
        <v>452</v>
      </c>
      <c r="G433" s="37">
        <v>44588</v>
      </c>
      <c r="H433" s="62">
        <v>188792000</v>
      </c>
      <c r="I433" s="49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66"/>
      <c r="U433" s="50">
        <v>6420000</v>
      </c>
      <c r="V433" s="50"/>
      <c r="W433" s="50">
        <v>908500</v>
      </c>
      <c r="X433" s="50">
        <v>1817000</v>
      </c>
      <c r="Y433" s="50"/>
      <c r="Z433" s="51"/>
      <c r="AA433" s="15"/>
      <c r="AB433" s="16">
        <f t="shared" si="37"/>
        <v>9145500</v>
      </c>
      <c r="AC433" s="295">
        <f t="shared" si="38"/>
        <v>4.8442200940717828E-2</v>
      </c>
      <c r="AD433" s="341">
        <f>VLOOKUP(D433:D871,Pacífico!$A$32:$S$105,19,FALSE)</f>
        <v>3</v>
      </c>
      <c r="AE433" s="353"/>
      <c r="AF433" s="342">
        <f t="shared" si="39"/>
        <v>179646500</v>
      </c>
      <c r="AG433" s="57" t="s">
        <v>27</v>
      </c>
      <c r="AH433" s="58">
        <f t="shared" si="40"/>
        <v>3</v>
      </c>
    </row>
    <row r="434" spans="1:34" ht="16.5" x14ac:dyDescent="0.3">
      <c r="A434" s="134" t="s">
        <v>89</v>
      </c>
      <c r="B434" s="26" t="s">
        <v>649</v>
      </c>
      <c r="C434" s="145" t="s">
        <v>418</v>
      </c>
      <c r="D434" s="112" t="s">
        <v>650</v>
      </c>
      <c r="E434" s="35">
        <v>303104</v>
      </c>
      <c r="F434" s="33" t="s">
        <v>622</v>
      </c>
      <c r="G434" s="37">
        <v>44544</v>
      </c>
      <c r="H434" s="62">
        <v>177982000</v>
      </c>
      <c r="I434" s="49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66"/>
      <c r="U434" s="50"/>
      <c r="V434" s="50"/>
      <c r="W434" s="50">
        <v>5100000</v>
      </c>
      <c r="X434" s="50">
        <v>3500000</v>
      </c>
      <c r="Y434" s="50"/>
      <c r="Z434" s="51"/>
      <c r="AA434" s="15"/>
      <c r="AB434" s="16">
        <f t="shared" si="37"/>
        <v>8600000</v>
      </c>
      <c r="AC434" s="295">
        <f t="shared" si="38"/>
        <v>4.8319492982436429E-2</v>
      </c>
      <c r="AD434" s="341">
        <f>VLOOKUP(D434:D502,'Caribe II'!$A$38:$Q$107,17,FALSE)</f>
        <v>2</v>
      </c>
      <c r="AE434" s="353"/>
      <c r="AF434" s="342">
        <f t="shared" si="39"/>
        <v>169382000</v>
      </c>
      <c r="AG434" s="57" t="s">
        <v>27</v>
      </c>
      <c r="AH434" s="58">
        <f t="shared" si="40"/>
        <v>2</v>
      </c>
    </row>
    <row r="435" spans="1:34" ht="16.5" x14ac:dyDescent="0.3">
      <c r="A435" s="134" t="s">
        <v>89</v>
      </c>
      <c r="B435" s="26" t="s">
        <v>1106</v>
      </c>
      <c r="C435" s="145" t="s">
        <v>418</v>
      </c>
      <c r="D435" s="112" t="s">
        <v>1107</v>
      </c>
      <c r="E435" s="35">
        <v>303256</v>
      </c>
      <c r="F435" s="33" t="s">
        <v>622</v>
      </c>
      <c r="G435" s="37">
        <v>44588</v>
      </c>
      <c r="H435" s="62">
        <v>200000000</v>
      </c>
      <c r="I435" s="49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66"/>
      <c r="U435" s="50"/>
      <c r="V435" s="50"/>
      <c r="W435" s="50">
        <v>7658832</v>
      </c>
      <c r="X435" s="50">
        <v>2000000</v>
      </c>
      <c r="Y435" s="50"/>
      <c r="Z435" s="51"/>
      <c r="AA435" s="15"/>
      <c r="AB435" s="16">
        <f t="shared" si="37"/>
        <v>9658832</v>
      </c>
      <c r="AC435" s="295">
        <f t="shared" si="38"/>
        <v>4.8294160000000003E-2</v>
      </c>
      <c r="AD435" s="341">
        <f>VLOOKUP(D435:D503,'Caribe II'!$A$38:$Q$107,17,FALSE)</f>
        <v>2</v>
      </c>
      <c r="AE435" s="353"/>
      <c r="AF435" s="342">
        <f t="shared" si="39"/>
        <v>190341168</v>
      </c>
      <c r="AG435" s="57" t="s">
        <v>27</v>
      </c>
      <c r="AH435" s="58">
        <f t="shared" si="40"/>
        <v>2</v>
      </c>
    </row>
    <row r="436" spans="1:34" ht="16.5" x14ac:dyDescent="0.3">
      <c r="A436" s="134" t="s">
        <v>89</v>
      </c>
      <c r="B436" s="23" t="s">
        <v>655</v>
      </c>
      <c r="C436" s="145" t="s">
        <v>418</v>
      </c>
      <c r="D436" s="112" t="s">
        <v>656</v>
      </c>
      <c r="E436" s="35">
        <v>303324</v>
      </c>
      <c r="F436" s="32" t="s">
        <v>227</v>
      </c>
      <c r="G436" s="37">
        <v>44544</v>
      </c>
      <c r="H436" s="61">
        <v>160580000</v>
      </c>
      <c r="I436" s="49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66"/>
      <c r="U436" s="50"/>
      <c r="V436" s="50"/>
      <c r="W436" s="50">
        <v>5520000</v>
      </c>
      <c r="X436" s="50">
        <v>2100000</v>
      </c>
      <c r="Y436" s="50"/>
      <c r="Z436" s="51"/>
      <c r="AA436" s="15"/>
      <c r="AB436" s="16">
        <f t="shared" si="37"/>
        <v>7620000</v>
      </c>
      <c r="AC436" s="295">
        <f t="shared" si="38"/>
        <v>4.7452982936853905E-2</v>
      </c>
      <c r="AD436" s="341">
        <f>VLOOKUP(D436:D504,'Caribe II'!$A$38:$Q$107,17,FALSE)</f>
        <v>2</v>
      </c>
      <c r="AE436" s="353"/>
      <c r="AF436" s="342">
        <f t="shared" si="39"/>
        <v>152960000</v>
      </c>
      <c r="AG436" s="57" t="s">
        <v>27</v>
      </c>
      <c r="AH436" s="58">
        <f t="shared" si="40"/>
        <v>2</v>
      </c>
    </row>
    <row r="437" spans="1:34" ht="16.5" x14ac:dyDescent="0.3">
      <c r="A437" s="134" t="s">
        <v>23</v>
      </c>
      <c r="B437" s="26" t="s">
        <v>1220</v>
      </c>
      <c r="C437" s="145" t="s">
        <v>418</v>
      </c>
      <c r="D437" s="112" t="s">
        <v>1221</v>
      </c>
      <c r="E437" s="35">
        <v>303859</v>
      </c>
      <c r="F437" s="33" t="s">
        <v>191</v>
      </c>
      <c r="G437" s="37">
        <v>44588</v>
      </c>
      <c r="H437" s="62">
        <v>195000000</v>
      </c>
      <c r="I437" s="49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66"/>
      <c r="U437" s="50"/>
      <c r="V437" s="50">
        <v>6420000</v>
      </c>
      <c r="W437" s="50"/>
      <c r="X437" s="50">
        <v>2666750</v>
      </c>
      <c r="Y437" s="50"/>
      <c r="Z437" s="51"/>
      <c r="AA437" s="15"/>
      <c r="AB437" s="16">
        <f t="shared" ref="AB437:AB500" si="41">SUM(I437:Z437)</f>
        <v>9086750</v>
      </c>
      <c r="AC437" s="295">
        <f t="shared" ref="AC437:AC500" si="42">AB437/H437</f>
        <v>4.6598717948717949E-2</v>
      </c>
      <c r="AD437" s="341">
        <f>VLOOKUP(D437:D910,Central!$A$29:$R$107,18,FALSE)</f>
        <v>2</v>
      </c>
      <c r="AE437" s="353"/>
      <c r="AF437" s="342">
        <f t="shared" ref="AF437:AF500" si="43">H437-AB437</f>
        <v>185913250</v>
      </c>
      <c r="AG437" s="57" t="s">
        <v>27</v>
      </c>
      <c r="AH437" s="58">
        <f t="shared" ref="AH437:AH500" si="44">COUNT(I437:Z437)</f>
        <v>2</v>
      </c>
    </row>
    <row r="438" spans="1:34" ht="16.5" x14ac:dyDescent="0.3">
      <c r="A438" s="134" t="s">
        <v>55</v>
      </c>
      <c r="B438" s="26" t="s">
        <v>988</v>
      </c>
      <c r="C438" s="145" t="s">
        <v>418</v>
      </c>
      <c r="D438" s="112" t="s">
        <v>989</v>
      </c>
      <c r="E438" s="35">
        <v>303248</v>
      </c>
      <c r="F438" s="33" t="s">
        <v>58</v>
      </c>
      <c r="G438" s="37">
        <v>44588</v>
      </c>
      <c r="H438" s="62">
        <v>200000000</v>
      </c>
      <c r="I438" s="49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66"/>
      <c r="U438" s="50"/>
      <c r="V438" s="50"/>
      <c r="W438" s="50">
        <v>6420000</v>
      </c>
      <c r="X438" s="50">
        <v>2500000</v>
      </c>
      <c r="Y438" s="50"/>
      <c r="Z438" s="51"/>
      <c r="AA438" s="15"/>
      <c r="AB438" s="16">
        <f t="shared" si="41"/>
        <v>8920000</v>
      </c>
      <c r="AC438" s="295">
        <f t="shared" si="42"/>
        <v>4.4600000000000001E-2</v>
      </c>
      <c r="AD438" s="341">
        <f>VLOOKUP(D438:D810,'Eje Cafetero'!$A$34:$S$102,19,FALSE)</f>
        <v>2</v>
      </c>
      <c r="AE438" s="353"/>
      <c r="AF438" s="342">
        <f t="shared" si="43"/>
        <v>191080000</v>
      </c>
      <c r="AG438" s="57" t="s">
        <v>27</v>
      </c>
      <c r="AH438" s="58">
        <f t="shared" si="44"/>
        <v>2</v>
      </c>
    </row>
    <row r="439" spans="1:34" ht="16.5" x14ac:dyDescent="0.3">
      <c r="A439" s="134" t="s">
        <v>55</v>
      </c>
      <c r="B439" s="26" t="s">
        <v>486</v>
      </c>
      <c r="C439" s="145" t="s">
        <v>418</v>
      </c>
      <c r="D439" s="112" t="s">
        <v>487</v>
      </c>
      <c r="E439" s="35">
        <v>302667</v>
      </c>
      <c r="F439" s="33" t="s">
        <v>58</v>
      </c>
      <c r="G439" s="37">
        <v>44544</v>
      </c>
      <c r="H439" s="62">
        <v>200000000</v>
      </c>
      <c r="I439" s="49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66"/>
      <c r="U439" s="50"/>
      <c r="V439" s="50"/>
      <c r="W439" s="50"/>
      <c r="X439" s="50">
        <v>8920000</v>
      </c>
      <c r="Y439" s="50"/>
      <c r="Z439" s="51"/>
      <c r="AA439" s="15"/>
      <c r="AB439" s="16">
        <f t="shared" si="41"/>
        <v>8920000</v>
      </c>
      <c r="AC439" s="295">
        <f t="shared" si="42"/>
        <v>4.4600000000000001E-2</v>
      </c>
      <c r="AD439" s="341">
        <f>VLOOKUP(D439:D811,'Eje Cafetero'!$A$34:$S$102,19,FALSE)</f>
        <v>3</v>
      </c>
      <c r="AE439" s="353"/>
      <c r="AF439" s="342">
        <f t="shared" si="43"/>
        <v>191080000</v>
      </c>
      <c r="AG439" s="57" t="s">
        <v>27</v>
      </c>
      <c r="AH439" s="58">
        <f t="shared" si="44"/>
        <v>1</v>
      </c>
    </row>
    <row r="440" spans="1:34" ht="16.5" x14ac:dyDescent="0.3">
      <c r="A440" s="134" t="s">
        <v>16</v>
      </c>
      <c r="B440" s="23" t="s">
        <v>1060</v>
      </c>
      <c r="C440" s="145" t="s">
        <v>418</v>
      </c>
      <c r="D440" s="112" t="s">
        <v>1061</v>
      </c>
      <c r="E440" s="35">
        <v>303822</v>
      </c>
      <c r="F440" s="32" t="s">
        <v>572</v>
      </c>
      <c r="G440" s="37">
        <v>44588</v>
      </c>
      <c r="H440" s="61">
        <v>200000000</v>
      </c>
      <c r="I440" s="49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66"/>
      <c r="U440" s="50"/>
      <c r="V440" s="50">
        <v>6300000</v>
      </c>
      <c r="W440" s="50"/>
      <c r="X440" s="50">
        <v>2583333</v>
      </c>
      <c r="Y440" s="50"/>
      <c r="Z440" s="51"/>
      <c r="AA440" s="15"/>
      <c r="AB440" s="16">
        <f t="shared" si="41"/>
        <v>8883333</v>
      </c>
      <c r="AC440" s="295">
        <f t="shared" si="42"/>
        <v>4.4416665000000001E-2</v>
      </c>
      <c r="AD440" s="341">
        <f>VLOOKUP(D440:D658,'Caribe I'!$A$25:$Q$83,17,FALSE)</f>
        <v>2</v>
      </c>
      <c r="AE440" s="353"/>
      <c r="AF440" s="342">
        <f t="shared" si="43"/>
        <v>191116667</v>
      </c>
      <c r="AG440" s="57" t="s">
        <v>27</v>
      </c>
      <c r="AH440" s="58">
        <f t="shared" si="44"/>
        <v>2</v>
      </c>
    </row>
    <row r="441" spans="1:34" ht="16.5" x14ac:dyDescent="0.3">
      <c r="A441" s="134" t="s">
        <v>23</v>
      </c>
      <c r="B441" s="26" t="s">
        <v>1166</v>
      </c>
      <c r="C441" s="145" t="s">
        <v>418</v>
      </c>
      <c r="D441" s="112" t="s">
        <v>1167</v>
      </c>
      <c r="E441" s="35">
        <v>303440</v>
      </c>
      <c r="F441" s="33" t="s">
        <v>659</v>
      </c>
      <c r="G441" s="37">
        <v>44588</v>
      </c>
      <c r="H441" s="62">
        <v>179955000</v>
      </c>
      <c r="I441" s="49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66"/>
      <c r="U441" s="50"/>
      <c r="V441" s="50"/>
      <c r="W441" s="50">
        <v>6920000</v>
      </c>
      <c r="X441" s="50">
        <v>1000000</v>
      </c>
      <c r="Y441" s="50"/>
      <c r="Z441" s="51"/>
      <c r="AA441" s="15"/>
      <c r="AB441" s="16">
        <f t="shared" si="41"/>
        <v>7920000</v>
      </c>
      <c r="AC441" s="295">
        <f t="shared" si="42"/>
        <v>4.4011002750687672E-2</v>
      </c>
      <c r="AD441" s="341">
        <f>VLOOKUP(D441:D914,Central!$A$29:$R$107,18,FALSE)</f>
        <v>1</v>
      </c>
      <c r="AE441" s="353"/>
      <c r="AF441" s="342">
        <f t="shared" si="43"/>
        <v>172035000</v>
      </c>
      <c r="AG441" s="57" t="s">
        <v>27</v>
      </c>
      <c r="AH441" s="58">
        <f t="shared" si="44"/>
        <v>2</v>
      </c>
    </row>
    <row r="442" spans="1:34" ht="16.5" x14ac:dyDescent="0.3">
      <c r="A442" s="134" t="s">
        <v>28</v>
      </c>
      <c r="B442" s="23" t="s">
        <v>432</v>
      </c>
      <c r="C442" s="145" t="s">
        <v>418</v>
      </c>
      <c r="D442" s="112" t="s">
        <v>433</v>
      </c>
      <c r="E442" s="35">
        <v>303323</v>
      </c>
      <c r="F442" s="32" t="s">
        <v>81</v>
      </c>
      <c r="G442" s="37">
        <v>44544</v>
      </c>
      <c r="H442" s="61">
        <v>147445000</v>
      </c>
      <c r="I442" s="49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66"/>
      <c r="U442" s="50"/>
      <c r="V442" s="50">
        <v>6420000</v>
      </c>
      <c r="W442" s="50"/>
      <c r="X442" s="50"/>
      <c r="Y442" s="50"/>
      <c r="Z442" s="51"/>
      <c r="AA442" s="15"/>
      <c r="AB442" s="16">
        <f t="shared" si="41"/>
        <v>6420000</v>
      </c>
      <c r="AC442" s="295">
        <f t="shared" si="42"/>
        <v>4.3541659601885448E-2</v>
      </c>
      <c r="AD442" s="341">
        <f>VLOOKUP(D442:D880,Pacífico!$A$32:$S$105,19,FALSE)</f>
        <v>2</v>
      </c>
      <c r="AE442" s="353"/>
      <c r="AF442" s="342">
        <f t="shared" si="43"/>
        <v>141025000</v>
      </c>
      <c r="AG442" s="57" t="s">
        <v>27</v>
      </c>
      <c r="AH442" s="58">
        <f t="shared" si="44"/>
        <v>1</v>
      </c>
    </row>
    <row r="443" spans="1:34" ht="16.5" x14ac:dyDescent="0.3">
      <c r="A443" s="134" t="s">
        <v>55</v>
      </c>
      <c r="B443" s="23" t="s">
        <v>520</v>
      </c>
      <c r="C443" s="145" t="s">
        <v>418</v>
      </c>
      <c r="D443" s="112" t="s">
        <v>521</v>
      </c>
      <c r="E443" s="35">
        <v>302846</v>
      </c>
      <c r="F443" s="32" t="s">
        <v>71</v>
      </c>
      <c r="G443" s="37">
        <v>44544</v>
      </c>
      <c r="H443" s="61">
        <v>149693000</v>
      </c>
      <c r="I443" s="49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66"/>
      <c r="U443" s="50"/>
      <c r="V443" s="50"/>
      <c r="W443" s="50"/>
      <c r="X443" s="50">
        <v>6420000</v>
      </c>
      <c r="Y443" s="50"/>
      <c r="Z443" s="51"/>
      <c r="AA443" s="15"/>
      <c r="AB443" s="16">
        <f t="shared" si="41"/>
        <v>6420000</v>
      </c>
      <c r="AC443" s="295">
        <f t="shared" si="42"/>
        <v>4.2887776983559688E-2</v>
      </c>
      <c r="AD443" s="341">
        <f>VLOOKUP(D443:D815,'Eje Cafetero'!$A$34:$S$102,19,FALSE)</f>
        <v>2</v>
      </c>
      <c r="AE443" s="353"/>
      <c r="AF443" s="342">
        <f t="shared" si="43"/>
        <v>143273000</v>
      </c>
      <c r="AG443" s="57" t="s">
        <v>27</v>
      </c>
      <c r="AH443" s="58">
        <f t="shared" si="44"/>
        <v>1</v>
      </c>
    </row>
    <row r="444" spans="1:34" ht="16.5" x14ac:dyDescent="0.3">
      <c r="A444" s="134" t="s">
        <v>23</v>
      </c>
      <c r="B444" s="26" t="s">
        <v>1260</v>
      </c>
      <c r="C444" s="145" t="s">
        <v>418</v>
      </c>
      <c r="D444" s="112" t="s">
        <v>1261</v>
      </c>
      <c r="E444" s="35">
        <v>303838</v>
      </c>
      <c r="F444" s="33" t="s">
        <v>44</v>
      </c>
      <c r="G444" s="37">
        <v>44588</v>
      </c>
      <c r="H444" s="62">
        <v>149951000</v>
      </c>
      <c r="I444" s="49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66"/>
      <c r="U444" s="50"/>
      <c r="V444" s="50"/>
      <c r="W444" s="50"/>
      <c r="X444" s="50">
        <v>6420000</v>
      </c>
      <c r="Y444" s="50"/>
      <c r="Z444" s="51"/>
      <c r="AA444" s="15"/>
      <c r="AB444" s="16">
        <f t="shared" si="41"/>
        <v>6420000</v>
      </c>
      <c r="AC444" s="295">
        <f t="shared" si="42"/>
        <v>4.2813985902061341E-2</v>
      </c>
      <c r="AD444" s="341">
        <f>VLOOKUP(D444:D917,Central!$A$29:$R$107,18,FALSE)</f>
        <v>3</v>
      </c>
      <c r="AE444" s="353"/>
      <c r="AF444" s="342">
        <f t="shared" si="43"/>
        <v>143531000</v>
      </c>
      <c r="AG444" s="57" t="s">
        <v>27</v>
      </c>
      <c r="AH444" s="58">
        <f t="shared" si="44"/>
        <v>1</v>
      </c>
    </row>
    <row r="445" spans="1:34" ht="16.5" x14ac:dyDescent="0.3">
      <c r="A445" s="134" t="s">
        <v>55</v>
      </c>
      <c r="B445" s="23" t="s">
        <v>982</v>
      </c>
      <c r="C445" s="145" t="s">
        <v>418</v>
      </c>
      <c r="D445" s="112" t="s">
        <v>983</v>
      </c>
      <c r="E445" s="35">
        <v>303243</v>
      </c>
      <c r="F445" s="32" t="s">
        <v>128</v>
      </c>
      <c r="G445" s="37">
        <v>44588</v>
      </c>
      <c r="H445" s="61">
        <v>150000000</v>
      </c>
      <c r="I445" s="49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66"/>
      <c r="U445" s="50"/>
      <c r="V445" s="50">
        <v>6420000</v>
      </c>
      <c r="W445" s="50"/>
      <c r="X445" s="50"/>
      <c r="Y445" s="50"/>
      <c r="Z445" s="51"/>
      <c r="AA445" s="15"/>
      <c r="AB445" s="16">
        <f t="shared" si="41"/>
        <v>6420000</v>
      </c>
      <c r="AC445" s="295">
        <f t="shared" si="42"/>
        <v>4.2799999999999998E-2</v>
      </c>
      <c r="AD445" s="341">
        <f>VLOOKUP(D445:D817,'Eje Cafetero'!$A$34:$S$102,19,FALSE)</f>
        <v>3</v>
      </c>
      <c r="AE445" s="353"/>
      <c r="AF445" s="342">
        <f t="shared" si="43"/>
        <v>143580000</v>
      </c>
      <c r="AG445" s="57" t="s">
        <v>27</v>
      </c>
      <c r="AH445" s="58">
        <f t="shared" si="44"/>
        <v>1</v>
      </c>
    </row>
    <row r="446" spans="1:34" ht="16.5" x14ac:dyDescent="0.3">
      <c r="A446" s="134" t="s">
        <v>16</v>
      </c>
      <c r="B446" s="23" t="s">
        <v>570</v>
      </c>
      <c r="C446" s="145" t="s">
        <v>418</v>
      </c>
      <c r="D446" s="112" t="s">
        <v>571</v>
      </c>
      <c r="E446" s="35">
        <v>303316</v>
      </c>
      <c r="F446" s="32" t="s">
        <v>572</v>
      </c>
      <c r="G446" s="37">
        <v>44544</v>
      </c>
      <c r="H446" s="61">
        <v>199838000</v>
      </c>
      <c r="I446" s="49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66"/>
      <c r="U446" s="50"/>
      <c r="V446" s="50"/>
      <c r="W446" s="50"/>
      <c r="X446" s="50">
        <v>8503333</v>
      </c>
      <c r="Y446" s="50"/>
      <c r="Z446" s="51"/>
      <c r="AA446" s="15"/>
      <c r="AB446" s="16">
        <f t="shared" si="41"/>
        <v>8503333</v>
      </c>
      <c r="AC446" s="295">
        <f t="shared" si="42"/>
        <v>4.255113141644732E-2</v>
      </c>
      <c r="AD446" s="341">
        <f>VLOOKUP(D446:D660,'Caribe I'!$A$25:$Q$83,17,FALSE)</f>
        <v>2</v>
      </c>
      <c r="AE446" s="353"/>
      <c r="AF446" s="342">
        <f t="shared" si="43"/>
        <v>191334667</v>
      </c>
      <c r="AG446" s="57" t="s">
        <v>27</v>
      </c>
      <c r="AH446" s="58">
        <f t="shared" si="44"/>
        <v>1</v>
      </c>
    </row>
    <row r="447" spans="1:34" ht="16.5" x14ac:dyDescent="0.3">
      <c r="A447" s="134" t="s">
        <v>16</v>
      </c>
      <c r="B447" s="26" t="s">
        <v>562</v>
      </c>
      <c r="C447" s="145" t="s">
        <v>418</v>
      </c>
      <c r="D447" s="112" t="s">
        <v>563</v>
      </c>
      <c r="E447" s="35">
        <v>302810</v>
      </c>
      <c r="F447" s="33" t="s">
        <v>551</v>
      </c>
      <c r="G447" s="37">
        <v>44544</v>
      </c>
      <c r="H447" s="62">
        <v>196250000</v>
      </c>
      <c r="I447" s="49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66"/>
      <c r="U447" s="50">
        <v>6420000</v>
      </c>
      <c r="V447" s="50"/>
      <c r="W447" s="50">
        <v>1816500</v>
      </c>
      <c r="X447" s="50"/>
      <c r="Y447" s="50"/>
      <c r="Z447" s="51"/>
      <c r="AA447" s="15"/>
      <c r="AB447" s="16">
        <f t="shared" si="41"/>
        <v>8236500</v>
      </c>
      <c r="AC447" s="295">
        <f t="shared" si="42"/>
        <v>4.1969426751592355E-2</v>
      </c>
      <c r="AD447" s="341">
        <f>VLOOKUP(D447:D661,'Caribe I'!$A$25:$Q$83,17,FALSE)</f>
        <v>3</v>
      </c>
      <c r="AE447" s="353"/>
      <c r="AF447" s="342">
        <f t="shared" si="43"/>
        <v>188013500</v>
      </c>
      <c r="AG447" s="57" t="s">
        <v>27</v>
      </c>
      <c r="AH447" s="58">
        <f t="shared" si="44"/>
        <v>2</v>
      </c>
    </row>
    <row r="448" spans="1:34" ht="16.5" x14ac:dyDescent="0.3">
      <c r="A448" s="134" t="s">
        <v>23</v>
      </c>
      <c r="B448" s="23" t="s">
        <v>1198</v>
      </c>
      <c r="C448" s="145" t="s">
        <v>418</v>
      </c>
      <c r="D448" s="112" t="s">
        <v>1199</v>
      </c>
      <c r="E448" s="35">
        <v>303258</v>
      </c>
      <c r="F448" s="32" t="s">
        <v>659</v>
      </c>
      <c r="G448" s="37">
        <v>44588</v>
      </c>
      <c r="H448" s="61">
        <v>165000000</v>
      </c>
      <c r="I448" s="49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66"/>
      <c r="U448" s="50"/>
      <c r="V448" s="50"/>
      <c r="W448" s="50">
        <v>6420000</v>
      </c>
      <c r="X448" s="50">
        <v>454250</v>
      </c>
      <c r="Y448" s="50"/>
      <c r="Z448" s="51"/>
      <c r="AA448" s="15"/>
      <c r="AB448" s="16">
        <f t="shared" si="41"/>
        <v>6874250</v>
      </c>
      <c r="AC448" s="295">
        <f t="shared" si="42"/>
        <v>4.1662121212121213E-2</v>
      </c>
      <c r="AD448" s="341">
        <f>VLOOKUP(D448:D921,Central!$A$29:$R$107,18,FALSE)</f>
        <v>1</v>
      </c>
      <c r="AE448" s="353"/>
      <c r="AF448" s="342">
        <f t="shared" si="43"/>
        <v>158125750</v>
      </c>
      <c r="AG448" s="57" t="s">
        <v>27</v>
      </c>
      <c r="AH448" s="58">
        <f t="shared" si="44"/>
        <v>2</v>
      </c>
    </row>
    <row r="449" spans="1:34" ht="16.5" x14ac:dyDescent="0.3">
      <c r="A449" s="134" t="s">
        <v>89</v>
      </c>
      <c r="B449" s="23" t="s">
        <v>1100</v>
      </c>
      <c r="C449" s="145" t="s">
        <v>418</v>
      </c>
      <c r="D449" s="112" t="s">
        <v>1101</v>
      </c>
      <c r="E449" s="35">
        <v>303825</v>
      </c>
      <c r="F449" s="32" t="s">
        <v>622</v>
      </c>
      <c r="G449" s="37">
        <v>44588</v>
      </c>
      <c r="H449" s="61">
        <v>155000000</v>
      </c>
      <c r="I449" s="49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66"/>
      <c r="U449" s="50"/>
      <c r="V449" s="50"/>
      <c r="W449" s="50"/>
      <c r="X449" s="50">
        <v>6420000</v>
      </c>
      <c r="Y449" s="50"/>
      <c r="Z449" s="51"/>
      <c r="AA449" s="15"/>
      <c r="AB449" s="16">
        <f t="shared" si="41"/>
        <v>6420000</v>
      </c>
      <c r="AC449" s="295">
        <f t="shared" si="42"/>
        <v>4.1419354838709677E-2</v>
      </c>
      <c r="AD449" s="341">
        <f>VLOOKUP(D449:D517,'Caribe II'!$A$38:$Q$107,17,FALSE)</f>
        <v>2</v>
      </c>
      <c r="AE449" s="353"/>
      <c r="AF449" s="342">
        <f t="shared" si="43"/>
        <v>148580000</v>
      </c>
      <c r="AG449" s="57" t="s">
        <v>27</v>
      </c>
      <c r="AH449" s="58">
        <f t="shared" si="44"/>
        <v>1</v>
      </c>
    </row>
    <row r="450" spans="1:34" ht="16.5" x14ac:dyDescent="0.3">
      <c r="A450" s="134" t="s">
        <v>105</v>
      </c>
      <c r="B450" s="23" t="s">
        <v>1306</v>
      </c>
      <c r="C450" s="145" t="s">
        <v>418</v>
      </c>
      <c r="D450" s="112" t="s">
        <v>1307</v>
      </c>
      <c r="E450" s="35">
        <v>303655</v>
      </c>
      <c r="F450" s="32" t="s">
        <v>118</v>
      </c>
      <c r="G450" s="37">
        <v>44588</v>
      </c>
      <c r="H450" s="61">
        <v>155000000</v>
      </c>
      <c r="I450" s="49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66"/>
      <c r="U450" s="50"/>
      <c r="V450" s="50"/>
      <c r="W450" s="50"/>
      <c r="X450" s="50">
        <v>6420000</v>
      </c>
      <c r="Y450" s="50"/>
      <c r="Z450" s="51"/>
      <c r="AA450" s="15"/>
      <c r="AB450" s="16">
        <f t="shared" si="41"/>
        <v>6420000</v>
      </c>
      <c r="AC450" s="295">
        <f t="shared" si="42"/>
        <v>4.1419354838709677E-2</v>
      </c>
      <c r="AD450" s="341">
        <f>VLOOKUP(D450:D824,Llanos!$A$28:$S$82,19,FALSE)</f>
        <v>3</v>
      </c>
      <c r="AE450" s="353"/>
      <c r="AF450" s="342">
        <f t="shared" si="43"/>
        <v>148580000</v>
      </c>
      <c r="AG450" s="57" t="s">
        <v>27</v>
      </c>
      <c r="AH450" s="58">
        <f t="shared" si="44"/>
        <v>1</v>
      </c>
    </row>
    <row r="451" spans="1:34" ht="16.5" x14ac:dyDescent="0.3">
      <c r="A451" s="134" t="s">
        <v>55</v>
      </c>
      <c r="B451" s="23" t="s">
        <v>534</v>
      </c>
      <c r="C451" s="145" t="s">
        <v>418</v>
      </c>
      <c r="D451" s="112" t="s">
        <v>535</v>
      </c>
      <c r="E451" s="35">
        <v>302727</v>
      </c>
      <c r="F451" s="32" t="s">
        <v>71</v>
      </c>
      <c r="G451" s="37">
        <v>44544</v>
      </c>
      <c r="H451" s="61">
        <v>155342000</v>
      </c>
      <c r="I451" s="49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66"/>
      <c r="U451" s="50">
        <v>6420000</v>
      </c>
      <c r="V451" s="50"/>
      <c r="W451" s="50"/>
      <c r="X451" s="50"/>
      <c r="Y451" s="50"/>
      <c r="Z451" s="51"/>
      <c r="AA451" s="15"/>
      <c r="AB451" s="16">
        <f t="shared" si="41"/>
        <v>6420000</v>
      </c>
      <c r="AC451" s="295">
        <f t="shared" si="42"/>
        <v>4.1328166239651867E-2</v>
      </c>
      <c r="AD451" s="341">
        <f>VLOOKUP(D451:D823,'Eje Cafetero'!$A$34:$S$102,19,FALSE)</f>
        <v>3</v>
      </c>
      <c r="AE451" s="353"/>
      <c r="AF451" s="342">
        <f t="shared" si="43"/>
        <v>148922000</v>
      </c>
      <c r="AG451" s="57" t="s">
        <v>27</v>
      </c>
      <c r="AH451" s="58">
        <f t="shared" si="44"/>
        <v>1</v>
      </c>
    </row>
    <row r="452" spans="1:34" ht="16.5" x14ac:dyDescent="0.3">
      <c r="A452" s="134" t="s">
        <v>105</v>
      </c>
      <c r="B452" s="26" t="s">
        <v>1320</v>
      </c>
      <c r="C452" s="145" t="s">
        <v>418</v>
      </c>
      <c r="D452" s="112" t="s">
        <v>1321</v>
      </c>
      <c r="E452" s="35">
        <v>303840</v>
      </c>
      <c r="F452" s="33" t="s">
        <v>118</v>
      </c>
      <c r="G452" s="37">
        <v>44588</v>
      </c>
      <c r="H452" s="62">
        <v>200000000</v>
      </c>
      <c r="I452" s="49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66"/>
      <c r="U452" s="50"/>
      <c r="V452" s="50">
        <v>6420000</v>
      </c>
      <c r="W452" s="50">
        <v>908500</v>
      </c>
      <c r="X452" s="50">
        <v>908500</v>
      </c>
      <c r="Y452" s="50"/>
      <c r="Z452" s="51"/>
      <c r="AA452" s="15"/>
      <c r="AB452" s="16">
        <f t="shared" si="41"/>
        <v>8237000</v>
      </c>
      <c r="AC452" s="295">
        <f t="shared" si="42"/>
        <v>4.1184999999999999E-2</v>
      </c>
      <c r="AD452" s="341">
        <f>VLOOKUP(D452:D826,Llanos!$A$28:$S$82,19,FALSE)</f>
        <v>2</v>
      </c>
      <c r="AE452" s="353"/>
      <c r="AF452" s="342">
        <f t="shared" si="43"/>
        <v>191763000</v>
      </c>
      <c r="AG452" s="57" t="s">
        <v>27</v>
      </c>
      <c r="AH452" s="58">
        <f t="shared" si="44"/>
        <v>3</v>
      </c>
    </row>
    <row r="453" spans="1:34" ht="16.5" x14ac:dyDescent="0.3">
      <c r="A453" s="134" t="s">
        <v>16</v>
      </c>
      <c r="B453" s="26" t="s">
        <v>1049</v>
      </c>
      <c r="C453" s="145" t="s">
        <v>418</v>
      </c>
      <c r="D453" s="112" t="s">
        <v>1050</v>
      </c>
      <c r="E453" s="35">
        <v>303530</v>
      </c>
      <c r="F453" s="33" t="s">
        <v>572</v>
      </c>
      <c r="G453" s="37">
        <v>44588</v>
      </c>
      <c r="H453" s="62">
        <v>199999000</v>
      </c>
      <c r="I453" s="49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66"/>
      <c r="U453" s="50"/>
      <c r="V453" s="50">
        <v>6300000</v>
      </c>
      <c r="W453" s="50"/>
      <c r="X453" s="50">
        <v>1817000</v>
      </c>
      <c r="Y453" s="50"/>
      <c r="Z453" s="51"/>
      <c r="AA453" s="15"/>
      <c r="AB453" s="16">
        <f t="shared" si="41"/>
        <v>8117000</v>
      </c>
      <c r="AC453" s="295">
        <f t="shared" si="42"/>
        <v>4.0585202926014627E-2</v>
      </c>
      <c r="AD453" s="341">
        <f>VLOOKUP(D453:D667,'Caribe I'!$A$25:$Q$83,17,FALSE)</f>
        <v>3</v>
      </c>
      <c r="AE453" s="353"/>
      <c r="AF453" s="342">
        <f t="shared" si="43"/>
        <v>191882000</v>
      </c>
      <c r="AG453" s="57" t="s">
        <v>27</v>
      </c>
      <c r="AH453" s="58">
        <f t="shared" si="44"/>
        <v>2</v>
      </c>
    </row>
    <row r="454" spans="1:34" ht="16.5" x14ac:dyDescent="0.3">
      <c r="A454" s="134" t="s">
        <v>16</v>
      </c>
      <c r="B454" s="26" t="s">
        <v>1045</v>
      </c>
      <c r="C454" s="145" t="s">
        <v>418</v>
      </c>
      <c r="D454" s="112" t="s">
        <v>1046</v>
      </c>
      <c r="E454" s="35">
        <v>303527</v>
      </c>
      <c r="F454" s="33" t="s">
        <v>268</v>
      </c>
      <c r="G454" s="37">
        <v>44588</v>
      </c>
      <c r="H454" s="62">
        <v>159944000</v>
      </c>
      <c r="I454" s="49"/>
      <c r="J454" s="50"/>
      <c r="K454" s="50"/>
      <c r="L454" s="50"/>
      <c r="M454" s="50"/>
      <c r="N454" s="50"/>
      <c r="O454" s="50"/>
      <c r="P454" s="97"/>
      <c r="Q454" s="50"/>
      <c r="R454" s="50"/>
      <c r="S454" s="50"/>
      <c r="T454" s="66">
        <v>6420000</v>
      </c>
      <c r="U454" s="50"/>
      <c r="V454" s="50"/>
      <c r="W454" s="50"/>
      <c r="X454" s="50"/>
      <c r="Y454" s="50"/>
      <c r="Z454" s="51"/>
      <c r="AA454" s="15"/>
      <c r="AB454" s="16">
        <f t="shared" si="41"/>
        <v>6420000</v>
      </c>
      <c r="AC454" s="295">
        <f t="shared" si="42"/>
        <v>4.013904866703346E-2</v>
      </c>
      <c r="AD454" s="341">
        <f>VLOOKUP(D454:D668,'Caribe I'!$A$25:$Q$83,17,FALSE)</f>
        <v>3</v>
      </c>
      <c r="AE454" s="353"/>
      <c r="AF454" s="342">
        <f t="shared" si="43"/>
        <v>153524000</v>
      </c>
      <c r="AG454" s="57" t="s">
        <v>27</v>
      </c>
      <c r="AH454" s="58">
        <f t="shared" si="44"/>
        <v>1</v>
      </c>
    </row>
    <row r="455" spans="1:34" ht="16.5" x14ac:dyDescent="0.3">
      <c r="A455" s="134" t="s">
        <v>32</v>
      </c>
      <c r="B455" s="26" t="s">
        <v>1328</v>
      </c>
      <c r="C455" s="145" t="s">
        <v>418</v>
      </c>
      <c r="D455" s="112" t="s">
        <v>1329</v>
      </c>
      <c r="E455" s="35">
        <v>303247</v>
      </c>
      <c r="F455" s="33" t="s">
        <v>828</v>
      </c>
      <c r="G455" s="37">
        <v>44588</v>
      </c>
      <c r="H455" s="62">
        <v>160000000</v>
      </c>
      <c r="I455" s="49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66"/>
      <c r="U455" s="50"/>
      <c r="V455" s="50"/>
      <c r="W455" s="50"/>
      <c r="X455" s="50">
        <v>6420000</v>
      </c>
      <c r="Y455" s="50"/>
      <c r="Z455" s="51"/>
      <c r="AA455" s="15"/>
      <c r="AB455" s="16">
        <f t="shared" si="41"/>
        <v>6420000</v>
      </c>
      <c r="AC455" s="295">
        <f t="shared" si="42"/>
        <v>4.0125000000000001E-2</v>
      </c>
      <c r="AD455" s="341">
        <f>VLOOKUP(D453:D641,Amazonía!$A$27:$T$75,20,FALSE)</f>
        <v>2</v>
      </c>
      <c r="AE455" s="353"/>
      <c r="AF455" s="342">
        <f t="shared" si="43"/>
        <v>153580000</v>
      </c>
      <c r="AG455" s="57" t="s">
        <v>27</v>
      </c>
      <c r="AH455" s="58">
        <f t="shared" si="44"/>
        <v>1</v>
      </c>
    </row>
    <row r="456" spans="1:34" ht="16.5" x14ac:dyDescent="0.3">
      <c r="A456" s="134" t="s">
        <v>89</v>
      </c>
      <c r="B456" s="26" t="s">
        <v>637</v>
      </c>
      <c r="C456" s="145" t="s">
        <v>418</v>
      </c>
      <c r="D456" s="112" t="s">
        <v>638</v>
      </c>
      <c r="E456" s="35">
        <v>302954</v>
      </c>
      <c r="F456" s="33" t="s">
        <v>622</v>
      </c>
      <c r="G456" s="37">
        <v>44544</v>
      </c>
      <c r="H456" s="62">
        <v>160000000</v>
      </c>
      <c r="I456" s="49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66"/>
      <c r="U456" s="50"/>
      <c r="V456" s="50"/>
      <c r="W456" s="50"/>
      <c r="X456" s="50">
        <v>6420000</v>
      </c>
      <c r="Y456" s="50"/>
      <c r="Z456" s="51"/>
      <c r="AA456" s="15"/>
      <c r="AB456" s="16">
        <f t="shared" si="41"/>
        <v>6420000</v>
      </c>
      <c r="AC456" s="295">
        <f t="shared" si="42"/>
        <v>4.0125000000000001E-2</v>
      </c>
      <c r="AD456" s="341">
        <f>VLOOKUP(D456:D524,'Caribe II'!$A$38:$Q$107,17,FALSE)</f>
        <v>2</v>
      </c>
      <c r="AE456" s="353"/>
      <c r="AF456" s="342">
        <f t="shared" si="43"/>
        <v>153580000</v>
      </c>
      <c r="AG456" s="57" t="s">
        <v>27</v>
      </c>
      <c r="AH456" s="58">
        <f t="shared" si="44"/>
        <v>1</v>
      </c>
    </row>
    <row r="457" spans="1:34" ht="16.5" x14ac:dyDescent="0.3">
      <c r="A457" s="134" t="s">
        <v>55</v>
      </c>
      <c r="B457" s="26" t="s">
        <v>476</v>
      </c>
      <c r="C457" s="145" t="s">
        <v>418</v>
      </c>
      <c r="D457" s="112" t="s">
        <v>477</v>
      </c>
      <c r="E457" s="35">
        <v>302829</v>
      </c>
      <c r="F457" s="33" t="s">
        <v>58</v>
      </c>
      <c r="G457" s="37">
        <v>44544</v>
      </c>
      <c r="H457" s="62">
        <v>160000000</v>
      </c>
      <c r="I457" s="49"/>
      <c r="J457" s="50"/>
      <c r="K457" s="50"/>
      <c r="L457" s="50"/>
      <c r="M457" s="50"/>
      <c r="N457" s="50"/>
      <c r="O457" s="50"/>
      <c r="P457" s="97"/>
      <c r="Q457" s="50"/>
      <c r="R457" s="50"/>
      <c r="S457" s="50"/>
      <c r="T457" s="66"/>
      <c r="U457" s="50"/>
      <c r="V457" s="50"/>
      <c r="W457" s="50"/>
      <c r="X457" s="50">
        <v>6420000</v>
      </c>
      <c r="Y457" s="50"/>
      <c r="Z457" s="51"/>
      <c r="AA457" s="15"/>
      <c r="AB457" s="16">
        <f t="shared" si="41"/>
        <v>6420000</v>
      </c>
      <c r="AC457" s="295">
        <f t="shared" si="42"/>
        <v>4.0125000000000001E-2</v>
      </c>
      <c r="AD457" s="341">
        <f>VLOOKUP(D457:D829,'Eje Cafetero'!$A$34:$S$102,19,FALSE)</f>
        <v>2</v>
      </c>
      <c r="AE457" s="353"/>
      <c r="AF457" s="342">
        <f t="shared" si="43"/>
        <v>153580000</v>
      </c>
      <c r="AG457" s="57" t="s">
        <v>27</v>
      </c>
      <c r="AH457" s="58">
        <f t="shared" si="44"/>
        <v>1</v>
      </c>
    </row>
    <row r="458" spans="1:34" ht="16.5" x14ac:dyDescent="0.3">
      <c r="A458" s="134" t="s">
        <v>32</v>
      </c>
      <c r="B458" s="26" t="s">
        <v>829</v>
      </c>
      <c r="C458" s="145" t="s">
        <v>418</v>
      </c>
      <c r="D458" s="112" t="s">
        <v>830</v>
      </c>
      <c r="E458" s="35">
        <v>302844</v>
      </c>
      <c r="F458" s="33" t="s">
        <v>828</v>
      </c>
      <c r="G458" s="37">
        <v>44544</v>
      </c>
      <c r="H458" s="62">
        <v>185000000</v>
      </c>
      <c r="I458" s="49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66"/>
      <c r="U458" s="50"/>
      <c r="V458" s="50"/>
      <c r="W458" s="50">
        <v>7370000</v>
      </c>
      <c r="X458" s="50"/>
      <c r="Y458" s="50"/>
      <c r="Z458" s="51"/>
      <c r="AA458" s="15"/>
      <c r="AB458" s="16">
        <f t="shared" si="41"/>
        <v>7370000</v>
      </c>
      <c r="AC458" s="295">
        <f t="shared" si="42"/>
        <v>3.9837837837837835E-2</v>
      </c>
      <c r="AD458" s="341">
        <f>VLOOKUP(D456:D644,Amazonía!$A$27:$T$75,20,FALSE)</f>
        <v>2</v>
      </c>
      <c r="AE458" s="353"/>
      <c r="AF458" s="342">
        <f t="shared" si="43"/>
        <v>177630000</v>
      </c>
      <c r="AG458" s="57" t="s">
        <v>27</v>
      </c>
      <c r="AH458" s="58">
        <f t="shared" si="44"/>
        <v>1</v>
      </c>
    </row>
    <row r="459" spans="1:34" ht="16.5" x14ac:dyDescent="0.3">
      <c r="A459" s="134" t="s">
        <v>16</v>
      </c>
      <c r="B459" s="23" t="s">
        <v>1036</v>
      </c>
      <c r="C459" s="145" t="s">
        <v>418</v>
      </c>
      <c r="D459" s="112" t="s">
        <v>1037</v>
      </c>
      <c r="E459" s="35">
        <v>303808</v>
      </c>
      <c r="F459" s="32" t="s">
        <v>268</v>
      </c>
      <c r="G459" s="37">
        <v>44588</v>
      </c>
      <c r="H459" s="61">
        <v>164437000</v>
      </c>
      <c r="I459" s="49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66"/>
      <c r="U459" s="50"/>
      <c r="V459" s="50"/>
      <c r="W459" s="50">
        <v>6420000</v>
      </c>
      <c r="X459" s="50"/>
      <c r="Y459" s="50"/>
      <c r="Z459" s="51"/>
      <c r="AA459" s="15"/>
      <c r="AB459" s="16">
        <f t="shared" si="41"/>
        <v>6420000</v>
      </c>
      <c r="AC459" s="295">
        <f t="shared" si="42"/>
        <v>3.9042307996375508E-2</v>
      </c>
      <c r="AD459" s="341">
        <f>VLOOKUP(D459:D673,'Caribe I'!$A$25:$Q$83,17,FALSE)</f>
        <v>2</v>
      </c>
      <c r="AE459" s="353"/>
      <c r="AF459" s="342">
        <f t="shared" si="43"/>
        <v>158017000</v>
      </c>
      <c r="AG459" s="57" t="s">
        <v>27</v>
      </c>
      <c r="AH459" s="58">
        <f t="shared" si="44"/>
        <v>1</v>
      </c>
    </row>
    <row r="460" spans="1:34" ht="16.5" x14ac:dyDescent="0.3">
      <c r="A460" s="134" t="s">
        <v>55</v>
      </c>
      <c r="B460" s="23" t="s">
        <v>508</v>
      </c>
      <c r="C460" s="145" t="s">
        <v>418</v>
      </c>
      <c r="D460" s="112" t="s">
        <v>509</v>
      </c>
      <c r="E460" s="35">
        <v>302592</v>
      </c>
      <c r="F460" s="32" t="s">
        <v>71</v>
      </c>
      <c r="G460" s="37">
        <v>44544</v>
      </c>
      <c r="H460" s="61">
        <v>164782000</v>
      </c>
      <c r="I460" s="49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66"/>
      <c r="U460" s="50"/>
      <c r="V460" s="50"/>
      <c r="W460" s="50"/>
      <c r="X460" s="50">
        <v>6420000</v>
      </c>
      <c r="Y460" s="50"/>
      <c r="Z460" s="51"/>
      <c r="AA460" s="15"/>
      <c r="AB460" s="16">
        <f t="shared" si="41"/>
        <v>6420000</v>
      </c>
      <c r="AC460" s="295">
        <f t="shared" si="42"/>
        <v>3.8960566081246741E-2</v>
      </c>
      <c r="AD460" s="341">
        <f>VLOOKUP(D460:D832,'Eje Cafetero'!$A$34:$S$102,19,FALSE)</f>
        <v>2</v>
      </c>
      <c r="AE460" s="353"/>
      <c r="AF460" s="342">
        <f t="shared" si="43"/>
        <v>158362000</v>
      </c>
      <c r="AG460" s="57" t="s">
        <v>27</v>
      </c>
      <c r="AH460" s="58">
        <f t="shared" si="44"/>
        <v>1</v>
      </c>
    </row>
    <row r="461" spans="1:34" ht="16.5" x14ac:dyDescent="0.3">
      <c r="A461" s="134" t="s">
        <v>23</v>
      </c>
      <c r="B461" s="26" t="s">
        <v>1232</v>
      </c>
      <c r="C461" s="145" t="s">
        <v>418</v>
      </c>
      <c r="D461" s="112" t="s">
        <v>1233</v>
      </c>
      <c r="E461" s="35">
        <v>303861</v>
      </c>
      <c r="F461" s="33" t="s">
        <v>191</v>
      </c>
      <c r="G461" s="37">
        <v>44588</v>
      </c>
      <c r="H461" s="62">
        <v>164803000</v>
      </c>
      <c r="I461" s="49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66">
        <v>6420000</v>
      </c>
      <c r="U461" s="50"/>
      <c r="V461" s="50"/>
      <c r="W461" s="50"/>
      <c r="X461" s="50"/>
      <c r="Y461" s="50"/>
      <c r="Z461" s="51"/>
      <c r="AA461" s="15"/>
      <c r="AB461" s="16">
        <f t="shared" si="41"/>
        <v>6420000</v>
      </c>
      <c r="AC461" s="295">
        <f t="shared" si="42"/>
        <v>3.8955601536379801E-2</v>
      </c>
      <c r="AD461" s="341">
        <f>VLOOKUP(D461:D934,Central!$A$29:$R$107,18,FALSE)</f>
        <v>2</v>
      </c>
      <c r="AE461" s="353"/>
      <c r="AF461" s="342">
        <f t="shared" si="43"/>
        <v>158383000</v>
      </c>
      <c r="AG461" s="57" t="s">
        <v>27</v>
      </c>
      <c r="AH461" s="58">
        <f t="shared" si="44"/>
        <v>1</v>
      </c>
    </row>
    <row r="462" spans="1:34" ht="16.5" x14ac:dyDescent="0.3">
      <c r="A462" s="134" t="s">
        <v>16</v>
      </c>
      <c r="B462" s="26" t="s">
        <v>595</v>
      </c>
      <c r="C462" s="145" t="s">
        <v>418</v>
      </c>
      <c r="D462" s="112" t="s">
        <v>596</v>
      </c>
      <c r="E462" s="35">
        <v>302782</v>
      </c>
      <c r="F462" s="33" t="s">
        <v>268</v>
      </c>
      <c r="G462" s="37">
        <v>44544</v>
      </c>
      <c r="H462" s="62">
        <v>168896000</v>
      </c>
      <c r="I462" s="49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66"/>
      <c r="U462" s="50"/>
      <c r="V462" s="50"/>
      <c r="W462" s="50"/>
      <c r="X462" s="50">
        <v>6420000</v>
      </c>
      <c r="Y462" s="50"/>
      <c r="Z462" s="51"/>
      <c r="AA462" s="15"/>
      <c r="AB462" s="16">
        <f t="shared" si="41"/>
        <v>6420000</v>
      </c>
      <c r="AC462" s="295">
        <f t="shared" si="42"/>
        <v>3.8011557408109131E-2</v>
      </c>
      <c r="AD462" s="341">
        <f>VLOOKUP(D462:D676,'Caribe I'!$A$25:$Q$83,17,FALSE)</f>
        <v>2</v>
      </c>
      <c r="AE462" s="353"/>
      <c r="AF462" s="342">
        <f t="shared" si="43"/>
        <v>162476000</v>
      </c>
      <c r="AG462" s="57" t="s">
        <v>27</v>
      </c>
      <c r="AH462" s="58">
        <f t="shared" si="44"/>
        <v>1</v>
      </c>
    </row>
    <row r="463" spans="1:34" ht="16.5" x14ac:dyDescent="0.3">
      <c r="A463" s="134" t="s">
        <v>105</v>
      </c>
      <c r="B463" s="26" t="s">
        <v>1314</v>
      </c>
      <c r="C463" s="145" t="s">
        <v>418</v>
      </c>
      <c r="D463" s="112" t="s">
        <v>1315</v>
      </c>
      <c r="E463" s="35">
        <v>303820</v>
      </c>
      <c r="F463" s="33" t="s">
        <v>131</v>
      </c>
      <c r="G463" s="37">
        <v>44588</v>
      </c>
      <c r="H463" s="62">
        <v>170000000</v>
      </c>
      <c r="I463" s="49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66"/>
      <c r="U463" s="50"/>
      <c r="V463" s="50"/>
      <c r="W463" s="50">
        <v>6420000</v>
      </c>
      <c r="X463" s="50"/>
      <c r="Y463" s="50"/>
      <c r="Z463" s="51"/>
      <c r="AA463" s="15"/>
      <c r="AB463" s="16">
        <f t="shared" si="41"/>
        <v>6420000</v>
      </c>
      <c r="AC463" s="295">
        <f t="shared" si="42"/>
        <v>3.7764705882352943E-2</v>
      </c>
      <c r="AD463" s="341">
        <f>VLOOKUP(D463:D837,Llanos!$A$28:$S$82,19,FALSE)</f>
        <v>3</v>
      </c>
      <c r="AE463" s="353"/>
      <c r="AF463" s="342">
        <f t="shared" si="43"/>
        <v>163580000</v>
      </c>
      <c r="AG463" s="57" t="s">
        <v>27</v>
      </c>
      <c r="AH463" s="58">
        <f t="shared" si="44"/>
        <v>1</v>
      </c>
    </row>
    <row r="464" spans="1:34" ht="16.5" x14ac:dyDescent="0.3">
      <c r="A464" s="134" t="s">
        <v>49</v>
      </c>
      <c r="B464" s="26" t="s">
        <v>719</v>
      </c>
      <c r="C464" s="145" t="s">
        <v>418</v>
      </c>
      <c r="D464" s="112" t="s">
        <v>720</v>
      </c>
      <c r="E464" s="35">
        <v>303318</v>
      </c>
      <c r="F464" s="33" t="s">
        <v>125</v>
      </c>
      <c r="G464" s="37">
        <v>44544</v>
      </c>
      <c r="H464" s="62">
        <v>170000000</v>
      </c>
      <c r="I464" s="49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66"/>
      <c r="U464" s="50"/>
      <c r="V464" s="50"/>
      <c r="W464" s="50"/>
      <c r="X464" s="50">
        <v>6420000</v>
      </c>
      <c r="Y464" s="50"/>
      <c r="Z464" s="51"/>
      <c r="AA464" s="15"/>
      <c r="AB464" s="16">
        <f t="shared" si="41"/>
        <v>6420000</v>
      </c>
      <c r="AC464" s="295">
        <f t="shared" si="42"/>
        <v>3.7764705882352943E-2</v>
      </c>
      <c r="AD464" s="341">
        <f>VLOOKUP(D464:D930,Santanderes!$A$21:$S$54,19,FALSE)</f>
        <v>3</v>
      </c>
      <c r="AE464" s="353"/>
      <c r="AF464" s="342">
        <f t="shared" si="43"/>
        <v>163580000</v>
      </c>
      <c r="AG464" s="57" t="s">
        <v>27</v>
      </c>
      <c r="AH464" s="58">
        <f t="shared" si="44"/>
        <v>1</v>
      </c>
    </row>
    <row r="465" spans="1:34" ht="16.5" x14ac:dyDescent="0.3">
      <c r="A465" s="134" t="s">
        <v>23</v>
      </c>
      <c r="B465" s="26" t="s">
        <v>674</v>
      </c>
      <c r="C465" s="145" t="s">
        <v>418</v>
      </c>
      <c r="D465" s="112" t="s">
        <v>675</v>
      </c>
      <c r="E465" s="35">
        <v>302867</v>
      </c>
      <c r="F465" s="33" t="s">
        <v>44</v>
      </c>
      <c r="G465" s="37">
        <v>44544</v>
      </c>
      <c r="H465" s="62">
        <v>173352000</v>
      </c>
      <c r="I465" s="49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66">
        <v>6420000</v>
      </c>
      <c r="U465" s="50"/>
      <c r="V465" s="50"/>
      <c r="W465" s="50"/>
      <c r="X465" s="50"/>
      <c r="Y465" s="50"/>
      <c r="Z465" s="51"/>
      <c r="AA465" s="15"/>
      <c r="AB465" s="16">
        <f t="shared" si="41"/>
        <v>6420000</v>
      </c>
      <c r="AC465" s="295">
        <f t="shared" si="42"/>
        <v>3.7034473210577325E-2</v>
      </c>
      <c r="AD465" s="341">
        <f>VLOOKUP(D465:D938,Central!$A$29:$R$107,18,FALSE)</f>
        <v>3</v>
      </c>
      <c r="AE465" s="353"/>
      <c r="AF465" s="342">
        <f t="shared" si="43"/>
        <v>166932000</v>
      </c>
      <c r="AG465" s="57" t="s">
        <v>27</v>
      </c>
      <c r="AH465" s="58">
        <f t="shared" si="44"/>
        <v>1</v>
      </c>
    </row>
    <row r="466" spans="1:34" ht="16.5" x14ac:dyDescent="0.3">
      <c r="A466" s="134" t="s">
        <v>55</v>
      </c>
      <c r="B466" s="23" t="s">
        <v>500</v>
      </c>
      <c r="C466" s="145" t="s">
        <v>418</v>
      </c>
      <c r="D466" s="112" t="s">
        <v>501</v>
      </c>
      <c r="E466" s="35">
        <v>302571</v>
      </c>
      <c r="F466" s="32" t="s">
        <v>71</v>
      </c>
      <c r="G466" s="37">
        <v>44544</v>
      </c>
      <c r="H466" s="61">
        <v>173720000</v>
      </c>
      <c r="I466" s="49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66"/>
      <c r="U466" s="50"/>
      <c r="V466" s="50">
        <v>6420000</v>
      </c>
      <c r="W466" s="50"/>
      <c r="X466" s="50"/>
      <c r="Y466" s="50"/>
      <c r="Z466" s="51"/>
      <c r="AA466" s="15"/>
      <c r="AB466" s="16">
        <f t="shared" si="41"/>
        <v>6420000</v>
      </c>
      <c r="AC466" s="295">
        <f t="shared" si="42"/>
        <v>3.6956021183513703E-2</v>
      </c>
      <c r="AD466" s="341">
        <f>VLOOKUP(D466:D838,'Eje Cafetero'!$A$34:$S$102,19,FALSE)</f>
        <v>4</v>
      </c>
      <c r="AE466" s="353"/>
      <c r="AF466" s="342">
        <f t="shared" si="43"/>
        <v>167300000</v>
      </c>
      <c r="AG466" s="57" t="s">
        <v>27</v>
      </c>
      <c r="AH466" s="58">
        <f t="shared" si="44"/>
        <v>1</v>
      </c>
    </row>
    <row r="467" spans="1:34" ht="16.5" x14ac:dyDescent="0.3">
      <c r="A467" s="134" t="s">
        <v>28</v>
      </c>
      <c r="B467" s="23" t="s">
        <v>912</v>
      </c>
      <c r="C467" s="145" t="s">
        <v>418</v>
      </c>
      <c r="D467" s="112" t="s">
        <v>913</v>
      </c>
      <c r="E467" s="35">
        <v>303437</v>
      </c>
      <c r="F467" s="32" t="s">
        <v>81</v>
      </c>
      <c r="G467" s="37">
        <v>44588</v>
      </c>
      <c r="H467" s="61">
        <v>171302000</v>
      </c>
      <c r="I467" s="49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66"/>
      <c r="U467" s="50"/>
      <c r="V467" s="50">
        <v>6330000</v>
      </c>
      <c r="W467" s="50"/>
      <c r="X467" s="50"/>
      <c r="Y467" s="50"/>
      <c r="Z467" s="51"/>
      <c r="AA467" s="15"/>
      <c r="AB467" s="16">
        <f t="shared" si="41"/>
        <v>6330000</v>
      </c>
      <c r="AC467" s="295">
        <f t="shared" si="42"/>
        <v>3.6952283102357243E-2</v>
      </c>
      <c r="AD467" s="341">
        <f>VLOOKUP(D467:D905,Pacífico!$A$32:$S$105,19,FALSE)</f>
        <v>3</v>
      </c>
      <c r="AE467" s="353"/>
      <c r="AF467" s="342">
        <f t="shared" si="43"/>
        <v>164972000</v>
      </c>
      <c r="AG467" s="57" t="s">
        <v>27</v>
      </c>
      <c r="AH467" s="58">
        <f t="shared" si="44"/>
        <v>1</v>
      </c>
    </row>
    <row r="468" spans="1:34" ht="16.5" x14ac:dyDescent="0.3">
      <c r="A468" s="134" t="s">
        <v>23</v>
      </c>
      <c r="B468" s="23" t="s">
        <v>1248</v>
      </c>
      <c r="C468" s="145" t="s">
        <v>418</v>
      </c>
      <c r="D468" s="112" t="s">
        <v>1249</v>
      </c>
      <c r="E468" s="35">
        <v>303851</v>
      </c>
      <c r="F468" s="32" t="s">
        <v>68</v>
      </c>
      <c r="G468" s="37">
        <v>44588</v>
      </c>
      <c r="H468" s="61">
        <v>174289570</v>
      </c>
      <c r="I468" s="49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66"/>
      <c r="U468" s="50"/>
      <c r="V468" s="50"/>
      <c r="W468" s="50">
        <v>6420000</v>
      </c>
      <c r="X468" s="50"/>
      <c r="Y468" s="50"/>
      <c r="Z468" s="51"/>
      <c r="AA468" s="15"/>
      <c r="AB468" s="16">
        <f t="shared" si="41"/>
        <v>6420000</v>
      </c>
      <c r="AC468" s="295">
        <f t="shared" si="42"/>
        <v>3.6835250669331507E-2</v>
      </c>
      <c r="AD468" s="341">
        <f>VLOOKUP(D468:D941,Central!$A$29:$R$107,18,FALSE)</f>
        <v>2</v>
      </c>
      <c r="AE468" s="353"/>
      <c r="AF468" s="342">
        <f t="shared" si="43"/>
        <v>167869570</v>
      </c>
      <c r="AG468" s="57" t="s">
        <v>27</v>
      </c>
      <c r="AH468" s="58">
        <f t="shared" si="44"/>
        <v>1</v>
      </c>
    </row>
    <row r="469" spans="1:34" ht="16.5" x14ac:dyDescent="0.3">
      <c r="A469" s="134" t="s">
        <v>16</v>
      </c>
      <c r="B469" s="26" t="s">
        <v>1026</v>
      </c>
      <c r="C469" s="145" t="s">
        <v>418</v>
      </c>
      <c r="D469" s="112" t="s">
        <v>1027</v>
      </c>
      <c r="E469" s="35">
        <v>303382</v>
      </c>
      <c r="F469" s="33" t="s">
        <v>572</v>
      </c>
      <c r="G469" s="37">
        <v>44588</v>
      </c>
      <c r="H469" s="62">
        <v>174997000</v>
      </c>
      <c r="I469" s="49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66"/>
      <c r="U469" s="50">
        <v>6420000</v>
      </c>
      <c r="V469" s="50"/>
      <c r="W469" s="50"/>
      <c r="X469" s="50"/>
      <c r="Y469" s="50"/>
      <c r="Z469" s="51"/>
      <c r="AA469" s="15"/>
      <c r="AB469" s="16">
        <f t="shared" si="41"/>
        <v>6420000</v>
      </c>
      <c r="AC469" s="295">
        <f t="shared" si="42"/>
        <v>3.6686343194454761E-2</v>
      </c>
      <c r="AD469" s="341">
        <f>VLOOKUP(D469:D683,'Caribe I'!$A$25:$Q$83,17,FALSE)</f>
        <v>3</v>
      </c>
      <c r="AE469" s="353"/>
      <c r="AF469" s="342">
        <f t="shared" si="43"/>
        <v>168577000</v>
      </c>
      <c r="AG469" s="57" t="s">
        <v>27</v>
      </c>
      <c r="AH469" s="58">
        <f t="shared" si="44"/>
        <v>1</v>
      </c>
    </row>
    <row r="470" spans="1:34" ht="16.5" x14ac:dyDescent="0.3">
      <c r="A470" s="134" t="s">
        <v>105</v>
      </c>
      <c r="B470" s="26" t="s">
        <v>733</v>
      </c>
      <c r="C470" s="145" t="s">
        <v>418</v>
      </c>
      <c r="D470" s="112" t="s">
        <v>734</v>
      </c>
      <c r="E470" s="35">
        <v>302480</v>
      </c>
      <c r="F470" s="33" t="s">
        <v>131</v>
      </c>
      <c r="G470" s="37">
        <v>44544</v>
      </c>
      <c r="H470" s="62">
        <v>175000000</v>
      </c>
      <c r="I470" s="49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66">
        <v>6420000</v>
      </c>
      <c r="U470" s="50"/>
      <c r="V470" s="50"/>
      <c r="W470" s="50"/>
      <c r="X470" s="50"/>
      <c r="Y470" s="50"/>
      <c r="Z470" s="51"/>
      <c r="AA470" s="15"/>
      <c r="AB470" s="16">
        <f t="shared" si="41"/>
        <v>6420000</v>
      </c>
      <c r="AC470" s="295">
        <f t="shared" si="42"/>
        <v>3.6685714285714287E-2</v>
      </c>
      <c r="AD470" s="341">
        <f>VLOOKUP(D470:D844,Llanos!$A$28:$S$82,19,FALSE)</f>
        <v>3</v>
      </c>
      <c r="AE470" s="353"/>
      <c r="AF470" s="342">
        <f t="shared" si="43"/>
        <v>168580000</v>
      </c>
      <c r="AG470" s="57" t="s">
        <v>27</v>
      </c>
      <c r="AH470" s="58">
        <f t="shared" si="44"/>
        <v>1</v>
      </c>
    </row>
    <row r="471" spans="1:34" ht="16.5" x14ac:dyDescent="0.3">
      <c r="A471" s="134" t="s">
        <v>16</v>
      </c>
      <c r="B471" s="23" t="s">
        <v>1064</v>
      </c>
      <c r="C471" s="145" t="s">
        <v>418</v>
      </c>
      <c r="D471" s="112" t="s">
        <v>1065</v>
      </c>
      <c r="E471" s="35">
        <v>303596</v>
      </c>
      <c r="F471" s="32" t="s">
        <v>572</v>
      </c>
      <c r="G471" s="37">
        <v>44588</v>
      </c>
      <c r="H471" s="61">
        <v>175000000</v>
      </c>
      <c r="I471" s="49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66"/>
      <c r="U471" s="50">
        <v>6420000</v>
      </c>
      <c r="V471" s="50"/>
      <c r="W471" s="50"/>
      <c r="X471" s="50"/>
      <c r="Y471" s="50"/>
      <c r="Z471" s="51"/>
      <c r="AA471" s="15"/>
      <c r="AB471" s="16">
        <f t="shared" si="41"/>
        <v>6420000</v>
      </c>
      <c r="AC471" s="295">
        <f t="shared" si="42"/>
        <v>3.6685714285714287E-2</v>
      </c>
      <c r="AD471" s="341">
        <f>VLOOKUP(D471:D685,'Caribe I'!$A$25:$Q$83,17,FALSE)</f>
        <v>3</v>
      </c>
      <c r="AE471" s="353"/>
      <c r="AF471" s="342">
        <f t="shared" si="43"/>
        <v>168580000</v>
      </c>
      <c r="AG471" s="57" t="s">
        <v>27</v>
      </c>
      <c r="AH471" s="58">
        <f t="shared" si="44"/>
        <v>1</v>
      </c>
    </row>
    <row r="472" spans="1:34" ht="16.5" x14ac:dyDescent="0.3">
      <c r="A472" s="134" t="s">
        <v>105</v>
      </c>
      <c r="B472" s="26" t="s">
        <v>773</v>
      </c>
      <c r="C472" s="145" t="s">
        <v>418</v>
      </c>
      <c r="D472" s="112" t="s">
        <v>774</v>
      </c>
      <c r="E472" s="35">
        <v>303015</v>
      </c>
      <c r="F472" s="33" t="s">
        <v>108</v>
      </c>
      <c r="G472" s="37">
        <v>44544</v>
      </c>
      <c r="H472" s="62">
        <v>175000000</v>
      </c>
      <c r="I472" s="49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66"/>
      <c r="U472" s="50">
        <v>6420000</v>
      </c>
      <c r="V472" s="50"/>
      <c r="W472" s="50"/>
      <c r="X472" s="50"/>
      <c r="Y472" s="50"/>
      <c r="Z472" s="51"/>
      <c r="AA472" s="15"/>
      <c r="AB472" s="16">
        <f t="shared" si="41"/>
        <v>6420000</v>
      </c>
      <c r="AC472" s="295">
        <f t="shared" si="42"/>
        <v>3.6685714285714287E-2</v>
      </c>
      <c r="AD472" s="341">
        <f>VLOOKUP(D472:D846,Llanos!$A$28:$S$82,19,FALSE)</f>
        <v>3</v>
      </c>
      <c r="AE472" s="353"/>
      <c r="AF472" s="342">
        <f t="shared" si="43"/>
        <v>168580000</v>
      </c>
      <c r="AG472" s="57" t="s">
        <v>27</v>
      </c>
      <c r="AH472" s="58">
        <f t="shared" si="44"/>
        <v>1</v>
      </c>
    </row>
    <row r="473" spans="1:34" ht="16.5" x14ac:dyDescent="0.3">
      <c r="A473" s="134" t="s">
        <v>55</v>
      </c>
      <c r="B473" s="23" t="s">
        <v>484</v>
      </c>
      <c r="C473" s="145" t="s">
        <v>418</v>
      </c>
      <c r="D473" s="112" t="s">
        <v>485</v>
      </c>
      <c r="E473" s="35">
        <v>303010</v>
      </c>
      <c r="F473" s="32" t="s">
        <v>457</v>
      </c>
      <c r="G473" s="37">
        <v>44544</v>
      </c>
      <c r="H473" s="61">
        <v>175000000</v>
      </c>
      <c r="I473" s="49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66"/>
      <c r="U473" s="50"/>
      <c r="V473" s="50"/>
      <c r="W473" s="50"/>
      <c r="X473" s="50">
        <v>6420000</v>
      </c>
      <c r="Y473" s="50"/>
      <c r="Z473" s="51"/>
      <c r="AA473" s="15"/>
      <c r="AB473" s="16">
        <f t="shared" si="41"/>
        <v>6420000</v>
      </c>
      <c r="AC473" s="295">
        <f t="shared" si="42"/>
        <v>3.6685714285714287E-2</v>
      </c>
      <c r="AD473" s="341">
        <f>VLOOKUP(D473:D845,'Eje Cafetero'!$A$34:$S$102,19,FALSE)</f>
        <v>2</v>
      </c>
      <c r="AE473" s="353"/>
      <c r="AF473" s="342">
        <f t="shared" si="43"/>
        <v>168580000</v>
      </c>
      <c r="AG473" s="57" t="s">
        <v>27</v>
      </c>
      <c r="AH473" s="58">
        <f t="shared" si="44"/>
        <v>1</v>
      </c>
    </row>
    <row r="474" spans="1:34" ht="16.5" x14ac:dyDescent="0.3">
      <c r="A474" s="134" t="s">
        <v>105</v>
      </c>
      <c r="B474" s="26" t="s">
        <v>1300</v>
      </c>
      <c r="C474" s="145" t="s">
        <v>418</v>
      </c>
      <c r="D474" s="112" t="s">
        <v>1301</v>
      </c>
      <c r="E474" s="35">
        <v>303652</v>
      </c>
      <c r="F474" s="33" t="s">
        <v>118</v>
      </c>
      <c r="G474" s="37">
        <v>44588</v>
      </c>
      <c r="H474" s="62">
        <v>175000000</v>
      </c>
      <c r="I474" s="49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66"/>
      <c r="U474" s="50"/>
      <c r="V474" s="50"/>
      <c r="W474" s="50"/>
      <c r="X474" s="50">
        <v>6420000</v>
      </c>
      <c r="Y474" s="50"/>
      <c r="Z474" s="51"/>
      <c r="AA474" s="15"/>
      <c r="AB474" s="16">
        <f t="shared" si="41"/>
        <v>6420000</v>
      </c>
      <c r="AC474" s="295">
        <f t="shared" si="42"/>
        <v>3.6685714285714287E-2</v>
      </c>
      <c r="AD474" s="341">
        <f>VLOOKUP(D474:D848,Llanos!$A$28:$S$82,19,FALSE)</f>
        <v>3</v>
      </c>
      <c r="AE474" s="353"/>
      <c r="AF474" s="342">
        <f t="shared" si="43"/>
        <v>168580000</v>
      </c>
      <c r="AG474" s="57" t="s">
        <v>27</v>
      </c>
      <c r="AH474" s="58">
        <f t="shared" si="44"/>
        <v>1</v>
      </c>
    </row>
    <row r="475" spans="1:34" ht="16.5" x14ac:dyDescent="0.3">
      <c r="A475" s="134" t="s">
        <v>16</v>
      </c>
      <c r="B475" s="23" t="s">
        <v>1034</v>
      </c>
      <c r="C475" s="145" t="s">
        <v>418</v>
      </c>
      <c r="D475" s="112" t="s">
        <v>1035</v>
      </c>
      <c r="E475" s="35">
        <v>303446</v>
      </c>
      <c r="F475" s="32" t="s">
        <v>551</v>
      </c>
      <c r="G475" s="37">
        <v>44588</v>
      </c>
      <c r="H475" s="61">
        <v>199969000</v>
      </c>
      <c r="I475" s="49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66">
        <v>6420000</v>
      </c>
      <c r="U475" s="50"/>
      <c r="V475" s="50"/>
      <c r="W475" s="50"/>
      <c r="X475" s="50">
        <v>908500</v>
      </c>
      <c r="Y475" s="50"/>
      <c r="Z475" s="51"/>
      <c r="AA475" s="15"/>
      <c r="AB475" s="16">
        <f t="shared" si="41"/>
        <v>7328500</v>
      </c>
      <c r="AC475" s="295">
        <f t="shared" si="42"/>
        <v>3.6648180467972538E-2</v>
      </c>
      <c r="AD475" s="341">
        <f>VLOOKUP(D475:D689,'Caribe I'!$A$25:$Q$83,17,FALSE)</f>
        <v>3</v>
      </c>
      <c r="AE475" s="353"/>
      <c r="AF475" s="342">
        <f t="shared" si="43"/>
        <v>192640500</v>
      </c>
      <c r="AG475" s="57" t="s">
        <v>27</v>
      </c>
      <c r="AH475" s="58">
        <f t="shared" si="44"/>
        <v>2</v>
      </c>
    </row>
    <row r="476" spans="1:34" ht="16.5" x14ac:dyDescent="0.3">
      <c r="A476" s="134" t="s">
        <v>105</v>
      </c>
      <c r="B476" s="26" t="s">
        <v>1294</v>
      </c>
      <c r="C476" s="145" t="s">
        <v>418</v>
      </c>
      <c r="D476" s="112" t="s">
        <v>1295</v>
      </c>
      <c r="E476" s="35">
        <v>303434</v>
      </c>
      <c r="F476" s="33" t="s">
        <v>108</v>
      </c>
      <c r="G476" s="37">
        <v>44588</v>
      </c>
      <c r="H476" s="62">
        <v>200000000</v>
      </c>
      <c r="I476" s="49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66"/>
      <c r="U476" s="50">
        <v>6420000</v>
      </c>
      <c r="V476" s="50">
        <v>908500</v>
      </c>
      <c r="W476" s="50"/>
      <c r="X476" s="50"/>
      <c r="Y476" s="50"/>
      <c r="Z476" s="51"/>
      <c r="AA476" s="15"/>
      <c r="AB476" s="16">
        <f t="shared" si="41"/>
        <v>7328500</v>
      </c>
      <c r="AC476" s="295">
        <f t="shared" si="42"/>
        <v>3.6642500000000001E-2</v>
      </c>
      <c r="AD476" s="341">
        <f>VLOOKUP(D476:D850,Llanos!$A$28:$S$82,19,FALSE)</f>
        <v>3</v>
      </c>
      <c r="AE476" s="353"/>
      <c r="AF476" s="342">
        <f t="shared" si="43"/>
        <v>192671500</v>
      </c>
      <c r="AG476" s="57" t="s">
        <v>27</v>
      </c>
      <c r="AH476" s="58">
        <f t="shared" si="44"/>
        <v>2</v>
      </c>
    </row>
    <row r="477" spans="1:34" ht="16.5" x14ac:dyDescent="0.3">
      <c r="A477" s="134" t="s">
        <v>16</v>
      </c>
      <c r="B477" s="26" t="s">
        <v>1060</v>
      </c>
      <c r="C477" s="145" t="s">
        <v>418</v>
      </c>
      <c r="D477" s="112" t="s">
        <v>1063</v>
      </c>
      <c r="E477" s="35">
        <v>303821</v>
      </c>
      <c r="F477" s="33" t="s">
        <v>572</v>
      </c>
      <c r="G477" s="37">
        <v>44588</v>
      </c>
      <c r="H477" s="62">
        <v>200000000</v>
      </c>
      <c r="I477" s="49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66"/>
      <c r="U477" s="50"/>
      <c r="V477" s="50"/>
      <c r="W477" s="50">
        <v>7328500</v>
      </c>
      <c r="X477" s="50"/>
      <c r="Y477" s="50"/>
      <c r="Z477" s="51"/>
      <c r="AA477" s="15"/>
      <c r="AB477" s="16">
        <f t="shared" si="41"/>
        <v>7328500</v>
      </c>
      <c r="AC477" s="295">
        <f t="shared" si="42"/>
        <v>3.6642500000000001E-2</v>
      </c>
      <c r="AD477" s="341">
        <f>VLOOKUP(D477:D691,'Caribe I'!$A$25:$Q$83,17,FALSE)</f>
        <v>2</v>
      </c>
      <c r="AE477" s="353"/>
      <c r="AF477" s="342">
        <f t="shared" si="43"/>
        <v>192671500</v>
      </c>
      <c r="AG477" s="57" t="s">
        <v>27</v>
      </c>
      <c r="AH477" s="58">
        <f t="shared" si="44"/>
        <v>1</v>
      </c>
    </row>
    <row r="478" spans="1:34" ht="16.5" x14ac:dyDescent="0.3">
      <c r="A478" s="134" t="s">
        <v>105</v>
      </c>
      <c r="B478" s="26" t="s">
        <v>1310</v>
      </c>
      <c r="C478" s="145" t="s">
        <v>418</v>
      </c>
      <c r="D478" s="112" t="s">
        <v>1311</v>
      </c>
      <c r="E478" s="35">
        <v>303658</v>
      </c>
      <c r="F478" s="33" t="s">
        <v>118</v>
      </c>
      <c r="G478" s="37">
        <v>44588</v>
      </c>
      <c r="H478" s="62">
        <v>200000000</v>
      </c>
      <c r="I478" s="49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66">
        <v>6420000</v>
      </c>
      <c r="U478" s="50"/>
      <c r="V478" s="50"/>
      <c r="W478" s="50"/>
      <c r="X478" s="50">
        <v>908500</v>
      </c>
      <c r="Y478" s="50"/>
      <c r="Z478" s="51"/>
      <c r="AA478" s="15"/>
      <c r="AB478" s="16">
        <f t="shared" si="41"/>
        <v>7328500</v>
      </c>
      <c r="AC478" s="295">
        <f t="shared" si="42"/>
        <v>3.6642500000000001E-2</v>
      </c>
      <c r="AD478" s="341">
        <f>VLOOKUP(D478:D852,Llanos!$A$28:$S$82,19,FALSE)</f>
        <v>3</v>
      </c>
      <c r="AE478" s="353"/>
      <c r="AF478" s="342">
        <f t="shared" si="43"/>
        <v>192671500</v>
      </c>
      <c r="AG478" s="57" t="s">
        <v>27</v>
      </c>
      <c r="AH478" s="58">
        <f t="shared" si="44"/>
        <v>2</v>
      </c>
    </row>
    <row r="479" spans="1:34" ht="16.5" x14ac:dyDescent="0.3">
      <c r="A479" s="134" t="s">
        <v>16</v>
      </c>
      <c r="B479" s="23" t="s">
        <v>1060</v>
      </c>
      <c r="C479" s="145" t="s">
        <v>418</v>
      </c>
      <c r="D479" s="112" t="s">
        <v>1062</v>
      </c>
      <c r="E479" s="35">
        <v>303831</v>
      </c>
      <c r="F479" s="32" t="s">
        <v>572</v>
      </c>
      <c r="G479" s="37">
        <v>44588</v>
      </c>
      <c r="H479" s="61">
        <v>200000000</v>
      </c>
      <c r="I479" s="49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66"/>
      <c r="U479" s="50"/>
      <c r="V479" s="50"/>
      <c r="W479" s="50">
        <v>6420000</v>
      </c>
      <c r="X479" s="50">
        <v>908500</v>
      </c>
      <c r="Y479" s="50"/>
      <c r="Z479" s="51"/>
      <c r="AA479" s="15"/>
      <c r="AB479" s="16">
        <f t="shared" si="41"/>
        <v>7328500</v>
      </c>
      <c r="AC479" s="295">
        <f t="shared" si="42"/>
        <v>3.6642500000000001E-2</v>
      </c>
      <c r="AD479" s="341">
        <f>VLOOKUP(D479:D693,'Caribe I'!$A$25:$Q$83,17,FALSE)</f>
        <v>2</v>
      </c>
      <c r="AE479" s="353"/>
      <c r="AF479" s="342">
        <f t="shared" si="43"/>
        <v>192671500</v>
      </c>
      <c r="AG479" s="57" t="s">
        <v>27</v>
      </c>
      <c r="AH479" s="58">
        <f t="shared" si="44"/>
        <v>2</v>
      </c>
    </row>
    <row r="480" spans="1:34" ht="16.5" x14ac:dyDescent="0.3">
      <c r="A480" s="134" t="s">
        <v>28</v>
      </c>
      <c r="B480" s="26" t="s">
        <v>445</v>
      </c>
      <c r="C480" s="145" t="s">
        <v>418</v>
      </c>
      <c r="D480" s="112" t="s">
        <v>446</v>
      </c>
      <c r="E480" s="35">
        <v>303322</v>
      </c>
      <c r="F480" s="33" t="s">
        <v>447</v>
      </c>
      <c r="G480" s="37">
        <v>44544</v>
      </c>
      <c r="H480" s="62">
        <v>178895000</v>
      </c>
      <c r="I480" s="49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66"/>
      <c r="U480" s="50">
        <v>6420000</v>
      </c>
      <c r="V480" s="50"/>
      <c r="W480" s="50"/>
      <c r="X480" s="50"/>
      <c r="Y480" s="50"/>
      <c r="Z480" s="51"/>
      <c r="AA480" s="15"/>
      <c r="AB480" s="16">
        <f t="shared" si="41"/>
        <v>6420000</v>
      </c>
      <c r="AC480" s="295">
        <f t="shared" si="42"/>
        <v>3.5886972805276841E-2</v>
      </c>
      <c r="AD480" s="341">
        <f>VLOOKUP(D480:D918,Pacífico!$A$32:$S$105,19,FALSE)</f>
        <v>2</v>
      </c>
      <c r="AE480" s="353"/>
      <c r="AF480" s="342">
        <f t="shared" si="43"/>
        <v>172475000</v>
      </c>
      <c r="AG480" s="57" t="s">
        <v>27</v>
      </c>
      <c r="AH480" s="58">
        <f t="shared" si="44"/>
        <v>1</v>
      </c>
    </row>
    <row r="481" spans="1:34" ht="16.5" x14ac:dyDescent="0.3">
      <c r="A481" s="134" t="s">
        <v>28</v>
      </c>
      <c r="B481" s="26" t="s">
        <v>906</v>
      </c>
      <c r="C481" s="145" t="s">
        <v>418</v>
      </c>
      <c r="D481" s="112" t="s">
        <v>907</v>
      </c>
      <c r="E481" s="35">
        <v>303659</v>
      </c>
      <c r="F481" s="33" t="s">
        <v>81</v>
      </c>
      <c r="G481" s="37">
        <v>44588</v>
      </c>
      <c r="H481" s="62">
        <v>179000000</v>
      </c>
      <c r="I481" s="49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66"/>
      <c r="U481" s="50"/>
      <c r="V481" s="50">
        <v>6420000</v>
      </c>
      <c r="W481" s="50"/>
      <c r="X481" s="50"/>
      <c r="Y481" s="50"/>
      <c r="Z481" s="51"/>
      <c r="AA481" s="15"/>
      <c r="AB481" s="16">
        <f t="shared" si="41"/>
        <v>6420000</v>
      </c>
      <c r="AC481" s="295">
        <f t="shared" si="42"/>
        <v>3.5865921787709497E-2</v>
      </c>
      <c r="AD481" s="341">
        <f>VLOOKUP(D481:D919,Pacífico!$A$32:$S$105,19,FALSE)</f>
        <v>2</v>
      </c>
      <c r="AE481" s="353"/>
      <c r="AF481" s="342">
        <f t="shared" si="43"/>
        <v>172580000</v>
      </c>
      <c r="AG481" s="57" t="s">
        <v>27</v>
      </c>
      <c r="AH481" s="58">
        <f t="shared" si="44"/>
        <v>1</v>
      </c>
    </row>
    <row r="482" spans="1:34" ht="16.5" x14ac:dyDescent="0.3">
      <c r="A482" s="134" t="s">
        <v>105</v>
      </c>
      <c r="B482" s="26" t="s">
        <v>761</v>
      </c>
      <c r="C482" s="145" t="s">
        <v>418</v>
      </c>
      <c r="D482" s="112" t="s">
        <v>762</v>
      </c>
      <c r="E482" s="35">
        <v>302643</v>
      </c>
      <c r="F482" s="33" t="s">
        <v>108</v>
      </c>
      <c r="G482" s="37">
        <v>44544</v>
      </c>
      <c r="H482" s="62">
        <v>180000000</v>
      </c>
      <c r="I482" s="49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66"/>
      <c r="U482" s="50"/>
      <c r="V482" s="50"/>
      <c r="W482" s="50">
        <v>6420000</v>
      </c>
      <c r="X482" s="50"/>
      <c r="Y482" s="50"/>
      <c r="Z482" s="51"/>
      <c r="AA482" s="15"/>
      <c r="AB482" s="16">
        <f t="shared" si="41"/>
        <v>6420000</v>
      </c>
      <c r="AC482" s="295">
        <f t="shared" si="42"/>
        <v>3.5666666666666666E-2</v>
      </c>
      <c r="AD482" s="341">
        <f>VLOOKUP(D482:D856,Llanos!$A$28:$S$82,19,FALSE)</f>
        <v>4</v>
      </c>
      <c r="AE482" s="353"/>
      <c r="AF482" s="342">
        <f t="shared" si="43"/>
        <v>173580000</v>
      </c>
      <c r="AG482" s="57" t="s">
        <v>27</v>
      </c>
      <c r="AH482" s="58">
        <f t="shared" si="44"/>
        <v>1</v>
      </c>
    </row>
    <row r="483" spans="1:34" ht="16.5" x14ac:dyDescent="0.3">
      <c r="A483" s="134" t="s">
        <v>28</v>
      </c>
      <c r="B483" s="26" t="s">
        <v>1347</v>
      </c>
      <c r="C483" s="145" t="s">
        <v>418</v>
      </c>
      <c r="D483" s="112" t="s">
        <v>1348</v>
      </c>
      <c r="E483" s="35">
        <v>303912</v>
      </c>
      <c r="F483" s="33" t="s">
        <v>452</v>
      </c>
      <c r="G483" s="37">
        <v>44600</v>
      </c>
      <c r="H483" s="62">
        <v>181102000</v>
      </c>
      <c r="I483" s="49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66"/>
      <c r="U483" s="50"/>
      <c r="V483" s="50">
        <v>6420000</v>
      </c>
      <c r="W483" s="50"/>
      <c r="X483" s="50"/>
      <c r="Y483" s="50"/>
      <c r="Z483" s="51"/>
      <c r="AA483" s="15"/>
      <c r="AB483" s="16">
        <f t="shared" si="41"/>
        <v>6420000</v>
      </c>
      <c r="AC483" s="295">
        <f t="shared" si="42"/>
        <v>3.544963611666354E-2</v>
      </c>
      <c r="AD483" s="341">
        <f>VLOOKUP(D483:D921,Pacífico!$A$32:$S$105,19,FALSE)</f>
        <v>3</v>
      </c>
      <c r="AE483" s="353"/>
      <c r="AF483" s="342">
        <f t="shared" si="43"/>
        <v>174682000</v>
      </c>
      <c r="AG483" s="57" t="s">
        <v>27</v>
      </c>
      <c r="AH483" s="58">
        <f t="shared" si="44"/>
        <v>1</v>
      </c>
    </row>
    <row r="484" spans="1:34" ht="16.5" x14ac:dyDescent="0.3">
      <c r="A484" s="134" t="s">
        <v>28</v>
      </c>
      <c r="B484" s="26" t="s">
        <v>886</v>
      </c>
      <c r="C484" s="145" t="s">
        <v>418</v>
      </c>
      <c r="D484" s="112" t="s">
        <v>887</v>
      </c>
      <c r="E484" s="35">
        <v>303727</v>
      </c>
      <c r="F484" s="33" t="s">
        <v>81</v>
      </c>
      <c r="G484" s="37">
        <v>44588</v>
      </c>
      <c r="H484" s="62">
        <v>199048000</v>
      </c>
      <c r="I484" s="49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66"/>
      <c r="U484" s="50"/>
      <c r="V484" s="50"/>
      <c r="W484" s="50">
        <v>500000</v>
      </c>
      <c r="X484" s="50">
        <v>6420000</v>
      </c>
      <c r="Y484" s="50"/>
      <c r="Z484" s="51"/>
      <c r="AA484" s="15"/>
      <c r="AB484" s="16">
        <f t="shared" si="41"/>
        <v>6920000</v>
      </c>
      <c r="AC484" s="295">
        <f t="shared" si="42"/>
        <v>3.4765483702423536E-2</v>
      </c>
      <c r="AD484" s="341">
        <f>VLOOKUP(D484:D922,Pacífico!$A$32:$S$105,19,FALSE)</f>
        <v>2</v>
      </c>
      <c r="AE484" s="353"/>
      <c r="AF484" s="342">
        <f t="shared" si="43"/>
        <v>192128000</v>
      </c>
      <c r="AG484" s="57" t="s">
        <v>27</v>
      </c>
      <c r="AH484" s="58">
        <f t="shared" si="44"/>
        <v>2</v>
      </c>
    </row>
    <row r="485" spans="1:34" ht="16.5" x14ac:dyDescent="0.3">
      <c r="A485" s="134" t="s">
        <v>28</v>
      </c>
      <c r="B485" s="26" t="s">
        <v>884</v>
      </c>
      <c r="C485" s="145" t="s">
        <v>418</v>
      </c>
      <c r="D485" s="112" t="s">
        <v>885</v>
      </c>
      <c r="E485" s="35">
        <v>303371</v>
      </c>
      <c r="F485" s="33" t="s">
        <v>31</v>
      </c>
      <c r="G485" s="37">
        <v>44588</v>
      </c>
      <c r="H485" s="62">
        <v>184966000</v>
      </c>
      <c r="I485" s="49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66"/>
      <c r="U485" s="50"/>
      <c r="V485" s="50"/>
      <c r="W485" s="50">
        <v>6420000</v>
      </c>
      <c r="X485" s="50"/>
      <c r="Y485" s="50"/>
      <c r="Z485" s="51"/>
      <c r="AA485" s="15"/>
      <c r="AB485" s="16">
        <f t="shared" si="41"/>
        <v>6420000</v>
      </c>
      <c r="AC485" s="295">
        <f t="shared" si="42"/>
        <v>3.4709081669063502E-2</v>
      </c>
      <c r="AD485" s="341">
        <f>VLOOKUP(D485:D923,Pacífico!$A$32:$S$105,19,FALSE)</f>
        <v>3</v>
      </c>
      <c r="AE485" s="353"/>
      <c r="AF485" s="342">
        <f t="shared" si="43"/>
        <v>178546000</v>
      </c>
      <c r="AG485" s="57" t="s">
        <v>27</v>
      </c>
      <c r="AH485" s="58">
        <f t="shared" si="44"/>
        <v>1</v>
      </c>
    </row>
    <row r="486" spans="1:34" ht="16.5" x14ac:dyDescent="0.3">
      <c r="A486" s="134" t="s">
        <v>49</v>
      </c>
      <c r="B486" s="26" t="s">
        <v>691</v>
      </c>
      <c r="C486" s="145" t="s">
        <v>418</v>
      </c>
      <c r="D486" s="112" t="s">
        <v>692</v>
      </c>
      <c r="E486" s="35">
        <v>303260</v>
      </c>
      <c r="F486" s="33" t="s">
        <v>125</v>
      </c>
      <c r="G486" s="37">
        <v>44544</v>
      </c>
      <c r="H486" s="62">
        <v>200000000</v>
      </c>
      <c r="I486" s="49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66"/>
      <c r="U486" s="50"/>
      <c r="V486" s="50"/>
      <c r="W486" s="50"/>
      <c r="X486" s="50">
        <v>6920000</v>
      </c>
      <c r="Y486" s="50"/>
      <c r="Z486" s="51"/>
      <c r="AA486" s="15"/>
      <c r="AB486" s="16">
        <f t="shared" si="41"/>
        <v>6920000</v>
      </c>
      <c r="AC486" s="295">
        <f t="shared" si="42"/>
        <v>3.4599999999999999E-2</v>
      </c>
      <c r="AD486" s="341">
        <f>VLOOKUP(D486:D952,Santanderes!$A$21:$S$54,19,FALSE)</f>
        <v>3</v>
      </c>
      <c r="AE486" s="353"/>
      <c r="AF486" s="342">
        <f t="shared" si="43"/>
        <v>193080000</v>
      </c>
      <c r="AG486" s="57" t="s">
        <v>27</v>
      </c>
      <c r="AH486" s="58">
        <f t="shared" si="44"/>
        <v>1</v>
      </c>
    </row>
    <row r="487" spans="1:34" ht="16.5" x14ac:dyDescent="0.3">
      <c r="A487" s="134" t="s">
        <v>16</v>
      </c>
      <c r="B487" s="26" t="s">
        <v>564</v>
      </c>
      <c r="C487" s="145" t="s">
        <v>418</v>
      </c>
      <c r="D487" s="112" t="s">
        <v>565</v>
      </c>
      <c r="E487" s="35">
        <v>302825</v>
      </c>
      <c r="F487" s="33" t="s">
        <v>551</v>
      </c>
      <c r="G487" s="37">
        <v>44544</v>
      </c>
      <c r="H487" s="62">
        <v>186213000</v>
      </c>
      <c r="I487" s="49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66"/>
      <c r="U487" s="50"/>
      <c r="V487" s="50"/>
      <c r="W487" s="50"/>
      <c r="X487" s="50">
        <v>6420000</v>
      </c>
      <c r="Y487" s="50"/>
      <c r="Z487" s="51"/>
      <c r="AA487" s="15"/>
      <c r="AB487" s="16">
        <f t="shared" si="41"/>
        <v>6420000</v>
      </c>
      <c r="AC487" s="295">
        <f t="shared" si="42"/>
        <v>3.4476647709880619E-2</v>
      </c>
      <c r="AD487" s="341">
        <f>VLOOKUP(D487:D701,'Caribe I'!$A$25:$Q$83,17,FALSE)</f>
        <v>2</v>
      </c>
      <c r="AE487" s="353"/>
      <c r="AF487" s="342">
        <f t="shared" si="43"/>
        <v>179793000</v>
      </c>
      <c r="AG487" s="57" t="s">
        <v>27</v>
      </c>
      <c r="AH487" s="58">
        <f t="shared" si="44"/>
        <v>1</v>
      </c>
    </row>
    <row r="488" spans="1:34" ht="16.5" x14ac:dyDescent="0.3">
      <c r="A488" s="134" t="s">
        <v>105</v>
      </c>
      <c r="B488" s="26" t="s">
        <v>1304</v>
      </c>
      <c r="C488" s="145" t="s">
        <v>418</v>
      </c>
      <c r="D488" s="112" t="s">
        <v>1305</v>
      </c>
      <c r="E488" s="35">
        <v>303650</v>
      </c>
      <c r="F488" s="33" t="s">
        <v>118</v>
      </c>
      <c r="G488" s="37">
        <v>44588</v>
      </c>
      <c r="H488" s="62">
        <v>200000000</v>
      </c>
      <c r="I488" s="49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66">
        <v>6420000</v>
      </c>
      <c r="U488" s="50"/>
      <c r="V488" s="50"/>
      <c r="W488" s="50"/>
      <c r="X488" s="50">
        <v>454250</v>
      </c>
      <c r="Y488" s="50"/>
      <c r="Z488" s="51"/>
      <c r="AA488" s="15"/>
      <c r="AB488" s="16">
        <f t="shared" si="41"/>
        <v>6874250</v>
      </c>
      <c r="AC488" s="295">
        <f t="shared" si="42"/>
        <v>3.4371249999999999E-2</v>
      </c>
      <c r="AD488" s="341">
        <f>VLOOKUP(D488:D862,Llanos!$A$28:$S$82,19,FALSE)</f>
        <v>3</v>
      </c>
      <c r="AE488" s="353"/>
      <c r="AF488" s="342">
        <f t="shared" si="43"/>
        <v>193125750</v>
      </c>
      <c r="AG488" s="57" t="s">
        <v>27</v>
      </c>
      <c r="AH488" s="58">
        <f t="shared" si="44"/>
        <v>2</v>
      </c>
    </row>
    <row r="489" spans="1:34" ht="16.5" x14ac:dyDescent="0.3">
      <c r="A489" s="134" t="s">
        <v>105</v>
      </c>
      <c r="B489" s="26" t="s">
        <v>1308</v>
      </c>
      <c r="C489" s="145" t="s">
        <v>418</v>
      </c>
      <c r="D489" s="112" t="s">
        <v>1309</v>
      </c>
      <c r="E489" s="35">
        <v>303651</v>
      </c>
      <c r="F489" s="33" t="s">
        <v>118</v>
      </c>
      <c r="G489" s="37">
        <v>44588</v>
      </c>
      <c r="H489" s="62">
        <v>200000000</v>
      </c>
      <c r="I489" s="49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66">
        <v>6420000</v>
      </c>
      <c r="U489" s="50"/>
      <c r="V489" s="50"/>
      <c r="W489" s="50"/>
      <c r="X489" s="50">
        <v>454250</v>
      </c>
      <c r="Y489" s="50"/>
      <c r="Z489" s="51"/>
      <c r="AA489" s="15"/>
      <c r="AB489" s="16">
        <f t="shared" si="41"/>
        <v>6874250</v>
      </c>
      <c r="AC489" s="295">
        <f t="shared" si="42"/>
        <v>3.4371249999999999E-2</v>
      </c>
      <c r="AD489" s="341">
        <f>VLOOKUP(D489:D863,Llanos!$A$28:$S$82,19,FALSE)</f>
        <v>3</v>
      </c>
      <c r="AE489" s="353"/>
      <c r="AF489" s="342">
        <f t="shared" si="43"/>
        <v>193125750</v>
      </c>
      <c r="AG489" s="57" t="s">
        <v>27</v>
      </c>
      <c r="AH489" s="58">
        <f t="shared" si="44"/>
        <v>2</v>
      </c>
    </row>
    <row r="490" spans="1:34" ht="16.5" x14ac:dyDescent="0.3">
      <c r="A490" s="134" t="s">
        <v>23</v>
      </c>
      <c r="B490" s="26" t="s">
        <v>1240</v>
      </c>
      <c r="C490" s="145" t="s">
        <v>418</v>
      </c>
      <c r="D490" s="112" t="s">
        <v>1241</v>
      </c>
      <c r="E490" s="35">
        <v>303811</v>
      </c>
      <c r="F490" s="33" t="s">
        <v>191</v>
      </c>
      <c r="G490" s="37">
        <v>44588</v>
      </c>
      <c r="H490" s="62">
        <v>186933000</v>
      </c>
      <c r="I490" s="49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66"/>
      <c r="U490" s="50"/>
      <c r="V490" s="50">
        <v>6420000</v>
      </c>
      <c r="W490" s="50"/>
      <c r="X490" s="50"/>
      <c r="Y490" s="50"/>
      <c r="Z490" s="51"/>
      <c r="AA490" s="15"/>
      <c r="AB490" s="16">
        <f t="shared" si="41"/>
        <v>6420000</v>
      </c>
      <c r="AC490" s="295">
        <f t="shared" si="42"/>
        <v>3.4343855819999679E-2</v>
      </c>
      <c r="AD490" s="341">
        <f>VLOOKUP(D490:D963,Central!$A$29:$R$107,18,FALSE)</f>
        <v>2</v>
      </c>
      <c r="AE490" s="353"/>
      <c r="AF490" s="342">
        <f t="shared" si="43"/>
        <v>180513000</v>
      </c>
      <c r="AG490" s="57" t="s">
        <v>27</v>
      </c>
      <c r="AH490" s="58">
        <f t="shared" si="44"/>
        <v>1</v>
      </c>
    </row>
    <row r="491" spans="1:34" ht="16.5" x14ac:dyDescent="0.3">
      <c r="A491" s="134" t="s">
        <v>89</v>
      </c>
      <c r="B491" s="26" t="s">
        <v>1130</v>
      </c>
      <c r="C491" s="145" t="s">
        <v>418</v>
      </c>
      <c r="D491" s="112" t="s">
        <v>1131</v>
      </c>
      <c r="E491" s="35">
        <v>303581</v>
      </c>
      <c r="F491" s="33" t="s">
        <v>622</v>
      </c>
      <c r="G491" s="37">
        <v>44588</v>
      </c>
      <c r="H491" s="62">
        <v>189829000</v>
      </c>
      <c r="I491" s="49"/>
      <c r="J491" s="50"/>
      <c r="K491" s="50"/>
      <c r="L491" s="50"/>
      <c r="M491" s="50"/>
      <c r="N491" s="50"/>
      <c r="O491" s="50"/>
      <c r="P491" s="186"/>
      <c r="Q491" s="50"/>
      <c r="R491" s="50"/>
      <c r="S491" s="50"/>
      <c r="T491" s="66"/>
      <c r="U491" s="50"/>
      <c r="V491" s="50"/>
      <c r="W491" s="50"/>
      <c r="X491" s="50">
        <v>6420000</v>
      </c>
      <c r="Y491" s="50"/>
      <c r="Z491" s="51"/>
      <c r="AA491" s="15"/>
      <c r="AB491" s="16">
        <f t="shared" si="41"/>
        <v>6420000</v>
      </c>
      <c r="AC491" s="295">
        <f t="shared" si="42"/>
        <v>3.3819911604654716E-2</v>
      </c>
      <c r="AD491" s="341">
        <f>VLOOKUP(D491:D559,'Caribe II'!$A$38:$Q$107,17,FALSE)</f>
        <v>2</v>
      </c>
      <c r="AE491" s="353"/>
      <c r="AF491" s="342">
        <f t="shared" si="43"/>
        <v>183409000</v>
      </c>
      <c r="AG491" s="57" t="s">
        <v>27</v>
      </c>
      <c r="AH491" s="58">
        <f t="shared" si="44"/>
        <v>1</v>
      </c>
    </row>
    <row r="492" spans="1:34" ht="16.5" x14ac:dyDescent="0.3">
      <c r="A492" s="134" t="s">
        <v>28</v>
      </c>
      <c r="B492" s="26" t="s">
        <v>958</v>
      </c>
      <c r="C492" s="145" t="s">
        <v>418</v>
      </c>
      <c r="D492" s="112" t="s">
        <v>959</v>
      </c>
      <c r="E492" s="35">
        <v>303669</v>
      </c>
      <c r="F492" s="33" t="s">
        <v>452</v>
      </c>
      <c r="G492" s="37">
        <v>44588</v>
      </c>
      <c r="H492" s="62">
        <v>189932000</v>
      </c>
      <c r="I492" s="49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66"/>
      <c r="U492" s="50"/>
      <c r="V492" s="50">
        <v>6420000</v>
      </c>
      <c r="W492" s="50"/>
      <c r="X492" s="50"/>
      <c r="Y492" s="50"/>
      <c r="Z492" s="51"/>
      <c r="AA492" s="15"/>
      <c r="AB492" s="16">
        <f t="shared" si="41"/>
        <v>6420000</v>
      </c>
      <c r="AC492" s="295">
        <f t="shared" si="42"/>
        <v>3.380157108860013E-2</v>
      </c>
      <c r="AD492" s="341">
        <f>VLOOKUP(D492:D930,Pacífico!$A$32:$S$105,19,FALSE)</f>
        <v>2</v>
      </c>
      <c r="AE492" s="353"/>
      <c r="AF492" s="342">
        <f t="shared" si="43"/>
        <v>183512000</v>
      </c>
      <c r="AG492" s="57" t="s">
        <v>27</v>
      </c>
      <c r="AH492" s="58">
        <f t="shared" si="44"/>
        <v>1</v>
      </c>
    </row>
    <row r="493" spans="1:34" ht="16.5" x14ac:dyDescent="0.3">
      <c r="A493" s="134" t="s">
        <v>55</v>
      </c>
      <c r="B493" s="26" t="s">
        <v>980</v>
      </c>
      <c r="C493" s="145" t="s">
        <v>418</v>
      </c>
      <c r="D493" s="112" t="s">
        <v>981</v>
      </c>
      <c r="E493" s="35">
        <v>303009</v>
      </c>
      <c r="F493" s="33" t="s">
        <v>457</v>
      </c>
      <c r="G493" s="37">
        <v>44588</v>
      </c>
      <c r="H493" s="62">
        <v>190000000</v>
      </c>
      <c r="I493" s="49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66"/>
      <c r="U493" s="50"/>
      <c r="V493" s="50"/>
      <c r="W493" s="50"/>
      <c r="X493" s="50">
        <v>6420000</v>
      </c>
      <c r="Y493" s="50"/>
      <c r="Z493" s="51"/>
      <c r="AA493" s="15"/>
      <c r="AB493" s="16">
        <f t="shared" si="41"/>
        <v>6420000</v>
      </c>
      <c r="AC493" s="295">
        <f t="shared" si="42"/>
        <v>3.3789473684210529E-2</v>
      </c>
      <c r="AD493" s="341">
        <f>VLOOKUP(D493:D865,'Eje Cafetero'!$A$34:$S$102,19,FALSE)</f>
        <v>2</v>
      </c>
      <c r="AE493" s="353"/>
      <c r="AF493" s="342">
        <f t="shared" si="43"/>
        <v>183580000</v>
      </c>
      <c r="AG493" s="57" t="s">
        <v>27</v>
      </c>
      <c r="AH493" s="58">
        <f t="shared" si="44"/>
        <v>1</v>
      </c>
    </row>
    <row r="494" spans="1:34" ht="16.5" x14ac:dyDescent="0.3">
      <c r="A494" s="134" t="s">
        <v>49</v>
      </c>
      <c r="B494" s="26" t="s">
        <v>711</v>
      </c>
      <c r="C494" s="145" t="s">
        <v>418</v>
      </c>
      <c r="D494" s="112" t="s">
        <v>712</v>
      </c>
      <c r="E494" s="35">
        <v>303320</v>
      </c>
      <c r="F494" s="33" t="s">
        <v>690</v>
      </c>
      <c r="G494" s="37">
        <v>44544</v>
      </c>
      <c r="H494" s="62">
        <v>190000000</v>
      </c>
      <c r="I494" s="49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66"/>
      <c r="U494" s="50"/>
      <c r="V494" s="50"/>
      <c r="W494" s="50"/>
      <c r="X494" s="50">
        <v>6420000</v>
      </c>
      <c r="Y494" s="50"/>
      <c r="Z494" s="51"/>
      <c r="AA494" s="15"/>
      <c r="AB494" s="16">
        <f t="shared" si="41"/>
        <v>6420000</v>
      </c>
      <c r="AC494" s="295">
        <f t="shared" si="42"/>
        <v>3.3789473684210529E-2</v>
      </c>
      <c r="AD494" s="341">
        <f>VLOOKUP(D494:D960,Santanderes!$A$21:$S$54,19,FALSE)</f>
        <v>3</v>
      </c>
      <c r="AE494" s="353"/>
      <c r="AF494" s="342">
        <f t="shared" si="43"/>
        <v>183580000</v>
      </c>
      <c r="AG494" s="57" t="s">
        <v>27</v>
      </c>
      <c r="AH494" s="58">
        <f t="shared" si="44"/>
        <v>1</v>
      </c>
    </row>
    <row r="495" spans="1:34" ht="16.5" x14ac:dyDescent="0.3">
      <c r="A495" s="134" t="s">
        <v>28</v>
      </c>
      <c r="B495" s="23" t="s">
        <v>434</v>
      </c>
      <c r="C495" s="145" t="s">
        <v>418</v>
      </c>
      <c r="D495" s="112" t="s">
        <v>435</v>
      </c>
      <c r="E495" s="35">
        <v>302637</v>
      </c>
      <c r="F495" s="32" t="s">
        <v>81</v>
      </c>
      <c r="G495" s="37">
        <v>44544</v>
      </c>
      <c r="H495" s="61">
        <v>142550000</v>
      </c>
      <c r="I495" s="49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66"/>
      <c r="U495" s="50">
        <v>4800000</v>
      </c>
      <c r="V495" s="50"/>
      <c r="W495" s="50"/>
      <c r="X495" s="50"/>
      <c r="Y495" s="50"/>
      <c r="Z495" s="51"/>
      <c r="AA495" s="15"/>
      <c r="AB495" s="16">
        <f t="shared" si="41"/>
        <v>4800000</v>
      </c>
      <c r="AC495" s="295">
        <f t="shared" si="42"/>
        <v>3.3672395650648897E-2</v>
      </c>
      <c r="AD495" s="341">
        <f>VLOOKUP(D495:D933,Pacífico!$A$32:$S$105,19,FALSE)</f>
        <v>3</v>
      </c>
      <c r="AE495" s="353"/>
      <c r="AF495" s="342">
        <f t="shared" si="43"/>
        <v>137750000</v>
      </c>
      <c r="AG495" s="57" t="s">
        <v>27</v>
      </c>
      <c r="AH495" s="58">
        <f t="shared" si="44"/>
        <v>1</v>
      </c>
    </row>
    <row r="496" spans="1:34" ht="16.5" x14ac:dyDescent="0.3">
      <c r="A496" s="134" t="s">
        <v>16</v>
      </c>
      <c r="B496" s="26" t="s">
        <v>549</v>
      </c>
      <c r="C496" s="145" t="s">
        <v>418</v>
      </c>
      <c r="D496" s="112" t="s">
        <v>550</v>
      </c>
      <c r="E496" s="35">
        <v>302761</v>
      </c>
      <c r="F496" s="33" t="s">
        <v>551</v>
      </c>
      <c r="G496" s="37">
        <v>44544</v>
      </c>
      <c r="H496" s="62">
        <v>191375000</v>
      </c>
      <c r="I496" s="49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66"/>
      <c r="U496" s="50"/>
      <c r="V496" s="50"/>
      <c r="W496" s="50"/>
      <c r="X496" s="50">
        <v>6420000</v>
      </c>
      <c r="Y496" s="50"/>
      <c r="Z496" s="51"/>
      <c r="AA496" s="15"/>
      <c r="AB496" s="16">
        <f t="shared" si="41"/>
        <v>6420000</v>
      </c>
      <c r="AC496" s="295">
        <f t="shared" si="42"/>
        <v>3.3546701502286086E-2</v>
      </c>
      <c r="AD496" s="341">
        <f>VLOOKUP(D496:D710,'Caribe I'!$A$25:$Q$83,17,FALSE)</f>
        <v>1</v>
      </c>
      <c r="AE496" s="353"/>
      <c r="AF496" s="342">
        <f t="shared" si="43"/>
        <v>184955000</v>
      </c>
      <c r="AG496" s="57" t="s">
        <v>27</v>
      </c>
      <c r="AH496" s="58">
        <f t="shared" si="44"/>
        <v>1</v>
      </c>
    </row>
    <row r="497" spans="1:34" ht="16.5" x14ac:dyDescent="0.3">
      <c r="A497" s="134" t="s">
        <v>28</v>
      </c>
      <c r="B497" s="26" t="s">
        <v>878</v>
      </c>
      <c r="C497" s="145" t="s">
        <v>418</v>
      </c>
      <c r="D497" s="112" t="s">
        <v>879</v>
      </c>
      <c r="E497" s="35">
        <v>302797</v>
      </c>
      <c r="F497" s="33" t="s">
        <v>31</v>
      </c>
      <c r="G497" s="37">
        <v>44588</v>
      </c>
      <c r="H497" s="62">
        <v>194712000</v>
      </c>
      <c r="I497" s="49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66"/>
      <c r="U497" s="50"/>
      <c r="V497" s="50"/>
      <c r="W497" s="50">
        <v>6420000</v>
      </c>
      <c r="X497" s="50"/>
      <c r="Y497" s="50"/>
      <c r="Z497" s="51"/>
      <c r="AA497" s="15"/>
      <c r="AB497" s="16">
        <f t="shared" si="41"/>
        <v>6420000</v>
      </c>
      <c r="AC497" s="295">
        <f t="shared" si="42"/>
        <v>3.2971773696536422E-2</v>
      </c>
      <c r="AD497" s="341">
        <f>VLOOKUP(D497:D935,Pacífico!$A$32:$S$105,19,FALSE)</f>
        <v>3</v>
      </c>
      <c r="AE497" s="353"/>
      <c r="AF497" s="342">
        <f t="shared" si="43"/>
        <v>188292000</v>
      </c>
      <c r="AG497" s="57" t="s">
        <v>27</v>
      </c>
      <c r="AH497" s="58">
        <f t="shared" si="44"/>
        <v>1</v>
      </c>
    </row>
    <row r="498" spans="1:34" ht="16.5" x14ac:dyDescent="0.3">
      <c r="A498" s="134" t="s">
        <v>23</v>
      </c>
      <c r="B498" s="26" t="s">
        <v>1154</v>
      </c>
      <c r="C498" s="145" t="s">
        <v>418</v>
      </c>
      <c r="D498" s="112" t="s">
        <v>1155</v>
      </c>
      <c r="E498" s="35">
        <v>303648</v>
      </c>
      <c r="F498" s="33" t="s">
        <v>68</v>
      </c>
      <c r="G498" s="37">
        <v>44588</v>
      </c>
      <c r="H498" s="62">
        <v>194993080</v>
      </c>
      <c r="I498" s="49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66"/>
      <c r="U498" s="50"/>
      <c r="V498" s="50"/>
      <c r="W498" s="50">
        <v>6420000</v>
      </c>
      <c r="X498" s="50"/>
      <c r="Y498" s="50"/>
      <c r="Z498" s="51"/>
      <c r="AA498" s="15"/>
      <c r="AB498" s="16">
        <f t="shared" si="41"/>
        <v>6420000</v>
      </c>
      <c r="AC498" s="295">
        <f t="shared" si="42"/>
        <v>3.2924245311679777E-2</v>
      </c>
      <c r="AD498" s="341">
        <f>VLOOKUP(D498:D971,Central!$A$29:$R$107,18,FALSE)</f>
        <v>1</v>
      </c>
      <c r="AE498" s="353"/>
      <c r="AF498" s="342">
        <f t="shared" si="43"/>
        <v>188573080</v>
      </c>
      <c r="AG498" s="57" t="s">
        <v>27</v>
      </c>
      <c r="AH498" s="58">
        <f t="shared" si="44"/>
        <v>1</v>
      </c>
    </row>
    <row r="499" spans="1:34" ht="16.5" x14ac:dyDescent="0.3">
      <c r="A499" s="134" t="s">
        <v>89</v>
      </c>
      <c r="B499" s="26" t="s">
        <v>1116</v>
      </c>
      <c r="C499" s="145" t="s">
        <v>418</v>
      </c>
      <c r="D499" s="112" t="s">
        <v>1117</v>
      </c>
      <c r="E499" s="35">
        <v>303828</v>
      </c>
      <c r="F499" s="33" t="s">
        <v>227</v>
      </c>
      <c r="G499" s="37">
        <v>44588</v>
      </c>
      <c r="H499" s="62">
        <v>149604000</v>
      </c>
      <c r="I499" s="49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66"/>
      <c r="U499" s="50"/>
      <c r="V499" s="50"/>
      <c r="W499" s="50"/>
      <c r="X499" s="50">
        <v>4920000</v>
      </c>
      <c r="Y499" s="50"/>
      <c r="Z499" s="51"/>
      <c r="AA499" s="15"/>
      <c r="AB499" s="16">
        <f t="shared" si="41"/>
        <v>4920000</v>
      </c>
      <c r="AC499" s="295">
        <f t="shared" si="42"/>
        <v>3.2886821207989088E-2</v>
      </c>
      <c r="AD499" s="341">
        <f>VLOOKUP(D499:D567,'Caribe II'!$A$38:$Q$107,17,FALSE)</f>
        <v>2</v>
      </c>
      <c r="AE499" s="353"/>
      <c r="AF499" s="342">
        <f t="shared" si="43"/>
        <v>144684000</v>
      </c>
      <c r="AG499" s="57" t="s">
        <v>27</v>
      </c>
      <c r="AH499" s="58">
        <f t="shared" si="44"/>
        <v>1</v>
      </c>
    </row>
    <row r="500" spans="1:34" ht="16.5" x14ac:dyDescent="0.3">
      <c r="A500" s="134" t="s">
        <v>23</v>
      </c>
      <c r="B500" s="23" t="s">
        <v>1184</v>
      </c>
      <c r="C500" s="145" t="s">
        <v>418</v>
      </c>
      <c r="D500" s="112" t="s">
        <v>1185</v>
      </c>
      <c r="E500" s="35">
        <v>303856</v>
      </c>
      <c r="F500" s="32" t="s">
        <v>68</v>
      </c>
      <c r="G500" s="37">
        <v>44588</v>
      </c>
      <c r="H500" s="61">
        <v>146901000</v>
      </c>
      <c r="I500" s="49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66"/>
      <c r="U500" s="50"/>
      <c r="V500" s="50"/>
      <c r="W500" s="50"/>
      <c r="X500" s="50">
        <v>4815000</v>
      </c>
      <c r="Y500" s="50"/>
      <c r="Z500" s="51"/>
      <c r="AA500" s="15"/>
      <c r="AB500" s="16">
        <f t="shared" si="41"/>
        <v>4815000</v>
      </c>
      <c r="AC500" s="295">
        <f t="shared" si="42"/>
        <v>3.2777176465783077E-2</v>
      </c>
      <c r="AD500" s="341">
        <f>VLOOKUP(D500:D973,Central!$A$29:$R$107,18,FALSE)</f>
        <v>1</v>
      </c>
      <c r="AE500" s="353"/>
      <c r="AF500" s="342">
        <f t="shared" si="43"/>
        <v>142086000</v>
      </c>
      <c r="AG500" s="57" t="s">
        <v>27</v>
      </c>
      <c r="AH500" s="58">
        <f t="shared" si="44"/>
        <v>1</v>
      </c>
    </row>
    <row r="501" spans="1:34" ht="16.5" x14ac:dyDescent="0.3">
      <c r="A501" s="134" t="s">
        <v>89</v>
      </c>
      <c r="B501" s="26" t="s">
        <v>1126</v>
      </c>
      <c r="C501" s="145" t="s">
        <v>418</v>
      </c>
      <c r="D501" s="112" t="s">
        <v>1127</v>
      </c>
      <c r="E501" s="35">
        <v>303580</v>
      </c>
      <c r="F501" s="33" t="s">
        <v>227</v>
      </c>
      <c r="G501" s="37">
        <v>44588</v>
      </c>
      <c r="H501" s="62">
        <v>195984000</v>
      </c>
      <c r="I501" s="49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66"/>
      <c r="U501" s="50"/>
      <c r="V501" s="50"/>
      <c r="W501" s="50"/>
      <c r="X501" s="50">
        <v>6420000</v>
      </c>
      <c r="Y501" s="50"/>
      <c r="Z501" s="51"/>
      <c r="AA501" s="15"/>
      <c r="AB501" s="16">
        <f t="shared" ref="AB501:AB564" si="45">SUM(I501:Z501)</f>
        <v>6420000</v>
      </c>
      <c r="AC501" s="295">
        <f t="shared" ref="AC501:AC564" si="46">AB501/H501</f>
        <v>3.2757776144991431E-2</v>
      </c>
      <c r="AD501" s="341">
        <f>VLOOKUP(D501:D569,'Caribe II'!$A$38:$Q$107,17,FALSE)</f>
        <v>2</v>
      </c>
      <c r="AE501" s="353"/>
      <c r="AF501" s="342">
        <f t="shared" ref="AF501:AF564" si="47">H501-AB501</f>
        <v>189564000</v>
      </c>
      <c r="AG501" s="57" t="s">
        <v>27</v>
      </c>
      <c r="AH501" s="58">
        <f t="shared" ref="AH501:AH564" si="48">COUNT(I501:Z501)</f>
        <v>1</v>
      </c>
    </row>
    <row r="502" spans="1:34" ht="16.5" x14ac:dyDescent="0.3">
      <c r="A502" s="134" t="s">
        <v>23</v>
      </c>
      <c r="B502" s="23" t="s">
        <v>1359</v>
      </c>
      <c r="C502" s="145" t="s">
        <v>418</v>
      </c>
      <c r="D502" s="112" t="s">
        <v>1360</v>
      </c>
      <c r="E502" s="35">
        <v>304328</v>
      </c>
      <c r="F502" s="32" t="s">
        <v>191</v>
      </c>
      <c r="G502" s="37">
        <v>44600</v>
      </c>
      <c r="H502" s="61">
        <v>196000000</v>
      </c>
      <c r="I502" s="49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66"/>
      <c r="U502" s="50"/>
      <c r="V502" s="50">
        <v>6420000</v>
      </c>
      <c r="W502" s="50"/>
      <c r="X502" s="50"/>
      <c r="Y502" s="50"/>
      <c r="Z502" s="51"/>
      <c r="AA502" s="15"/>
      <c r="AB502" s="16">
        <f t="shared" si="45"/>
        <v>6420000</v>
      </c>
      <c r="AC502" s="295">
        <f t="shared" si="46"/>
        <v>3.2755102040816324E-2</v>
      </c>
      <c r="AD502" s="341">
        <f>VLOOKUP(D502:D975,Central!$A$29:$R$107,18,FALSE)</f>
        <v>2</v>
      </c>
      <c r="AE502" s="353"/>
      <c r="AF502" s="342">
        <f t="shared" si="47"/>
        <v>189580000</v>
      </c>
      <c r="AG502" s="57" t="s">
        <v>27</v>
      </c>
      <c r="AH502" s="58">
        <f t="shared" si="48"/>
        <v>1</v>
      </c>
    </row>
    <row r="503" spans="1:34" ht="16.5" x14ac:dyDescent="0.3">
      <c r="A503" s="134" t="s">
        <v>28</v>
      </c>
      <c r="B503" s="23" t="s">
        <v>924</v>
      </c>
      <c r="C503" s="145" t="s">
        <v>418</v>
      </c>
      <c r="D503" s="112" t="s">
        <v>925</v>
      </c>
      <c r="E503" s="35">
        <v>302798</v>
      </c>
      <c r="F503" s="32" t="s">
        <v>447</v>
      </c>
      <c r="G503" s="37">
        <v>44588</v>
      </c>
      <c r="H503" s="61">
        <v>196917000</v>
      </c>
      <c r="I503" s="49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66"/>
      <c r="U503" s="50">
        <v>6420000</v>
      </c>
      <c r="V503" s="50"/>
      <c r="W503" s="50"/>
      <c r="X503" s="50"/>
      <c r="Y503" s="50"/>
      <c r="Z503" s="51"/>
      <c r="AA503" s="15"/>
      <c r="AB503" s="16">
        <f t="shared" si="45"/>
        <v>6420000</v>
      </c>
      <c r="AC503" s="295">
        <f t="shared" si="46"/>
        <v>3.2602568594890233E-2</v>
      </c>
      <c r="AD503" s="341">
        <f>VLOOKUP(D503:D941,Pacífico!$A$32:$S$105,19,FALSE)</f>
        <v>3</v>
      </c>
      <c r="AE503" s="353"/>
      <c r="AF503" s="342">
        <f t="shared" si="47"/>
        <v>190497000</v>
      </c>
      <c r="AG503" s="57" t="s">
        <v>27</v>
      </c>
      <c r="AH503" s="58">
        <f t="shared" si="48"/>
        <v>1</v>
      </c>
    </row>
    <row r="504" spans="1:34" ht="16.5" x14ac:dyDescent="0.3">
      <c r="A504" s="134" t="s">
        <v>28</v>
      </c>
      <c r="B504" s="26" t="s">
        <v>932</v>
      </c>
      <c r="C504" s="145" t="s">
        <v>418</v>
      </c>
      <c r="D504" s="112" t="s">
        <v>933</v>
      </c>
      <c r="E504" s="35">
        <v>303184</v>
      </c>
      <c r="F504" s="33" t="s">
        <v>447</v>
      </c>
      <c r="G504" s="37">
        <v>44588</v>
      </c>
      <c r="H504" s="62">
        <v>196942000</v>
      </c>
      <c r="I504" s="49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66"/>
      <c r="U504" s="50"/>
      <c r="V504" s="50">
        <v>6420000</v>
      </c>
      <c r="W504" s="50"/>
      <c r="X504" s="50"/>
      <c r="Y504" s="50"/>
      <c r="Z504" s="51"/>
      <c r="AA504" s="15"/>
      <c r="AB504" s="16">
        <f t="shared" si="45"/>
        <v>6420000</v>
      </c>
      <c r="AC504" s="295">
        <f t="shared" si="46"/>
        <v>3.2598429994617706E-2</v>
      </c>
      <c r="AD504" s="341">
        <f>VLOOKUP(D504:D942,Pacífico!$A$32:$S$105,19,FALSE)</f>
        <v>3</v>
      </c>
      <c r="AE504" s="353"/>
      <c r="AF504" s="342">
        <f t="shared" si="47"/>
        <v>190522000</v>
      </c>
      <c r="AG504" s="57" t="s">
        <v>27</v>
      </c>
      <c r="AH504" s="58">
        <f t="shared" si="48"/>
        <v>1</v>
      </c>
    </row>
    <row r="505" spans="1:34" ht="16.5" x14ac:dyDescent="0.3">
      <c r="A505" s="134" t="s">
        <v>28</v>
      </c>
      <c r="B505" s="26" t="s">
        <v>950</v>
      </c>
      <c r="C505" s="145" t="s">
        <v>418</v>
      </c>
      <c r="D505" s="112" t="s">
        <v>951</v>
      </c>
      <c r="E505" s="35">
        <v>303667</v>
      </c>
      <c r="F505" s="33" t="s">
        <v>447</v>
      </c>
      <c r="G505" s="37">
        <v>44588</v>
      </c>
      <c r="H505" s="62">
        <v>196942000</v>
      </c>
      <c r="I505" s="49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66"/>
      <c r="U505" s="50"/>
      <c r="V505" s="50">
        <v>6420000</v>
      </c>
      <c r="W505" s="50"/>
      <c r="X505" s="50"/>
      <c r="Y505" s="50"/>
      <c r="Z505" s="51"/>
      <c r="AA505" s="15"/>
      <c r="AB505" s="16">
        <f t="shared" si="45"/>
        <v>6420000</v>
      </c>
      <c r="AC505" s="295">
        <f t="shared" si="46"/>
        <v>3.2598429994617706E-2</v>
      </c>
      <c r="AD505" s="341">
        <f>VLOOKUP(D505:D943,Pacífico!$A$32:$S$105,19,FALSE)</f>
        <v>2</v>
      </c>
      <c r="AE505" s="353"/>
      <c r="AF505" s="342">
        <f t="shared" si="47"/>
        <v>190522000</v>
      </c>
      <c r="AG505" s="57" t="s">
        <v>27</v>
      </c>
      <c r="AH505" s="58">
        <f t="shared" si="48"/>
        <v>1</v>
      </c>
    </row>
    <row r="506" spans="1:34" ht="16.5" x14ac:dyDescent="0.3">
      <c r="A506" s="134" t="s">
        <v>55</v>
      </c>
      <c r="B506" s="26" t="s">
        <v>458</v>
      </c>
      <c r="C506" s="145" t="s">
        <v>418</v>
      </c>
      <c r="D506" s="112" t="s">
        <v>459</v>
      </c>
      <c r="E506" s="35">
        <v>302681</v>
      </c>
      <c r="F506" s="33" t="s">
        <v>457</v>
      </c>
      <c r="G506" s="37">
        <v>44544</v>
      </c>
      <c r="H506" s="62">
        <v>200000000</v>
      </c>
      <c r="I506" s="49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66"/>
      <c r="U506" s="50"/>
      <c r="V506" s="50"/>
      <c r="W506" s="50"/>
      <c r="X506" s="50">
        <v>6500000</v>
      </c>
      <c r="Y506" s="50"/>
      <c r="Z506" s="51"/>
      <c r="AA506" s="15"/>
      <c r="AB506" s="16">
        <f t="shared" si="45"/>
        <v>6500000</v>
      </c>
      <c r="AC506" s="295">
        <f t="shared" si="46"/>
        <v>3.2500000000000001E-2</v>
      </c>
      <c r="AD506" s="341">
        <f>VLOOKUP(D506:D878,'Eje Cafetero'!$A$34:$S$102,19,FALSE)</f>
        <v>3</v>
      </c>
      <c r="AE506" s="353"/>
      <c r="AF506" s="342">
        <f t="shared" si="47"/>
        <v>193500000</v>
      </c>
      <c r="AG506" s="57" t="s">
        <v>27</v>
      </c>
      <c r="AH506" s="58">
        <f t="shared" si="48"/>
        <v>1</v>
      </c>
    </row>
    <row r="507" spans="1:34" ht="16.5" x14ac:dyDescent="0.3">
      <c r="A507" s="134" t="s">
        <v>89</v>
      </c>
      <c r="B507" s="26" t="s">
        <v>1102</v>
      </c>
      <c r="C507" s="145" t="s">
        <v>418</v>
      </c>
      <c r="D507" s="112" t="s">
        <v>1103</v>
      </c>
      <c r="E507" s="35">
        <v>303103</v>
      </c>
      <c r="F507" s="33" t="s">
        <v>622</v>
      </c>
      <c r="G507" s="37">
        <v>44588</v>
      </c>
      <c r="H507" s="62">
        <v>198142000</v>
      </c>
      <c r="I507" s="49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66"/>
      <c r="U507" s="50"/>
      <c r="V507" s="50"/>
      <c r="W507" s="50">
        <v>6420000</v>
      </c>
      <c r="X507" s="50"/>
      <c r="Y507" s="50"/>
      <c r="Z507" s="51"/>
      <c r="AA507" s="15"/>
      <c r="AB507" s="16">
        <f t="shared" si="45"/>
        <v>6420000</v>
      </c>
      <c r="AC507" s="295">
        <f t="shared" si="46"/>
        <v>3.2401005339604931E-2</v>
      </c>
      <c r="AD507" s="341">
        <f>VLOOKUP(D507:D575,'Caribe II'!$A$38:$Q$107,17,FALSE)</f>
        <v>2</v>
      </c>
      <c r="AE507" s="353"/>
      <c r="AF507" s="342">
        <f t="shared" si="47"/>
        <v>191722000</v>
      </c>
      <c r="AG507" s="57" t="s">
        <v>27</v>
      </c>
      <c r="AH507" s="58">
        <f t="shared" si="48"/>
        <v>1</v>
      </c>
    </row>
    <row r="508" spans="1:34" ht="16.5" x14ac:dyDescent="0.3">
      <c r="A508" s="134" t="s">
        <v>28</v>
      </c>
      <c r="B508" s="23" t="s">
        <v>946</v>
      </c>
      <c r="C508" s="145" t="s">
        <v>418</v>
      </c>
      <c r="D508" s="112" t="s">
        <v>947</v>
      </c>
      <c r="E508" s="35">
        <v>303477</v>
      </c>
      <c r="F508" s="32" t="s">
        <v>447</v>
      </c>
      <c r="G508" s="37">
        <v>44588</v>
      </c>
      <c r="H508" s="61">
        <v>198342000</v>
      </c>
      <c r="I508" s="49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66"/>
      <c r="U508" s="50">
        <v>6420000</v>
      </c>
      <c r="V508" s="50"/>
      <c r="W508" s="50"/>
      <c r="X508" s="50"/>
      <c r="Y508" s="50"/>
      <c r="Z508" s="51"/>
      <c r="AA508" s="15"/>
      <c r="AB508" s="16">
        <f t="shared" si="45"/>
        <v>6420000</v>
      </c>
      <c r="AC508" s="295">
        <f t="shared" si="46"/>
        <v>3.2368333484587231E-2</v>
      </c>
      <c r="AD508" s="341">
        <f>VLOOKUP(D508:D946,Pacífico!$A$32:$S$105,19,FALSE)</f>
        <v>3</v>
      </c>
      <c r="AE508" s="353"/>
      <c r="AF508" s="342">
        <f t="shared" si="47"/>
        <v>191922000</v>
      </c>
      <c r="AG508" s="57" t="s">
        <v>27</v>
      </c>
      <c r="AH508" s="58">
        <f t="shared" si="48"/>
        <v>1</v>
      </c>
    </row>
    <row r="509" spans="1:34" ht="16.5" x14ac:dyDescent="0.3">
      <c r="A509" s="134" t="s">
        <v>89</v>
      </c>
      <c r="B509" s="26" t="s">
        <v>633</v>
      </c>
      <c r="C509" s="145" t="s">
        <v>418</v>
      </c>
      <c r="D509" s="112" t="s">
        <v>634</v>
      </c>
      <c r="E509" s="35">
        <v>302560</v>
      </c>
      <c r="F509" s="33" t="s">
        <v>622</v>
      </c>
      <c r="G509" s="37">
        <v>44544</v>
      </c>
      <c r="H509" s="62">
        <v>199142000</v>
      </c>
      <c r="I509" s="49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66"/>
      <c r="U509" s="50"/>
      <c r="V509" s="50"/>
      <c r="W509" s="50">
        <v>6420000</v>
      </c>
      <c r="X509" s="50"/>
      <c r="Y509" s="50"/>
      <c r="Z509" s="51"/>
      <c r="AA509" s="15"/>
      <c r="AB509" s="16">
        <f t="shared" si="45"/>
        <v>6420000</v>
      </c>
      <c r="AC509" s="295">
        <f t="shared" si="46"/>
        <v>3.2238302316939672E-2</v>
      </c>
      <c r="AD509" s="341">
        <f>VLOOKUP(D509:D577,'Caribe II'!$A$38:$Q$107,17,FALSE)</f>
        <v>2</v>
      </c>
      <c r="AE509" s="353"/>
      <c r="AF509" s="342">
        <f t="shared" si="47"/>
        <v>192722000</v>
      </c>
      <c r="AG509" s="57" t="s">
        <v>27</v>
      </c>
      <c r="AH509" s="58">
        <f t="shared" si="48"/>
        <v>1</v>
      </c>
    </row>
    <row r="510" spans="1:34" ht="16.5" x14ac:dyDescent="0.3">
      <c r="A510" s="134" t="s">
        <v>23</v>
      </c>
      <c r="B510" s="26" t="s">
        <v>1264</v>
      </c>
      <c r="C510" s="145" t="s">
        <v>418</v>
      </c>
      <c r="D510" s="112" t="s">
        <v>1265</v>
      </c>
      <c r="E510" s="35">
        <v>303886</v>
      </c>
      <c r="F510" s="33" t="s">
        <v>191</v>
      </c>
      <c r="G510" s="37">
        <v>44588</v>
      </c>
      <c r="H510" s="62">
        <v>199200000</v>
      </c>
      <c r="I510" s="49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66"/>
      <c r="U510" s="50"/>
      <c r="V510" s="50">
        <v>6420000</v>
      </c>
      <c r="W510" s="50"/>
      <c r="X510" s="50"/>
      <c r="Y510" s="50"/>
      <c r="Z510" s="51"/>
      <c r="AA510" s="15"/>
      <c r="AB510" s="16">
        <f t="shared" si="45"/>
        <v>6420000</v>
      </c>
      <c r="AC510" s="295">
        <f t="shared" si="46"/>
        <v>3.2228915662650605E-2</v>
      </c>
      <c r="AD510" s="341">
        <f>VLOOKUP(D510:D983,Central!$A$29:$R$107,18,FALSE)</f>
        <v>2</v>
      </c>
      <c r="AE510" s="353"/>
      <c r="AF510" s="342">
        <f t="shared" si="47"/>
        <v>192780000</v>
      </c>
      <c r="AG510" s="57" t="s">
        <v>27</v>
      </c>
      <c r="AH510" s="58">
        <f t="shared" si="48"/>
        <v>1</v>
      </c>
    </row>
    <row r="511" spans="1:34" ht="16.5" x14ac:dyDescent="0.3">
      <c r="A511" s="134" t="s">
        <v>28</v>
      </c>
      <c r="B511" s="23" t="s">
        <v>930</v>
      </c>
      <c r="C511" s="145" t="s">
        <v>418</v>
      </c>
      <c r="D511" s="112" t="s">
        <v>931</v>
      </c>
      <c r="E511" s="35">
        <v>303472</v>
      </c>
      <c r="F511" s="32" t="s">
        <v>447</v>
      </c>
      <c r="G511" s="37">
        <v>44588</v>
      </c>
      <c r="H511" s="61">
        <v>199205000</v>
      </c>
      <c r="I511" s="49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66"/>
      <c r="U511" s="50">
        <v>6420000</v>
      </c>
      <c r="V511" s="50"/>
      <c r="W511" s="50"/>
      <c r="X511" s="50"/>
      <c r="Y511" s="50"/>
      <c r="Z511" s="51"/>
      <c r="AA511" s="15"/>
      <c r="AB511" s="16">
        <f t="shared" si="45"/>
        <v>6420000</v>
      </c>
      <c r="AC511" s="295">
        <f t="shared" si="46"/>
        <v>3.2228106724228808E-2</v>
      </c>
      <c r="AD511" s="341">
        <f>VLOOKUP(D511:D949,Pacífico!$A$32:$S$105,19,FALSE)</f>
        <v>3</v>
      </c>
      <c r="AE511" s="353"/>
      <c r="AF511" s="342">
        <f t="shared" si="47"/>
        <v>192785000</v>
      </c>
      <c r="AG511" s="57" t="s">
        <v>27</v>
      </c>
      <c r="AH511" s="58">
        <f t="shared" si="48"/>
        <v>1</v>
      </c>
    </row>
    <row r="512" spans="1:34" ht="16.5" x14ac:dyDescent="0.3">
      <c r="A512" s="134" t="s">
        <v>89</v>
      </c>
      <c r="B512" s="26" t="s">
        <v>1128</v>
      </c>
      <c r="C512" s="145" t="s">
        <v>418</v>
      </c>
      <c r="D512" s="112" t="s">
        <v>1129</v>
      </c>
      <c r="E512" s="35">
        <v>303854</v>
      </c>
      <c r="F512" s="33" t="s">
        <v>622</v>
      </c>
      <c r="G512" s="37">
        <v>44588</v>
      </c>
      <c r="H512" s="62">
        <v>199380000</v>
      </c>
      <c r="I512" s="49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66"/>
      <c r="U512" s="50"/>
      <c r="V512" s="50"/>
      <c r="W512" s="50"/>
      <c r="X512" s="50">
        <v>6420000</v>
      </c>
      <c r="Y512" s="50"/>
      <c r="Z512" s="51"/>
      <c r="AA512" s="15"/>
      <c r="AB512" s="16">
        <f t="shared" si="45"/>
        <v>6420000</v>
      </c>
      <c r="AC512" s="295">
        <f t="shared" si="46"/>
        <v>3.2199819440264822E-2</v>
      </c>
      <c r="AD512" s="341">
        <f>VLOOKUP(D512:D580,'Caribe II'!$A$38:$Q$107,17,FALSE)</f>
        <v>2</v>
      </c>
      <c r="AE512" s="353"/>
      <c r="AF512" s="342">
        <f t="shared" si="47"/>
        <v>192960000</v>
      </c>
      <c r="AG512" s="57" t="s">
        <v>27</v>
      </c>
      <c r="AH512" s="58">
        <f t="shared" si="48"/>
        <v>1</v>
      </c>
    </row>
    <row r="513" spans="1:34" ht="16.5" x14ac:dyDescent="0.3">
      <c r="A513" s="134" t="s">
        <v>23</v>
      </c>
      <c r="B513" s="26" t="s">
        <v>1172</v>
      </c>
      <c r="C513" s="145" t="s">
        <v>418</v>
      </c>
      <c r="D513" s="112" t="s">
        <v>1173</v>
      </c>
      <c r="E513" s="35">
        <v>303025</v>
      </c>
      <c r="F513" s="33" t="s">
        <v>68</v>
      </c>
      <c r="G513" s="37">
        <v>44588</v>
      </c>
      <c r="H513" s="62">
        <v>199451000</v>
      </c>
      <c r="I513" s="49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66"/>
      <c r="U513" s="50"/>
      <c r="V513" s="50"/>
      <c r="W513" s="50">
        <v>6420000</v>
      </c>
      <c r="X513" s="50"/>
      <c r="Y513" s="50"/>
      <c r="Z513" s="51"/>
      <c r="AA513" s="15"/>
      <c r="AB513" s="16">
        <f t="shared" si="45"/>
        <v>6420000</v>
      </c>
      <c r="AC513" s="295">
        <f t="shared" si="46"/>
        <v>3.2188357040075007E-2</v>
      </c>
      <c r="AD513" s="341">
        <f>VLOOKUP(D513:D986,Central!$A$29:$R$107,18,FALSE)</f>
        <v>1</v>
      </c>
      <c r="AE513" s="353"/>
      <c r="AF513" s="342">
        <f t="shared" si="47"/>
        <v>193031000</v>
      </c>
      <c r="AG513" s="57" t="s">
        <v>27</v>
      </c>
      <c r="AH513" s="58">
        <f t="shared" si="48"/>
        <v>1</v>
      </c>
    </row>
    <row r="514" spans="1:34" ht="16.5" x14ac:dyDescent="0.3">
      <c r="A514" s="134" t="s">
        <v>32</v>
      </c>
      <c r="B514" s="23" t="s">
        <v>843</v>
      </c>
      <c r="C514" s="145" t="s">
        <v>418</v>
      </c>
      <c r="D514" s="112" t="s">
        <v>844</v>
      </c>
      <c r="E514" s="35">
        <v>302778</v>
      </c>
      <c r="F514" s="32" t="s">
        <v>828</v>
      </c>
      <c r="G514" s="37">
        <v>44544</v>
      </c>
      <c r="H514" s="61">
        <v>199452000</v>
      </c>
      <c r="I514" s="49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66"/>
      <c r="U514" s="50"/>
      <c r="V514" s="50"/>
      <c r="W514" s="50">
        <v>6420000</v>
      </c>
      <c r="X514" s="50"/>
      <c r="Y514" s="50"/>
      <c r="Z514" s="51"/>
      <c r="AA514" s="15"/>
      <c r="AB514" s="16">
        <f t="shared" si="45"/>
        <v>6420000</v>
      </c>
      <c r="AC514" s="295">
        <f t="shared" si="46"/>
        <v>3.2188195656097707E-2</v>
      </c>
      <c r="AD514" s="341">
        <f>VLOOKUP(D512:D696,Amazonía!$A$27:$T$75,20,FALSE)</f>
        <v>2</v>
      </c>
      <c r="AE514" s="353"/>
      <c r="AF514" s="342">
        <f t="shared" si="47"/>
        <v>193032000</v>
      </c>
      <c r="AG514" s="57" t="s">
        <v>27</v>
      </c>
      <c r="AH514" s="58">
        <f t="shared" si="48"/>
        <v>1</v>
      </c>
    </row>
    <row r="515" spans="1:34" ht="16.5" x14ac:dyDescent="0.3">
      <c r="A515" s="134" t="s">
        <v>16</v>
      </c>
      <c r="B515" s="26" t="s">
        <v>1056</v>
      </c>
      <c r="C515" s="145" t="s">
        <v>418</v>
      </c>
      <c r="D515" s="112" t="s">
        <v>1057</v>
      </c>
      <c r="E515" s="35">
        <v>303575</v>
      </c>
      <c r="F515" s="33" t="s">
        <v>268</v>
      </c>
      <c r="G515" s="37">
        <v>44588</v>
      </c>
      <c r="H515" s="62">
        <v>199508000</v>
      </c>
      <c r="I515" s="49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66"/>
      <c r="U515" s="50"/>
      <c r="V515" s="50"/>
      <c r="W515" s="50"/>
      <c r="X515" s="50">
        <v>6420000</v>
      </c>
      <c r="Y515" s="50"/>
      <c r="Z515" s="51"/>
      <c r="AA515" s="15"/>
      <c r="AB515" s="16">
        <f t="shared" si="45"/>
        <v>6420000</v>
      </c>
      <c r="AC515" s="295">
        <f t="shared" si="46"/>
        <v>3.2179160735409107E-2</v>
      </c>
      <c r="AD515" s="341">
        <f>VLOOKUP(D515:D729,'Caribe I'!$A$25:$Q$83,17,FALSE)</f>
        <v>2</v>
      </c>
      <c r="AE515" s="353"/>
      <c r="AF515" s="342">
        <f t="shared" si="47"/>
        <v>193088000</v>
      </c>
      <c r="AG515" s="57" t="s">
        <v>27</v>
      </c>
      <c r="AH515" s="58">
        <f t="shared" si="48"/>
        <v>1</v>
      </c>
    </row>
    <row r="516" spans="1:34" ht="16.5" x14ac:dyDescent="0.3">
      <c r="A516" s="134" t="s">
        <v>28</v>
      </c>
      <c r="B516" s="26" t="s">
        <v>448</v>
      </c>
      <c r="C516" s="145" t="s">
        <v>418</v>
      </c>
      <c r="D516" s="112" t="s">
        <v>449</v>
      </c>
      <c r="E516" s="35">
        <v>302764</v>
      </c>
      <c r="F516" s="33" t="s">
        <v>447</v>
      </c>
      <c r="G516" s="37">
        <v>44544</v>
      </c>
      <c r="H516" s="62">
        <v>199585000</v>
      </c>
      <c r="I516" s="49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66"/>
      <c r="U516" s="50">
        <v>6420000</v>
      </c>
      <c r="V516" s="50"/>
      <c r="W516" s="50"/>
      <c r="X516" s="50"/>
      <c r="Y516" s="50"/>
      <c r="Z516" s="51"/>
      <c r="AA516" s="15"/>
      <c r="AB516" s="16">
        <f t="shared" si="45"/>
        <v>6420000</v>
      </c>
      <c r="AC516" s="295">
        <f t="shared" si="46"/>
        <v>3.2166745997945737E-2</v>
      </c>
      <c r="AD516" s="341">
        <f>VLOOKUP(D516:D954,Pacífico!$A$32:$S$105,19,FALSE)</f>
        <v>3</v>
      </c>
      <c r="AE516" s="353"/>
      <c r="AF516" s="342">
        <f t="shared" si="47"/>
        <v>193165000</v>
      </c>
      <c r="AG516" s="57" t="s">
        <v>27</v>
      </c>
      <c r="AH516" s="58">
        <f t="shared" si="48"/>
        <v>1</v>
      </c>
    </row>
    <row r="517" spans="1:34" ht="16.5" x14ac:dyDescent="0.3">
      <c r="A517" s="134" t="s">
        <v>55</v>
      </c>
      <c r="B517" s="26" t="s">
        <v>498</v>
      </c>
      <c r="C517" s="145" t="s">
        <v>418</v>
      </c>
      <c r="D517" s="112" t="s">
        <v>499</v>
      </c>
      <c r="E517" s="35">
        <v>302570</v>
      </c>
      <c r="F517" s="33" t="s">
        <v>71</v>
      </c>
      <c r="G517" s="37">
        <v>44544</v>
      </c>
      <c r="H517" s="62">
        <v>199622000</v>
      </c>
      <c r="I517" s="49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66"/>
      <c r="U517" s="50"/>
      <c r="V517" s="50">
        <v>6420000</v>
      </c>
      <c r="W517" s="50"/>
      <c r="X517" s="50"/>
      <c r="Y517" s="50"/>
      <c r="Z517" s="51"/>
      <c r="AA517" s="15"/>
      <c r="AB517" s="16">
        <f t="shared" si="45"/>
        <v>6420000</v>
      </c>
      <c r="AC517" s="295">
        <f t="shared" si="46"/>
        <v>3.2160783881536106E-2</v>
      </c>
      <c r="AD517" s="341">
        <f>VLOOKUP(D517:D889,'Eje Cafetero'!$A$34:$S$102,19,FALSE)</f>
        <v>3</v>
      </c>
      <c r="AE517" s="353"/>
      <c r="AF517" s="342">
        <f t="shared" si="47"/>
        <v>193202000</v>
      </c>
      <c r="AG517" s="57" t="s">
        <v>27</v>
      </c>
      <c r="AH517" s="58">
        <f t="shared" si="48"/>
        <v>1</v>
      </c>
    </row>
    <row r="518" spans="1:34" ht="16.5" x14ac:dyDescent="0.3">
      <c r="A518" s="134" t="s">
        <v>23</v>
      </c>
      <c r="B518" s="23" t="s">
        <v>1158</v>
      </c>
      <c r="C518" s="145" t="s">
        <v>418</v>
      </c>
      <c r="D518" s="112" t="s">
        <v>1159</v>
      </c>
      <c r="E518" s="35">
        <v>303022</v>
      </c>
      <c r="F518" s="32" t="s">
        <v>68</v>
      </c>
      <c r="G518" s="37">
        <v>44588</v>
      </c>
      <c r="H518" s="61">
        <v>199653000</v>
      </c>
      <c r="I518" s="49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66"/>
      <c r="U518" s="50"/>
      <c r="V518" s="50">
        <v>6420000</v>
      </c>
      <c r="W518" s="50"/>
      <c r="X518" s="50"/>
      <c r="Y518" s="50"/>
      <c r="Z518" s="51"/>
      <c r="AA518" s="15"/>
      <c r="AB518" s="16">
        <f t="shared" si="45"/>
        <v>6420000</v>
      </c>
      <c r="AC518" s="295">
        <f t="shared" si="46"/>
        <v>3.2155790296163847E-2</v>
      </c>
      <c r="AD518" s="341">
        <f>VLOOKUP(D518:D991,Central!$A$29:$R$107,18,FALSE)</f>
        <v>3</v>
      </c>
      <c r="AE518" s="353"/>
      <c r="AF518" s="342">
        <f t="shared" si="47"/>
        <v>193233000</v>
      </c>
      <c r="AG518" s="57" t="s">
        <v>27</v>
      </c>
      <c r="AH518" s="58">
        <f t="shared" si="48"/>
        <v>1</v>
      </c>
    </row>
    <row r="519" spans="1:34" ht="16.5" x14ac:dyDescent="0.3">
      <c r="A519" s="134" t="s">
        <v>23</v>
      </c>
      <c r="B519" s="26" t="s">
        <v>1164</v>
      </c>
      <c r="C519" s="145" t="s">
        <v>418</v>
      </c>
      <c r="D519" s="112" t="s">
        <v>1165</v>
      </c>
      <c r="E519" s="35">
        <v>303448</v>
      </c>
      <c r="F519" s="33" t="s">
        <v>68</v>
      </c>
      <c r="G519" s="37">
        <v>44588</v>
      </c>
      <c r="H519" s="62">
        <v>199801000</v>
      </c>
      <c r="I519" s="49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66">
        <v>6420000</v>
      </c>
      <c r="U519" s="50"/>
      <c r="V519" s="50"/>
      <c r="W519" s="50"/>
      <c r="X519" s="50"/>
      <c r="Y519" s="50"/>
      <c r="Z519" s="51"/>
      <c r="AA519" s="15"/>
      <c r="AB519" s="16">
        <f t="shared" si="45"/>
        <v>6420000</v>
      </c>
      <c r="AC519" s="295">
        <f t="shared" si="46"/>
        <v>3.2131971311454899E-2</v>
      </c>
      <c r="AD519" s="341">
        <f>VLOOKUP(D519:D992,Central!$A$29:$R$107,18,FALSE)</f>
        <v>3</v>
      </c>
      <c r="AE519" s="353"/>
      <c r="AF519" s="342">
        <f t="shared" si="47"/>
        <v>193381000</v>
      </c>
      <c r="AG519" s="57" t="s">
        <v>27</v>
      </c>
      <c r="AH519" s="58">
        <f t="shared" si="48"/>
        <v>1</v>
      </c>
    </row>
    <row r="520" spans="1:34" ht="16.5" x14ac:dyDescent="0.3">
      <c r="A520" s="134" t="s">
        <v>23</v>
      </c>
      <c r="B520" s="26" t="s">
        <v>1204</v>
      </c>
      <c r="C520" s="145" t="s">
        <v>418</v>
      </c>
      <c r="D520" s="112" t="s">
        <v>1205</v>
      </c>
      <c r="E520" s="35">
        <v>303489</v>
      </c>
      <c r="F520" s="33" t="s">
        <v>191</v>
      </c>
      <c r="G520" s="37">
        <v>44588</v>
      </c>
      <c r="H520" s="62">
        <v>199851000</v>
      </c>
      <c r="I520" s="49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66"/>
      <c r="U520" s="50">
        <v>6420000</v>
      </c>
      <c r="V520" s="50"/>
      <c r="W520" s="50"/>
      <c r="X520" s="50"/>
      <c r="Y520" s="50"/>
      <c r="Z520" s="51"/>
      <c r="AA520" s="15"/>
      <c r="AB520" s="16">
        <f t="shared" si="45"/>
        <v>6420000</v>
      </c>
      <c r="AC520" s="295">
        <f t="shared" si="46"/>
        <v>3.212393232958554E-2</v>
      </c>
      <c r="AD520" s="341">
        <f>VLOOKUP(D520:D993,Central!$A$29:$R$107,18,FALSE)</f>
        <v>1</v>
      </c>
      <c r="AE520" s="353"/>
      <c r="AF520" s="342">
        <f t="shared" si="47"/>
        <v>193431000</v>
      </c>
      <c r="AG520" s="57" t="s">
        <v>27</v>
      </c>
      <c r="AH520" s="58">
        <f t="shared" si="48"/>
        <v>1</v>
      </c>
    </row>
    <row r="521" spans="1:34" ht="16.5" x14ac:dyDescent="0.3">
      <c r="A521" s="134" t="s">
        <v>28</v>
      </c>
      <c r="B521" s="26" t="s">
        <v>1345</v>
      </c>
      <c r="C521" s="145" t="s">
        <v>418</v>
      </c>
      <c r="D521" s="112" t="s">
        <v>1346</v>
      </c>
      <c r="E521" s="35">
        <v>303890</v>
      </c>
      <c r="F521" s="33" t="s">
        <v>447</v>
      </c>
      <c r="G521" s="37">
        <v>44600</v>
      </c>
      <c r="H521" s="62">
        <v>199928000</v>
      </c>
      <c r="I521" s="49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66"/>
      <c r="U521" s="50"/>
      <c r="V521" s="50">
        <v>6420000</v>
      </c>
      <c r="W521" s="50"/>
      <c r="X521" s="50"/>
      <c r="Y521" s="50"/>
      <c r="Z521" s="51"/>
      <c r="AA521" s="15"/>
      <c r="AB521" s="16">
        <f t="shared" si="45"/>
        <v>6420000</v>
      </c>
      <c r="AC521" s="295">
        <f t="shared" si="46"/>
        <v>3.2111560161658198E-2</v>
      </c>
      <c r="AD521" s="341">
        <f>VLOOKUP(D521:D959,Pacífico!$A$32:$S$105,19,FALSE)</f>
        <v>3</v>
      </c>
      <c r="AE521" s="353"/>
      <c r="AF521" s="342">
        <f t="shared" si="47"/>
        <v>193508000</v>
      </c>
      <c r="AG521" s="57" t="s">
        <v>27</v>
      </c>
      <c r="AH521" s="58">
        <f t="shared" si="48"/>
        <v>1</v>
      </c>
    </row>
    <row r="522" spans="1:34" ht="16.5" x14ac:dyDescent="0.3">
      <c r="A522" s="134" t="s">
        <v>23</v>
      </c>
      <c r="B522" s="26" t="s">
        <v>1202</v>
      </c>
      <c r="C522" s="145" t="s">
        <v>418</v>
      </c>
      <c r="D522" s="112" t="s">
        <v>1203</v>
      </c>
      <c r="E522" s="35">
        <v>303863</v>
      </c>
      <c r="F522" s="33" t="s">
        <v>68</v>
      </c>
      <c r="G522" s="37">
        <v>44588</v>
      </c>
      <c r="H522" s="62">
        <v>199934000</v>
      </c>
      <c r="I522" s="49"/>
      <c r="J522" s="50"/>
      <c r="K522" s="50"/>
      <c r="L522" s="50"/>
      <c r="M522" s="50"/>
      <c r="N522" s="50"/>
      <c r="O522" s="50"/>
      <c r="P522" s="50"/>
      <c r="Q522" s="50"/>
      <c r="R522" s="50"/>
      <c r="S522" s="50">
        <v>6420000</v>
      </c>
      <c r="T522" s="66"/>
      <c r="U522" s="50"/>
      <c r="V522" s="50"/>
      <c r="W522" s="50"/>
      <c r="X522" s="50"/>
      <c r="Y522" s="50"/>
      <c r="Z522" s="51"/>
      <c r="AA522" s="15"/>
      <c r="AB522" s="16">
        <f t="shared" si="45"/>
        <v>6420000</v>
      </c>
      <c r="AC522" s="295">
        <f t="shared" si="46"/>
        <v>3.211059649684396E-2</v>
      </c>
      <c r="AD522" s="341">
        <f>VLOOKUP(D522:D995,Central!$A$29:$R$107,18,FALSE)</f>
        <v>3</v>
      </c>
      <c r="AE522" s="353"/>
      <c r="AF522" s="342">
        <f t="shared" si="47"/>
        <v>193514000</v>
      </c>
      <c r="AG522" s="57" t="s">
        <v>27</v>
      </c>
      <c r="AH522" s="58">
        <f t="shared" si="48"/>
        <v>1</v>
      </c>
    </row>
    <row r="523" spans="1:34" ht="16.5" x14ac:dyDescent="0.3">
      <c r="A523" s="134" t="s">
        <v>23</v>
      </c>
      <c r="B523" s="26" t="s">
        <v>1182</v>
      </c>
      <c r="C523" s="145" t="s">
        <v>418</v>
      </c>
      <c r="D523" s="112" t="s">
        <v>1183</v>
      </c>
      <c r="E523" s="35">
        <v>303257</v>
      </c>
      <c r="F523" s="33" t="s">
        <v>68</v>
      </c>
      <c r="G523" s="37">
        <v>44588</v>
      </c>
      <c r="H523" s="62">
        <v>199934000</v>
      </c>
      <c r="I523" s="49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66">
        <v>6420000</v>
      </c>
      <c r="U523" s="50"/>
      <c r="V523" s="50"/>
      <c r="W523" s="50"/>
      <c r="X523" s="50"/>
      <c r="Y523" s="50"/>
      <c r="Z523" s="51"/>
      <c r="AA523" s="15"/>
      <c r="AB523" s="16">
        <f t="shared" si="45"/>
        <v>6420000</v>
      </c>
      <c r="AC523" s="295">
        <f t="shared" si="46"/>
        <v>3.211059649684396E-2</v>
      </c>
      <c r="AD523" s="341">
        <f>VLOOKUP(D523:D996,Central!$A$29:$R$107,18,FALSE)</f>
        <v>3</v>
      </c>
      <c r="AE523" s="353"/>
      <c r="AF523" s="342">
        <f t="shared" si="47"/>
        <v>193514000</v>
      </c>
      <c r="AG523" s="57" t="s">
        <v>27</v>
      </c>
      <c r="AH523" s="58">
        <f t="shared" si="48"/>
        <v>1</v>
      </c>
    </row>
    <row r="524" spans="1:34" ht="16.5" x14ac:dyDescent="0.3">
      <c r="A524" s="134" t="s">
        <v>23</v>
      </c>
      <c r="B524" s="23" t="s">
        <v>672</v>
      </c>
      <c r="C524" s="145" t="s">
        <v>418</v>
      </c>
      <c r="D524" s="112" t="s">
        <v>673</v>
      </c>
      <c r="E524" s="35">
        <v>302503</v>
      </c>
      <c r="F524" s="32" t="s">
        <v>44</v>
      </c>
      <c r="G524" s="37">
        <v>44544</v>
      </c>
      <c r="H524" s="61">
        <v>199935000</v>
      </c>
      <c r="I524" s="49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66">
        <v>6420000</v>
      </c>
      <c r="U524" s="50"/>
      <c r="V524" s="50"/>
      <c r="W524" s="50"/>
      <c r="X524" s="50"/>
      <c r="Y524" s="50"/>
      <c r="Z524" s="51"/>
      <c r="AA524" s="15"/>
      <c r="AB524" s="16">
        <f t="shared" si="45"/>
        <v>6420000</v>
      </c>
      <c r="AC524" s="295">
        <f t="shared" si="46"/>
        <v>3.211043589166479E-2</v>
      </c>
      <c r="AD524" s="341">
        <f>VLOOKUP(D524:D997,Central!$A$29:$R$107,18,FALSE)</f>
        <v>3</v>
      </c>
      <c r="AE524" s="353"/>
      <c r="AF524" s="342">
        <f t="shared" si="47"/>
        <v>193515000</v>
      </c>
      <c r="AG524" s="57" t="s">
        <v>27</v>
      </c>
      <c r="AH524" s="58">
        <f t="shared" si="48"/>
        <v>1</v>
      </c>
    </row>
    <row r="525" spans="1:34" ht="16.5" x14ac:dyDescent="0.3">
      <c r="A525" s="134" t="s">
        <v>28</v>
      </c>
      <c r="B525" s="26" t="s">
        <v>908</v>
      </c>
      <c r="C525" s="145" t="s">
        <v>418</v>
      </c>
      <c r="D525" s="112" t="s">
        <v>909</v>
      </c>
      <c r="E525" s="35">
        <v>303436</v>
      </c>
      <c r="F525" s="33" t="s">
        <v>447</v>
      </c>
      <c r="G525" s="37">
        <v>44588</v>
      </c>
      <c r="H525" s="62">
        <v>199946000</v>
      </c>
      <c r="I525" s="49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66"/>
      <c r="U525" s="50"/>
      <c r="V525" s="50">
        <v>6420000</v>
      </c>
      <c r="W525" s="50"/>
      <c r="X525" s="50"/>
      <c r="Y525" s="50"/>
      <c r="Z525" s="51"/>
      <c r="AA525" s="15"/>
      <c r="AB525" s="16">
        <f t="shared" si="45"/>
        <v>6420000</v>
      </c>
      <c r="AC525" s="295">
        <f t="shared" si="46"/>
        <v>3.2108669340721992E-2</v>
      </c>
      <c r="AD525" s="341">
        <f>VLOOKUP(D525:D963,Pacífico!$A$32:$S$105,19,FALSE)</f>
        <v>3</v>
      </c>
      <c r="AE525" s="353"/>
      <c r="AF525" s="342">
        <f t="shared" si="47"/>
        <v>193526000</v>
      </c>
      <c r="AG525" s="57" t="s">
        <v>27</v>
      </c>
      <c r="AH525" s="58">
        <f t="shared" si="48"/>
        <v>1</v>
      </c>
    </row>
    <row r="526" spans="1:34" ht="16.5" x14ac:dyDescent="0.3">
      <c r="A526" s="134" t="s">
        <v>23</v>
      </c>
      <c r="B526" s="23" t="s">
        <v>1152</v>
      </c>
      <c r="C526" s="145" t="s">
        <v>418</v>
      </c>
      <c r="D526" s="112" t="s">
        <v>1153</v>
      </c>
      <c r="E526" s="35">
        <v>303788</v>
      </c>
      <c r="F526" s="32" t="s">
        <v>68</v>
      </c>
      <c r="G526" s="37">
        <v>44588</v>
      </c>
      <c r="H526" s="61">
        <v>199971000</v>
      </c>
      <c r="I526" s="49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66">
        <v>6420000</v>
      </c>
      <c r="U526" s="50"/>
      <c r="V526" s="50"/>
      <c r="W526" s="50"/>
      <c r="X526" s="50"/>
      <c r="Y526" s="50"/>
      <c r="Z526" s="51"/>
      <c r="AA526" s="15"/>
      <c r="AB526" s="16">
        <f t="shared" si="45"/>
        <v>6420000</v>
      </c>
      <c r="AC526" s="295">
        <f t="shared" si="46"/>
        <v>3.2104655175000378E-2</v>
      </c>
      <c r="AD526" s="341">
        <f>VLOOKUP(D526:D999,Central!$A$29:$R$107,18,FALSE)</f>
        <v>3</v>
      </c>
      <c r="AE526" s="353"/>
      <c r="AF526" s="342">
        <f t="shared" si="47"/>
        <v>193551000</v>
      </c>
      <c r="AG526" s="57" t="s">
        <v>27</v>
      </c>
      <c r="AH526" s="58">
        <f t="shared" si="48"/>
        <v>1</v>
      </c>
    </row>
    <row r="527" spans="1:34" ht="16.5" x14ac:dyDescent="0.3">
      <c r="A527" s="134" t="s">
        <v>16</v>
      </c>
      <c r="B527" s="23" t="s">
        <v>597</v>
      </c>
      <c r="C527" s="145" t="s">
        <v>418</v>
      </c>
      <c r="D527" s="112" t="s">
        <v>598</v>
      </c>
      <c r="E527" s="35">
        <v>302960</v>
      </c>
      <c r="F527" s="32" t="s">
        <v>268</v>
      </c>
      <c r="G527" s="37">
        <v>44544</v>
      </c>
      <c r="H527" s="61">
        <v>199992000</v>
      </c>
      <c r="I527" s="49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66">
        <v>6420000</v>
      </c>
      <c r="U527" s="50"/>
      <c r="V527" s="50"/>
      <c r="W527" s="50"/>
      <c r="X527" s="50"/>
      <c r="Y527" s="50"/>
      <c r="Z527" s="51"/>
      <c r="AA527" s="15"/>
      <c r="AB527" s="16">
        <f t="shared" si="45"/>
        <v>6420000</v>
      </c>
      <c r="AC527" s="295">
        <f t="shared" si="46"/>
        <v>3.2101284051362054E-2</v>
      </c>
      <c r="AD527" s="341">
        <f>VLOOKUP(D527:D741,'Caribe I'!$A$25:$Q$83,17,FALSE)</f>
        <v>3</v>
      </c>
      <c r="AE527" s="353"/>
      <c r="AF527" s="342">
        <f t="shared" si="47"/>
        <v>193572000</v>
      </c>
      <c r="AG527" s="57" t="s">
        <v>27</v>
      </c>
      <c r="AH527" s="58">
        <f t="shared" si="48"/>
        <v>1</v>
      </c>
    </row>
    <row r="528" spans="1:34" ht="16.5" x14ac:dyDescent="0.3">
      <c r="A528" s="134" t="s">
        <v>23</v>
      </c>
      <c r="B528" s="26" t="s">
        <v>1236</v>
      </c>
      <c r="C528" s="145" t="s">
        <v>418</v>
      </c>
      <c r="D528" s="112" t="s">
        <v>1237</v>
      </c>
      <c r="E528" s="35">
        <v>303494</v>
      </c>
      <c r="F528" s="33" t="s">
        <v>68</v>
      </c>
      <c r="G528" s="37">
        <v>44588</v>
      </c>
      <c r="H528" s="62">
        <v>199999000</v>
      </c>
      <c r="I528" s="49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66"/>
      <c r="U528" s="50"/>
      <c r="V528" s="50"/>
      <c r="W528" s="50">
        <v>6420000</v>
      </c>
      <c r="X528" s="50"/>
      <c r="Y528" s="50"/>
      <c r="Z528" s="51"/>
      <c r="AA528" s="15"/>
      <c r="AB528" s="16">
        <f t="shared" si="45"/>
        <v>6420000</v>
      </c>
      <c r="AC528" s="295">
        <f t="shared" si="46"/>
        <v>3.2100160500802506E-2</v>
      </c>
      <c r="AD528" s="341">
        <f>VLOOKUP(D528:D1001,Central!$A$29:$R$107,18,FALSE)</f>
        <v>2</v>
      </c>
      <c r="AE528" s="353"/>
      <c r="AF528" s="342">
        <f t="shared" si="47"/>
        <v>193579000</v>
      </c>
      <c r="AG528" s="57" t="s">
        <v>27</v>
      </c>
      <c r="AH528" s="58">
        <f t="shared" si="48"/>
        <v>1</v>
      </c>
    </row>
    <row r="529" spans="1:34" ht="16.5" x14ac:dyDescent="0.3">
      <c r="A529" s="134" t="s">
        <v>16</v>
      </c>
      <c r="B529" s="26" t="s">
        <v>566</v>
      </c>
      <c r="C529" s="145" t="s">
        <v>418</v>
      </c>
      <c r="D529" s="112" t="s">
        <v>567</v>
      </c>
      <c r="E529" s="35">
        <v>303319</v>
      </c>
      <c r="F529" s="33" t="s">
        <v>551</v>
      </c>
      <c r="G529" s="37">
        <v>44544</v>
      </c>
      <c r="H529" s="62">
        <v>200000000</v>
      </c>
      <c r="I529" s="49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66">
        <v>6420000</v>
      </c>
      <c r="U529" s="50"/>
      <c r="V529" s="50"/>
      <c r="W529" s="50"/>
      <c r="X529" s="50"/>
      <c r="Y529" s="50"/>
      <c r="Z529" s="51"/>
      <c r="AA529" s="15"/>
      <c r="AB529" s="16">
        <f t="shared" si="45"/>
        <v>6420000</v>
      </c>
      <c r="AC529" s="295">
        <f t="shared" si="46"/>
        <v>3.2099999999999997E-2</v>
      </c>
      <c r="AD529" s="341">
        <f>VLOOKUP(D529:D743,'Caribe I'!$A$25:$Q$83,17,FALSE)</f>
        <v>4</v>
      </c>
      <c r="AE529" s="353"/>
      <c r="AF529" s="342">
        <f t="shared" si="47"/>
        <v>193580000</v>
      </c>
      <c r="AG529" s="57" t="s">
        <v>27</v>
      </c>
      <c r="AH529" s="58">
        <f t="shared" si="48"/>
        <v>1</v>
      </c>
    </row>
    <row r="530" spans="1:34" ht="16.5" x14ac:dyDescent="0.3">
      <c r="A530" s="134" t="s">
        <v>16</v>
      </c>
      <c r="B530" s="23" t="s">
        <v>568</v>
      </c>
      <c r="C530" s="145" t="s">
        <v>418</v>
      </c>
      <c r="D530" s="112" t="s">
        <v>569</v>
      </c>
      <c r="E530" s="35">
        <v>302553</v>
      </c>
      <c r="F530" s="32" t="s">
        <v>551</v>
      </c>
      <c r="G530" s="37">
        <v>44544</v>
      </c>
      <c r="H530" s="61">
        <v>200000000</v>
      </c>
      <c r="I530" s="49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66">
        <v>6420000</v>
      </c>
      <c r="U530" s="50"/>
      <c r="V530" s="50"/>
      <c r="W530" s="50"/>
      <c r="X530" s="50"/>
      <c r="Y530" s="50"/>
      <c r="Z530" s="51"/>
      <c r="AA530" s="15"/>
      <c r="AB530" s="16">
        <f t="shared" si="45"/>
        <v>6420000</v>
      </c>
      <c r="AC530" s="295">
        <f t="shared" si="46"/>
        <v>3.2099999999999997E-2</v>
      </c>
      <c r="AD530" s="341">
        <f>VLOOKUP(D530:D744,'Caribe I'!$A$25:$Q$83,17,FALSE)</f>
        <v>3</v>
      </c>
      <c r="AE530" s="353"/>
      <c r="AF530" s="342">
        <f t="shared" si="47"/>
        <v>193580000</v>
      </c>
      <c r="AG530" s="57" t="s">
        <v>27</v>
      </c>
      <c r="AH530" s="58">
        <f t="shared" si="48"/>
        <v>1</v>
      </c>
    </row>
    <row r="531" spans="1:34" ht="16.5" x14ac:dyDescent="0.3">
      <c r="A531" s="134" t="s">
        <v>23</v>
      </c>
      <c r="B531" s="23" t="s">
        <v>1361</v>
      </c>
      <c r="C531" s="145" t="s">
        <v>418</v>
      </c>
      <c r="D531" s="112" t="s">
        <v>1362</v>
      </c>
      <c r="E531" s="35">
        <v>304080</v>
      </c>
      <c r="F531" s="32" t="s">
        <v>191</v>
      </c>
      <c r="G531" s="37">
        <v>44600</v>
      </c>
      <c r="H531" s="61">
        <v>200000000</v>
      </c>
      <c r="I531" s="49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66">
        <v>6420000</v>
      </c>
      <c r="U531" s="50"/>
      <c r="V531" s="50"/>
      <c r="W531" s="50"/>
      <c r="X531" s="50"/>
      <c r="Y531" s="50"/>
      <c r="Z531" s="51"/>
      <c r="AA531" s="15"/>
      <c r="AB531" s="16">
        <f t="shared" si="45"/>
        <v>6420000</v>
      </c>
      <c r="AC531" s="295">
        <f t="shared" si="46"/>
        <v>3.2099999999999997E-2</v>
      </c>
      <c r="AD531" s="341">
        <f>VLOOKUP(D531:D1004,Central!$A$29:$R$107,18,FALSE)</f>
        <v>2</v>
      </c>
      <c r="AE531" s="353"/>
      <c r="AF531" s="342">
        <f t="shared" si="47"/>
        <v>193580000</v>
      </c>
      <c r="AG531" s="57" t="s">
        <v>27</v>
      </c>
      <c r="AH531" s="58">
        <f t="shared" si="48"/>
        <v>1</v>
      </c>
    </row>
    <row r="532" spans="1:34" ht="16.5" x14ac:dyDescent="0.3">
      <c r="A532" s="134" t="s">
        <v>16</v>
      </c>
      <c r="B532" s="23" t="s">
        <v>1032</v>
      </c>
      <c r="C532" s="145" t="s">
        <v>418</v>
      </c>
      <c r="D532" s="112" t="s">
        <v>1033</v>
      </c>
      <c r="E532" s="35">
        <v>303391</v>
      </c>
      <c r="F532" s="32" t="s">
        <v>551</v>
      </c>
      <c r="G532" s="37">
        <v>44588</v>
      </c>
      <c r="H532" s="61">
        <v>200000000</v>
      </c>
      <c r="I532" s="49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66"/>
      <c r="U532" s="50">
        <v>6420000</v>
      </c>
      <c r="V532" s="50"/>
      <c r="W532" s="50"/>
      <c r="X532" s="50"/>
      <c r="Y532" s="50"/>
      <c r="Z532" s="51"/>
      <c r="AA532" s="15"/>
      <c r="AB532" s="16">
        <f t="shared" si="45"/>
        <v>6420000</v>
      </c>
      <c r="AC532" s="295">
        <f t="shared" si="46"/>
        <v>3.2099999999999997E-2</v>
      </c>
      <c r="AD532" s="341">
        <f>VLOOKUP(D532:D746,'Caribe I'!$A$25:$Q$83,17,FALSE)</f>
        <v>3</v>
      </c>
      <c r="AE532" s="353"/>
      <c r="AF532" s="342">
        <f t="shared" si="47"/>
        <v>193580000</v>
      </c>
      <c r="AG532" s="57" t="s">
        <v>27</v>
      </c>
      <c r="AH532" s="58">
        <f t="shared" si="48"/>
        <v>1</v>
      </c>
    </row>
    <row r="533" spans="1:34" ht="16.5" x14ac:dyDescent="0.3">
      <c r="A533" s="134" t="s">
        <v>49</v>
      </c>
      <c r="B533" s="23" t="s">
        <v>727</v>
      </c>
      <c r="C533" s="145" t="s">
        <v>418</v>
      </c>
      <c r="D533" s="112" t="s">
        <v>728</v>
      </c>
      <c r="E533" s="35">
        <v>303253</v>
      </c>
      <c r="F533" s="32" t="s">
        <v>690</v>
      </c>
      <c r="G533" s="37">
        <v>44544</v>
      </c>
      <c r="H533" s="61">
        <v>200000000</v>
      </c>
      <c r="I533" s="49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66"/>
      <c r="U533" s="50">
        <v>6420000</v>
      </c>
      <c r="V533" s="50"/>
      <c r="W533" s="50"/>
      <c r="X533" s="50"/>
      <c r="Y533" s="50"/>
      <c r="Z533" s="51"/>
      <c r="AA533" s="15"/>
      <c r="AB533" s="16">
        <f t="shared" si="45"/>
        <v>6420000</v>
      </c>
      <c r="AC533" s="295">
        <f t="shared" si="46"/>
        <v>3.2099999999999997E-2</v>
      </c>
      <c r="AD533" s="341">
        <f>VLOOKUP(D533:D999,Santanderes!$A$21:$S$54,19,FALSE)</f>
        <v>3</v>
      </c>
      <c r="AE533" s="353"/>
      <c r="AF533" s="342">
        <f t="shared" si="47"/>
        <v>193580000</v>
      </c>
      <c r="AG533" s="57" t="s">
        <v>27</v>
      </c>
      <c r="AH533" s="58">
        <f t="shared" si="48"/>
        <v>1</v>
      </c>
    </row>
    <row r="534" spans="1:34" ht="16.5" x14ac:dyDescent="0.3">
      <c r="A534" s="134" t="s">
        <v>49</v>
      </c>
      <c r="B534" s="23" t="s">
        <v>731</v>
      </c>
      <c r="C534" s="145" t="s">
        <v>418</v>
      </c>
      <c r="D534" s="112" t="s">
        <v>732</v>
      </c>
      <c r="E534" s="35">
        <v>303234</v>
      </c>
      <c r="F534" s="32" t="s">
        <v>690</v>
      </c>
      <c r="G534" s="37">
        <v>44544</v>
      </c>
      <c r="H534" s="61">
        <v>200000000</v>
      </c>
      <c r="I534" s="49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66"/>
      <c r="U534" s="50">
        <v>6420000</v>
      </c>
      <c r="V534" s="50"/>
      <c r="W534" s="50"/>
      <c r="X534" s="50"/>
      <c r="Y534" s="50"/>
      <c r="Z534" s="51"/>
      <c r="AA534" s="15"/>
      <c r="AB534" s="16">
        <f t="shared" si="45"/>
        <v>6420000</v>
      </c>
      <c r="AC534" s="295">
        <f t="shared" si="46"/>
        <v>3.2099999999999997E-2</v>
      </c>
      <c r="AD534" s="341">
        <f>VLOOKUP(D534:D1000,Santanderes!$A$21:$S$54,19,FALSE)</f>
        <v>3</v>
      </c>
      <c r="AE534" s="353"/>
      <c r="AF534" s="342">
        <f t="shared" si="47"/>
        <v>193580000</v>
      </c>
      <c r="AG534" s="57" t="s">
        <v>27</v>
      </c>
      <c r="AH534" s="58">
        <f t="shared" si="48"/>
        <v>1</v>
      </c>
    </row>
    <row r="535" spans="1:34" ht="16.5" x14ac:dyDescent="0.3">
      <c r="A535" s="134" t="s">
        <v>23</v>
      </c>
      <c r="B535" s="23" t="s">
        <v>1214</v>
      </c>
      <c r="C535" s="145" t="s">
        <v>418</v>
      </c>
      <c r="D535" s="112" t="s">
        <v>1215</v>
      </c>
      <c r="E535" s="35">
        <v>303846</v>
      </c>
      <c r="F535" s="32" t="s">
        <v>191</v>
      </c>
      <c r="G535" s="37">
        <v>44588</v>
      </c>
      <c r="H535" s="61">
        <v>200000000</v>
      </c>
      <c r="I535" s="49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66"/>
      <c r="U535" s="50"/>
      <c r="V535" s="50">
        <v>6420000</v>
      </c>
      <c r="W535" s="50"/>
      <c r="X535" s="50"/>
      <c r="Y535" s="50"/>
      <c r="Z535" s="51"/>
      <c r="AA535" s="15"/>
      <c r="AB535" s="16">
        <f t="shared" si="45"/>
        <v>6420000</v>
      </c>
      <c r="AC535" s="295">
        <f t="shared" si="46"/>
        <v>3.2099999999999997E-2</v>
      </c>
      <c r="AD535" s="341">
        <f>VLOOKUP(D535:D1008,Central!$A$29:$R$107,18,FALSE)</f>
        <v>2</v>
      </c>
      <c r="AE535" s="353"/>
      <c r="AF535" s="342">
        <f t="shared" si="47"/>
        <v>193580000</v>
      </c>
      <c r="AG535" s="57" t="s">
        <v>27</v>
      </c>
      <c r="AH535" s="58">
        <f t="shared" si="48"/>
        <v>1</v>
      </c>
    </row>
    <row r="536" spans="1:34" ht="16.5" x14ac:dyDescent="0.3">
      <c r="A536" s="134" t="s">
        <v>105</v>
      </c>
      <c r="B536" s="23" t="s">
        <v>759</v>
      </c>
      <c r="C536" s="145" t="s">
        <v>418</v>
      </c>
      <c r="D536" s="112" t="s">
        <v>760</v>
      </c>
      <c r="E536" s="35">
        <v>302979</v>
      </c>
      <c r="F536" s="32" t="s">
        <v>108</v>
      </c>
      <c r="G536" s="37">
        <v>44544</v>
      </c>
      <c r="H536" s="61">
        <v>200000000</v>
      </c>
      <c r="I536" s="49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66"/>
      <c r="U536" s="50"/>
      <c r="V536" s="50">
        <v>6420000</v>
      </c>
      <c r="W536" s="50"/>
      <c r="X536" s="50"/>
      <c r="Y536" s="50"/>
      <c r="Z536" s="51"/>
      <c r="AA536" s="15"/>
      <c r="AB536" s="16">
        <f t="shared" si="45"/>
        <v>6420000</v>
      </c>
      <c r="AC536" s="295">
        <f t="shared" si="46"/>
        <v>3.2099999999999997E-2</v>
      </c>
      <c r="AD536" s="341">
        <f>VLOOKUP(D536:D910,Llanos!$A$28:$S$82,19,FALSE)</f>
        <v>2</v>
      </c>
      <c r="AE536" s="353"/>
      <c r="AF536" s="342">
        <f t="shared" si="47"/>
        <v>193580000</v>
      </c>
      <c r="AG536" s="57" t="s">
        <v>27</v>
      </c>
      <c r="AH536" s="58">
        <f t="shared" si="48"/>
        <v>1</v>
      </c>
    </row>
    <row r="537" spans="1:34" ht="16.5" x14ac:dyDescent="0.3">
      <c r="A537" s="134" t="s">
        <v>28</v>
      </c>
      <c r="B537" s="23" t="s">
        <v>439</v>
      </c>
      <c r="C537" s="145" t="s">
        <v>418</v>
      </c>
      <c r="D537" s="112" t="s">
        <v>440</v>
      </c>
      <c r="E537" s="35">
        <v>303019</v>
      </c>
      <c r="F537" s="32" t="s">
        <v>31</v>
      </c>
      <c r="G537" s="37">
        <v>44544</v>
      </c>
      <c r="H537" s="61">
        <v>200000000</v>
      </c>
      <c r="I537" s="49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66"/>
      <c r="U537" s="50"/>
      <c r="V537" s="50">
        <v>6420000</v>
      </c>
      <c r="W537" s="50"/>
      <c r="X537" s="50"/>
      <c r="Y537" s="50"/>
      <c r="Z537" s="51"/>
      <c r="AA537" s="15"/>
      <c r="AB537" s="16">
        <f t="shared" si="45"/>
        <v>6420000</v>
      </c>
      <c r="AC537" s="295">
        <f t="shared" si="46"/>
        <v>3.2099999999999997E-2</v>
      </c>
      <c r="AD537" s="341">
        <f>VLOOKUP(D537:D975,Pacífico!$A$32:$S$105,19,FALSE)</f>
        <v>3</v>
      </c>
      <c r="AE537" s="353"/>
      <c r="AF537" s="342">
        <f t="shared" si="47"/>
        <v>193580000</v>
      </c>
      <c r="AG537" s="57" t="s">
        <v>27</v>
      </c>
      <c r="AH537" s="58">
        <f t="shared" si="48"/>
        <v>1</v>
      </c>
    </row>
    <row r="538" spans="1:34" ht="16.5" x14ac:dyDescent="0.3">
      <c r="A538" s="134" t="s">
        <v>28</v>
      </c>
      <c r="B538" s="23" t="s">
        <v>954</v>
      </c>
      <c r="C538" s="145" t="s">
        <v>418</v>
      </c>
      <c r="D538" s="112" t="s">
        <v>955</v>
      </c>
      <c r="E538" s="35">
        <v>303668</v>
      </c>
      <c r="F538" s="32" t="s">
        <v>447</v>
      </c>
      <c r="G538" s="37">
        <v>44588</v>
      </c>
      <c r="H538" s="61">
        <v>200000000</v>
      </c>
      <c r="I538" s="49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66"/>
      <c r="U538" s="50"/>
      <c r="V538" s="50">
        <v>6420000</v>
      </c>
      <c r="W538" s="50"/>
      <c r="X538" s="50"/>
      <c r="Y538" s="50"/>
      <c r="Z538" s="51"/>
      <c r="AA538" s="15"/>
      <c r="AB538" s="16">
        <f t="shared" si="45"/>
        <v>6420000</v>
      </c>
      <c r="AC538" s="295">
        <f t="shared" si="46"/>
        <v>3.2099999999999997E-2</v>
      </c>
      <c r="AD538" s="341">
        <f>VLOOKUP(D538:D976,Pacífico!$A$32:$S$105,19,FALSE)</f>
        <v>2</v>
      </c>
      <c r="AE538" s="353"/>
      <c r="AF538" s="342">
        <f t="shared" si="47"/>
        <v>193580000</v>
      </c>
      <c r="AG538" s="57" t="s">
        <v>27</v>
      </c>
      <c r="AH538" s="58">
        <f t="shared" si="48"/>
        <v>1</v>
      </c>
    </row>
    <row r="539" spans="1:34" ht="16.5" x14ac:dyDescent="0.3">
      <c r="A539" s="134" t="s">
        <v>16</v>
      </c>
      <c r="B539" s="23" t="s">
        <v>583</v>
      </c>
      <c r="C539" s="145" t="s">
        <v>418</v>
      </c>
      <c r="D539" s="112" t="s">
        <v>584</v>
      </c>
      <c r="E539" s="35">
        <v>302712</v>
      </c>
      <c r="F539" s="32" t="s">
        <v>551</v>
      </c>
      <c r="G539" s="37">
        <v>44544</v>
      </c>
      <c r="H539" s="61">
        <v>200000000</v>
      </c>
      <c r="I539" s="49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66"/>
      <c r="U539" s="50"/>
      <c r="V539" s="50"/>
      <c r="W539" s="50">
        <v>6420000</v>
      </c>
      <c r="X539" s="50"/>
      <c r="Y539" s="50"/>
      <c r="Z539" s="51"/>
      <c r="AA539" s="15"/>
      <c r="AB539" s="16">
        <f t="shared" si="45"/>
        <v>6420000</v>
      </c>
      <c r="AC539" s="295">
        <f t="shared" si="46"/>
        <v>3.2099999999999997E-2</v>
      </c>
      <c r="AD539" s="341">
        <f>VLOOKUP(D539:D753,'Caribe I'!$A$25:$Q$83,17,FALSE)</f>
        <v>2</v>
      </c>
      <c r="AE539" s="353"/>
      <c r="AF539" s="342">
        <f t="shared" si="47"/>
        <v>193580000</v>
      </c>
      <c r="AG539" s="57" t="s">
        <v>27</v>
      </c>
      <c r="AH539" s="58">
        <f t="shared" si="48"/>
        <v>1</v>
      </c>
    </row>
    <row r="540" spans="1:34" ht="16.5" x14ac:dyDescent="0.3">
      <c r="A540" s="134" t="s">
        <v>16</v>
      </c>
      <c r="B540" s="26" t="s">
        <v>1372</v>
      </c>
      <c r="C540" s="145" t="s">
        <v>418</v>
      </c>
      <c r="D540" s="112" t="s">
        <v>1415</v>
      </c>
      <c r="E540" s="35">
        <v>304694</v>
      </c>
      <c r="F540" s="33" t="s">
        <v>551</v>
      </c>
      <c r="G540" s="37">
        <v>44643</v>
      </c>
      <c r="H540" s="62">
        <v>200000000</v>
      </c>
      <c r="I540" s="49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66"/>
      <c r="U540" s="50"/>
      <c r="V540" s="50"/>
      <c r="W540" s="50">
        <v>6420000</v>
      </c>
      <c r="X540" s="50"/>
      <c r="Y540" s="50"/>
      <c r="Z540" s="51"/>
      <c r="AA540" s="15"/>
      <c r="AB540" s="16">
        <f t="shared" si="45"/>
        <v>6420000</v>
      </c>
      <c r="AC540" s="295">
        <f t="shared" si="46"/>
        <v>3.2099999999999997E-2</v>
      </c>
      <c r="AD540" s="341">
        <f>VLOOKUP(D540:D754,'Caribe I'!$A$25:$Q$83,17,FALSE)</f>
        <v>2</v>
      </c>
      <c r="AE540" s="353"/>
      <c r="AF540" s="342">
        <f t="shared" si="47"/>
        <v>193580000</v>
      </c>
      <c r="AG540" s="57" t="s">
        <v>27</v>
      </c>
      <c r="AH540" s="58">
        <f t="shared" si="48"/>
        <v>1</v>
      </c>
    </row>
    <row r="541" spans="1:34" ht="16.5" x14ac:dyDescent="0.3">
      <c r="A541" s="134" t="s">
        <v>89</v>
      </c>
      <c r="B541" s="23" t="s">
        <v>1086</v>
      </c>
      <c r="C541" s="145" t="s">
        <v>418</v>
      </c>
      <c r="D541" s="112" t="s">
        <v>1087</v>
      </c>
      <c r="E541" s="35">
        <v>303662</v>
      </c>
      <c r="F541" s="32" t="s">
        <v>622</v>
      </c>
      <c r="G541" s="37">
        <v>44588</v>
      </c>
      <c r="H541" s="61">
        <v>200000000</v>
      </c>
      <c r="I541" s="49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66"/>
      <c r="U541" s="50"/>
      <c r="V541" s="50"/>
      <c r="W541" s="50">
        <v>6420000</v>
      </c>
      <c r="X541" s="50"/>
      <c r="Y541" s="50"/>
      <c r="Z541" s="51"/>
      <c r="AA541" s="15"/>
      <c r="AB541" s="16">
        <f t="shared" si="45"/>
        <v>6420000</v>
      </c>
      <c r="AC541" s="295">
        <f t="shared" si="46"/>
        <v>3.2099999999999997E-2</v>
      </c>
      <c r="AD541" s="341">
        <f>VLOOKUP(D541:D609,'Caribe II'!$A$38:$Q$107,17,FALSE)</f>
        <v>2</v>
      </c>
      <c r="AE541" s="353"/>
      <c r="AF541" s="342">
        <f t="shared" si="47"/>
        <v>193580000</v>
      </c>
      <c r="AG541" s="57" t="s">
        <v>27</v>
      </c>
      <c r="AH541" s="58">
        <f t="shared" si="48"/>
        <v>1</v>
      </c>
    </row>
    <row r="542" spans="1:34" ht="16.5" x14ac:dyDescent="0.3">
      <c r="A542" s="134" t="s">
        <v>23</v>
      </c>
      <c r="B542" s="26" t="s">
        <v>662</v>
      </c>
      <c r="C542" s="145" t="s">
        <v>418</v>
      </c>
      <c r="D542" s="112" t="s">
        <v>663</v>
      </c>
      <c r="E542" s="35">
        <v>302461</v>
      </c>
      <c r="F542" s="33" t="s">
        <v>659</v>
      </c>
      <c r="G542" s="37">
        <v>44544</v>
      </c>
      <c r="H542" s="62">
        <v>200000000</v>
      </c>
      <c r="I542" s="49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66"/>
      <c r="U542" s="50"/>
      <c r="V542" s="50"/>
      <c r="W542" s="50">
        <v>6420000</v>
      </c>
      <c r="X542" s="50"/>
      <c r="Y542" s="50"/>
      <c r="Z542" s="51"/>
      <c r="AA542" s="15"/>
      <c r="AB542" s="16">
        <f t="shared" si="45"/>
        <v>6420000</v>
      </c>
      <c r="AC542" s="295">
        <f t="shared" si="46"/>
        <v>3.2099999999999997E-2</v>
      </c>
      <c r="AD542" s="341">
        <f>VLOOKUP(D542:D1015,Central!$A$29:$R$107,18,FALSE)</f>
        <v>1</v>
      </c>
      <c r="AE542" s="353"/>
      <c r="AF542" s="342">
        <f t="shared" si="47"/>
        <v>193580000</v>
      </c>
      <c r="AG542" s="57" t="s">
        <v>27</v>
      </c>
      <c r="AH542" s="58">
        <f t="shared" si="48"/>
        <v>1</v>
      </c>
    </row>
    <row r="543" spans="1:34" ht="16.5" x14ac:dyDescent="0.3">
      <c r="A543" s="134" t="s">
        <v>105</v>
      </c>
      <c r="B543" s="23" t="s">
        <v>785</v>
      </c>
      <c r="C543" s="145" t="s">
        <v>418</v>
      </c>
      <c r="D543" s="112" t="s">
        <v>786</v>
      </c>
      <c r="E543" s="35">
        <v>302646</v>
      </c>
      <c r="F543" s="32" t="s">
        <v>118</v>
      </c>
      <c r="G543" s="37">
        <v>44544</v>
      </c>
      <c r="H543" s="61">
        <v>200000000</v>
      </c>
      <c r="I543" s="49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66"/>
      <c r="U543" s="50"/>
      <c r="V543" s="50"/>
      <c r="W543" s="50">
        <v>6420000</v>
      </c>
      <c r="X543" s="50"/>
      <c r="Y543" s="50"/>
      <c r="Z543" s="51"/>
      <c r="AA543" s="15"/>
      <c r="AB543" s="16">
        <f t="shared" si="45"/>
        <v>6420000</v>
      </c>
      <c r="AC543" s="295">
        <f t="shared" si="46"/>
        <v>3.2099999999999997E-2</v>
      </c>
      <c r="AD543" s="341">
        <f>VLOOKUP(D543:D917,Llanos!$A$28:$S$82,19,FALSE)</f>
        <v>3</v>
      </c>
      <c r="AE543" s="353"/>
      <c r="AF543" s="342">
        <f t="shared" si="47"/>
        <v>193580000</v>
      </c>
      <c r="AG543" s="57" t="s">
        <v>27</v>
      </c>
      <c r="AH543" s="58">
        <f t="shared" si="48"/>
        <v>1</v>
      </c>
    </row>
    <row r="544" spans="1:34" ht="16.5" x14ac:dyDescent="0.3">
      <c r="A544" s="134" t="s">
        <v>28</v>
      </c>
      <c r="B544" s="26" t="s">
        <v>914</v>
      </c>
      <c r="C544" s="145" t="s">
        <v>418</v>
      </c>
      <c r="D544" s="112" t="s">
        <v>915</v>
      </c>
      <c r="E544" s="35">
        <v>303438</v>
      </c>
      <c r="F544" s="33" t="s">
        <v>81</v>
      </c>
      <c r="G544" s="37">
        <v>44588</v>
      </c>
      <c r="H544" s="62">
        <v>200000000</v>
      </c>
      <c r="I544" s="49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66"/>
      <c r="U544" s="50"/>
      <c r="V544" s="50"/>
      <c r="W544" s="50">
        <v>6420000</v>
      </c>
      <c r="X544" s="50"/>
      <c r="Y544" s="50"/>
      <c r="Z544" s="51"/>
      <c r="AA544" s="15"/>
      <c r="AB544" s="16">
        <f t="shared" si="45"/>
        <v>6420000</v>
      </c>
      <c r="AC544" s="295">
        <f t="shared" si="46"/>
        <v>3.2099999999999997E-2</v>
      </c>
      <c r="AD544" s="341">
        <f>VLOOKUP(D544:D982,Pacífico!$A$32:$S$105,19,FALSE)</f>
        <v>2</v>
      </c>
      <c r="AE544" s="353"/>
      <c r="AF544" s="342">
        <f t="shared" si="47"/>
        <v>193580000</v>
      </c>
      <c r="AG544" s="57" t="s">
        <v>27</v>
      </c>
      <c r="AH544" s="58">
        <f t="shared" si="48"/>
        <v>1</v>
      </c>
    </row>
    <row r="545" spans="1:34" ht="16.5" x14ac:dyDescent="0.3">
      <c r="A545" s="134" t="s">
        <v>89</v>
      </c>
      <c r="B545" s="23" t="s">
        <v>653</v>
      </c>
      <c r="C545" s="145" t="s">
        <v>418</v>
      </c>
      <c r="D545" s="112" t="s">
        <v>654</v>
      </c>
      <c r="E545" s="35">
        <v>303105</v>
      </c>
      <c r="F545" s="32" t="s">
        <v>227</v>
      </c>
      <c r="G545" s="37">
        <v>44544</v>
      </c>
      <c r="H545" s="61">
        <v>200000000</v>
      </c>
      <c r="I545" s="49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66"/>
      <c r="U545" s="50"/>
      <c r="V545" s="50"/>
      <c r="W545" s="50"/>
      <c r="X545" s="50">
        <v>6420000</v>
      </c>
      <c r="Y545" s="50"/>
      <c r="Z545" s="51"/>
      <c r="AA545" s="15"/>
      <c r="AB545" s="16">
        <f t="shared" si="45"/>
        <v>6420000</v>
      </c>
      <c r="AC545" s="295">
        <f t="shared" si="46"/>
        <v>3.2099999999999997E-2</v>
      </c>
      <c r="AD545" s="341">
        <f>VLOOKUP(D545:D613,'Caribe II'!$A$38:$Q$107,17,FALSE)</f>
        <v>1</v>
      </c>
      <c r="AE545" s="353"/>
      <c r="AF545" s="342">
        <f t="shared" si="47"/>
        <v>193580000</v>
      </c>
      <c r="AG545" s="57" t="s">
        <v>27</v>
      </c>
      <c r="AH545" s="58">
        <f t="shared" si="48"/>
        <v>1</v>
      </c>
    </row>
    <row r="546" spans="1:34" ht="16.5" x14ac:dyDescent="0.3">
      <c r="A546" s="134" t="s">
        <v>23</v>
      </c>
      <c r="B546" s="23" t="s">
        <v>1192</v>
      </c>
      <c r="C546" s="145" t="s">
        <v>418</v>
      </c>
      <c r="D546" s="112" t="s">
        <v>1193</v>
      </c>
      <c r="E546" s="35">
        <v>303829</v>
      </c>
      <c r="F546" s="32" t="s">
        <v>659</v>
      </c>
      <c r="G546" s="37">
        <v>44588</v>
      </c>
      <c r="H546" s="61">
        <v>200000000</v>
      </c>
      <c r="I546" s="49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66"/>
      <c r="U546" s="50"/>
      <c r="V546" s="50"/>
      <c r="W546" s="50"/>
      <c r="X546" s="50">
        <v>6420000</v>
      </c>
      <c r="Y546" s="50"/>
      <c r="Z546" s="51"/>
      <c r="AA546" s="15"/>
      <c r="AB546" s="16">
        <f t="shared" si="45"/>
        <v>6420000</v>
      </c>
      <c r="AC546" s="295">
        <f t="shared" si="46"/>
        <v>3.2099999999999997E-2</v>
      </c>
      <c r="AD546" s="341">
        <f>VLOOKUP(D546:D1019,Central!$A$29:$R$107,18,FALSE)</f>
        <v>2</v>
      </c>
      <c r="AE546" s="353"/>
      <c r="AF546" s="342">
        <f t="shared" si="47"/>
        <v>193580000</v>
      </c>
      <c r="AG546" s="57" t="s">
        <v>27</v>
      </c>
      <c r="AH546" s="58">
        <f t="shared" si="48"/>
        <v>1</v>
      </c>
    </row>
    <row r="547" spans="1:34" ht="16.5" x14ac:dyDescent="0.3">
      <c r="A547" s="134" t="s">
        <v>55</v>
      </c>
      <c r="B547" s="26" t="s">
        <v>996</v>
      </c>
      <c r="C547" s="145" t="s">
        <v>418</v>
      </c>
      <c r="D547" s="112" t="s">
        <v>997</v>
      </c>
      <c r="E547" s="35">
        <v>302730</v>
      </c>
      <c r="F547" s="33" t="s">
        <v>58</v>
      </c>
      <c r="G547" s="37">
        <v>44588</v>
      </c>
      <c r="H547" s="62">
        <v>200000000</v>
      </c>
      <c r="I547" s="49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66"/>
      <c r="U547" s="50"/>
      <c r="V547" s="50"/>
      <c r="W547" s="50"/>
      <c r="X547" s="50">
        <v>6420000</v>
      </c>
      <c r="Y547" s="50"/>
      <c r="Z547" s="51"/>
      <c r="AA547" s="15"/>
      <c r="AB547" s="16">
        <f t="shared" si="45"/>
        <v>6420000</v>
      </c>
      <c r="AC547" s="295">
        <f t="shared" si="46"/>
        <v>3.2099999999999997E-2</v>
      </c>
      <c r="AD547" s="341">
        <f>VLOOKUP(D547:D919,'Eje Cafetero'!$A$34:$S$102,19,FALSE)</f>
        <v>2</v>
      </c>
      <c r="AE547" s="353"/>
      <c r="AF547" s="342">
        <f t="shared" si="47"/>
        <v>193580000</v>
      </c>
      <c r="AG547" s="57" t="s">
        <v>27</v>
      </c>
      <c r="AH547" s="58">
        <f t="shared" si="48"/>
        <v>1</v>
      </c>
    </row>
    <row r="548" spans="1:34" ht="16.5" x14ac:dyDescent="0.3">
      <c r="A548" s="134" t="s">
        <v>105</v>
      </c>
      <c r="B548" s="26" t="s">
        <v>787</v>
      </c>
      <c r="C548" s="145" t="s">
        <v>418</v>
      </c>
      <c r="D548" s="112" t="s">
        <v>788</v>
      </c>
      <c r="E548" s="35">
        <v>302645</v>
      </c>
      <c r="F548" s="33" t="s">
        <v>108</v>
      </c>
      <c r="G548" s="37">
        <v>44544</v>
      </c>
      <c r="H548" s="62">
        <v>200000000</v>
      </c>
      <c r="I548" s="49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66"/>
      <c r="U548" s="50"/>
      <c r="V548" s="50"/>
      <c r="W548" s="50"/>
      <c r="X548" s="50">
        <v>6420000</v>
      </c>
      <c r="Y548" s="50"/>
      <c r="Z548" s="51"/>
      <c r="AA548" s="15"/>
      <c r="AB548" s="16">
        <f t="shared" si="45"/>
        <v>6420000</v>
      </c>
      <c r="AC548" s="295">
        <f t="shared" si="46"/>
        <v>3.2099999999999997E-2</v>
      </c>
      <c r="AD548" s="341">
        <f>VLOOKUP(D548:D922,Llanos!$A$28:$S$82,19,FALSE)</f>
        <v>3</v>
      </c>
      <c r="AE548" s="353"/>
      <c r="AF548" s="342">
        <f t="shared" si="47"/>
        <v>193580000</v>
      </c>
      <c r="AG548" s="57" t="s">
        <v>27</v>
      </c>
      <c r="AH548" s="58">
        <f t="shared" si="48"/>
        <v>1</v>
      </c>
    </row>
    <row r="549" spans="1:34" ht="16.5" x14ac:dyDescent="0.3">
      <c r="A549" s="134" t="s">
        <v>49</v>
      </c>
      <c r="B549" s="26" t="s">
        <v>688</v>
      </c>
      <c r="C549" s="145" t="s">
        <v>418</v>
      </c>
      <c r="D549" s="112" t="s">
        <v>689</v>
      </c>
      <c r="E549" s="35">
        <v>302774</v>
      </c>
      <c r="F549" s="33" t="s">
        <v>690</v>
      </c>
      <c r="G549" s="37">
        <v>44544</v>
      </c>
      <c r="H549" s="62">
        <v>200000000</v>
      </c>
      <c r="I549" s="49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66"/>
      <c r="U549" s="50"/>
      <c r="V549" s="50"/>
      <c r="W549" s="50"/>
      <c r="X549" s="50">
        <v>6420000</v>
      </c>
      <c r="Y549" s="50"/>
      <c r="Z549" s="51"/>
      <c r="AA549" s="15"/>
      <c r="AB549" s="16">
        <f t="shared" si="45"/>
        <v>6420000</v>
      </c>
      <c r="AC549" s="295">
        <f t="shared" si="46"/>
        <v>3.2099999999999997E-2</v>
      </c>
      <c r="AD549" s="341">
        <f>VLOOKUP(D549:D1015,Santanderes!$A$21:$S$54,19,FALSE)</f>
        <v>3</v>
      </c>
      <c r="AE549" s="353"/>
      <c r="AF549" s="342">
        <f t="shared" si="47"/>
        <v>193580000</v>
      </c>
      <c r="AG549" s="57" t="s">
        <v>27</v>
      </c>
      <c r="AH549" s="58">
        <f t="shared" si="48"/>
        <v>1</v>
      </c>
    </row>
    <row r="550" spans="1:34" ht="16.5" x14ac:dyDescent="0.3">
      <c r="A550" s="134" t="s">
        <v>49</v>
      </c>
      <c r="B550" s="26" t="s">
        <v>705</v>
      </c>
      <c r="C550" s="145" t="s">
        <v>418</v>
      </c>
      <c r="D550" s="112" t="s">
        <v>706</v>
      </c>
      <c r="E550" s="35">
        <v>303317</v>
      </c>
      <c r="F550" s="33" t="s">
        <v>125</v>
      </c>
      <c r="G550" s="37">
        <v>44544</v>
      </c>
      <c r="H550" s="62">
        <v>200000000</v>
      </c>
      <c r="I550" s="49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66"/>
      <c r="U550" s="50"/>
      <c r="V550" s="50"/>
      <c r="W550" s="50"/>
      <c r="X550" s="50">
        <v>6420000</v>
      </c>
      <c r="Y550" s="50"/>
      <c r="Z550" s="51"/>
      <c r="AA550" s="15"/>
      <c r="AB550" s="16">
        <f t="shared" si="45"/>
        <v>6420000</v>
      </c>
      <c r="AC550" s="295">
        <f t="shared" si="46"/>
        <v>3.2099999999999997E-2</v>
      </c>
      <c r="AD550" s="341">
        <f>VLOOKUP(D550:D1016,Santanderes!$A$21:$S$54,19,FALSE)</f>
        <v>3</v>
      </c>
      <c r="AE550" s="353"/>
      <c r="AF550" s="342">
        <f t="shared" si="47"/>
        <v>193580000</v>
      </c>
      <c r="AG550" s="57" t="s">
        <v>27</v>
      </c>
      <c r="AH550" s="58">
        <f t="shared" si="48"/>
        <v>1</v>
      </c>
    </row>
    <row r="551" spans="1:34" ht="16.5" x14ac:dyDescent="0.3">
      <c r="A551" s="134" t="s">
        <v>49</v>
      </c>
      <c r="B551" s="23" t="s">
        <v>707</v>
      </c>
      <c r="C551" s="145" t="s">
        <v>418</v>
      </c>
      <c r="D551" s="112" t="s">
        <v>708</v>
      </c>
      <c r="E551" s="35">
        <v>302776</v>
      </c>
      <c r="F551" s="32" t="s">
        <v>125</v>
      </c>
      <c r="G551" s="37">
        <v>44544</v>
      </c>
      <c r="H551" s="61">
        <v>200000000</v>
      </c>
      <c r="I551" s="49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66"/>
      <c r="U551" s="50"/>
      <c r="V551" s="50"/>
      <c r="W551" s="50"/>
      <c r="X551" s="50">
        <v>6420000</v>
      </c>
      <c r="Y551" s="50"/>
      <c r="Z551" s="51"/>
      <c r="AA551" s="15"/>
      <c r="AB551" s="16">
        <f t="shared" si="45"/>
        <v>6420000</v>
      </c>
      <c r="AC551" s="295">
        <f t="shared" si="46"/>
        <v>3.2099999999999997E-2</v>
      </c>
      <c r="AD551" s="341">
        <f>VLOOKUP(D551:D1017,Santanderes!$A$21:$S$54,19,FALSE)</f>
        <v>3</v>
      </c>
      <c r="AE551" s="353"/>
      <c r="AF551" s="342">
        <f t="shared" si="47"/>
        <v>193580000</v>
      </c>
      <c r="AG551" s="57" t="s">
        <v>27</v>
      </c>
      <c r="AH551" s="58">
        <f t="shared" si="48"/>
        <v>1</v>
      </c>
    </row>
    <row r="552" spans="1:34" ht="16.5" x14ac:dyDescent="0.3">
      <c r="A552" s="134" t="s">
        <v>49</v>
      </c>
      <c r="B552" s="26" t="s">
        <v>713</v>
      </c>
      <c r="C552" s="145" t="s">
        <v>418</v>
      </c>
      <c r="D552" s="112" t="s">
        <v>714</v>
      </c>
      <c r="E552" s="35">
        <v>302952</v>
      </c>
      <c r="F552" s="33" t="s">
        <v>690</v>
      </c>
      <c r="G552" s="37">
        <v>44544</v>
      </c>
      <c r="H552" s="62">
        <v>200000000</v>
      </c>
      <c r="I552" s="49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66"/>
      <c r="U552" s="50"/>
      <c r="V552" s="50"/>
      <c r="W552" s="50"/>
      <c r="X552" s="50">
        <v>6420000</v>
      </c>
      <c r="Y552" s="50"/>
      <c r="Z552" s="51"/>
      <c r="AA552" s="15"/>
      <c r="AB552" s="16">
        <f t="shared" si="45"/>
        <v>6420000</v>
      </c>
      <c r="AC552" s="295">
        <f t="shared" si="46"/>
        <v>3.2099999999999997E-2</v>
      </c>
      <c r="AD552" s="341">
        <f>VLOOKUP(D552:D1018,Santanderes!$A$21:$S$54,19,FALSE)</f>
        <v>3</v>
      </c>
      <c r="AE552" s="353"/>
      <c r="AF552" s="342">
        <f t="shared" si="47"/>
        <v>193580000</v>
      </c>
      <c r="AG552" s="57" t="s">
        <v>27</v>
      </c>
      <c r="AH552" s="58">
        <f t="shared" si="48"/>
        <v>1</v>
      </c>
    </row>
    <row r="553" spans="1:34" ht="16.5" x14ac:dyDescent="0.3">
      <c r="A553" s="134" t="s">
        <v>49</v>
      </c>
      <c r="B553" s="26" t="s">
        <v>715</v>
      </c>
      <c r="C553" s="145" t="s">
        <v>418</v>
      </c>
      <c r="D553" s="112" t="s">
        <v>716</v>
      </c>
      <c r="E553" s="35">
        <v>302644</v>
      </c>
      <c r="F553" s="33" t="s">
        <v>690</v>
      </c>
      <c r="G553" s="37">
        <v>44544</v>
      </c>
      <c r="H553" s="62">
        <v>200000000</v>
      </c>
      <c r="I553" s="49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66"/>
      <c r="U553" s="50"/>
      <c r="V553" s="50"/>
      <c r="W553" s="50"/>
      <c r="X553" s="50">
        <v>6420000</v>
      </c>
      <c r="Y553" s="50"/>
      <c r="Z553" s="51"/>
      <c r="AA553" s="15"/>
      <c r="AB553" s="16">
        <f t="shared" si="45"/>
        <v>6420000</v>
      </c>
      <c r="AC553" s="295">
        <f t="shared" si="46"/>
        <v>3.2099999999999997E-2</v>
      </c>
      <c r="AD553" s="341">
        <f>VLOOKUP(D553:D1019,Santanderes!$A$21:$S$54,19,FALSE)</f>
        <v>3</v>
      </c>
      <c r="AE553" s="353"/>
      <c r="AF553" s="342">
        <f t="shared" si="47"/>
        <v>193580000</v>
      </c>
      <c r="AG553" s="57" t="s">
        <v>27</v>
      </c>
      <c r="AH553" s="58">
        <f t="shared" si="48"/>
        <v>1</v>
      </c>
    </row>
    <row r="554" spans="1:34" ht="16.5" x14ac:dyDescent="0.3">
      <c r="A554" s="134" t="s">
        <v>89</v>
      </c>
      <c r="B554" s="23" t="s">
        <v>1080</v>
      </c>
      <c r="C554" s="145" t="s">
        <v>418</v>
      </c>
      <c r="D554" s="112" t="s">
        <v>1081</v>
      </c>
      <c r="E554" s="35">
        <v>303809</v>
      </c>
      <c r="F554" s="32" t="s">
        <v>92</v>
      </c>
      <c r="G554" s="37">
        <v>44588</v>
      </c>
      <c r="H554" s="61">
        <v>199739000</v>
      </c>
      <c r="I554" s="49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66"/>
      <c r="U554" s="50"/>
      <c r="V554" s="50">
        <v>5550000</v>
      </c>
      <c r="W554" s="50">
        <v>725166</v>
      </c>
      <c r="X554" s="50"/>
      <c r="Y554" s="50"/>
      <c r="Z554" s="51"/>
      <c r="AA554" s="15"/>
      <c r="AB554" s="16">
        <f t="shared" si="45"/>
        <v>6275166</v>
      </c>
      <c r="AC554" s="295">
        <f t="shared" si="46"/>
        <v>3.1416828961795144E-2</v>
      </c>
      <c r="AD554" s="341">
        <f>VLOOKUP(D554:D622,'Caribe II'!$A$38:$Q$107,17,FALSE)</f>
        <v>2</v>
      </c>
      <c r="AE554" s="353"/>
      <c r="AF554" s="342">
        <f t="shared" si="47"/>
        <v>193463834</v>
      </c>
      <c r="AG554" s="57" t="s">
        <v>27</v>
      </c>
      <c r="AH554" s="58">
        <f t="shared" si="48"/>
        <v>2</v>
      </c>
    </row>
    <row r="555" spans="1:34" ht="16.5" x14ac:dyDescent="0.3">
      <c r="A555" s="134" t="s">
        <v>28</v>
      </c>
      <c r="B555" s="26" t="s">
        <v>918</v>
      </c>
      <c r="C555" s="145" t="s">
        <v>418</v>
      </c>
      <c r="D555" s="112" t="s">
        <v>919</v>
      </c>
      <c r="E555" s="35">
        <v>303251</v>
      </c>
      <c r="F555" s="33" t="s">
        <v>81</v>
      </c>
      <c r="G555" s="37">
        <v>44588</v>
      </c>
      <c r="H555" s="62">
        <v>102950000</v>
      </c>
      <c r="I555" s="49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66"/>
      <c r="U555" s="50"/>
      <c r="V555" s="50">
        <v>3210000</v>
      </c>
      <c r="W555" s="50"/>
      <c r="X555" s="50"/>
      <c r="Y555" s="50"/>
      <c r="Z555" s="51"/>
      <c r="AA555" s="15"/>
      <c r="AB555" s="16">
        <f t="shared" si="45"/>
        <v>3210000</v>
      </c>
      <c r="AC555" s="295">
        <f t="shared" si="46"/>
        <v>3.118018455560952E-2</v>
      </c>
      <c r="AD555" s="341">
        <f>VLOOKUP(D555:D993,Pacífico!$A$32:$S$105,19,FALSE)</f>
        <v>2</v>
      </c>
      <c r="AE555" s="353"/>
      <c r="AF555" s="342">
        <f t="shared" si="47"/>
        <v>99740000</v>
      </c>
      <c r="AG555" s="57" t="s">
        <v>27</v>
      </c>
      <c r="AH555" s="58">
        <f t="shared" si="48"/>
        <v>1</v>
      </c>
    </row>
    <row r="556" spans="1:34" ht="16.5" x14ac:dyDescent="0.3">
      <c r="A556" s="134" t="s">
        <v>89</v>
      </c>
      <c r="B556" s="23" t="s">
        <v>651</v>
      </c>
      <c r="C556" s="145" t="s">
        <v>418</v>
      </c>
      <c r="D556" s="112" t="s">
        <v>652</v>
      </c>
      <c r="E556" s="35">
        <v>302983</v>
      </c>
      <c r="F556" s="32" t="s">
        <v>227</v>
      </c>
      <c r="G556" s="37">
        <v>44544</v>
      </c>
      <c r="H556" s="61">
        <v>160000000</v>
      </c>
      <c r="I556" s="49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66"/>
      <c r="U556" s="50"/>
      <c r="V556" s="50"/>
      <c r="W556" s="50"/>
      <c r="X556" s="50">
        <v>4920000</v>
      </c>
      <c r="Y556" s="50"/>
      <c r="Z556" s="51"/>
      <c r="AA556" s="15"/>
      <c r="AB556" s="16">
        <f t="shared" si="45"/>
        <v>4920000</v>
      </c>
      <c r="AC556" s="295">
        <f t="shared" si="46"/>
        <v>3.075E-2</v>
      </c>
      <c r="AD556" s="341">
        <f>VLOOKUP(D556:D624,'Caribe II'!$A$38:$Q$107,17,FALSE)</f>
        <v>2</v>
      </c>
      <c r="AE556" s="353"/>
      <c r="AF556" s="342">
        <f t="shared" si="47"/>
        <v>155080000</v>
      </c>
      <c r="AG556" s="57" t="s">
        <v>27</v>
      </c>
      <c r="AH556" s="58">
        <f t="shared" si="48"/>
        <v>1</v>
      </c>
    </row>
    <row r="557" spans="1:34" ht="16.5" x14ac:dyDescent="0.3">
      <c r="A557" s="134" t="s">
        <v>89</v>
      </c>
      <c r="B557" s="23" t="s">
        <v>1112</v>
      </c>
      <c r="C557" s="145" t="s">
        <v>418</v>
      </c>
      <c r="D557" s="112" t="s">
        <v>1113</v>
      </c>
      <c r="E557" s="35">
        <v>303827</v>
      </c>
      <c r="F557" s="32" t="s">
        <v>227</v>
      </c>
      <c r="G557" s="37">
        <v>44588</v>
      </c>
      <c r="H557" s="61">
        <v>194251000</v>
      </c>
      <c r="I557" s="49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66"/>
      <c r="U557" s="50"/>
      <c r="V557" s="50"/>
      <c r="W557" s="50"/>
      <c r="X557" s="50">
        <v>5700000</v>
      </c>
      <c r="Y557" s="50"/>
      <c r="Z557" s="51"/>
      <c r="AA557" s="15"/>
      <c r="AB557" s="16">
        <f t="shared" si="45"/>
        <v>5700000</v>
      </c>
      <c r="AC557" s="295">
        <f t="shared" si="46"/>
        <v>2.9343478283252081E-2</v>
      </c>
      <c r="AD557" s="341">
        <f>VLOOKUP(D557:D625,'Caribe II'!$A$38:$Q$107,17,FALSE)</f>
        <v>2</v>
      </c>
      <c r="AE557" s="353"/>
      <c r="AF557" s="342">
        <f t="shared" si="47"/>
        <v>188551000</v>
      </c>
      <c r="AG557" s="57" t="s">
        <v>27</v>
      </c>
      <c r="AH557" s="58">
        <f t="shared" si="48"/>
        <v>1</v>
      </c>
    </row>
    <row r="558" spans="1:34" ht="16.5" x14ac:dyDescent="0.3">
      <c r="A558" s="134" t="s">
        <v>89</v>
      </c>
      <c r="B558" s="26" t="s">
        <v>1150</v>
      </c>
      <c r="C558" s="145" t="s">
        <v>418</v>
      </c>
      <c r="D558" s="112" t="s">
        <v>1151</v>
      </c>
      <c r="E558" s="35">
        <v>303877</v>
      </c>
      <c r="F558" s="33" t="s">
        <v>622</v>
      </c>
      <c r="G558" s="37">
        <v>44588</v>
      </c>
      <c r="H558" s="62">
        <v>197000000</v>
      </c>
      <c r="I558" s="49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66"/>
      <c r="U558" s="50"/>
      <c r="V558" s="50"/>
      <c r="W558" s="50">
        <v>5400000</v>
      </c>
      <c r="X558" s="50"/>
      <c r="Y558" s="50"/>
      <c r="Z558" s="51"/>
      <c r="AA558" s="15"/>
      <c r="AB558" s="16">
        <f t="shared" si="45"/>
        <v>5400000</v>
      </c>
      <c r="AC558" s="295">
        <f t="shared" si="46"/>
        <v>2.7411167512690356E-2</v>
      </c>
      <c r="AD558" s="341">
        <f>VLOOKUP(D558:D626,'Caribe II'!$A$38:$Q$107,17,FALSE)</f>
        <v>2</v>
      </c>
      <c r="AE558" s="353"/>
      <c r="AF558" s="342">
        <f t="shared" si="47"/>
        <v>191600000</v>
      </c>
      <c r="AG558" s="57" t="s">
        <v>27</v>
      </c>
      <c r="AH558" s="58">
        <f t="shared" si="48"/>
        <v>1</v>
      </c>
    </row>
    <row r="559" spans="1:34" ht="16.5" x14ac:dyDescent="0.3">
      <c r="A559" s="134" t="s">
        <v>89</v>
      </c>
      <c r="B559" s="26" t="s">
        <v>629</v>
      </c>
      <c r="C559" s="145" t="s">
        <v>418</v>
      </c>
      <c r="D559" s="112" t="s">
        <v>630</v>
      </c>
      <c r="E559" s="35">
        <v>303043</v>
      </c>
      <c r="F559" s="33" t="s">
        <v>622</v>
      </c>
      <c r="G559" s="37">
        <v>44544</v>
      </c>
      <c r="H559" s="62">
        <v>200000000</v>
      </c>
      <c r="I559" s="49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66"/>
      <c r="U559" s="50"/>
      <c r="V559" s="50"/>
      <c r="W559" s="50">
        <v>5400000</v>
      </c>
      <c r="X559" s="50"/>
      <c r="Y559" s="50"/>
      <c r="Z559" s="51"/>
      <c r="AA559" s="15"/>
      <c r="AB559" s="16">
        <f t="shared" si="45"/>
        <v>5400000</v>
      </c>
      <c r="AC559" s="295">
        <f t="shared" si="46"/>
        <v>2.7E-2</v>
      </c>
      <c r="AD559" s="341">
        <f>VLOOKUP(D559:D627,'Caribe II'!$A$38:$Q$107,17,FALSE)</f>
        <v>2</v>
      </c>
      <c r="AE559" s="353"/>
      <c r="AF559" s="342">
        <f t="shared" si="47"/>
        <v>194600000</v>
      </c>
      <c r="AG559" s="57" t="s">
        <v>27</v>
      </c>
      <c r="AH559" s="58">
        <f t="shared" si="48"/>
        <v>1</v>
      </c>
    </row>
    <row r="560" spans="1:34" ht="16.5" x14ac:dyDescent="0.3">
      <c r="A560" s="134" t="s">
        <v>89</v>
      </c>
      <c r="B560" s="23" t="s">
        <v>1108</v>
      </c>
      <c r="C560" s="145" t="s">
        <v>418</v>
      </c>
      <c r="D560" s="112" t="s">
        <v>1109</v>
      </c>
      <c r="E560" s="35">
        <v>303826</v>
      </c>
      <c r="F560" s="32" t="s">
        <v>622</v>
      </c>
      <c r="G560" s="37">
        <v>44588</v>
      </c>
      <c r="H560" s="61">
        <v>200000000</v>
      </c>
      <c r="I560" s="49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66"/>
      <c r="U560" s="50"/>
      <c r="V560" s="50"/>
      <c r="W560" s="50">
        <v>5400000</v>
      </c>
      <c r="X560" s="50"/>
      <c r="Y560" s="50"/>
      <c r="Z560" s="51"/>
      <c r="AA560" s="15"/>
      <c r="AB560" s="16">
        <f t="shared" si="45"/>
        <v>5400000</v>
      </c>
      <c r="AC560" s="295">
        <f t="shared" si="46"/>
        <v>2.7E-2</v>
      </c>
      <c r="AD560" s="341">
        <f>VLOOKUP(D560:D628,'Caribe II'!$A$38:$Q$107,17,FALSE)</f>
        <v>2</v>
      </c>
      <c r="AE560" s="353"/>
      <c r="AF560" s="342">
        <f t="shared" si="47"/>
        <v>194600000</v>
      </c>
      <c r="AG560" s="57" t="s">
        <v>27</v>
      </c>
      <c r="AH560" s="58">
        <f t="shared" si="48"/>
        <v>1</v>
      </c>
    </row>
    <row r="561" spans="1:34" ht="16.5" x14ac:dyDescent="0.3">
      <c r="A561" s="134" t="s">
        <v>89</v>
      </c>
      <c r="B561" s="26" t="s">
        <v>1110</v>
      </c>
      <c r="C561" s="145" t="s">
        <v>418</v>
      </c>
      <c r="D561" s="112" t="s">
        <v>1111</v>
      </c>
      <c r="E561" s="35">
        <v>303770</v>
      </c>
      <c r="F561" s="33" t="s">
        <v>601</v>
      </c>
      <c r="G561" s="37">
        <v>44588</v>
      </c>
      <c r="H561" s="62">
        <v>200000000</v>
      </c>
      <c r="I561" s="49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66"/>
      <c r="U561" s="50"/>
      <c r="V561" s="50"/>
      <c r="W561" s="50">
        <v>5400000</v>
      </c>
      <c r="X561" s="50"/>
      <c r="Y561" s="50"/>
      <c r="Z561" s="51"/>
      <c r="AA561" s="15"/>
      <c r="AB561" s="16">
        <f t="shared" si="45"/>
        <v>5400000</v>
      </c>
      <c r="AC561" s="295">
        <f t="shared" si="46"/>
        <v>2.7E-2</v>
      </c>
      <c r="AD561" s="341">
        <f>VLOOKUP(D561:D629,'Caribe II'!$A$38:$Q$107,17,FALSE)</f>
        <v>2</v>
      </c>
      <c r="AE561" s="353"/>
      <c r="AF561" s="342">
        <f t="shared" si="47"/>
        <v>194600000</v>
      </c>
      <c r="AG561" s="57" t="s">
        <v>27</v>
      </c>
      <c r="AH561" s="58">
        <f t="shared" si="48"/>
        <v>1</v>
      </c>
    </row>
    <row r="562" spans="1:34" ht="16.5" x14ac:dyDescent="0.3">
      <c r="A562" s="134" t="s">
        <v>89</v>
      </c>
      <c r="B562" s="26" t="s">
        <v>1136</v>
      </c>
      <c r="C562" s="145" t="s">
        <v>418</v>
      </c>
      <c r="D562" s="112" t="s">
        <v>1137</v>
      </c>
      <c r="E562" s="35">
        <v>303586</v>
      </c>
      <c r="F562" s="33" t="s">
        <v>92</v>
      </c>
      <c r="G562" s="37">
        <v>44588</v>
      </c>
      <c r="H562" s="62">
        <v>200000000</v>
      </c>
      <c r="I562" s="49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66"/>
      <c r="U562" s="50"/>
      <c r="V562" s="50"/>
      <c r="W562" s="50"/>
      <c r="X562" s="50">
        <v>5400000</v>
      </c>
      <c r="Y562" s="50"/>
      <c r="Z562" s="51"/>
      <c r="AA562" s="15"/>
      <c r="AB562" s="16">
        <f t="shared" si="45"/>
        <v>5400000</v>
      </c>
      <c r="AC562" s="295">
        <f t="shared" si="46"/>
        <v>2.7E-2</v>
      </c>
      <c r="AD562" s="341">
        <f>VLOOKUP(D562:D630,'Caribe II'!$A$38:$Q$107,17,FALSE)</f>
        <v>2</v>
      </c>
      <c r="AE562" s="353"/>
      <c r="AF562" s="342">
        <f t="shared" si="47"/>
        <v>194600000</v>
      </c>
      <c r="AG562" s="57" t="s">
        <v>27</v>
      </c>
      <c r="AH562" s="58">
        <f t="shared" si="48"/>
        <v>1</v>
      </c>
    </row>
    <row r="563" spans="1:34" ht="16.5" x14ac:dyDescent="0.3">
      <c r="A563" s="134" t="s">
        <v>89</v>
      </c>
      <c r="B563" s="23" t="s">
        <v>1088</v>
      </c>
      <c r="C563" s="145" t="s">
        <v>418</v>
      </c>
      <c r="D563" s="112" t="s">
        <v>1089</v>
      </c>
      <c r="E563" s="35">
        <v>303813</v>
      </c>
      <c r="F563" s="32" t="s">
        <v>622</v>
      </c>
      <c r="G563" s="37">
        <v>44588</v>
      </c>
      <c r="H563" s="61">
        <v>200000000</v>
      </c>
      <c r="I563" s="49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66"/>
      <c r="U563" s="50"/>
      <c r="V563" s="50"/>
      <c r="W563" s="50">
        <v>5100000</v>
      </c>
      <c r="X563" s="50"/>
      <c r="Y563" s="50"/>
      <c r="Z563" s="51"/>
      <c r="AA563" s="15"/>
      <c r="AB563" s="16">
        <f t="shared" si="45"/>
        <v>5100000</v>
      </c>
      <c r="AC563" s="295">
        <f t="shared" si="46"/>
        <v>2.5499999999999998E-2</v>
      </c>
      <c r="AD563" s="341">
        <f>VLOOKUP(D563:D631,'Caribe II'!$A$38:$Q$107,17,FALSE)</f>
        <v>2</v>
      </c>
      <c r="AE563" s="353"/>
      <c r="AF563" s="342">
        <f t="shared" si="47"/>
        <v>194900000</v>
      </c>
      <c r="AG563" s="57" t="s">
        <v>27</v>
      </c>
      <c r="AH563" s="58">
        <f t="shared" si="48"/>
        <v>1</v>
      </c>
    </row>
    <row r="564" spans="1:34" ht="16.5" x14ac:dyDescent="0.3">
      <c r="A564" s="134" t="s">
        <v>89</v>
      </c>
      <c r="B564" s="26" t="s">
        <v>1076</v>
      </c>
      <c r="C564" s="145" t="s">
        <v>418</v>
      </c>
      <c r="D564" s="112" t="s">
        <v>1077</v>
      </c>
      <c r="E564" s="35">
        <v>303447</v>
      </c>
      <c r="F564" s="33" t="s">
        <v>601</v>
      </c>
      <c r="G564" s="37">
        <v>44588</v>
      </c>
      <c r="H564" s="62">
        <v>194491000</v>
      </c>
      <c r="I564" s="49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66"/>
      <c r="U564" s="50"/>
      <c r="V564" s="50"/>
      <c r="W564" s="50"/>
      <c r="X564" s="50">
        <v>4800000</v>
      </c>
      <c r="Y564" s="50"/>
      <c r="Z564" s="51"/>
      <c r="AA564" s="15"/>
      <c r="AB564" s="16">
        <f t="shared" si="45"/>
        <v>4800000</v>
      </c>
      <c r="AC564" s="295">
        <f t="shared" si="46"/>
        <v>2.4679805235203685E-2</v>
      </c>
      <c r="AD564" s="341">
        <f>VLOOKUP(D564:D632,'Caribe II'!$A$38:$Q$107,17,FALSE)</f>
        <v>2</v>
      </c>
      <c r="AE564" s="353"/>
      <c r="AF564" s="342">
        <f t="shared" si="47"/>
        <v>189691000</v>
      </c>
      <c r="AG564" s="57" t="s">
        <v>27</v>
      </c>
      <c r="AH564" s="58">
        <f t="shared" si="48"/>
        <v>1</v>
      </c>
    </row>
    <row r="565" spans="1:34" ht="16.5" x14ac:dyDescent="0.3">
      <c r="A565" s="134" t="s">
        <v>89</v>
      </c>
      <c r="B565" s="23" t="s">
        <v>602</v>
      </c>
      <c r="C565" s="145" t="s">
        <v>418</v>
      </c>
      <c r="D565" s="112" t="s">
        <v>603</v>
      </c>
      <c r="E565" s="35">
        <v>302814</v>
      </c>
      <c r="F565" s="32" t="s">
        <v>601</v>
      </c>
      <c r="G565" s="37">
        <v>44544</v>
      </c>
      <c r="H565" s="61">
        <v>200000000</v>
      </c>
      <c r="I565" s="49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66"/>
      <c r="U565" s="50"/>
      <c r="V565" s="50"/>
      <c r="W565" s="50"/>
      <c r="X565" s="50">
        <v>4920000</v>
      </c>
      <c r="Y565" s="50"/>
      <c r="Z565" s="51"/>
      <c r="AA565" s="15"/>
      <c r="AB565" s="16">
        <f t="shared" ref="AB565:AB628" si="49">SUM(I565:Z565)</f>
        <v>4920000</v>
      </c>
      <c r="AC565" s="295">
        <f t="shared" ref="AC565:AC628" si="50">AB565/H565</f>
        <v>2.46E-2</v>
      </c>
      <c r="AD565" s="341">
        <f>VLOOKUP(D565:D633,'Caribe II'!$A$38:$Q$107,17,FALSE)</f>
        <v>2</v>
      </c>
      <c r="AE565" s="353"/>
      <c r="AF565" s="342">
        <f t="shared" ref="AF565:AF628" si="51">H565-AB565</f>
        <v>195080000</v>
      </c>
      <c r="AG565" s="57" t="s">
        <v>27</v>
      </c>
      <c r="AH565" s="58">
        <f t="shared" ref="AH565:AH628" si="52">COUNT(I565:Z565)</f>
        <v>1</v>
      </c>
    </row>
    <row r="566" spans="1:34" ht="16.5" x14ac:dyDescent="0.3">
      <c r="A566" s="134" t="s">
        <v>89</v>
      </c>
      <c r="B566" s="23" t="s">
        <v>606</v>
      </c>
      <c r="C566" s="145" t="s">
        <v>418</v>
      </c>
      <c r="D566" s="112" t="s">
        <v>607</v>
      </c>
      <c r="E566" s="35">
        <v>302818</v>
      </c>
      <c r="F566" s="32" t="s">
        <v>601</v>
      </c>
      <c r="G566" s="37">
        <v>44544</v>
      </c>
      <c r="H566" s="61">
        <v>200000000</v>
      </c>
      <c r="I566" s="49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66"/>
      <c r="U566" s="50"/>
      <c r="V566" s="50"/>
      <c r="W566" s="50"/>
      <c r="X566" s="50">
        <v>4920000</v>
      </c>
      <c r="Y566" s="50"/>
      <c r="Z566" s="51"/>
      <c r="AA566" s="15"/>
      <c r="AB566" s="16">
        <f t="shared" si="49"/>
        <v>4920000</v>
      </c>
      <c r="AC566" s="295">
        <f t="shared" si="50"/>
        <v>2.46E-2</v>
      </c>
      <c r="AD566" s="341">
        <f>VLOOKUP(D566:D634,'Caribe II'!$A$38:$Q$107,17,FALSE)</f>
        <v>2</v>
      </c>
      <c r="AE566" s="353"/>
      <c r="AF566" s="342">
        <f t="shared" si="51"/>
        <v>195080000</v>
      </c>
      <c r="AG566" s="57" t="s">
        <v>27</v>
      </c>
      <c r="AH566" s="58">
        <f t="shared" si="52"/>
        <v>1</v>
      </c>
    </row>
    <row r="567" spans="1:34" ht="16.5" x14ac:dyDescent="0.3">
      <c r="A567" s="134" t="s">
        <v>89</v>
      </c>
      <c r="B567" s="26" t="s">
        <v>1096</v>
      </c>
      <c r="C567" s="145" t="s">
        <v>418</v>
      </c>
      <c r="D567" s="112" t="s">
        <v>1097</v>
      </c>
      <c r="E567" s="35">
        <v>303823</v>
      </c>
      <c r="F567" s="33" t="s">
        <v>601</v>
      </c>
      <c r="G567" s="37">
        <v>44588</v>
      </c>
      <c r="H567" s="62">
        <v>197341000</v>
      </c>
      <c r="I567" s="49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66"/>
      <c r="U567" s="50"/>
      <c r="V567" s="50"/>
      <c r="W567" s="50">
        <v>4800000</v>
      </c>
      <c r="X567" s="50"/>
      <c r="Y567" s="50"/>
      <c r="Z567" s="51"/>
      <c r="AA567" s="15"/>
      <c r="AB567" s="16">
        <f t="shared" si="49"/>
        <v>4800000</v>
      </c>
      <c r="AC567" s="295">
        <f t="shared" si="50"/>
        <v>2.4323379328167992E-2</v>
      </c>
      <c r="AD567" s="341">
        <f>VLOOKUP(D567:D635,'Caribe II'!$A$38:$Q$107,17,FALSE)</f>
        <v>2</v>
      </c>
      <c r="AE567" s="353"/>
      <c r="AF567" s="342">
        <f t="shared" si="51"/>
        <v>192541000</v>
      </c>
      <c r="AG567" s="57" t="s">
        <v>27</v>
      </c>
      <c r="AH567" s="58">
        <f t="shared" si="52"/>
        <v>1</v>
      </c>
    </row>
    <row r="568" spans="1:34" ht="16.5" x14ac:dyDescent="0.3">
      <c r="A568" s="134" t="s">
        <v>89</v>
      </c>
      <c r="B568" s="26" t="s">
        <v>608</v>
      </c>
      <c r="C568" s="145" t="s">
        <v>418</v>
      </c>
      <c r="D568" s="112" t="s">
        <v>609</v>
      </c>
      <c r="E568" s="35">
        <v>302566</v>
      </c>
      <c r="F568" s="33" t="s">
        <v>601</v>
      </c>
      <c r="G568" s="37">
        <v>44544</v>
      </c>
      <c r="H568" s="62">
        <v>200000000</v>
      </c>
      <c r="I568" s="49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66"/>
      <c r="U568" s="50"/>
      <c r="V568" s="50"/>
      <c r="W568" s="50">
        <v>4800000</v>
      </c>
      <c r="X568" s="50"/>
      <c r="Y568" s="50"/>
      <c r="Z568" s="51"/>
      <c r="AA568" s="15"/>
      <c r="AB568" s="16">
        <f t="shared" si="49"/>
        <v>4800000</v>
      </c>
      <c r="AC568" s="295">
        <f t="shared" si="50"/>
        <v>2.4E-2</v>
      </c>
      <c r="AD568" s="341">
        <f>VLOOKUP(D568:D636,'Caribe II'!$A$38:$Q$107,17,FALSE)</f>
        <v>2</v>
      </c>
      <c r="AE568" s="353"/>
      <c r="AF568" s="342">
        <f t="shared" si="51"/>
        <v>195200000</v>
      </c>
      <c r="AG568" s="57" t="s">
        <v>27</v>
      </c>
      <c r="AH568" s="58">
        <f t="shared" si="52"/>
        <v>1</v>
      </c>
    </row>
    <row r="569" spans="1:34" ht="16.5" x14ac:dyDescent="0.3">
      <c r="A569" s="134" t="s">
        <v>89</v>
      </c>
      <c r="B569" s="26" t="s">
        <v>612</v>
      </c>
      <c r="C569" s="145" t="s">
        <v>418</v>
      </c>
      <c r="D569" s="112" t="s">
        <v>613</v>
      </c>
      <c r="E569" s="35">
        <v>302567</v>
      </c>
      <c r="F569" s="33" t="s">
        <v>601</v>
      </c>
      <c r="G569" s="37">
        <v>44544</v>
      </c>
      <c r="H569" s="62">
        <v>200000000</v>
      </c>
      <c r="I569" s="49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66"/>
      <c r="U569" s="50"/>
      <c r="V569" s="50"/>
      <c r="W569" s="50"/>
      <c r="X569" s="50">
        <v>4800000</v>
      </c>
      <c r="Y569" s="50"/>
      <c r="Z569" s="51"/>
      <c r="AA569" s="15"/>
      <c r="AB569" s="16">
        <f t="shared" si="49"/>
        <v>4800000</v>
      </c>
      <c r="AC569" s="295">
        <f t="shared" si="50"/>
        <v>2.4E-2</v>
      </c>
      <c r="AD569" s="341">
        <f>VLOOKUP(D569:D637,'Caribe II'!$A$38:$Q$107,17,FALSE)</f>
        <v>2</v>
      </c>
      <c r="AE569" s="353"/>
      <c r="AF569" s="342">
        <f t="shared" si="51"/>
        <v>195200000</v>
      </c>
      <c r="AG569" s="57" t="s">
        <v>27</v>
      </c>
      <c r="AH569" s="58">
        <f t="shared" si="52"/>
        <v>1</v>
      </c>
    </row>
    <row r="570" spans="1:34" ht="16.5" x14ac:dyDescent="0.3">
      <c r="A570" s="134" t="s">
        <v>89</v>
      </c>
      <c r="B570" s="23" t="s">
        <v>1146</v>
      </c>
      <c r="C570" s="145" t="s">
        <v>418</v>
      </c>
      <c r="D570" s="112" t="s">
        <v>1147</v>
      </c>
      <c r="E570" s="35">
        <v>303834</v>
      </c>
      <c r="F570" s="32" t="s">
        <v>601</v>
      </c>
      <c r="G570" s="37">
        <v>44588</v>
      </c>
      <c r="H570" s="61">
        <v>200000000</v>
      </c>
      <c r="I570" s="49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66"/>
      <c r="U570" s="50"/>
      <c r="V570" s="50"/>
      <c r="W570" s="50"/>
      <c r="X570" s="50">
        <v>4800000</v>
      </c>
      <c r="Y570" s="50"/>
      <c r="Z570" s="51"/>
      <c r="AA570" s="15"/>
      <c r="AB570" s="16">
        <f t="shared" si="49"/>
        <v>4800000</v>
      </c>
      <c r="AC570" s="295">
        <f t="shared" si="50"/>
        <v>2.4E-2</v>
      </c>
      <c r="AD570" s="341">
        <f>VLOOKUP(D570:D638,'Caribe II'!$A$38:$Q$107,17,FALSE)</f>
        <v>2</v>
      </c>
      <c r="AE570" s="353"/>
      <c r="AF570" s="342">
        <f t="shared" si="51"/>
        <v>195200000</v>
      </c>
      <c r="AG570" s="57" t="s">
        <v>27</v>
      </c>
      <c r="AH570" s="58">
        <f t="shared" si="52"/>
        <v>1</v>
      </c>
    </row>
    <row r="571" spans="1:34" ht="16.5" x14ac:dyDescent="0.3">
      <c r="A571" s="134" t="s">
        <v>28</v>
      </c>
      <c r="B571" s="26" t="s">
        <v>952</v>
      </c>
      <c r="C571" s="145" t="s">
        <v>418</v>
      </c>
      <c r="D571" s="112" t="s">
        <v>953</v>
      </c>
      <c r="E571" s="35">
        <v>303480</v>
      </c>
      <c r="F571" s="33" t="s">
        <v>81</v>
      </c>
      <c r="G571" s="37">
        <v>44588</v>
      </c>
      <c r="H571" s="62">
        <v>184790000</v>
      </c>
      <c r="I571" s="49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66"/>
      <c r="U571" s="50"/>
      <c r="V571" s="50">
        <v>3210000</v>
      </c>
      <c r="W571" s="50"/>
      <c r="X571" s="50"/>
      <c r="Y571" s="50"/>
      <c r="Z571" s="51"/>
      <c r="AA571" s="15"/>
      <c r="AB571" s="16">
        <f t="shared" si="49"/>
        <v>3210000</v>
      </c>
      <c r="AC571" s="295">
        <f t="shared" si="50"/>
        <v>1.737106986308783E-2</v>
      </c>
      <c r="AD571" s="341">
        <f>VLOOKUP(D571:D1009,Pacífico!$A$32:$S$105,19,FALSE)</f>
        <v>2</v>
      </c>
      <c r="AE571" s="353"/>
      <c r="AF571" s="342">
        <f t="shared" si="51"/>
        <v>181580000</v>
      </c>
      <c r="AG571" s="57" t="s">
        <v>27</v>
      </c>
      <c r="AH571" s="58">
        <f t="shared" si="52"/>
        <v>1</v>
      </c>
    </row>
    <row r="572" spans="1:34" ht="16.5" x14ac:dyDescent="0.3">
      <c r="A572" s="134" t="s">
        <v>55</v>
      </c>
      <c r="B572" s="26" t="s">
        <v>1004</v>
      </c>
      <c r="C572" s="145" t="s">
        <v>418</v>
      </c>
      <c r="D572" s="112" t="s">
        <v>1005</v>
      </c>
      <c r="E572" s="35">
        <v>303008</v>
      </c>
      <c r="F572" s="33" t="s">
        <v>457</v>
      </c>
      <c r="G572" s="37">
        <v>44588</v>
      </c>
      <c r="H572" s="62">
        <v>155000000</v>
      </c>
      <c r="I572" s="49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66"/>
      <c r="U572" s="50"/>
      <c r="V572" s="50"/>
      <c r="W572" s="50"/>
      <c r="X572" s="50">
        <v>2500000</v>
      </c>
      <c r="Y572" s="50"/>
      <c r="Z572" s="51"/>
      <c r="AA572" s="15"/>
      <c r="AB572" s="16">
        <f t="shared" si="49"/>
        <v>2500000</v>
      </c>
      <c r="AC572" s="295">
        <f t="shared" si="50"/>
        <v>1.6129032258064516E-2</v>
      </c>
      <c r="AD572" s="341">
        <f>VLOOKUP(D572:D944,'Eje Cafetero'!$A$34:$S$102,19,FALSE)</f>
        <v>2</v>
      </c>
      <c r="AE572" s="353"/>
      <c r="AF572" s="342">
        <f t="shared" si="51"/>
        <v>152500000</v>
      </c>
      <c r="AG572" s="57" t="s">
        <v>27</v>
      </c>
      <c r="AH572" s="58">
        <f t="shared" si="52"/>
        <v>1</v>
      </c>
    </row>
    <row r="573" spans="1:34" ht="16.5" x14ac:dyDescent="0.3">
      <c r="A573" s="134" t="s">
        <v>105</v>
      </c>
      <c r="B573" s="26" t="s">
        <v>767</v>
      </c>
      <c r="C573" s="145" t="s">
        <v>418</v>
      </c>
      <c r="D573" s="112" t="s">
        <v>768</v>
      </c>
      <c r="E573" s="35">
        <v>302473</v>
      </c>
      <c r="F573" s="33" t="s">
        <v>108</v>
      </c>
      <c r="G573" s="37">
        <v>44544</v>
      </c>
      <c r="H573" s="62">
        <v>200000000</v>
      </c>
      <c r="I573" s="49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66"/>
      <c r="U573" s="50"/>
      <c r="V573" s="50">
        <v>3210000</v>
      </c>
      <c r="W573" s="50"/>
      <c r="X573" s="50"/>
      <c r="Y573" s="50"/>
      <c r="Z573" s="51"/>
      <c r="AA573" s="15"/>
      <c r="AB573" s="16">
        <f t="shared" si="49"/>
        <v>3210000</v>
      </c>
      <c r="AC573" s="295">
        <f t="shared" si="50"/>
        <v>1.6049999999999998E-2</v>
      </c>
      <c r="AD573" s="341">
        <f>VLOOKUP(D573:D947,Llanos!$A$28:$S$82,19,FALSE)</f>
        <v>2</v>
      </c>
      <c r="AE573" s="353"/>
      <c r="AF573" s="342">
        <f t="shared" si="51"/>
        <v>196790000</v>
      </c>
      <c r="AG573" s="57" t="s">
        <v>27</v>
      </c>
      <c r="AH573" s="58">
        <f t="shared" si="52"/>
        <v>1</v>
      </c>
    </row>
    <row r="574" spans="1:34" ht="16.5" x14ac:dyDescent="0.3">
      <c r="A574" s="134" t="s">
        <v>55</v>
      </c>
      <c r="B574" s="26" t="s">
        <v>538</v>
      </c>
      <c r="C574" s="145" t="s">
        <v>418</v>
      </c>
      <c r="D574" s="112" t="s">
        <v>539</v>
      </c>
      <c r="E574" s="35">
        <v>302845</v>
      </c>
      <c r="F574" s="33" t="s">
        <v>457</v>
      </c>
      <c r="G574" s="37">
        <v>44544</v>
      </c>
      <c r="H574" s="62">
        <v>175000000</v>
      </c>
      <c r="I574" s="49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66"/>
      <c r="U574" s="50"/>
      <c r="V574" s="50"/>
      <c r="W574" s="50"/>
      <c r="X574" s="50">
        <v>2500000</v>
      </c>
      <c r="Y574" s="50"/>
      <c r="Z574" s="51"/>
      <c r="AA574" s="15"/>
      <c r="AB574" s="16">
        <f t="shared" si="49"/>
        <v>2500000</v>
      </c>
      <c r="AC574" s="295">
        <f t="shared" si="50"/>
        <v>1.4285714285714285E-2</v>
      </c>
      <c r="AD574" s="341">
        <f>VLOOKUP(D574:D946,'Eje Cafetero'!$A$34:$S$102,19,FALSE)</f>
        <v>2</v>
      </c>
      <c r="AE574" s="353"/>
      <c r="AF574" s="342">
        <f t="shared" si="51"/>
        <v>172500000</v>
      </c>
      <c r="AG574" s="57" t="s">
        <v>27</v>
      </c>
      <c r="AH574" s="58">
        <f t="shared" si="52"/>
        <v>1</v>
      </c>
    </row>
    <row r="575" spans="1:34" ht="16.5" x14ac:dyDescent="0.3">
      <c r="A575" s="134" t="s">
        <v>55</v>
      </c>
      <c r="B575" s="23" t="s">
        <v>488</v>
      </c>
      <c r="C575" s="145" t="s">
        <v>418</v>
      </c>
      <c r="D575" s="112" t="s">
        <v>489</v>
      </c>
      <c r="E575" s="35">
        <v>302791</v>
      </c>
      <c r="F575" s="32" t="s">
        <v>457</v>
      </c>
      <c r="G575" s="37">
        <v>44544</v>
      </c>
      <c r="H575" s="61">
        <v>185000000</v>
      </c>
      <c r="I575" s="49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66"/>
      <c r="U575" s="50"/>
      <c r="V575" s="50"/>
      <c r="W575" s="50"/>
      <c r="X575" s="50">
        <v>2500000</v>
      </c>
      <c r="Y575" s="50"/>
      <c r="Z575" s="51"/>
      <c r="AA575" s="15"/>
      <c r="AB575" s="16">
        <f t="shared" si="49"/>
        <v>2500000</v>
      </c>
      <c r="AC575" s="295">
        <f t="shared" si="50"/>
        <v>1.3513513513513514E-2</v>
      </c>
      <c r="AD575" s="341">
        <f>VLOOKUP(D575:D947,'Eje Cafetero'!$A$34:$S$102,19,FALSE)</f>
        <v>2</v>
      </c>
      <c r="AE575" s="353"/>
      <c r="AF575" s="342">
        <f t="shared" si="51"/>
        <v>182500000</v>
      </c>
      <c r="AG575" s="57" t="s">
        <v>27</v>
      </c>
      <c r="AH575" s="58">
        <f t="shared" si="52"/>
        <v>1</v>
      </c>
    </row>
    <row r="576" spans="1:34" ht="16.5" x14ac:dyDescent="0.3">
      <c r="A576" s="134" t="s">
        <v>55</v>
      </c>
      <c r="B576" s="23" t="s">
        <v>460</v>
      </c>
      <c r="C576" s="145" t="s">
        <v>418</v>
      </c>
      <c r="D576" s="112" t="s">
        <v>461</v>
      </c>
      <c r="E576" s="35">
        <v>302687</v>
      </c>
      <c r="F576" s="32" t="s">
        <v>128</v>
      </c>
      <c r="G576" s="37">
        <v>44544</v>
      </c>
      <c r="H576" s="61">
        <v>200000000</v>
      </c>
      <c r="I576" s="49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66"/>
      <c r="U576" s="50"/>
      <c r="V576" s="50"/>
      <c r="W576" s="50"/>
      <c r="X576" s="50">
        <v>2500000</v>
      </c>
      <c r="Y576" s="50"/>
      <c r="Z576" s="51"/>
      <c r="AA576" s="15"/>
      <c r="AB576" s="16">
        <f t="shared" si="49"/>
        <v>2500000</v>
      </c>
      <c r="AC576" s="295">
        <f t="shared" si="50"/>
        <v>1.2500000000000001E-2</v>
      </c>
      <c r="AD576" s="341">
        <f>VLOOKUP(D576:D948,'Eje Cafetero'!$A$34:$S$102,19,FALSE)</f>
        <v>3</v>
      </c>
      <c r="AE576" s="353"/>
      <c r="AF576" s="342">
        <f t="shared" si="51"/>
        <v>197500000</v>
      </c>
      <c r="AG576" s="57" t="s">
        <v>27</v>
      </c>
      <c r="AH576" s="58">
        <f t="shared" si="52"/>
        <v>1</v>
      </c>
    </row>
    <row r="577" spans="1:34" ht="16.5" x14ac:dyDescent="0.3">
      <c r="A577" s="134" t="s">
        <v>55</v>
      </c>
      <c r="B577" s="26" t="s">
        <v>478</v>
      </c>
      <c r="C577" s="145" t="s">
        <v>418</v>
      </c>
      <c r="D577" s="112" t="s">
        <v>479</v>
      </c>
      <c r="E577" s="35">
        <v>302253</v>
      </c>
      <c r="F577" s="33" t="s">
        <v>128</v>
      </c>
      <c r="G577" s="37">
        <v>44544</v>
      </c>
      <c r="H577" s="62">
        <v>200000000</v>
      </c>
      <c r="I577" s="49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66"/>
      <c r="U577" s="50"/>
      <c r="V577" s="50"/>
      <c r="W577" s="50"/>
      <c r="X577" s="50">
        <v>2500000</v>
      </c>
      <c r="Y577" s="50"/>
      <c r="Z577" s="51"/>
      <c r="AA577" s="15"/>
      <c r="AB577" s="16">
        <f t="shared" si="49"/>
        <v>2500000</v>
      </c>
      <c r="AC577" s="295">
        <f t="shared" si="50"/>
        <v>1.2500000000000001E-2</v>
      </c>
      <c r="AD577" s="341">
        <f>VLOOKUP(D577:D949,'Eje Cafetero'!$A$34:$S$102,19,FALSE)</f>
        <v>3</v>
      </c>
      <c r="AE577" s="353"/>
      <c r="AF577" s="342">
        <f t="shared" si="51"/>
        <v>197500000</v>
      </c>
      <c r="AG577" s="57" t="s">
        <v>27</v>
      </c>
      <c r="AH577" s="58">
        <f t="shared" si="52"/>
        <v>1</v>
      </c>
    </row>
    <row r="578" spans="1:34" ht="16.5" x14ac:dyDescent="0.3">
      <c r="A578" s="134" t="s">
        <v>32</v>
      </c>
      <c r="B578" s="26" t="s">
        <v>1341</v>
      </c>
      <c r="C578" s="145" t="s">
        <v>418</v>
      </c>
      <c r="D578" s="112" t="s">
        <v>1342</v>
      </c>
      <c r="E578" s="35">
        <v>303874</v>
      </c>
      <c r="F578" s="33" t="s">
        <v>1338</v>
      </c>
      <c r="G578" s="37">
        <v>44588</v>
      </c>
      <c r="H578" s="62">
        <v>149832000</v>
      </c>
      <c r="I578" s="49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66"/>
      <c r="U578" s="50"/>
      <c r="V578" s="50"/>
      <c r="W578" s="50"/>
      <c r="X578" s="50"/>
      <c r="Y578" s="50"/>
      <c r="Z578" s="51"/>
      <c r="AA578" s="15"/>
      <c r="AB578" s="16">
        <f t="shared" si="49"/>
        <v>0</v>
      </c>
      <c r="AC578" s="295">
        <f t="shared" si="50"/>
        <v>0</v>
      </c>
      <c r="AD578" s="341">
        <f>VLOOKUP(D576:D760,Amazonía!$A$27:$T$75,20,FALSE)</f>
        <v>1</v>
      </c>
      <c r="AE578" s="353"/>
      <c r="AF578" s="342">
        <f t="shared" si="51"/>
        <v>149832000</v>
      </c>
      <c r="AG578" s="57" t="s">
        <v>27</v>
      </c>
      <c r="AH578" s="58">
        <f t="shared" si="52"/>
        <v>0</v>
      </c>
    </row>
    <row r="579" spans="1:34" ht="16.5" x14ac:dyDescent="0.3">
      <c r="A579" s="134" t="s">
        <v>32</v>
      </c>
      <c r="B579" s="23" t="s">
        <v>1373</v>
      </c>
      <c r="C579" s="145" t="s">
        <v>418</v>
      </c>
      <c r="D579" s="112" t="s">
        <v>1374</v>
      </c>
      <c r="E579" s="35">
        <v>305158</v>
      </c>
      <c r="F579" s="33" t="s">
        <v>1338</v>
      </c>
      <c r="G579" s="37">
        <v>44643</v>
      </c>
      <c r="H579" s="62">
        <v>148665000</v>
      </c>
      <c r="I579" s="49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66"/>
      <c r="U579" s="50"/>
      <c r="V579" s="50"/>
      <c r="W579" s="50"/>
      <c r="X579" s="50"/>
      <c r="Y579" s="50"/>
      <c r="Z579" s="51"/>
      <c r="AA579" s="15"/>
      <c r="AB579" s="16">
        <f t="shared" si="49"/>
        <v>0</v>
      </c>
      <c r="AC579" s="295">
        <f t="shared" si="50"/>
        <v>0</v>
      </c>
      <c r="AD579" s="341">
        <f>VLOOKUP(D577:D761,Amazonía!$A$27:$T$75,20,FALSE)</f>
        <v>2</v>
      </c>
      <c r="AE579" s="353"/>
      <c r="AF579" s="342">
        <f t="shared" si="51"/>
        <v>148665000</v>
      </c>
      <c r="AG579" s="57" t="s">
        <v>27</v>
      </c>
      <c r="AH579" s="58">
        <f t="shared" si="52"/>
        <v>0</v>
      </c>
    </row>
    <row r="580" spans="1:34" ht="16.5" x14ac:dyDescent="0.3">
      <c r="A580" s="134" t="s">
        <v>16</v>
      </c>
      <c r="B580" s="26" t="s">
        <v>573</v>
      </c>
      <c r="C580" s="145" t="s">
        <v>418</v>
      </c>
      <c r="D580" s="112" t="s">
        <v>574</v>
      </c>
      <c r="E580" s="35">
        <v>302826</v>
      </c>
      <c r="F580" s="33" t="s">
        <v>572</v>
      </c>
      <c r="G580" s="37">
        <v>44544</v>
      </c>
      <c r="H580" s="62">
        <v>199172000</v>
      </c>
      <c r="I580" s="49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66"/>
      <c r="U580" s="50"/>
      <c r="V580" s="50"/>
      <c r="W580" s="50"/>
      <c r="X580" s="50"/>
      <c r="Y580" s="50"/>
      <c r="Z580" s="51"/>
      <c r="AA580" s="15"/>
      <c r="AB580" s="16">
        <f t="shared" si="49"/>
        <v>0</v>
      </c>
      <c r="AC580" s="295">
        <f t="shared" si="50"/>
        <v>0</v>
      </c>
      <c r="AD580" s="341">
        <f>VLOOKUP(D580:D794,'Caribe I'!$A$25:$Q$83,17,FALSE)</f>
        <v>2</v>
      </c>
      <c r="AE580" s="353"/>
      <c r="AF580" s="342">
        <f t="shared" si="51"/>
        <v>199172000</v>
      </c>
      <c r="AG580" s="57" t="s">
        <v>27</v>
      </c>
      <c r="AH580" s="58">
        <f t="shared" si="52"/>
        <v>0</v>
      </c>
    </row>
    <row r="581" spans="1:34" ht="16.5" x14ac:dyDescent="0.3">
      <c r="A581" s="134" t="s">
        <v>16</v>
      </c>
      <c r="B581" s="26" t="s">
        <v>575</v>
      </c>
      <c r="C581" s="145" t="s">
        <v>418</v>
      </c>
      <c r="D581" s="112" t="s">
        <v>576</v>
      </c>
      <c r="E581" s="35">
        <v>302830</v>
      </c>
      <c r="F581" s="33" t="s">
        <v>572</v>
      </c>
      <c r="G581" s="37">
        <v>44544</v>
      </c>
      <c r="H581" s="62">
        <v>174952000</v>
      </c>
      <c r="I581" s="49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66"/>
      <c r="U581" s="50"/>
      <c r="V581" s="50"/>
      <c r="W581" s="50"/>
      <c r="X581" s="50"/>
      <c r="Y581" s="50"/>
      <c r="Z581" s="51"/>
      <c r="AA581" s="15"/>
      <c r="AB581" s="16">
        <f t="shared" si="49"/>
        <v>0</v>
      </c>
      <c r="AC581" s="295">
        <f t="shared" si="50"/>
        <v>0</v>
      </c>
      <c r="AD581" s="341">
        <f>VLOOKUP(D581:D795,'Caribe I'!$A$25:$Q$83,17,FALSE)</f>
        <v>2</v>
      </c>
      <c r="AE581" s="353"/>
      <c r="AF581" s="342">
        <f t="shared" si="51"/>
        <v>174952000</v>
      </c>
      <c r="AG581" s="57" t="s">
        <v>27</v>
      </c>
      <c r="AH581" s="58">
        <f t="shared" si="52"/>
        <v>0</v>
      </c>
    </row>
    <row r="582" spans="1:34" ht="16.5" x14ac:dyDescent="0.3">
      <c r="A582" s="134" t="s">
        <v>16</v>
      </c>
      <c r="B582" s="26" t="s">
        <v>579</v>
      </c>
      <c r="C582" s="145" t="s">
        <v>418</v>
      </c>
      <c r="D582" s="112" t="s">
        <v>580</v>
      </c>
      <c r="E582" s="35">
        <v>302821</v>
      </c>
      <c r="F582" s="33" t="s">
        <v>572</v>
      </c>
      <c r="G582" s="37">
        <v>44544</v>
      </c>
      <c r="H582" s="62">
        <v>200000000</v>
      </c>
      <c r="I582" s="49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66"/>
      <c r="U582" s="50"/>
      <c r="V582" s="50"/>
      <c r="W582" s="50"/>
      <c r="X582" s="50"/>
      <c r="Y582" s="50"/>
      <c r="Z582" s="51"/>
      <c r="AA582" s="15"/>
      <c r="AB582" s="16">
        <f t="shared" si="49"/>
        <v>0</v>
      </c>
      <c r="AC582" s="295">
        <f t="shared" si="50"/>
        <v>0</v>
      </c>
      <c r="AD582" s="341">
        <f>VLOOKUP(D582:D796,'Caribe I'!$A$25:$Q$83,17,FALSE)</f>
        <v>2</v>
      </c>
      <c r="AE582" s="353"/>
      <c r="AF582" s="342">
        <f t="shared" si="51"/>
        <v>200000000</v>
      </c>
      <c r="AG582" s="57" t="s">
        <v>27</v>
      </c>
      <c r="AH582" s="58">
        <f t="shared" si="52"/>
        <v>0</v>
      </c>
    </row>
    <row r="583" spans="1:34" ht="16.5" x14ac:dyDescent="0.3">
      <c r="A583" s="134" t="s">
        <v>16</v>
      </c>
      <c r="B583" s="26" t="s">
        <v>591</v>
      </c>
      <c r="C583" s="145" t="s">
        <v>418</v>
      </c>
      <c r="D583" s="112" t="s">
        <v>592</v>
      </c>
      <c r="E583" s="35">
        <v>302767</v>
      </c>
      <c r="F583" s="33" t="s">
        <v>551</v>
      </c>
      <c r="G583" s="37">
        <v>44544</v>
      </c>
      <c r="H583" s="62">
        <v>150000000</v>
      </c>
      <c r="I583" s="49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66"/>
      <c r="U583" s="50"/>
      <c r="V583" s="50"/>
      <c r="W583" s="50"/>
      <c r="X583" s="50"/>
      <c r="Y583" s="50"/>
      <c r="Z583" s="51"/>
      <c r="AA583" s="15"/>
      <c r="AB583" s="16">
        <f t="shared" si="49"/>
        <v>0</v>
      </c>
      <c r="AC583" s="295">
        <f t="shared" si="50"/>
        <v>0</v>
      </c>
      <c r="AD583" s="341">
        <f>VLOOKUP(D583:D797,'Caribe I'!$A$25:$Q$83,17,FALSE)</f>
        <v>1</v>
      </c>
      <c r="AE583" s="353"/>
      <c r="AF583" s="342">
        <f t="shared" si="51"/>
        <v>150000000</v>
      </c>
      <c r="AG583" s="57" t="s">
        <v>27</v>
      </c>
      <c r="AH583" s="58">
        <f t="shared" si="52"/>
        <v>0</v>
      </c>
    </row>
    <row r="584" spans="1:34" ht="16.5" x14ac:dyDescent="0.3">
      <c r="A584" s="134" t="s">
        <v>16</v>
      </c>
      <c r="B584" s="23" t="s">
        <v>593</v>
      </c>
      <c r="C584" s="145" t="s">
        <v>418</v>
      </c>
      <c r="D584" s="112" t="s">
        <v>594</v>
      </c>
      <c r="E584" s="35">
        <v>302768</v>
      </c>
      <c r="F584" s="32" t="s">
        <v>268</v>
      </c>
      <c r="G584" s="37">
        <v>44544</v>
      </c>
      <c r="H584" s="61">
        <v>200000000</v>
      </c>
      <c r="I584" s="49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66"/>
      <c r="U584" s="50"/>
      <c r="V584" s="50"/>
      <c r="W584" s="50"/>
      <c r="X584" s="50"/>
      <c r="Y584" s="50"/>
      <c r="Z584" s="51"/>
      <c r="AA584" s="15"/>
      <c r="AB584" s="16">
        <f t="shared" si="49"/>
        <v>0</v>
      </c>
      <c r="AC584" s="295">
        <f t="shared" si="50"/>
        <v>0</v>
      </c>
      <c r="AD584" s="341">
        <f>VLOOKUP(D584:D798,'Caribe I'!$A$25:$Q$83,17,FALSE)</f>
        <v>2</v>
      </c>
      <c r="AE584" s="353"/>
      <c r="AF584" s="342">
        <f t="shared" si="51"/>
        <v>200000000</v>
      </c>
      <c r="AG584" s="57" t="s">
        <v>27</v>
      </c>
      <c r="AH584" s="58">
        <f t="shared" si="52"/>
        <v>0</v>
      </c>
    </row>
    <row r="585" spans="1:34" ht="16.5" x14ac:dyDescent="0.3">
      <c r="A585" s="134" t="s">
        <v>16</v>
      </c>
      <c r="B585" s="26" t="s">
        <v>1028</v>
      </c>
      <c r="C585" s="145" t="s">
        <v>418</v>
      </c>
      <c r="D585" s="112" t="s">
        <v>1029</v>
      </c>
      <c r="E585" s="35">
        <v>303384</v>
      </c>
      <c r="F585" s="33" t="s">
        <v>572</v>
      </c>
      <c r="G585" s="37">
        <v>44588</v>
      </c>
      <c r="H585" s="62">
        <v>189998000</v>
      </c>
      <c r="I585" s="49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66"/>
      <c r="U585" s="50"/>
      <c r="V585" s="50"/>
      <c r="W585" s="50"/>
      <c r="X585" s="50"/>
      <c r="Y585" s="50"/>
      <c r="Z585" s="51"/>
      <c r="AA585" s="15"/>
      <c r="AB585" s="16">
        <f t="shared" si="49"/>
        <v>0</v>
      </c>
      <c r="AC585" s="295">
        <f t="shared" si="50"/>
        <v>0</v>
      </c>
      <c r="AD585" s="341">
        <f>VLOOKUP(D585:D799,'Caribe I'!$A$25:$Q$83,17,FALSE)</f>
        <v>3</v>
      </c>
      <c r="AE585" s="353"/>
      <c r="AF585" s="342">
        <f t="shared" si="51"/>
        <v>189998000</v>
      </c>
      <c r="AG585" s="57" t="s">
        <v>27</v>
      </c>
      <c r="AH585" s="58">
        <f t="shared" si="52"/>
        <v>0</v>
      </c>
    </row>
    <row r="586" spans="1:34" ht="16.5" x14ac:dyDescent="0.3">
      <c r="A586" s="134" t="s">
        <v>16</v>
      </c>
      <c r="B586" s="26" t="s">
        <v>1030</v>
      </c>
      <c r="C586" s="145" t="s">
        <v>418</v>
      </c>
      <c r="D586" s="112" t="s">
        <v>1031</v>
      </c>
      <c r="E586" s="35">
        <v>303389</v>
      </c>
      <c r="F586" s="33" t="s">
        <v>551</v>
      </c>
      <c r="G586" s="37">
        <v>44588</v>
      </c>
      <c r="H586" s="62">
        <v>200000000</v>
      </c>
      <c r="I586" s="49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66"/>
      <c r="U586" s="50"/>
      <c r="V586" s="50"/>
      <c r="W586" s="50"/>
      <c r="X586" s="50"/>
      <c r="Y586" s="50"/>
      <c r="Z586" s="51"/>
      <c r="AA586" s="15"/>
      <c r="AB586" s="16">
        <f t="shared" si="49"/>
        <v>0</v>
      </c>
      <c r="AC586" s="295">
        <f t="shared" si="50"/>
        <v>0</v>
      </c>
      <c r="AD586" s="341">
        <f>VLOOKUP(D586:D800,'Caribe I'!$A$25:$Q$83,17,FALSE)</f>
        <v>2</v>
      </c>
      <c r="AE586" s="353"/>
      <c r="AF586" s="342">
        <f t="shared" si="51"/>
        <v>200000000</v>
      </c>
      <c r="AG586" s="57" t="s">
        <v>27</v>
      </c>
      <c r="AH586" s="58">
        <f t="shared" si="52"/>
        <v>0</v>
      </c>
    </row>
    <row r="587" spans="1:34" ht="16.5" x14ac:dyDescent="0.3">
      <c r="A587" s="134" t="s">
        <v>16</v>
      </c>
      <c r="B587" s="26" t="s">
        <v>1042</v>
      </c>
      <c r="C587" s="145" t="s">
        <v>418</v>
      </c>
      <c r="D587" s="112" t="s">
        <v>1043</v>
      </c>
      <c r="E587" s="35">
        <v>303526</v>
      </c>
      <c r="F587" s="33" t="s">
        <v>268</v>
      </c>
      <c r="G587" s="37">
        <v>44588</v>
      </c>
      <c r="H587" s="62">
        <v>197062000</v>
      </c>
      <c r="I587" s="49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66"/>
      <c r="U587" s="50"/>
      <c r="V587" s="50"/>
      <c r="W587" s="50"/>
      <c r="X587" s="50"/>
      <c r="Y587" s="50"/>
      <c r="Z587" s="51"/>
      <c r="AA587" s="15"/>
      <c r="AB587" s="16">
        <f t="shared" si="49"/>
        <v>0</v>
      </c>
      <c r="AC587" s="295">
        <f t="shared" si="50"/>
        <v>0</v>
      </c>
      <c r="AD587" s="341">
        <f>VLOOKUP(D587:D801,'Caribe I'!$A$25:$Q$83,17,FALSE)</f>
        <v>2</v>
      </c>
      <c r="AE587" s="353"/>
      <c r="AF587" s="342">
        <f t="shared" si="51"/>
        <v>197062000</v>
      </c>
      <c r="AG587" s="57" t="s">
        <v>27</v>
      </c>
      <c r="AH587" s="58">
        <f t="shared" si="52"/>
        <v>0</v>
      </c>
    </row>
    <row r="588" spans="1:34" ht="16.5" x14ac:dyDescent="0.3">
      <c r="A588" s="134" t="s">
        <v>16</v>
      </c>
      <c r="B588" s="26" t="s">
        <v>1042</v>
      </c>
      <c r="C588" s="145" t="s">
        <v>418</v>
      </c>
      <c r="D588" s="112" t="s">
        <v>1044</v>
      </c>
      <c r="E588" s="35">
        <v>303574</v>
      </c>
      <c r="F588" s="33" t="s">
        <v>268</v>
      </c>
      <c r="G588" s="37">
        <v>44588</v>
      </c>
      <c r="H588" s="62">
        <v>199606000</v>
      </c>
      <c r="I588" s="49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66"/>
      <c r="U588" s="50"/>
      <c r="V588" s="50"/>
      <c r="W588" s="50"/>
      <c r="X588" s="50"/>
      <c r="Y588" s="50"/>
      <c r="Z588" s="51"/>
      <c r="AA588" s="15"/>
      <c r="AB588" s="16">
        <f t="shared" si="49"/>
        <v>0</v>
      </c>
      <c r="AC588" s="295">
        <f t="shared" si="50"/>
        <v>0</v>
      </c>
      <c r="AD588" s="341">
        <f>VLOOKUP(D588:D802,'Caribe I'!$A$25:$Q$83,17,FALSE)</f>
        <v>2</v>
      </c>
      <c r="AE588" s="353"/>
      <c r="AF588" s="342">
        <f t="shared" si="51"/>
        <v>199606000</v>
      </c>
      <c r="AG588" s="57" t="s">
        <v>27</v>
      </c>
      <c r="AH588" s="58">
        <f t="shared" si="52"/>
        <v>0</v>
      </c>
    </row>
    <row r="589" spans="1:34" ht="16.5" x14ac:dyDescent="0.3">
      <c r="A589" s="134" t="s">
        <v>16</v>
      </c>
      <c r="B589" s="23" t="s">
        <v>1051</v>
      </c>
      <c r="C589" s="145" t="s">
        <v>418</v>
      </c>
      <c r="D589" s="112" t="s">
        <v>1052</v>
      </c>
      <c r="E589" s="35">
        <v>303852</v>
      </c>
      <c r="F589" s="32" t="s">
        <v>1053</v>
      </c>
      <c r="G589" s="37">
        <v>44588</v>
      </c>
      <c r="H589" s="61">
        <v>175000000</v>
      </c>
      <c r="I589" s="49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66"/>
      <c r="U589" s="50"/>
      <c r="V589" s="50"/>
      <c r="W589" s="50"/>
      <c r="X589" s="50"/>
      <c r="Y589" s="50"/>
      <c r="Z589" s="51"/>
      <c r="AA589" s="15"/>
      <c r="AB589" s="16">
        <f t="shared" si="49"/>
        <v>0</v>
      </c>
      <c r="AC589" s="295">
        <f t="shared" si="50"/>
        <v>0</v>
      </c>
      <c r="AD589" s="341">
        <f>VLOOKUP(D589:D803,'Caribe I'!$A$25:$Q$83,17,FALSE)</f>
        <v>2</v>
      </c>
      <c r="AE589" s="353"/>
      <c r="AF589" s="342">
        <f t="shared" si="51"/>
        <v>175000000</v>
      </c>
      <c r="AG589" s="57" t="s">
        <v>27</v>
      </c>
      <c r="AH589" s="58">
        <f t="shared" si="52"/>
        <v>0</v>
      </c>
    </row>
    <row r="590" spans="1:34" ht="16.5" x14ac:dyDescent="0.3">
      <c r="A590" s="134" t="s">
        <v>16</v>
      </c>
      <c r="B590" s="26" t="s">
        <v>1054</v>
      </c>
      <c r="C590" s="145" t="s">
        <v>418</v>
      </c>
      <c r="D590" s="112" t="s">
        <v>1055</v>
      </c>
      <c r="E590" s="35">
        <v>303853</v>
      </c>
      <c r="F590" s="33" t="s">
        <v>1053</v>
      </c>
      <c r="G590" s="37">
        <v>44588</v>
      </c>
      <c r="H590" s="62">
        <v>164916000</v>
      </c>
      <c r="I590" s="49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66"/>
      <c r="U590" s="50"/>
      <c r="V590" s="50"/>
      <c r="W590" s="50"/>
      <c r="X590" s="50"/>
      <c r="Y590" s="50"/>
      <c r="Z590" s="51"/>
      <c r="AA590" s="15"/>
      <c r="AB590" s="16">
        <f t="shared" si="49"/>
        <v>0</v>
      </c>
      <c r="AC590" s="295">
        <f t="shared" si="50"/>
        <v>0</v>
      </c>
      <c r="AD590" s="341">
        <f>VLOOKUP(D590:D804,'Caribe I'!$A$25:$Q$83,17,FALSE)</f>
        <v>2</v>
      </c>
      <c r="AE590" s="353"/>
      <c r="AF590" s="342">
        <f t="shared" si="51"/>
        <v>164916000</v>
      </c>
      <c r="AG590" s="57" t="s">
        <v>27</v>
      </c>
      <c r="AH590" s="58">
        <f t="shared" si="52"/>
        <v>0</v>
      </c>
    </row>
    <row r="591" spans="1:34" ht="16.5" x14ac:dyDescent="0.3">
      <c r="A591" s="134" t="s">
        <v>16</v>
      </c>
      <c r="B591" s="26" t="s">
        <v>1058</v>
      </c>
      <c r="C591" s="145" t="s">
        <v>418</v>
      </c>
      <c r="D591" s="112" t="s">
        <v>1059</v>
      </c>
      <c r="E591" s="35">
        <v>303606</v>
      </c>
      <c r="F591" s="33" t="s">
        <v>268</v>
      </c>
      <c r="G591" s="37">
        <v>44588</v>
      </c>
      <c r="H591" s="62">
        <v>154817000</v>
      </c>
      <c r="I591" s="49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66"/>
      <c r="U591" s="50"/>
      <c r="V591" s="50"/>
      <c r="W591" s="50"/>
      <c r="X591" s="50"/>
      <c r="Y591" s="50"/>
      <c r="Z591" s="51"/>
      <c r="AA591" s="15"/>
      <c r="AB591" s="16">
        <f t="shared" si="49"/>
        <v>0</v>
      </c>
      <c r="AC591" s="295">
        <f t="shared" si="50"/>
        <v>0</v>
      </c>
      <c r="AD591" s="341">
        <f>VLOOKUP(D591:D805,'Caribe I'!$A$25:$Q$83,17,FALSE)</f>
        <v>1</v>
      </c>
      <c r="AE591" s="353"/>
      <c r="AF591" s="342">
        <f t="shared" si="51"/>
        <v>154817000</v>
      </c>
      <c r="AG591" s="57" t="s">
        <v>27</v>
      </c>
      <c r="AH591" s="58">
        <f t="shared" si="52"/>
        <v>0</v>
      </c>
    </row>
    <row r="592" spans="1:34" ht="16.5" x14ac:dyDescent="0.3">
      <c r="A592" s="134" t="s">
        <v>16</v>
      </c>
      <c r="B592" s="26" t="s">
        <v>1353</v>
      </c>
      <c r="C592" s="145" t="s">
        <v>418</v>
      </c>
      <c r="D592" s="112" t="s">
        <v>1354</v>
      </c>
      <c r="E592" s="35">
        <v>304079</v>
      </c>
      <c r="F592" s="33" t="s">
        <v>1053</v>
      </c>
      <c r="G592" s="37">
        <v>44600</v>
      </c>
      <c r="H592" s="62">
        <v>132912000</v>
      </c>
      <c r="I592" s="49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66"/>
      <c r="U592" s="50"/>
      <c r="V592" s="50"/>
      <c r="W592" s="50"/>
      <c r="X592" s="50"/>
      <c r="Y592" s="50"/>
      <c r="Z592" s="51"/>
      <c r="AA592" s="15"/>
      <c r="AB592" s="16">
        <f t="shared" si="49"/>
        <v>0</v>
      </c>
      <c r="AC592" s="295">
        <f t="shared" si="50"/>
        <v>0</v>
      </c>
      <c r="AD592" s="341">
        <f>VLOOKUP(D592:D806,'Caribe I'!$A$25:$Q$83,17,FALSE)</f>
        <v>2</v>
      </c>
      <c r="AE592" s="353"/>
      <c r="AF592" s="342">
        <f t="shared" si="51"/>
        <v>132912000</v>
      </c>
      <c r="AG592" s="57" t="s">
        <v>27</v>
      </c>
      <c r="AH592" s="58">
        <f t="shared" si="52"/>
        <v>0</v>
      </c>
    </row>
    <row r="593" spans="1:34" ht="16.5" x14ac:dyDescent="0.3">
      <c r="A593" s="134" t="s">
        <v>16</v>
      </c>
      <c r="B593" s="26" t="s">
        <v>1369</v>
      </c>
      <c r="C593" s="145" t="s">
        <v>418</v>
      </c>
      <c r="D593" s="112" t="s">
        <v>1370</v>
      </c>
      <c r="E593" s="35">
        <v>304695</v>
      </c>
      <c r="F593" s="33" t="s">
        <v>1053</v>
      </c>
      <c r="G593" s="37">
        <v>44643</v>
      </c>
      <c r="H593" s="62">
        <v>200000000</v>
      </c>
      <c r="I593" s="49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66"/>
      <c r="U593" s="50"/>
      <c r="V593" s="50"/>
      <c r="W593" s="50"/>
      <c r="X593" s="50"/>
      <c r="Y593" s="50"/>
      <c r="Z593" s="51"/>
      <c r="AA593" s="15"/>
      <c r="AB593" s="16">
        <f t="shared" si="49"/>
        <v>0</v>
      </c>
      <c r="AC593" s="295">
        <f t="shared" si="50"/>
        <v>0</v>
      </c>
      <c r="AD593" s="341">
        <f>VLOOKUP(D593:D807,'Caribe I'!$A$25:$Q$83,17,FALSE)</f>
        <v>2</v>
      </c>
      <c r="AE593" s="353"/>
      <c r="AF593" s="342">
        <f t="shared" si="51"/>
        <v>200000000</v>
      </c>
      <c r="AG593" s="57" t="s">
        <v>27</v>
      </c>
      <c r="AH593" s="58">
        <f t="shared" si="52"/>
        <v>0</v>
      </c>
    </row>
    <row r="594" spans="1:34" ht="16.5" x14ac:dyDescent="0.3">
      <c r="A594" s="134" t="s">
        <v>89</v>
      </c>
      <c r="B594" s="26" t="s">
        <v>604</v>
      </c>
      <c r="C594" s="145" t="s">
        <v>418</v>
      </c>
      <c r="D594" s="112" t="s">
        <v>605</v>
      </c>
      <c r="E594" s="35">
        <v>302579</v>
      </c>
      <c r="F594" s="33" t="s">
        <v>601</v>
      </c>
      <c r="G594" s="37">
        <v>44544</v>
      </c>
      <c r="H594" s="62">
        <v>200000000</v>
      </c>
      <c r="I594" s="49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66"/>
      <c r="U594" s="50"/>
      <c r="V594" s="50"/>
      <c r="W594" s="50"/>
      <c r="X594" s="50"/>
      <c r="Y594" s="50"/>
      <c r="Z594" s="51"/>
      <c r="AA594" s="15"/>
      <c r="AB594" s="16">
        <f t="shared" si="49"/>
        <v>0</v>
      </c>
      <c r="AC594" s="295">
        <f t="shared" si="50"/>
        <v>0</v>
      </c>
      <c r="AD594" s="341">
        <f>VLOOKUP(D594:D658,'Caribe II'!$A$38:$Q$107,17,FALSE)</f>
        <v>2</v>
      </c>
      <c r="AE594" s="353"/>
      <c r="AF594" s="342">
        <f t="shared" si="51"/>
        <v>200000000</v>
      </c>
      <c r="AG594" s="57" t="s">
        <v>27</v>
      </c>
      <c r="AH594" s="58">
        <f t="shared" si="52"/>
        <v>0</v>
      </c>
    </row>
    <row r="595" spans="1:34" ht="16.5" x14ac:dyDescent="0.3">
      <c r="A595" s="134" t="s">
        <v>89</v>
      </c>
      <c r="B595" s="26" t="s">
        <v>610</v>
      </c>
      <c r="C595" s="145" t="s">
        <v>418</v>
      </c>
      <c r="D595" s="112" t="s">
        <v>611</v>
      </c>
      <c r="E595" s="35">
        <v>302563</v>
      </c>
      <c r="F595" s="33" t="s">
        <v>601</v>
      </c>
      <c r="G595" s="37">
        <v>44544</v>
      </c>
      <c r="H595" s="62">
        <v>200000000</v>
      </c>
      <c r="I595" s="49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66"/>
      <c r="U595" s="50"/>
      <c r="V595" s="50"/>
      <c r="W595" s="50"/>
      <c r="X595" s="50"/>
      <c r="Y595" s="50"/>
      <c r="Z595" s="51"/>
      <c r="AA595" s="15"/>
      <c r="AB595" s="16">
        <f t="shared" si="49"/>
        <v>0</v>
      </c>
      <c r="AC595" s="295">
        <f t="shared" si="50"/>
        <v>0</v>
      </c>
      <c r="AD595" s="341">
        <f>VLOOKUP(D595:D659,'Caribe II'!$A$38:$Q$107,17,FALSE)</f>
        <v>2</v>
      </c>
      <c r="AE595" s="353"/>
      <c r="AF595" s="342">
        <f t="shared" si="51"/>
        <v>200000000</v>
      </c>
      <c r="AG595" s="57" t="s">
        <v>27</v>
      </c>
      <c r="AH595" s="58">
        <f t="shared" si="52"/>
        <v>0</v>
      </c>
    </row>
    <row r="596" spans="1:34" ht="16.5" x14ac:dyDescent="0.3">
      <c r="A596" s="134" t="s">
        <v>89</v>
      </c>
      <c r="B596" s="26" t="s">
        <v>614</v>
      </c>
      <c r="C596" s="145" t="s">
        <v>418</v>
      </c>
      <c r="D596" s="112" t="s">
        <v>615</v>
      </c>
      <c r="E596" s="35">
        <v>302801</v>
      </c>
      <c r="F596" s="33" t="s">
        <v>601</v>
      </c>
      <c r="G596" s="37">
        <v>44544</v>
      </c>
      <c r="H596" s="62">
        <v>200000000</v>
      </c>
      <c r="I596" s="49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66"/>
      <c r="U596" s="50"/>
      <c r="V596" s="50"/>
      <c r="W596" s="50"/>
      <c r="X596" s="50"/>
      <c r="Y596" s="50"/>
      <c r="Z596" s="51"/>
      <c r="AA596" s="15"/>
      <c r="AB596" s="16">
        <f t="shared" si="49"/>
        <v>0</v>
      </c>
      <c r="AC596" s="295">
        <f t="shared" si="50"/>
        <v>0</v>
      </c>
      <c r="AD596" s="341">
        <f>VLOOKUP(D596:D660,'Caribe II'!$A$38:$Q$107,17,FALSE)</f>
        <v>2</v>
      </c>
      <c r="AE596" s="353"/>
      <c r="AF596" s="342">
        <f t="shared" si="51"/>
        <v>200000000</v>
      </c>
      <c r="AG596" s="57" t="s">
        <v>27</v>
      </c>
      <c r="AH596" s="58">
        <f t="shared" si="52"/>
        <v>0</v>
      </c>
    </row>
    <row r="597" spans="1:34" ht="16.5" x14ac:dyDescent="0.3">
      <c r="A597" s="134" t="s">
        <v>89</v>
      </c>
      <c r="B597" s="23" t="s">
        <v>618</v>
      </c>
      <c r="C597" s="145" t="s">
        <v>418</v>
      </c>
      <c r="D597" s="112" t="s">
        <v>619</v>
      </c>
      <c r="E597" s="35">
        <v>302562</v>
      </c>
      <c r="F597" s="32" t="s">
        <v>92</v>
      </c>
      <c r="G597" s="37">
        <v>44544</v>
      </c>
      <c r="H597" s="61">
        <v>200000000</v>
      </c>
      <c r="I597" s="49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66"/>
      <c r="U597" s="50"/>
      <c r="V597" s="50"/>
      <c r="W597" s="50"/>
      <c r="X597" s="50"/>
      <c r="Y597" s="50"/>
      <c r="Z597" s="51"/>
      <c r="AA597" s="15"/>
      <c r="AB597" s="16">
        <f t="shared" si="49"/>
        <v>0</v>
      </c>
      <c r="AC597" s="295">
        <f t="shared" si="50"/>
        <v>0</v>
      </c>
      <c r="AD597" s="341">
        <f>VLOOKUP(D597:D661,'Caribe II'!$A$38:$Q$107,17,FALSE)</f>
        <v>2</v>
      </c>
      <c r="AE597" s="353"/>
      <c r="AF597" s="342">
        <f t="shared" si="51"/>
        <v>200000000</v>
      </c>
      <c r="AG597" s="57" t="s">
        <v>27</v>
      </c>
      <c r="AH597" s="58">
        <f t="shared" si="52"/>
        <v>0</v>
      </c>
    </row>
    <row r="598" spans="1:34" ht="16.5" x14ac:dyDescent="0.3">
      <c r="A598" s="134" t="s">
        <v>89</v>
      </c>
      <c r="B598" s="26" t="s">
        <v>639</v>
      </c>
      <c r="C598" s="145" t="s">
        <v>418</v>
      </c>
      <c r="D598" s="112" t="s">
        <v>640</v>
      </c>
      <c r="E598" s="35">
        <v>302957</v>
      </c>
      <c r="F598" s="33" t="s">
        <v>92</v>
      </c>
      <c r="G598" s="37">
        <v>44544</v>
      </c>
      <c r="H598" s="62">
        <v>170000000</v>
      </c>
      <c r="I598" s="49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66"/>
      <c r="U598" s="50"/>
      <c r="V598" s="50"/>
      <c r="W598" s="50"/>
      <c r="X598" s="50"/>
      <c r="Y598" s="50"/>
      <c r="Z598" s="51"/>
      <c r="AA598" s="15"/>
      <c r="AB598" s="16">
        <f t="shared" si="49"/>
        <v>0</v>
      </c>
      <c r="AC598" s="295">
        <f t="shared" si="50"/>
        <v>0</v>
      </c>
      <c r="AD598" s="341">
        <f>VLOOKUP(D598:D662,'Caribe II'!$A$38:$Q$107,17,FALSE)</f>
        <v>2</v>
      </c>
      <c r="AE598" s="353"/>
      <c r="AF598" s="342">
        <f t="shared" si="51"/>
        <v>170000000</v>
      </c>
      <c r="AG598" s="57" t="s">
        <v>27</v>
      </c>
      <c r="AH598" s="58">
        <f t="shared" si="52"/>
        <v>0</v>
      </c>
    </row>
    <row r="599" spans="1:34" ht="16.5" x14ac:dyDescent="0.3">
      <c r="A599" s="134" t="s">
        <v>89</v>
      </c>
      <c r="B599" s="26" t="s">
        <v>641</v>
      </c>
      <c r="C599" s="145" t="s">
        <v>418</v>
      </c>
      <c r="D599" s="112" t="s">
        <v>642</v>
      </c>
      <c r="E599" s="35">
        <v>303098</v>
      </c>
      <c r="F599" s="33" t="s">
        <v>227</v>
      </c>
      <c r="G599" s="37">
        <v>44544</v>
      </c>
      <c r="H599" s="62">
        <v>200000000</v>
      </c>
      <c r="I599" s="49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66"/>
      <c r="U599" s="50"/>
      <c r="V599" s="50"/>
      <c r="W599" s="50"/>
      <c r="X599" s="50"/>
      <c r="Y599" s="50"/>
      <c r="Z599" s="51"/>
      <c r="AA599" s="15"/>
      <c r="AB599" s="16">
        <f t="shared" si="49"/>
        <v>0</v>
      </c>
      <c r="AC599" s="295">
        <f t="shared" si="50"/>
        <v>0</v>
      </c>
      <c r="AD599" s="341">
        <f>VLOOKUP(D599:D663,'Caribe II'!$A$38:$Q$107,17,FALSE)</f>
        <v>2</v>
      </c>
      <c r="AE599" s="353"/>
      <c r="AF599" s="342">
        <f t="shared" si="51"/>
        <v>200000000</v>
      </c>
      <c r="AG599" s="57" t="s">
        <v>27</v>
      </c>
      <c r="AH599" s="58">
        <f t="shared" si="52"/>
        <v>0</v>
      </c>
    </row>
    <row r="600" spans="1:34" ht="16.5" x14ac:dyDescent="0.3">
      <c r="A600" s="134" t="s">
        <v>89</v>
      </c>
      <c r="B600" s="26" t="s">
        <v>643</v>
      </c>
      <c r="C600" s="145" t="s">
        <v>418</v>
      </c>
      <c r="D600" s="112" t="s">
        <v>644</v>
      </c>
      <c r="E600" s="35">
        <v>302580</v>
      </c>
      <c r="F600" s="33" t="s">
        <v>227</v>
      </c>
      <c r="G600" s="37">
        <v>44544</v>
      </c>
      <c r="H600" s="62">
        <v>200000000</v>
      </c>
      <c r="I600" s="49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66"/>
      <c r="U600" s="50"/>
      <c r="V600" s="50"/>
      <c r="W600" s="50"/>
      <c r="X600" s="50"/>
      <c r="Y600" s="50"/>
      <c r="Z600" s="51"/>
      <c r="AA600" s="15"/>
      <c r="AB600" s="16">
        <f t="shared" si="49"/>
        <v>0</v>
      </c>
      <c r="AC600" s="295">
        <f t="shared" si="50"/>
        <v>0</v>
      </c>
      <c r="AD600" s="341">
        <f>VLOOKUP(D600:D664,'Caribe II'!$A$38:$Q$107,17,FALSE)</f>
        <v>2</v>
      </c>
      <c r="AE600" s="353"/>
      <c r="AF600" s="342">
        <f t="shared" si="51"/>
        <v>200000000</v>
      </c>
      <c r="AG600" s="57" t="s">
        <v>27</v>
      </c>
      <c r="AH600" s="58">
        <f t="shared" si="52"/>
        <v>0</v>
      </c>
    </row>
    <row r="601" spans="1:34" ht="16.5" x14ac:dyDescent="0.3">
      <c r="A601" s="134" t="s">
        <v>89</v>
      </c>
      <c r="B601" s="23" t="s">
        <v>645</v>
      </c>
      <c r="C601" s="145" t="s">
        <v>418</v>
      </c>
      <c r="D601" s="112" t="s">
        <v>646</v>
      </c>
      <c r="E601" s="35">
        <v>302982</v>
      </c>
      <c r="F601" s="32" t="s">
        <v>92</v>
      </c>
      <c r="G601" s="37">
        <v>44544</v>
      </c>
      <c r="H601" s="61">
        <v>200000000</v>
      </c>
      <c r="I601" s="49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66"/>
      <c r="U601" s="50"/>
      <c r="V601" s="50"/>
      <c r="W601" s="50"/>
      <c r="X601" s="50"/>
      <c r="Y601" s="50"/>
      <c r="Z601" s="51"/>
      <c r="AA601" s="15"/>
      <c r="AB601" s="16">
        <f t="shared" si="49"/>
        <v>0</v>
      </c>
      <c r="AC601" s="295">
        <f t="shared" si="50"/>
        <v>0</v>
      </c>
      <c r="AD601" s="341">
        <f>VLOOKUP(D601:D665,'Caribe II'!$A$38:$Q$107,17,FALSE)</f>
        <v>2</v>
      </c>
      <c r="AE601" s="353"/>
      <c r="AF601" s="342">
        <f t="shared" si="51"/>
        <v>200000000</v>
      </c>
      <c r="AG601" s="57" t="s">
        <v>27</v>
      </c>
      <c r="AH601" s="58">
        <f t="shared" si="52"/>
        <v>0</v>
      </c>
    </row>
    <row r="602" spans="1:34" ht="16.5" x14ac:dyDescent="0.3">
      <c r="A602" s="134" t="s">
        <v>89</v>
      </c>
      <c r="B602" s="23" t="s">
        <v>1072</v>
      </c>
      <c r="C602" s="145" t="s">
        <v>418</v>
      </c>
      <c r="D602" s="112" t="s">
        <v>1073</v>
      </c>
      <c r="E602" s="35">
        <v>303439</v>
      </c>
      <c r="F602" s="32" t="s">
        <v>601</v>
      </c>
      <c r="G602" s="37">
        <v>44588</v>
      </c>
      <c r="H602" s="61">
        <v>200000000</v>
      </c>
      <c r="I602" s="49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66"/>
      <c r="U602" s="50"/>
      <c r="V602" s="50"/>
      <c r="W602" s="50"/>
      <c r="X602" s="50"/>
      <c r="Y602" s="50"/>
      <c r="Z602" s="51"/>
      <c r="AA602" s="15"/>
      <c r="AB602" s="16">
        <f t="shared" si="49"/>
        <v>0</v>
      </c>
      <c r="AC602" s="295">
        <f t="shared" si="50"/>
        <v>0</v>
      </c>
      <c r="AD602" s="341">
        <f>VLOOKUP(D602:D666,'Caribe II'!$A$38:$Q$107,17,FALSE)</f>
        <v>2</v>
      </c>
      <c r="AE602" s="353"/>
      <c r="AF602" s="342">
        <f t="shared" si="51"/>
        <v>200000000</v>
      </c>
      <c r="AG602" s="57" t="s">
        <v>27</v>
      </c>
      <c r="AH602" s="58">
        <f t="shared" si="52"/>
        <v>0</v>
      </c>
    </row>
    <row r="603" spans="1:34" ht="16.5" x14ac:dyDescent="0.3">
      <c r="A603" s="134" t="s">
        <v>89</v>
      </c>
      <c r="B603" s="26" t="s">
        <v>1074</v>
      </c>
      <c r="C603" s="145" t="s">
        <v>418</v>
      </c>
      <c r="D603" s="112" t="s">
        <v>1075</v>
      </c>
      <c r="E603" s="35">
        <v>302795</v>
      </c>
      <c r="F603" s="33" t="s">
        <v>601</v>
      </c>
      <c r="G603" s="37">
        <v>44588</v>
      </c>
      <c r="H603" s="62">
        <v>180000000</v>
      </c>
      <c r="I603" s="49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66"/>
      <c r="U603" s="50"/>
      <c r="V603" s="50"/>
      <c r="W603" s="50"/>
      <c r="X603" s="50"/>
      <c r="Y603" s="50"/>
      <c r="Z603" s="51"/>
      <c r="AA603" s="15"/>
      <c r="AB603" s="16">
        <f t="shared" si="49"/>
        <v>0</v>
      </c>
      <c r="AC603" s="295">
        <f t="shared" si="50"/>
        <v>0</v>
      </c>
      <c r="AD603" s="341">
        <f>VLOOKUP(D603:D667,'Caribe II'!$A$38:$Q$107,17,FALSE)</f>
        <v>2</v>
      </c>
      <c r="AE603" s="353"/>
      <c r="AF603" s="342">
        <f t="shared" si="51"/>
        <v>180000000</v>
      </c>
      <c r="AG603" s="57" t="s">
        <v>27</v>
      </c>
      <c r="AH603" s="58">
        <f t="shared" si="52"/>
        <v>0</v>
      </c>
    </row>
    <row r="604" spans="1:34" ht="16.5" x14ac:dyDescent="0.3">
      <c r="A604" s="134" t="s">
        <v>89</v>
      </c>
      <c r="B604" s="26" t="s">
        <v>1090</v>
      </c>
      <c r="C604" s="145" t="s">
        <v>418</v>
      </c>
      <c r="D604" s="112" t="s">
        <v>1091</v>
      </c>
      <c r="E604" s="35">
        <v>303814</v>
      </c>
      <c r="F604" s="33" t="s">
        <v>92</v>
      </c>
      <c r="G604" s="37">
        <v>44588</v>
      </c>
      <c r="H604" s="62">
        <v>200000000</v>
      </c>
      <c r="I604" s="49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66"/>
      <c r="U604" s="50"/>
      <c r="V604" s="50"/>
      <c r="W604" s="50"/>
      <c r="X604" s="50"/>
      <c r="Y604" s="50"/>
      <c r="Z604" s="51"/>
      <c r="AA604" s="15"/>
      <c r="AB604" s="16">
        <f t="shared" si="49"/>
        <v>0</v>
      </c>
      <c r="AC604" s="295">
        <f t="shared" si="50"/>
        <v>0</v>
      </c>
      <c r="AD604" s="341">
        <f>VLOOKUP(D604:D668,'Caribe II'!$A$38:$Q$107,17,FALSE)</f>
        <v>1</v>
      </c>
      <c r="AE604" s="353"/>
      <c r="AF604" s="342">
        <f t="shared" si="51"/>
        <v>200000000</v>
      </c>
      <c r="AG604" s="57" t="s">
        <v>27</v>
      </c>
      <c r="AH604" s="58">
        <f t="shared" si="52"/>
        <v>0</v>
      </c>
    </row>
    <row r="605" spans="1:34" ht="16.5" x14ac:dyDescent="0.3">
      <c r="A605" s="134" t="s">
        <v>89</v>
      </c>
      <c r="B605" s="26" t="s">
        <v>1092</v>
      </c>
      <c r="C605" s="145" t="s">
        <v>418</v>
      </c>
      <c r="D605" s="112" t="s">
        <v>1093</v>
      </c>
      <c r="E605" s="35">
        <v>303485</v>
      </c>
      <c r="F605" s="33" t="s">
        <v>227</v>
      </c>
      <c r="G605" s="37">
        <v>44588</v>
      </c>
      <c r="H605" s="62">
        <v>200000000</v>
      </c>
      <c r="I605" s="49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66"/>
      <c r="U605" s="50"/>
      <c r="V605" s="50"/>
      <c r="W605" s="50"/>
      <c r="X605" s="50"/>
      <c r="Y605" s="50"/>
      <c r="Z605" s="51"/>
      <c r="AA605" s="15"/>
      <c r="AB605" s="16">
        <f t="shared" si="49"/>
        <v>0</v>
      </c>
      <c r="AC605" s="295">
        <f t="shared" si="50"/>
        <v>0</v>
      </c>
      <c r="AD605" s="341">
        <f>VLOOKUP(D605:D669,'Caribe II'!$A$38:$Q$107,17,FALSE)</f>
        <v>1</v>
      </c>
      <c r="AE605" s="353"/>
      <c r="AF605" s="342">
        <f t="shared" si="51"/>
        <v>200000000</v>
      </c>
      <c r="AG605" s="57" t="s">
        <v>27</v>
      </c>
      <c r="AH605" s="58">
        <f t="shared" si="52"/>
        <v>0</v>
      </c>
    </row>
    <row r="606" spans="1:34" ht="16.5" x14ac:dyDescent="0.3">
      <c r="A606" s="134" t="s">
        <v>89</v>
      </c>
      <c r="B606" s="26" t="s">
        <v>1094</v>
      </c>
      <c r="C606" s="145" t="s">
        <v>418</v>
      </c>
      <c r="D606" s="112" t="s">
        <v>1095</v>
      </c>
      <c r="E606" s="35">
        <v>303816</v>
      </c>
      <c r="F606" s="33" t="s">
        <v>227</v>
      </c>
      <c r="G606" s="37">
        <v>44588</v>
      </c>
      <c r="H606" s="62">
        <v>150000000</v>
      </c>
      <c r="I606" s="49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66"/>
      <c r="U606" s="50"/>
      <c r="V606" s="50"/>
      <c r="W606" s="50"/>
      <c r="X606" s="50"/>
      <c r="Y606" s="50"/>
      <c r="Z606" s="51"/>
      <c r="AA606" s="15"/>
      <c r="AB606" s="16">
        <f t="shared" si="49"/>
        <v>0</v>
      </c>
      <c r="AC606" s="295">
        <f t="shared" si="50"/>
        <v>0</v>
      </c>
      <c r="AD606" s="341">
        <f>VLOOKUP(D606:D670,'Caribe II'!$A$38:$Q$107,17,FALSE)</f>
        <v>2</v>
      </c>
      <c r="AE606" s="353"/>
      <c r="AF606" s="342">
        <f t="shared" si="51"/>
        <v>150000000</v>
      </c>
      <c r="AG606" s="57" t="s">
        <v>27</v>
      </c>
      <c r="AH606" s="58">
        <f t="shared" si="52"/>
        <v>0</v>
      </c>
    </row>
    <row r="607" spans="1:34" ht="16.5" x14ac:dyDescent="0.3">
      <c r="A607" s="134" t="s">
        <v>89</v>
      </c>
      <c r="B607" s="26" t="s">
        <v>1098</v>
      </c>
      <c r="C607" s="145" t="s">
        <v>418</v>
      </c>
      <c r="D607" s="112" t="s">
        <v>1099</v>
      </c>
      <c r="E607" s="35">
        <v>303824</v>
      </c>
      <c r="F607" s="33" t="s">
        <v>92</v>
      </c>
      <c r="G607" s="37">
        <v>44588</v>
      </c>
      <c r="H607" s="62">
        <v>200000000</v>
      </c>
      <c r="I607" s="49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66"/>
      <c r="U607" s="50"/>
      <c r="V607" s="50"/>
      <c r="W607" s="50"/>
      <c r="X607" s="50"/>
      <c r="Y607" s="50"/>
      <c r="Z607" s="51"/>
      <c r="AA607" s="15"/>
      <c r="AB607" s="16">
        <f t="shared" si="49"/>
        <v>0</v>
      </c>
      <c r="AC607" s="295">
        <f t="shared" si="50"/>
        <v>0</v>
      </c>
      <c r="AD607" s="341">
        <f>VLOOKUP(D607:D671,'Caribe II'!$A$38:$Q$107,17,FALSE)</f>
        <v>2</v>
      </c>
      <c r="AE607" s="353"/>
      <c r="AF607" s="342">
        <f t="shared" si="51"/>
        <v>200000000</v>
      </c>
      <c r="AG607" s="57" t="s">
        <v>27</v>
      </c>
      <c r="AH607" s="58">
        <f t="shared" si="52"/>
        <v>0</v>
      </c>
    </row>
    <row r="608" spans="1:34" ht="16.5" x14ac:dyDescent="0.3">
      <c r="A608" s="134" t="s">
        <v>89</v>
      </c>
      <c r="B608" s="26" t="s">
        <v>1114</v>
      </c>
      <c r="C608" s="145" t="s">
        <v>418</v>
      </c>
      <c r="D608" s="112" t="s">
        <v>1115</v>
      </c>
      <c r="E608" s="35">
        <v>303192</v>
      </c>
      <c r="F608" s="33" t="s">
        <v>227</v>
      </c>
      <c r="G608" s="37">
        <v>44588</v>
      </c>
      <c r="H608" s="62">
        <v>200000000</v>
      </c>
      <c r="I608" s="49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66"/>
      <c r="U608" s="50"/>
      <c r="V608" s="50"/>
      <c r="W608" s="50"/>
      <c r="X608" s="50"/>
      <c r="Y608" s="50"/>
      <c r="Z608" s="51"/>
      <c r="AA608" s="15"/>
      <c r="AB608" s="16">
        <f t="shared" si="49"/>
        <v>0</v>
      </c>
      <c r="AC608" s="295">
        <f t="shared" si="50"/>
        <v>0</v>
      </c>
      <c r="AD608" s="341">
        <f>VLOOKUP(D608:D672,'Caribe II'!$A$38:$Q$107,17,FALSE)</f>
        <v>1</v>
      </c>
      <c r="AE608" s="353"/>
      <c r="AF608" s="342">
        <f t="shared" si="51"/>
        <v>200000000</v>
      </c>
      <c r="AG608" s="57" t="s">
        <v>27</v>
      </c>
      <c r="AH608" s="58">
        <f t="shared" si="52"/>
        <v>0</v>
      </c>
    </row>
    <row r="609" spans="1:34" ht="16.5" x14ac:dyDescent="0.3">
      <c r="A609" s="134" t="s">
        <v>89</v>
      </c>
      <c r="B609" s="26" t="s">
        <v>1118</v>
      </c>
      <c r="C609" s="145" t="s">
        <v>418</v>
      </c>
      <c r="D609" s="112" t="s">
        <v>1119</v>
      </c>
      <c r="E609" s="35">
        <v>303207</v>
      </c>
      <c r="F609" s="33" t="s">
        <v>92</v>
      </c>
      <c r="G609" s="37">
        <v>44588</v>
      </c>
      <c r="H609" s="62">
        <v>200000000</v>
      </c>
      <c r="I609" s="49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66"/>
      <c r="U609" s="50"/>
      <c r="V609" s="50"/>
      <c r="W609" s="50"/>
      <c r="X609" s="50"/>
      <c r="Y609" s="50"/>
      <c r="Z609" s="51"/>
      <c r="AA609" s="15"/>
      <c r="AB609" s="16">
        <f t="shared" si="49"/>
        <v>0</v>
      </c>
      <c r="AC609" s="295">
        <f t="shared" si="50"/>
        <v>0</v>
      </c>
      <c r="AD609" s="341">
        <f>VLOOKUP(D609:D673,'Caribe II'!$A$38:$Q$107,17,FALSE)</f>
        <v>2</v>
      </c>
      <c r="AE609" s="353"/>
      <c r="AF609" s="342">
        <f t="shared" si="51"/>
        <v>200000000</v>
      </c>
      <c r="AG609" s="57" t="s">
        <v>27</v>
      </c>
      <c r="AH609" s="58">
        <f t="shared" si="52"/>
        <v>0</v>
      </c>
    </row>
    <row r="610" spans="1:34" ht="16.5" x14ac:dyDescent="0.3">
      <c r="A610" s="134" t="s">
        <v>89</v>
      </c>
      <c r="B610" s="23" t="s">
        <v>1120</v>
      </c>
      <c r="C610" s="145" t="s">
        <v>418</v>
      </c>
      <c r="D610" s="112" t="s">
        <v>1121</v>
      </c>
      <c r="E610" s="35">
        <v>303577</v>
      </c>
      <c r="F610" s="32" t="s">
        <v>92</v>
      </c>
      <c r="G610" s="37">
        <v>44588</v>
      </c>
      <c r="H610" s="61">
        <v>200000000</v>
      </c>
      <c r="I610" s="49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66"/>
      <c r="U610" s="50"/>
      <c r="V610" s="50"/>
      <c r="W610" s="50"/>
      <c r="X610" s="50"/>
      <c r="Y610" s="50"/>
      <c r="Z610" s="51"/>
      <c r="AA610" s="15"/>
      <c r="AB610" s="16">
        <f t="shared" si="49"/>
        <v>0</v>
      </c>
      <c r="AC610" s="295">
        <f t="shared" si="50"/>
        <v>0</v>
      </c>
      <c r="AD610" s="341">
        <f>VLOOKUP(D610:D674,'Caribe II'!$A$38:$Q$107,17,FALSE)</f>
        <v>2</v>
      </c>
      <c r="AE610" s="353"/>
      <c r="AF610" s="342">
        <f t="shared" si="51"/>
        <v>200000000</v>
      </c>
      <c r="AG610" s="57" t="s">
        <v>27</v>
      </c>
      <c r="AH610" s="58">
        <f t="shared" si="52"/>
        <v>0</v>
      </c>
    </row>
    <row r="611" spans="1:34" ht="16.5" x14ac:dyDescent="0.3">
      <c r="A611" s="134" t="s">
        <v>89</v>
      </c>
      <c r="B611" s="23" t="s">
        <v>1124</v>
      </c>
      <c r="C611" s="145" t="s">
        <v>418</v>
      </c>
      <c r="D611" s="112" t="s">
        <v>1125</v>
      </c>
      <c r="E611" s="35">
        <v>303579</v>
      </c>
      <c r="F611" s="32" t="s">
        <v>227</v>
      </c>
      <c r="G611" s="37">
        <v>44588</v>
      </c>
      <c r="H611" s="61">
        <v>184501000</v>
      </c>
      <c r="I611" s="49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66"/>
      <c r="U611" s="50"/>
      <c r="V611" s="50"/>
      <c r="W611" s="50"/>
      <c r="X611" s="50"/>
      <c r="Y611" s="50"/>
      <c r="Z611" s="51"/>
      <c r="AA611" s="15"/>
      <c r="AB611" s="16">
        <f t="shared" si="49"/>
        <v>0</v>
      </c>
      <c r="AC611" s="295">
        <f t="shared" si="50"/>
        <v>0</v>
      </c>
      <c r="AD611" s="341">
        <f>VLOOKUP(D611:D675,'Caribe II'!$A$38:$Q$107,17,FALSE)</f>
        <v>1</v>
      </c>
      <c r="AE611" s="353"/>
      <c r="AF611" s="342">
        <f t="shared" si="51"/>
        <v>184501000</v>
      </c>
      <c r="AG611" s="57" t="s">
        <v>27</v>
      </c>
      <c r="AH611" s="58">
        <f t="shared" si="52"/>
        <v>0</v>
      </c>
    </row>
    <row r="612" spans="1:34" ht="16.5" x14ac:dyDescent="0.3">
      <c r="A612" s="134" t="s">
        <v>89</v>
      </c>
      <c r="B612" s="26" t="s">
        <v>1132</v>
      </c>
      <c r="C612" s="145" t="s">
        <v>418</v>
      </c>
      <c r="D612" s="112" t="s">
        <v>1133</v>
      </c>
      <c r="E612" s="35">
        <v>303582</v>
      </c>
      <c r="F612" s="33" t="s">
        <v>227</v>
      </c>
      <c r="G612" s="37">
        <v>44588</v>
      </c>
      <c r="H612" s="62">
        <v>200000000</v>
      </c>
      <c r="I612" s="49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66"/>
      <c r="U612" s="50"/>
      <c r="V612" s="50"/>
      <c r="W612" s="50"/>
      <c r="X612" s="50"/>
      <c r="Y612" s="50"/>
      <c r="Z612" s="51"/>
      <c r="AA612" s="15"/>
      <c r="AB612" s="16">
        <f t="shared" si="49"/>
        <v>0</v>
      </c>
      <c r="AC612" s="295">
        <f t="shared" si="50"/>
        <v>0</v>
      </c>
      <c r="AD612" s="341">
        <f>VLOOKUP(D612:D676,'Caribe II'!$A$38:$Q$107,17,FALSE)</f>
        <v>2</v>
      </c>
      <c r="AE612" s="353"/>
      <c r="AF612" s="342">
        <f t="shared" si="51"/>
        <v>200000000</v>
      </c>
      <c r="AG612" s="57" t="s">
        <v>27</v>
      </c>
      <c r="AH612" s="58">
        <f t="shared" si="52"/>
        <v>0</v>
      </c>
    </row>
    <row r="613" spans="1:34" ht="16.5" x14ac:dyDescent="0.3">
      <c r="A613" s="134" t="s">
        <v>89</v>
      </c>
      <c r="B613" s="26" t="s">
        <v>1134</v>
      </c>
      <c r="C613" s="145" t="s">
        <v>418</v>
      </c>
      <c r="D613" s="112" t="s">
        <v>1135</v>
      </c>
      <c r="E613" s="35">
        <v>303855</v>
      </c>
      <c r="F613" s="33" t="s">
        <v>601</v>
      </c>
      <c r="G613" s="37">
        <v>44588</v>
      </c>
      <c r="H613" s="62">
        <v>189001000</v>
      </c>
      <c r="I613" s="49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66"/>
      <c r="U613" s="50"/>
      <c r="V613" s="50"/>
      <c r="W613" s="50"/>
      <c r="X613" s="50"/>
      <c r="Y613" s="50"/>
      <c r="Z613" s="51"/>
      <c r="AA613" s="15"/>
      <c r="AB613" s="16">
        <f t="shared" si="49"/>
        <v>0</v>
      </c>
      <c r="AC613" s="295">
        <f t="shared" si="50"/>
        <v>0</v>
      </c>
      <c r="AD613" s="341">
        <f>VLOOKUP(D613:D677,'Caribe II'!$A$38:$Q$107,17,FALSE)</f>
        <v>1</v>
      </c>
      <c r="AE613" s="353"/>
      <c r="AF613" s="342">
        <f t="shared" si="51"/>
        <v>189001000</v>
      </c>
      <c r="AG613" s="57" t="s">
        <v>27</v>
      </c>
      <c r="AH613" s="58">
        <f t="shared" si="52"/>
        <v>0</v>
      </c>
    </row>
    <row r="614" spans="1:34" ht="16.5" x14ac:dyDescent="0.3">
      <c r="A614" s="134" t="s">
        <v>89</v>
      </c>
      <c r="B614" s="26" t="s">
        <v>1140</v>
      </c>
      <c r="C614" s="145" t="s">
        <v>418</v>
      </c>
      <c r="D614" s="112" t="s">
        <v>1141</v>
      </c>
      <c r="E614" s="35">
        <v>303588</v>
      </c>
      <c r="F614" s="33" t="s">
        <v>92</v>
      </c>
      <c r="G614" s="37">
        <v>44588</v>
      </c>
      <c r="H614" s="62">
        <v>200000000</v>
      </c>
      <c r="I614" s="49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66"/>
      <c r="U614" s="50"/>
      <c r="V614" s="50"/>
      <c r="W614" s="50"/>
      <c r="X614" s="50"/>
      <c r="Y614" s="50"/>
      <c r="Z614" s="51"/>
      <c r="AA614" s="15"/>
      <c r="AB614" s="16">
        <f t="shared" si="49"/>
        <v>0</v>
      </c>
      <c r="AC614" s="295">
        <f t="shared" si="50"/>
        <v>0</v>
      </c>
      <c r="AD614" s="341">
        <f>VLOOKUP(D614:D678,'Caribe II'!$A$38:$Q$107,17,FALSE)</f>
        <v>2</v>
      </c>
      <c r="AE614" s="353"/>
      <c r="AF614" s="342">
        <f t="shared" si="51"/>
        <v>200000000</v>
      </c>
      <c r="AG614" s="57" t="s">
        <v>27</v>
      </c>
      <c r="AH614" s="58">
        <f t="shared" si="52"/>
        <v>0</v>
      </c>
    </row>
    <row r="615" spans="1:34" ht="16.5" x14ac:dyDescent="0.3">
      <c r="A615" s="134" t="s">
        <v>89</v>
      </c>
      <c r="B615" s="26" t="s">
        <v>1144</v>
      </c>
      <c r="C615" s="145" t="s">
        <v>418</v>
      </c>
      <c r="D615" s="112" t="s">
        <v>1145</v>
      </c>
      <c r="E615" s="35">
        <v>303832</v>
      </c>
      <c r="F615" s="33" t="s">
        <v>622</v>
      </c>
      <c r="G615" s="37">
        <v>44588</v>
      </c>
      <c r="H615" s="62">
        <v>175000000</v>
      </c>
      <c r="I615" s="49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66"/>
      <c r="U615" s="50"/>
      <c r="V615" s="50"/>
      <c r="W615" s="50"/>
      <c r="X615" s="50"/>
      <c r="Y615" s="50"/>
      <c r="Z615" s="51"/>
      <c r="AA615" s="15"/>
      <c r="AB615" s="16">
        <f t="shared" si="49"/>
        <v>0</v>
      </c>
      <c r="AC615" s="295">
        <f t="shared" si="50"/>
        <v>0</v>
      </c>
      <c r="AD615" s="341">
        <f>VLOOKUP(D615:D679,'Caribe II'!$A$38:$Q$107,17,FALSE)</f>
        <v>1</v>
      </c>
      <c r="AE615" s="353"/>
      <c r="AF615" s="342">
        <f t="shared" si="51"/>
        <v>175000000</v>
      </c>
      <c r="AG615" s="57" t="s">
        <v>27</v>
      </c>
      <c r="AH615" s="58">
        <f t="shared" si="52"/>
        <v>0</v>
      </c>
    </row>
    <row r="616" spans="1:34" ht="16.5" x14ac:dyDescent="0.3">
      <c r="A616" s="134" t="s">
        <v>89</v>
      </c>
      <c r="B616" s="26" t="s">
        <v>1148</v>
      </c>
      <c r="C616" s="145" t="s">
        <v>418</v>
      </c>
      <c r="D616" s="112" t="s">
        <v>1149</v>
      </c>
      <c r="E616" s="35">
        <v>303882</v>
      </c>
      <c r="F616" s="33" t="s">
        <v>227</v>
      </c>
      <c r="G616" s="37">
        <v>44588</v>
      </c>
      <c r="H616" s="62">
        <v>199003000</v>
      </c>
      <c r="I616" s="49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66"/>
      <c r="U616" s="50"/>
      <c r="V616" s="50"/>
      <c r="W616" s="50"/>
      <c r="X616" s="50"/>
      <c r="Y616" s="50"/>
      <c r="Z616" s="51"/>
      <c r="AA616" s="15"/>
      <c r="AB616" s="16">
        <f t="shared" si="49"/>
        <v>0</v>
      </c>
      <c r="AC616" s="295">
        <f t="shared" si="50"/>
        <v>0</v>
      </c>
      <c r="AD616" s="341">
        <f>VLOOKUP(D616:D680,'Caribe II'!$A$38:$Q$107,17,FALSE)</f>
        <v>1</v>
      </c>
      <c r="AE616" s="353"/>
      <c r="AF616" s="342">
        <f t="shared" si="51"/>
        <v>199003000</v>
      </c>
      <c r="AG616" s="57" t="s">
        <v>27</v>
      </c>
      <c r="AH616" s="58">
        <f t="shared" si="52"/>
        <v>0</v>
      </c>
    </row>
    <row r="617" spans="1:34" ht="16.5" x14ac:dyDescent="0.3">
      <c r="A617" s="134" t="s">
        <v>89</v>
      </c>
      <c r="B617" s="26" t="s">
        <v>1355</v>
      </c>
      <c r="C617" s="145" t="s">
        <v>418</v>
      </c>
      <c r="D617" s="112" t="s">
        <v>1356</v>
      </c>
      <c r="E617" s="35">
        <v>303900</v>
      </c>
      <c r="F617" s="33" t="s">
        <v>227</v>
      </c>
      <c r="G617" s="37">
        <v>44600</v>
      </c>
      <c r="H617" s="62">
        <v>169526000</v>
      </c>
      <c r="I617" s="49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66"/>
      <c r="U617" s="50"/>
      <c r="V617" s="50"/>
      <c r="W617" s="50"/>
      <c r="X617" s="50"/>
      <c r="Y617" s="50"/>
      <c r="Z617" s="51"/>
      <c r="AA617" s="15"/>
      <c r="AB617" s="16">
        <f t="shared" si="49"/>
        <v>0</v>
      </c>
      <c r="AC617" s="295">
        <f t="shared" si="50"/>
        <v>0</v>
      </c>
      <c r="AD617" s="341">
        <f>VLOOKUP(D617:D681,'Caribe II'!$A$38:$Q$107,17,FALSE)</f>
        <v>2</v>
      </c>
      <c r="AE617" s="353"/>
      <c r="AF617" s="342">
        <f t="shared" si="51"/>
        <v>169526000</v>
      </c>
      <c r="AG617" s="57" t="s">
        <v>27</v>
      </c>
      <c r="AH617" s="58">
        <f t="shared" si="52"/>
        <v>0</v>
      </c>
    </row>
    <row r="618" spans="1:34" ht="16.5" x14ac:dyDescent="0.3">
      <c r="A618" s="134" t="s">
        <v>23</v>
      </c>
      <c r="B618" s="26" t="s">
        <v>657</v>
      </c>
      <c r="C618" s="145" t="s">
        <v>418</v>
      </c>
      <c r="D618" s="112" t="s">
        <v>658</v>
      </c>
      <c r="E618" s="35">
        <v>302763</v>
      </c>
      <c r="F618" s="33" t="s">
        <v>659</v>
      </c>
      <c r="G618" s="37">
        <v>44544</v>
      </c>
      <c r="H618" s="62">
        <v>200000000</v>
      </c>
      <c r="I618" s="49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66"/>
      <c r="U618" s="50"/>
      <c r="V618" s="50"/>
      <c r="W618" s="50"/>
      <c r="X618" s="50"/>
      <c r="Y618" s="50"/>
      <c r="Z618" s="51"/>
      <c r="AA618" s="15"/>
      <c r="AB618" s="16">
        <f t="shared" si="49"/>
        <v>0</v>
      </c>
      <c r="AC618" s="295">
        <f t="shared" si="50"/>
        <v>0</v>
      </c>
      <c r="AD618" s="341">
        <f>VLOOKUP(D618:D1091,Central!$A$29:$R$107,18,FALSE)</f>
        <v>2</v>
      </c>
      <c r="AE618" s="353"/>
      <c r="AF618" s="342">
        <f t="shared" si="51"/>
        <v>200000000</v>
      </c>
      <c r="AG618" s="57" t="s">
        <v>27</v>
      </c>
      <c r="AH618" s="58">
        <f t="shared" si="52"/>
        <v>0</v>
      </c>
    </row>
    <row r="619" spans="1:34" ht="16.5" x14ac:dyDescent="0.3">
      <c r="A619" s="134" t="s">
        <v>23</v>
      </c>
      <c r="B619" s="26" t="s">
        <v>660</v>
      </c>
      <c r="C619" s="145" t="s">
        <v>418</v>
      </c>
      <c r="D619" s="112" t="s">
        <v>661</v>
      </c>
      <c r="E619" s="35">
        <v>302719</v>
      </c>
      <c r="F619" s="33" t="s">
        <v>659</v>
      </c>
      <c r="G619" s="37">
        <v>44544</v>
      </c>
      <c r="H619" s="62">
        <v>200000000</v>
      </c>
      <c r="I619" s="49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66"/>
      <c r="U619" s="50"/>
      <c r="V619" s="50"/>
      <c r="W619" s="50"/>
      <c r="X619" s="50"/>
      <c r="Y619" s="50"/>
      <c r="Z619" s="51"/>
      <c r="AA619" s="15"/>
      <c r="AB619" s="16">
        <f t="shared" si="49"/>
        <v>0</v>
      </c>
      <c r="AC619" s="295">
        <f t="shared" si="50"/>
        <v>0</v>
      </c>
      <c r="AD619" s="341">
        <f>VLOOKUP(D619:D1092,Central!$A$29:$R$107,18,FALSE)</f>
        <v>1</v>
      </c>
      <c r="AE619" s="353"/>
      <c r="AF619" s="342">
        <f t="shared" si="51"/>
        <v>200000000</v>
      </c>
      <c r="AG619" s="57" t="s">
        <v>27</v>
      </c>
      <c r="AH619" s="58">
        <f t="shared" si="52"/>
        <v>0</v>
      </c>
    </row>
    <row r="620" spans="1:34" ht="16.5" x14ac:dyDescent="0.3">
      <c r="A620" s="134" t="s">
        <v>23</v>
      </c>
      <c r="B620" s="26" t="s">
        <v>684</v>
      </c>
      <c r="C620" s="145" t="s">
        <v>418</v>
      </c>
      <c r="D620" s="112" t="s">
        <v>685</v>
      </c>
      <c r="E620" s="35">
        <v>303230</v>
      </c>
      <c r="F620" s="33" t="s">
        <v>659</v>
      </c>
      <c r="G620" s="37">
        <v>44544</v>
      </c>
      <c r="H620" s="62">
        <v>200000000</v>
      </c>
      <c r="I620" s="49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66"/>
      <c r="U620" s="50"/>
      <c r="V620" s="50"/>
      <c r="W620" s="50"/>
      <c r="X620" s="50"/>
      <c r="Y620" s="50"/>
      <c r="Z620" s="51"/>
      <c r="AA620" s="15"/>
      <c r="AB620" s="16">
        <f t="shared" si="49"/>
        <v>0</v>
      </c>
      <c r="AC620" s="295">
        <f t="shared" si="50"/>
        <v>0</v>
      </c>
      <c r="AD620" s="341">
        <f>VLOOKUP(D620:D1093,Central!$A$29:$R$107,18,FALSE)</f>
        <v>1</v>
      </c>
      <c r="AE620" s="353"/>
      <c r="AF620" s="342">
        <f t="shared" si="51"/>
        <v>200000000</v>
      </c>
      <c r="AG620" s="57" t="s">
        <v>27</v>
      </c>
      <c r="AH620" s="58">
        <f t="shared" si="52"/>
        <v>0</v>
      </c>
    </row>
    <row r="621" spans="1:34" ht="16.5" x14ac:dyDescent="0.3">
      <c r="A621" s="134" t="s">
        <v>23</v>
      </c>
      <c r="B621" s="26" t="s">
        <v>1160</v>
      </c>
      <c r="C621" s="145" t="s">
        <v>418</v>
      </c>
      <c r="D621" s="112" t="s">
        <v>1161</v>
      </c>
      <c r="E621" s="35">
        <v>303590</v>
      </c>
      <c r="F621" s="33" t="s">
        <v>44</v>
      </c>
      <c r="G621" s="37">
        <v>44588</v>
      </c>
      <c r="H621" s="62">
        <v>200000000</v>
      </c>
      <c r="I621" s="49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66"/>
      <c r="U621" s="50"/>
      <c r="V621" s="50"/>
      <c r="W621" s="50"/>
      <c r="X621" s="50"/>
      <c r="Y621" s="50"/>
      <c r="Z621" s="51"/>
      <c r="AA621" s="15"/>
      <c r="AB621" s="16">
        <f t="shared" si="49"/>
        <v>0</v>
      </c>
      <c r="AC621" s="295">
        <f t="shared" si="50"/>
        <v>0</v>
      </c>
      <c r="AD621" s="341">
        <f>VLOOKUP(D621:D1094,Central!$A$29:$R$107,18,FALSE)</f>
        <v>1</v>
      </c>
      <c r="AE621" s="353"/>
      <c r="AF621" s="342">
        <f t="shared" si="51"/>
        <v>200000000</v>
      </c>
      <c r="AG621" s="57" t="s">
        <v>27</v>
      </c>
      <c r="AH621" s="58">
        <f t="shared" si="52"/>
        <v>0</v>
      </c>
    </row>
    <row r="622" spans="1:34" ht="16.5" x14ac:dyDescent="0.3">
      <c r="A622" s="134" t="s">
        <v>23</v>
      </c>
      <c r="B622" s="26" t="s">
        <v>1162</v>
      </c>
      <c r="C622" s="145" t="s">
        <v>418</v>
      </c>
      <c r="D622" s="112" t="s">
        <v>1163</v>
      </c>
      <c r="E622" s="35">
        <v>303449</v>
      </c>
      <c r="F622" s="33" t="s">
        <v>68</v>
      </c>
      <c r="G622" s="37">
        <v>44588</v>
      </c>
      <c r="H622" s="62">
        <v>200000000</v>
      </c>
      <c r="I622" s="49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66"/>
      <c r="U622" s="50"/>
      <c r="V622" s="50"/>
      <c r="W622" s="50"/>
      <c r="X622" s="50"/>
      <c r="Y622" s="50"/>
      <c r="Z622" s="51"/>
      <c r="AA622" s="15"/>
      <c r="AB622" s="16">
        <f t="shared" si="49"/>
        <v>0</v>
      </c>
      <c r="AC622" s="295">
        <f t="shared" si="50"/>
        <v>0</v>
      </c>
      <c r="AD622" s="341">
        <f>VLOOKUP(D622:D1095,Central!$A$29:$R$107,18,FALSE)</f>
        <v>2</v>
      </c>
      <c r="AE622" s="353"/>
      <c r="AF622" s="342">
        <f t="shared" si="51"/>
        <v>200000000</v>
      </c>
      <c r="AG622" s="57" t="s">
        <v>27</v>
      </c>
      <c r="AH622" s="58">
        <f t="shared" si="52"/>
        <v>0</v>
      </c>
    </row>
    <row r="623" spans="1:34" ht="16.5" x14ac:dyDescent="0.3">
      <c r="A623" s="134" t="s">
        <v>23</v>
      </c>
      <c r="B623" s="26" t="s">
        <v>1178</v>
      </c>
      <c r="C623" s="145" t="s">
        <v>418</v>
      </c>
      <c r="D623" s="112" t="s">
        <v>1179</v>
      </c>
      <c r="E623" s="35">
        <v>302813</v>
      </c>
      <c r="F623" s="33" t="s">
        <v>659</v>
      </c>
      <c r="G623" s="37">
        <v>44588</v>
      </c>
      <c r="H623" s="62">
        <v>184003000</v>
      </c>
      <c r="I623" s="49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66"/>
      <c r="U623" s="50"/>
      <c r="V623" s="50"/>
      <c r="W623" s="50"/>
      <c r="X623" s="50"/>
      <c r="Y623" s="50"/>
      <c r="Z623" s="51"/>
      <c r="AA623" s="15"/>
      <c r="AB623" s="16">
        <f t="shared" si="49"/>
        <v>0</v>
      </c>
      <c r="AC623" s="295">
        <f t="shared" si="50"/>
        <v>0</v>
      </c>
      <c r="AD623" s="341">
        <f>VLOOKUP(D623:D1096,Central!$A$29:$R$107,18,FALSE)</f>
        <v>2</v>
      </c>
      <c r="AE623" s="353"/>
      <c r="AF623" s="342">
        <f t="shared" si="51"/>
        <v>184003000</v>
      </c>
      <c r="AG623" s="57" t="s">
        <v>27</v>
      </c>
      <c r="AH623" s="58">
        <f t="shared" si="52"/>
        <v>0</v>
      </c>
    </row>
    <row r="624" spans="1:34" ht="16.5" x14ac:dyDescent="0.3">
      <c r="A624" s="134" t="s">
        <v>23</v>
      </c>
      <c r="B624" s="26" t="s">
        <v>1194</v>
      </c>
      <c r="C624" s="145" t="s">
        <v>418</v>
      </c>
      <c r="D624" s="112" t="s">
        <v>1195</v>
      </c>
      <c r="E624" s="35">
        <v>303591</v>
      </c>
      <c r="F624" s="33" t="s">
        <v>659</v>
      </c>
      <c r="G624" s="37">
        <v>44588</v>
      </c>
      <c r="H624" s="62">
        <v>200000000</v>
      </c>
      <c r="I624" s="49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66"/>
      <c r="U624" s="50"/>
      <c r="V624" s="50"/>
      <c r="W624" s="50"/>
      <c r="X624" s="50"/>
      <c r="Y624" s="50"/>
      <c r="Z624" s="51"/>
      <c r="AA624" s="15"/>
      <c r="AB624" s="16">
        <f t="shared" si="49"/>
        <v>0</v>
      </c>
      <c r="AC624" s="295">
        <f t="shared" si="50"/>
        <v>0</v>
      </c>
      <c r="AD624" s="341">
        <f>VLOOKUP(D624:D1097,Central!$A$29:$R$107,18,FALSE)</f>
        <v>1</v>
      </c>
      <c r="AE624" s="353"/>
      <c r="AF624" s="342">
        <f t="shared" si="51"/>
        <v>200000000</v>
      </c>
      <c r="AG624" s="57" t="s">
        <v>27</v>
      </c>
      <c r="AH624" s="58">
        <f t="shared" si="52"/>
        <v>0</v>
      </c>
    </row>
    <row r="625" spans="1:34" ht="16.5" x14ac:dyDescent="0.3">
      <c r="A625" s="134" t="s">
        <v>23</v>
      </c>
      <c r="B625" s="23" t="s">
        <v>1196</v>
      </c>
      <c r="C625" s="145" t="s">
        <v>418</v>
      </c>
      <c r="D625" s="112" t="s">
        <v>1197</v>
      </c>
      <c r="E625" s="35">
        <v>303592</v>
      </c>
      <c r="F625" s="32" t="s">
        <v>659</v>
      </c>
      <c r="G625" s="37">
        <v>44588</v>
      </c>
      <c r="H625" s="61">
        <v>198369000</v>
      </c>
      <c r="I625" s="49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66"/>
      <c r="U625" s="50"/>
      <c r="V625" s="50"/>
      <c r="W625" s="50"/>
      <c r="X625" s="50"/>
      <c r="Y625" s="50"/>
      <c r="Z625" s="51"/>
      <c r="AA625" s="15"/>
      <c r="AB625" s="16">
        <f t="shared" si="49"/>
        <v>0</v>
      </c>
      <c r="AC625" s="295">
        <f t="shared" si="50"/>
        <v>0</v>
      </c>
      <c r="AD625" s="341">
        <f>VLOOKUP(D625:D1098,Central!$A$29:$R$107,18,FALSE)</f>
        <v>2</v>
      </c>
      <c r="AE625" s="353"/>
      <c r="AF625" s="342">
        <f t="shared" si="51"/>
        <v>198369000</v>
      </c>
      <c r="AG625" s="57" t="s">
        <v>27</v>
      </c>
      <c r="AH625" s="58">
        <f t="shared" si="52"/>
        <v>0</v>
      </c>
    </row>
    <row r="626" spans="1:34" ht="16.5" x14ac:dyDescent="0.3">
      <c r="A626" s="134" t="s">
        <v>23</v>
      </c>
      <c r="B626" s="23" t="s">
        <v>1208</v>
      </c>
      <c r="C626" s="145" t="s">
        <v>418</v>
      </c>
      <c r="D626" s="112" t="s">
        <v>1209</v>
      </c>
      <c r="E626" s="35">
        <v>303797</v>
      </c>
      <c r="F626" s="32" t="s">
        <v>191</v>
      </c>
      <c r="G626" s="37">
        <v>44588</v>
      </c>
      <c r="H626" s="61">
        <v>200000000</v>
      </c>
      <c r="I626" s="49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66"/>
      <c r="U626" s="50"/>
      <c r="V626" s="50"/>
      <c r="W626" s="50"/>
      <c r="X626" s="50"/>
      <c r="Y626" s="50"/>
      <c r="Z626" s="51"/>
      <c r="AA626" s="15"/>
      <c r="AB626" s="16">
        <f t="shared" si="49"/>
        <v>0</v>
      </c>
      <c r="AC626" s="295">
        <f t="shared" si="50"/>
        <v>0</v>
      </c>
      <c r="AD626" s="341">
        <f>VLOOKUP(D626:D1099,Central!$A$29:$R$107,18,FALSE)</f>
        <v>1</v>
      </c>
      <c r="AE626" s="353"/>
      <c r="AF626" s="342">
        <f t="shared" si="51"/>
        <v>200000000</v>
      </c>
      <c r="AG626" s="57" t="s">
        <v>27</v>
      </c>
      <c r="AH626" s="58">
        <f t="shared" si="52"/>
        <v>0</v>
      </c>
    </row>
    <row r="627" spans="1:34" ht="16.5" x14ac:dyDescent="0.3">
      <c r="A627" s="134" t="s">
        <v>23</v>
      </c>
      <c r="B627" s="26" t="s">
        <v>1218</v>
      </c>
      <c r="C627" s="145" t="s">
        <v>418</v>
      </c>
      <c r="D627" s="112" t="s">
        <v>1219</v>
      </c>
      <c r="E627" s="35">
        <v>303862</v>
      </c>
      <c r="F627" s="33" t="s">
        <v>191</v>
      </c>
      <c r="G627" s="37">
        <v>44588</v>
      </c>
      <c r="H627" s="62">
        <v>108251000</v>
      </c>
      <c r="I627" s="49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66"/>
      <c r="U627" s="50"/>
      <c r="V627" s="50"/>
      <c r="W627" s="50"/>
      <c r="X627" s="50"/>
      <c r="Y627" s="50"/>
      <c r="Z627" s="51"/>
      <c r="AA627" s="15"/>
      <c r="AB627" s="16">
        <f t="shared" si="49"/>
        <v>0</v>
      </c>
      <c r="AC627" s="295">
        <f t="shared" si="50"/>
        <v>0</v>
      </c>
      <c r="AD627" s="341">
        <f>VLOOKUP(D627:D1100,Central!$A$29:$R$107,18,FALSE)</f>
        <v>1</v>
      </c>
      <c r="AE627" s="353"/>
      <c r="AF627" s="342">
        <f t="shared" si="51"/>
        <v>108251000</v>
      </c>
      <c r="AG627" s="57" t="s">
        <v>27</v>
      </c>
      <c r="AH627" s="58">
        <f t="shared" si="52"/>
        <v>0</v>
      </c>
    </row>
    <row r="628" spans="1:34" ht="16.5" x14ac:dyDescent="0.3">
      <c r="A628" s="134" t="s">
        <v>23</v>
      </c>
      <c r="B628" s="23" t="s">
        <v>1224</v>
      </c>
      <c r="C628" s="145" t="s">
        <v>418</v>
      </c>
      <c r="D628" s="112" t="s">
        <v>1225</v>
      </c>
      <c r="E628" s="35">
        <v>303849</v>
      </c>
      <c r="F628" s="32" t="s">
        <v>191</v>
      </c>
      <c r="G628" s="37">
        <v>44588</v>
      </c>
      <c r="H628" s="61">
        <v>199820000</v>
      </c>
      <c r="I628" s="49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66"/>
      <c r="U628" s="50"/>
      <c r="V628" s="50"/>
      <c r="W628" s="50"/>
      <c r="X628" s="50"/>
      <c r="Y628" s="50"/>
      <c r="Z628" s="51"/>
      <c r="AA628" s="15"/>
      <c r="AB628" s="16">
        <f t="shared" si="49"/>
        <v>0</v>
      </c>
      <c r="AC628" s="295">
        <f t="shared" si="50"/>
        <v>0</v>
      </c>
      <c r="AD628" s="341">
        <f>VLOOKUP(D628:D1101,Central!$A$29:$R$107,18,FALSE)</f>
        <v>1</v>
      </c>
      <c r="AE628" s="353"/>
      <c r="AF628" s="342">
        <f t="shared" si="51"/>
        <v>199820000</v>
      </c>
      <c r="AG628" s="57" t="s">
        <v>27</v>
      </c>
      <c r="AH628" s="58">
        <f t="shared" si="52"/>
        <v>0</v>
      </c>
    </row>
    <row r="629" spans="1:34" ht="16.5" x14ac:dyDescent="0.3">
      <c r="A629" s="134" t="s">
        <v>23</v>
      </c>
      <c r="B629" s="26" t="s">
        <v>1228</v>
      </c>
      <c r="C629" s="145" t="s">
        <v>418</v>
      </c>
      <c r="D629" s="112" t="s">
        <v>1229</v>
      </c>
      <c r="E629" s="35">
        <v>303802</v>
      </c>
      <c r="F629" s="33" t="s">
        <v>191</v>
      </c>
      <c r="G629" s="37">
        <v>44588</v>
      </c>
      <c r="H629" s="62">
        <v>175933000</v>
      </c>
      <c r="I629" s="49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66"/>
      <c r="U629" s="50"/>
      <c r="V629" s="50"/>
      <c r="W629" s="50"/>
      <c r="X629" s="50"/>
      <c r="Y629" s="50"/>
      <c r="Z629" s="51"/>
      <c r="AA629" s="15"/>
      <c r="AB629" s="16">
        <f t="shared" ref="AB629:AB658" si="53">SUM(I629:Z629)</f>
        <v>0</v>
      </c>
      <c r="AC629" s="295">
        <f t="shared" ref="AC629:AC658" si="54">AB629/H629</f>
        <v>0</v>
      </c>
      <c r="AD629" s="341">
        <f>VLOOKUP(D629:D1102,Central!$A$29:$R$107,18,FALSE)</f>
        <v>1</v>
      </c>
      <c r="AE629" s="353"/>
      <c r="AF629" s="342">
        <f t="shared" ref="AF629:AF658" si="55">H629-AB629</f>
        <v>175933000</v>
      </c>
      <c r="AG629" s="57" t="s">
        <v>27</v>
      </c>
      <c r="AH629" s="58">
        <f t="shared" ref="AH629:AH658" si="56">COUNT(I629:Z629)</f>
        <v>0</v>
      </c>
    </row>
    <row r="630" spans="1:34" ht="16.5" x14ac:dyDescent="0.3">
      <c r="A630" s="134" t="s">
        <v>23</v>
      </c>
      <c r="B630" s="26" t="s">
        <v>1230</v>
      </c>
      <c r="C630" s="145" t="s">
        <v>418</v>
      </c>
      <c r="D630" s="112" t="s">
        <v>1231</v>
      </c>
      <c r="E630" s="35">
        <v>303850</v>
      </c>
      <c r="F630" s="33" t="s">
        <v>191</v>
      </c>
      <c r="G630" s="37">
        <v>44588</v>
      </c>
      <c r="H630" s="62">
        <v>164889000</v>
      </c>
      <c r="I630" s="49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66"/>
      <c r="U630" s="50"/>
      <c r="V630" s="50"/>
      <c r="W630" s="50"/>
      <c r="X630" s="50"/>
      <c r="Y630" s="50"/>
      <c r="Z630" s="51"/>
      <c r="AA630" s="15"/>
      <c r="AB630" s="16">
        <f t="shared" si="53"/>
        <v>0</v>
      </c>
      <c r="AC630" s="295">
        <f t="shared" si="54"/>
        <v>0</v>
      </c>
      <c r="AD630" s="341">
        <f>VLOOKUP(D630:D1103,Central!$A$29:$R$107,18,FALSE)</f>
        <v>1</v>
      </c>
      <c r="AE630" s="353"/>
      <c r="AF630" s="342">
        <f t="shared" si="55"/>
        <v>164889000</v>
      </c>
      <c r="AG630" s="57" t="s">
        <v>27</v>
      </c>
      <c r="AH630" s="58">
        <f t="shared" si="56"/>
        <v>0</v>
      </c>
    </row>
    <row r="631" spans="1:34" ht="16.5" x14ac:dyDescent="0.3">
      <c r="A631" s="134" t="s">
        <v>23</v>
      </c>
      <c r="B631" s="26" t="s">
        <v>1242</v>
      </c>
      <c r="C631" s="145" t="s">
        <v>418</v>
      </c>
      <c r="D631" s="112" t="s">
        <v>1243</v>
      </c>
      <c r="E631" s="35">
        <v>303812</v>
      </c>
      <c r="F631" s="33" t="s">
        <v>191</v>
      </c>
      <c r="G631" s="37">
        <v>44588</v>
      </c>
      <c r="H631" s="62">
        <v>198964000</v>
      </c>
      <c r="I631" s="49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66"/>
      <c r="U631" s="50"/>
      <c r="V631" s="50"/>
      <c r="W631" s="50"/>
      <c r="X631" s="50"/>
      <c r="Y631" s="50"/>
      <c r="Z631" s="51"/>
      <c r="AA631" s="15"/>
      <c r="AB631" s="16">
        <f t="shared" si="53"/>
        <v>0</v>
      </c>
      <c r="AC631" s="295">
        <f t="shared" si="54"/>
        <v>0</v>
      </c>
      <c r="AD631" s="341">
        <f>VLOOKUP(D631:D1104,Central!$A$29:$R$107,18,FALSE)</f>
        <v>1</v>
      </c>
      <c r="AE631" s="353"/>
      <c r="AF631" s="342">
        <f t="shared" si="55"/>
        <v>198964000</v>
      </c>
      <c r="AG631" s="57" t="s">
        <v>27</v>
      </c>
      <c r="AH631" s="58">
        <f t="shared" si="56"/>
        <v>0</v>
      </c>
    </row>
    <row r="632" spans="1:34" ht="16.5" x14ac:dyDescent="0.3">
      <c r="A632" s="134" t="s">
        <v>23</v>
      </c>
      <c r="B632" s="26" t="s">
        <v>1244</v>
      </c>
      <c r="C632" s="145" t="s">
        <v>418</v>
      </c>
      <c r="D632" s="112" t="s">
        <v>1245</v>
      </c>
      <c r="E632" s="35">
        <v>303594</v>
      </c>
      <c r="F632" s="33" t="s">
        <v>659</v>
      </c>
      <c r="G632" s="37">
        <v>44588</v>
      </c>
      <c r="H632" s="62">
        <v>200000000</v>
      </c>
      <c r="I632" s="49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66"/>
      <c r="U632" s="50"/>
      <c r="V632" s="50"/>
      <c r="W632" s="50"/>
      <c r="X632" s="50"/>
      <c r="Y632" s="50"/>
      <c r="Z632" s="51"/>
      <c r="AA632" s="15"/>
      <c r="AB632" s="16">
        <f t="shared" si="53"/>
        <v>0</v>
      </c>
      <c r="AC632" s="295">
        <f t="shared" si="54"/>
        <v>0</v>
      </c>
      <c r="AD632" s="341">
        <f>VLOOKUP(D632:D1105,Central!$A$29:$R$107,18,FALSE)</f>
        <v>2</v>
      </c>
      <c r="AE632" s="353"/>
      <c r="AF632" s="342">
        <f t="shared" si="55"/>
        <v>200000000</v>
      </c>
      <c r="AG632" s="57" t="s">
        <v>27</v>
      </c>
      <c r="AH632" s="58">
        <f t="shared" si="56"/>
        <v>0</v>
      </c>
    </row>
    <row r="633" spans="1:34" ht="16.5" x14ac:dyDescent="0.3">
      <c r="A633" s="134" t="s">
        <v>23</v>
      </c>
      <c r="B633" s="26" t="s">
        <v>1246</v>
      </c>
      <c r="C633" s="145" t="s">
        <v>418</v>
      </c>
      <c r="D633" s="112" t="s">
        <v>1247</v>
      </c>
      <c r="E633" s="35">
        <v>303836</v>
      </c>
      <c r="F633" s="33" t="s">
        <v>659</v>
      </c>
      <c r="G633" s="37">
        <v>44588</v>
      </c>
      <c r="H633" s="62">
        <v>199999000</v>
      </c>
      <c r="I633" s="49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66"/>
      <c r="U633" s="50"/>
      <c r="V633" s="50"/>
      <c r="W633" s="50"/>
      <c r="X633" s="50"/>
      <c r="Y633" s="50"/>
      <c r="Z633" s="51"/>
      <c r="AA633" s="15"/>
      <c r="AB633" s="16">
        <f t="shared" si="53"/>
        <v>0</v>
      </c>
      <c r="AC633" s="295">
        <f t="shared" si="54"/>
        <v>0</v>
      </c>
      <c r="AD633" s="341">
        <f>VLOOKUP(D633:D1106,Central!$A$29:$R$107,18,FALSE)</f>
        <v>1</v>
      </c>
      <c r="AE633" s="353"/>
      <c r="AF633" s="342">
        <f t="shared" si="55"/>
        <v>199999000</v>
      </c>
      <c r="AG633" s="57" t="s">
        <v>27</v>
      </c>
      <c r="AH633" s="58">
        <f t="shared" si="56"/>
        <v>0</v>
      </c>
    </row>
    <row r="634" spans="1:34" ht="16.5" x14ac:dyDescent="0.3">
      <c r="A634" s="134" t="s">
        <v>23</v>
      </c>
      <c r="B634" s="23" t="s">
        <v>1252</v>
      </c>
      <c r="C634" s="145" t="s">
        <v>418</v>
      </c>
      <c r="D634" s="112" t="s">
        <v>1253</v>
      </c>
      <c r="E634" s="35">
        <v>303817</v>
      </c>
      <c r="F634" s="32" t="s">
        <v>659</v>
      </c>
      <c r="G634" s="37">
        <v>44588</v>
      </c>
      <c r="H634" s="61">
        <v>200000000</v>
      </c>
      <c r="I634" s="49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66"/>
      <c r="U634" s="50"/>
      <c r="V634" s="50"/>
      <c r="W634" s="50"/>
      <c r="X634" s="50"/>
      <c r="Y634" s="50"/>
      <c r="Z634" s="51"/>
      <c r="AA634" s="15"/>
      <c r="AB634" s="16">
        <f t="shared" si="53"/>
        <v>0</v>
      </c>
      <c r="AC634" s="295">
        <f t="shared" si="54"/>
        <v>0</v>
      </c>
      <c r="AD634" s="341">
        <f>VLOOKUP(D634:D1107,Central!$A$29:$R$107,18,FALSE)</f>
        <v>1</v>
      </c>
      <c r="AE634" s="353"/>
      <c r="AF634" s="342">
        <f t="shared" si="55"/>
        <v>200000000</v>
      </c>
      <c r="AG634" s="57" t="s">
        <v>27</v>
      </c>
      <c r="AH634" s="58">
        <f t="shared" si="56"/>
        <v>0</v>
      </c>
    </row>
    <row r="635" spans="1:34" ht="16.5" x14ac:dyDescent="0.3">
      <c r="A635" s="134" t="s">
        <v>23</v>
      </c>
      <c r="B635" s="23" t="s">
        <v>1254</v>
      </c>
      <c r="C635" s="145" t="s">
        <v>418</v>
      </c>
      <c r="D635" s="112" t="s">
        <v>1255</v>
      </c>
      <c r="E635" s="35">
        <v>303837</v>
      </c>
      <c r="F635" s="32" t="s">
        <v>44</v>
      </c>
      <c r="G635" s="37">
        <v>44588</v>
      </c>
      <c r="H635" s="61">
        <v>199538000</v>
      </c>
      <c r="I635" s="49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66"/>
      <c r="U635" s="50"/>
      <c r="V635" s="50"/>
      <c r="W635" s="50"/>
      <c r="X635" s="50"/>
      <c r="Y635" s="50"/>
      <c r="Z635" s="51"/>
      <c r="AA635" s="15"/>
      <c r="AB635" s="16">
        <f t="shared" si="53"/>
        <v>0</v>
      </c>
      <c r="AC635" s="295">
        <f t="shared" si="54"/>
        <v>0</v>
      </c>
      <c r="AD635" s="341">
        <f>VLOOKUP(D635:D1108,Central!$A$29:$R$107,18,FALSE)</f>
        <v>1</v>
      </c>
      <c r="AE635" s="353"/>
      <c r="AF635" s="342">
        <f t="shared" si="55"/>
        <v>199538000</v>
      </c>
      <c r="AG635" s="57" t="s">
        <v>27</v>
      </c>
      <c r="AH635" s="58">
        <f t="shared" si="56"/>
        <v>0</v>
      </c>
    </row>
    <row r="636" spans="1:34" ht="16.5" x14ac:dyDescent="0.3">
      <c r="A636" s="134" t="s">
        <v>23</v>
      </c>
      <c r="B636" s="23" t="s">
        <v>1256</v>
      </c>
      <c r="C636" s="145" t="s">
        <v>418</v>
      </c>
      <c r="D636" s="112" t="s">
        <v>1257</v>
      </c>
      <c r="E636" s="35">
        <v>303835</v>
      </c>
      <c r="F636" s="32" t="s">
        <v>659</v>
      </c>
      <c r="G636" s="37">
        <v>44588</v>
      </c>
      <c r="H636" s="61">
        <v>200000000</v>
      </c>
      <c r="I636" s="49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66"/>
      <c r="U636" s="50"/>
      <c r="V636" s="50"/>
      <c r="W636" s="50"/>
      <c r="X636" s="50"/>
      <c r="Y636" s="50"/>
      <c r="Z636" s="51"/>
      <c r="AA636" s="15"/>
      <c r="AB636" s="16">
        <f t="shared" si="53"/>
        <v>0</v>
      </c>
      <c r="AC636" s="295">
        <f t="shared" si="54"/>
        <v>0</v>
      </c>
      <c r="AD636" s="341">
        <f>VLOOKUP(D636:D1109,Central!$A$29:$R$107,18,FALSE)</f>
        <v>1</v>
      </c>
      <c r="AE636" s="353"/>
      <c r="AF636" s="342">
        <f t="shared" si="55"/>
        <v>200000000</v>
      </c>
      <c r="AG636" s="57" t="s">
        <v>27</v>
      </c>
      <c r="AH636" s="58">
        <f t="shared" si="56"/>
        <v>0</v>
      </c>
    </row>
    <row r="637" spans="1:34" ht="16.5" x14ac:dyDescent="0.3">
      <c r="A637" s="134" t="s">
        <v>55</v>
      </c>
      <c r="B637" s="26" t="s">
        <v>472</v>
      </c>
      <c r="C637" s="145" t="s">
        <v>418</v>
      </c>
      <c r="D637" s="112" t="s">
        <v>473</v>
      </c>
      <c r="E637" s="35">
        <v>302850</v>
      </c>
      <c r="F637" s="33" t="s">
        <v>58</v>
      </c>
      <c r="G637" s="37">
        <v>44544</v>
      </c>
      <c r="H637" s="62">
        <v>200000000</v>
      </c>
      <c r="I637" s="49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66"/>
      <c r="U637" s="50"/>
      <c r="V637" s="50"/>
      <c r="W637" s="50"/>
      <c r="X637" s="50"/>
      <c r="Y637" s="50"/>
      <c r="Z637" s="51"/>
      <c r="AA637" s="15"/>
      <c r="AB637" s="16">
        <f t="shared" si="53"/>
        <v>0</v>
      </c>
      <c r="AC637" s="295">
        <f t="shared" si="54"/>
        <v>0</v>
      </c>
      <c r="AD637" s="341">
        <f>VLOOKUP(D637:D1009,'Eje Cafetero'!$A$34:$S$102,19,FALSE)</f>
        <v>2</v>
      </c>
      <c r="AE637" s="353"/>
      <c r="AF637" s="342">
        <f t="shared" si="55"/>
        <v>200000000</v>
      </c>
      <c r="AG637" s="57" t="s">
        <v>27</v>
      </c>
      <c r="AH637" s="58">
        <f t="shared" si="56"/>
        <v>0</v>
      </c>
    </row>
    <row r="638" spans="1:34" ht="16.5" x14ac:dyDescent="0.3">
      <c r="A638" s="134" t="s">
        <v>55</v>
      </c>
      <c r="B638" s="23" t="s">
        <v>494</v>
      </c>
      <c r="C638" s="145" t="s">
        <v>418</v>
      </c>
      <c r="D638" s="112" t="s">
        <v>495</v>
      </c>
      <c r="E638" s="35">
        <v>302787</v>
      </c>
      <c r="F638" s="32" t="s">
        <v>457</v>
      </c>
      <c r="G638" s="37">
        <v>44544</v>
      </c>
      <c r="H638" s="61">
        <v>160000000</v>
      </c>
      <c r="I638" s="49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66"/>
      <c r="U638" s="50"/>
      <c r="V638" s="50"/>
      <c r="W638" s="50"/>
      <c r="X638" s="50"/>
      <c r="Y638" s="50"/>
      <c r="Z638" s="51"/>
      <c r="AA638" s="15"/>
      <c r="AB638" s="16">
        <f t="shared" si="53"/>
        <v>0</v>
      </c>
      <c r="AC638" s="295">
        <f t="shared" si="54"/>
        <v>0</v>
      </c>
      <c r="AD638" s="341">
        <f>VLOOKUP(D638:D1010,'Eje Cafetero'!$A$34:$S$102,19,FALSE)</f>
        <v>3</v>
      </c>
      <c r="AE638" s="353"/>
      <c r="AF638" s="342">
        <f t="shared" si="55"/>
        <v>160000000</v>
      </c>
      <c r="AG638" s="57" t="s">
        <v>27</v>
      </c>
      <c r="AH638" s="58">
        <f t="shared" si="56"/>
        <v>0</v>
      </c>
    </row>
    <row r="639" spans="1:34" ht="16.5" x14ac:dyDescent="0.3">
      <c r="A639" s="134" t="s">
        <v>55</v>
      </c>
      <c r="B639" s="23" t="s">
        <v>536</v>
      </c>
      <c r="C639" s="145" t="s">
        <v>418</v>
      </c>
      <c r="D639" s="112" t="s">
        <v>537</v>
      </c>
      <c r="E639" s="35">
        <v>302723</v>
      </c>
      <c r="F639" s="32" t="s">
        <v>457</v>
      </c>
      <c r="G639" s="37">
        <v>44544</v>
      </c>
      <c r="H639" s="61">
        <v>165000000</v>
      </c>
      <c r="I639" s="49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66"/>
      <c r="U639" s="50"/>
      <c r="V639" s="50"/>
      <c r="W639" s="50"/>
      <c r="X639" s="50"/>
      <c r="Y639" s="50"/>
      <c r="Z639" s="51"/>
      <c r="AA639" s="15"/>
      <c r="AB639" s="16">
        <f t="shared" si="53"/>
        <v>0</v>
      </c>
      <c r="AC639" s="295">
        <f t="shared" si="54"/>
        <v>0</v>
      </c>
      <c r="AD639" s="341">
        <f>VLOOKUP(D639:D1011,'Eje Cafetero'!$A$34:$S$102,19,FALSE)</f>
        <v>3</v>
      </c>
      <c r="AE639" s="353"/>
      <c r="AF639" s="342">
        <f t="shared" si="55"/>
        <v>165000000</v>
      </c>
      <c r="AG639" s="57" t="s">
        <v>27</v>
      </c>
      <c r="AH639" s="58">
        <f t="shared" si="56"/>
        <v>0</v>
      </c>
    </row>
    <row r="640" spans="1:34" ht="16.5" x14ac:dyDescent="0.3">
      <c r="A640" s="134" t="s">
        <v>55</v>
      </c>
      <c r="B640" s="26" t="s">
        <v>1002</v>
      </c>
      <c r="C640" s="145" t="s">
        <v>418</v>
      </c>
      <c r="D640" s="112" t="s">
        <v>1003</v>
      </c>
      <c r="E640" s="35">
        <v>303301</v>
      </c>
      <c r="F640" s="33" t="s">
        <v>457</v>
      </c>
      <c r="G640" s="37">
        <v>44588</v>
      </c>
      <c r="H640" s="62">
        <v>185000000</v>
      </c>
      <c r="I640" s="49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66"/>
      <c r="U640" s="50"/>
      <c r="V640" s="50"/>
      <c r="W640" s="50"/>
      <c r="X640" s="50"/>
      <c r="Y640" s="50"/>
      <c r="Z640" s="51"/>
      <c r="AA640" s="15"/>
      <c r="AB640" s="16">
        <f t="shared" si="53"/>
        <v>0</v>
      </c>
      <c r="AC640" s="295">
        <f t="shared" si="54"/>
        <v>0</v>
      </c>
      <c r="AD640" s="341">
        <f>VLOOKUP(D640:D1012,'Eje Cafetero'!$A$34:$S$102,19,FALSE)</f>
        <v>3</v>
      </c>
      <c r="AE640" s="353"/>
      <c r="AF640" s="342">
        <f t="shared" si="55"/>
        <v>185000000</v>
      </c>
      <c r="AG640" s="57" t="s">
        <v>27</v>
      </c>
      <c r="AH640" s="58">
        <f t="shared" si="56"/>
        <v>0</v>
      </c>
    </row>
    <row r="641" spans="1:34" ht="16.5" x14ac:dyDescent="0.3">
      <c r="A641" s="134" t="s">
        <v>105</v>
      </c>
      <c r="B641" s="23" t="s">
        <v>745</v>
      </c>
      <c r="C641" s="145" t="s">
        <v>418</v>
      </c>
      <c r="D641" s="112" t="s">
        <v>746</v>
      </c>
      <c r="E641" s="35">
        <v>302744</v>
      </c>
      <c r="F641" s="32" t="s">
        <v>131</v>
      </c>
      <c r="G641" s="37">
        <v>44544</v>
      </c>
      <c r="H641" s="61">
        <v>200000000</v>
      </c>
      <c r="I641" s="49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66"/>
      <c r="U641" s="50"/>
      <c r="V641" s="50"/>
      <c r="W641" s="50"/>
      <c r="X641" s="50"/>
      <c r="Y641" s="50"/>
      <c r="Z641" s="51"/>
      <c r="AA641" s="15"/>
      <c r="AB641" s="16">
        <f t="shared" si="53"/>
        <v>0</v>
      </c>
      <c r="AC641" s="295">
        <f t="shared" si="54"/>
        <v>0</v>
      </c>
      <c r="AD641" s="341">
        <f>VLOOKUP(D641:D1015,Llanos!$A$28:$S$82,19,FALSE)</f>
        <v>3</v>
      </c>
      <c r="AE641" s="353"/>
      <c r="AF641" s="342">
        <f t="shared" si="55"/>
        <v>200000000</v>
      </c>
      <c r="AG641" s="57" t="s">
        <v>27</v>
      </c>
      <c r="AH641" s="58">
        <f t="shared" si="56"/>
        <v>0</v>
      </c>
    </row>
    <row r="642" spans="1:34" ht="16.5" x14ac:dyDescent="0.3">
      <c r="A642" s="134" t="s">
        <v>105</v>
      </c>
      <c r="B642" s="26" t="s">
        <v>795</v>
      </c>
      <c r="C642" s="145" t="s">
        <v>418</v>
      </c>
      <c r="D642" s="112" t="s">
        <v>796</v>
      </c>
      <c r="E642" s="35">
        <v>302864</v>
      </c>
      <c r="F642" s="33" t="s">
        <v>118</v>
      </c>
      <c r="G642" s="37">
        <v>44544</v>
      </c>
      <c r="H642" s="62">
        <v>200000000</v>
      </c>
      <c r="I642" s="49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66"/>
      <c r="U642" s="50"/>
      <c r="V642" s="50"/>
      <c r="W642" s="50"/>
      <c r="X642" s="50"/>
      <c r="Y642" s="50"/>
      <c r="Z642" s="51"/>
      <c r="AA642" s="15"/>
      <c r="AB642" s="16">
        <f t="shared" si="53"/>
        <v>0</v>
      </c>
      <c r="AC642" s="295">
        <f t="shared" si="54"/>
        <v>0</v>
      </c>
      <c r="AD642" s="341">
        <f>VLOOKUP(D642:D1016,Llanos!$A$28:$S$82,19,FALSE)</f>
        <v>2</v>
      </c>
      <c r="AE642" s="353"/>
      <c r="AF642" s="342">
        <f t="shared" si="55"/>
        <v>200000000</v>
      </c>
      <c r="AG642" s="57" t="s">
        <v>27</v>
      </c>
      <c r="AH642" s="58">
        <f t="shared" si="56"/>
        <v>0</v>
      </c>
    </row>
    <row r="643" spans="1:34" ht="16.5" x14ac:dyDescent="0.3">
      <c r="A643" s="134" t="s">
        <v>28</v>
      </c>
      <c r="B643" s="26" t="s">
        <v>426</v>
      </c>
      <c r="C643" s="145" t="s">
        <v>418</v>
      </c>
      <c r="D643" s="112" t="s">
        <v>427</v>
      </c>
      <c r="E643" s="35">
        <v>303321</v>
      </c>
      <c r="F643" s="33" t="s">
        <v>31</v>
      </c>
      <c r="G643" s="37">
        <v>44544</v>
      </c>
      <c r="H643" s="62">
        <v>196633000</v>
      </c>
      <c r="I643" s="49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66"/>
      <c r="U643" s="50"/>
      <c r="V643" s="50"/>
      <c r="W643" s="50"/>
      <c r="X643" s="50"/>
      <c r="Y643" s="50"/>
      <c r="Z643" s="51"/>
      <c r="AA643" s="15"/>
      <c r="AB643" s="16">
        <f t="shared" si="53"/>
        <v>0</v>
      </c>
      <c r="AC643" s="295">
        <f t="shared" si="54"/>
        <v>0</v>
      </c>
      <c r="AD643" s="341">
        <f>VLOOKUP(D643:D1081,Pacífico!$A$32:$S$105,19,FALSE)</f>
        <v>2</v>
      </c>
      <c r="AE643" s="353"/>
      <c r="AF643" s="342">
        <f t="shared" si="55"/>
        <v>196633000</v>
      </c>
      <c r="AG643" s="57" t="s">
        <v>27</v>
      </c>
      <c r="AH643" s="58">
        <f t="shared" si="56"/>
        <v>0</v>
      </c>
    </row>
    <row r="644" spans="1:34" ht="16.5" x14ac:dyDescent="0.3">
      <c r="A644" s="134" t="s">
        <v>28</v>
      </c>
      <c r="B644" s="26" t="s">
        <v>441</v>
      </c>
      <c r="C644" s="145" t="s">
        <v>418</v>
      </c>
      <c r="D644" s="112" t="s">
        <v>442</v>
      </c>
      <c r="E644" s="35">
        <v>302836</v>
      </c>
      <c r="F644" s="33" t="s">
        <v>81</v>
      </c>
      <c r="G644" s="37">
        <v>44544</v>
      </c>
      <c r="H644" s="62">
        <v>154582000</v>
      </c>
      <c r="I644" s="49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66"/>
      <c r="U644" s="50"/>
      <c r="V644" s="50"/>
      <c r="W644" s="50"/>
      <c r="X644" s="50"/>
      <c r="Y644" s="50"/>
      <c r="Z644" s="51"/>
      <c r="AA644" s="15"/>
      <c r="AB644" s="16">
        <f t="shared" si="53"/>
        <v>0</v>
      </c>
      <c r="AC644" s="295">
        <f t="shared" si="54"/>
        <v>0</v>
      </c>
      <c r="AD644" s="341">
        <f>VLOOKUP(D644:D1082,Pacífico!$A$32:$S$105,19,FALSE)</f>
        <v>2</v>
      </c>
      <c r="AE644" s="353"/>
      <c r="AF644" s="342">
        <f t="shared" si="55"/>
        <v>154582000</v>
      </c>
      <c r="AG644" s="57" t="s">
        <v>27</v>
      </c>
      <c r="AH644" s="58">
        <f t="shared" si="56"/>
        <v>0</v>
      </c>
    </row>
    <row r="645" spans="1:34" ht="16.5" x14ac:dyDescent="0.3">
      <c r="A645" s="134" t="s">
        <v>28</v>
      </c>
      <c r="B645" s="26" t="s">
        <v>450</v>
      </c>
      <c r="C645" s="145" t="s">
        <v>418</v>
      </c>
      <c r="D645" s="112" t="s">
        <v>451</v>
      </c>
      <c r="E645" s="35">
        <v>302804</v>
      </c>
      <c r="F645" s="33" t="s">
        <v>452</v>
      </c>
      <c r="G645" s="37">
        <v>44544</v>
      </c>
      <c r="H645" s="62">
        <v>114827000</v>
      </c>
      <c r="I645" s="49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66"/>
      <c r="U645" s="50"/>
      <c r="V645" s="50"/>
      <c r="W645" s="50"/>
      <c r="X645" s="50"/>
      <c r="Y645" s="50"/>
      <c r="Z645" s="51"/>
      <c r="AA645" s="15"/>
      <c r="AB645" s="16">
        <f t="shared" si="53"/>
        <v>0</v>
      </c>
      <c r="AC645" s="295">
        <f t="shared" si="54"/>
        <v>0</v>
      </c>
      <c r="AD645" s="341">
        <f>VLOOKUP(D645:D1083,Pacífico!$A$32:$S$105,19,FALSE)</f>
        <v>2</v>
      </c>
      <c r="AE645" s="353"/>
      <c r="AF645" s="342">
        <f t="shared" si="55"/>
        <v>114827000</v>
      </c>
      <c r="AG645" s="57" t="s">
        <v>27</v>
      </c>
      <c r="AH645" s="58">
        <f t="shared" si="56"/>
        <v>0</v>
      </c>
    </row>
    <row r="646" spans="1:34" ht="16.5" x14ac:dyDescent="0.3">
      <c r="A646" s="134" t="s">
        <v>28</v>
      </c>
      <c r="B646" s="26" t="s">
        <v>888</v>
      </c>
      <c r="C646" s="145" t="s">
        <v>418</v>
      </c>
      <c r="D646" s="112" t="s">
        <v>889</v>
      </c>
      <c r="E646" s="35">
        <v>303444</v>
      </c>
      <c r="F646" s="33" t="s">
        <v>81</v>
      </c>
      <c r="G646" s="37">
        <v>44588</v>
      </c>
      <c r="H646" s="62">
        <v>200000000</v>
      </c>
      <c r="I646" s="49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66"/>
      <c r="U646" s="50"/>
      <c r="V646" s="50"/>
      <c r="W646" s="50"/>
      <c r="X646" s="50"/>
      <c r="Y646" s="50"/>
      <c r="Z646" s="51"/>
      <c r="AA646" s="15"/>
      <c r="AB646" s="16">
        <f t="shared" si="53"/>
        <v>0</v>
      </c>
      <c r="AC646" s="295">
        <f t="shared" si="54"/>
        <v>0</v>
      </c>
      <c r="AD646" s="341">
        <f>VLOOKUP(D646:D1084,Pacífico!$A$32:$S$105,19,FALSE)</f>
        <v>2</v>
      </c>
      <c r="AE646" s="353"/>
      <c r="AF646" s="342">
        <f t="shared" si="55"/>
        <v>200000000</v>
      </c>
      <c r="AG646" s="57" t="s">
        <v>27</v>
      </c>
      <c r="AH646" s="58">
        <f t="shared" si="56"/>
        <v>0</v>
      </c>
    </row>
    <row r="647" spans="1:34" ht="16.5" x14ac:dyDescent="0.3">
      <c r="A647" s="134" t="s">
        <v>28</v>
      </c>
      <c r="B647" s="23" t="s">
        <v>896</v>
      </c>
      <c r="C647" s="145" t="s">
        <v>418</v>
      </c>
      <c r="D647" s="112" t="s">
        <v>897</v>
      </c>
      <c r="E647" s="35">
        <v>302794</v>
      </c>
      <c r="F647" s="32" t="s">
        <v>81</v>
      </c>
      <c r="G647" s="37">
        <v>44588</v>
      </c>
      <c r="H647" s="61">
        <v>179662000</v>
      </c>
      <c r="I647" s="49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66"/>
      <c r="U647" s="50"/>
      <c r="V647" s="50"/>
      <c r="W647" s="50"/>
      <c r="X647" s="50"/>
      <c r="Y647" s="50"/>
      <c r="Z647" s="51"/>
      <c r="AA647" s="15"/>
      <c r="AB647" s="16">
        <f t="shared" si="53"/>
        <v>0</v>
      </c>
      <c r="AC647" s="295">
        <f t="shared" si="54"/>
        <v>0</v>
      </c>
      <c r="AD647" s="341">
        <f>VLOOKUP(D647:D1085,Pacífico!$A$32:$S$105,19,FALSE)</f>
        <v>2</v>
      </c>
      <c r="AE647" s="353"/>
      <c r="AF647" s="342">
        <f t="shared" si="55"/>
        <v>179662000</v>
      </c>
      <c r="AG647" s="57" t="s">
        <v>27</v>
      </c>
      <c r="AH647" s="58">
        <f t="shared" si="56"/>
        <v>0</v>
      </c>
    </row>
    <row r="648" spans="1:34" ht="16.5" x14ac:dyDescent="0.3">
      <c r="A648" s="134" t="s">
        <v>28</v>
      </c>
      <c r="B648" s="23" t="s">
        <v>898</v>
      </c>
      <c r="C648" s="145" t="s">
        <v>418</v>
      </c>
      <c r="D648" s="112" t="s">
        <v>899</v>
      </c>
      <c r="E648" s="35">
        <v>303400</v>
      </c>
      <c r="F648" s="32" t="s">
        <v>81</v>
      </c>
      <c r="G648" s="37">
        <v>44588</v>
      </c>
      <c r="H648" s="61">
        <v>109792000</v>
      </c>
      <c r="I648" s="49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66"/>
      <c r="U648" s="50"/>
      <c r="V648" s="50"/>
      <c r="W648" s="50"/>
      <c r="X648" s="50"/>
      <c r="Y648" s="50"/>
      <c r="Z648" s="51"/>
      <c r="AA648" s="15"/>
      <c r="AB648" s="16">
        <f t="shared" si="53"/>
        <v>0</v>
      </c>
      <c r="AC648" s="295">
        <f t="shared" si="54"/>
        <v>0</v>
      </c>
      <c r="AD648" s="341">
        <f>VLOOKUP(D648:D1086,Pacífico!$A$32:$S$105,19,FALSE)</f>
        <v>2</v>
      </c>
      <c r="AE648" s="353"/>
      <c r="AF648" s="342">
        <f t="shared" si="55"/>
        <v>109792000</v>
      </c>
      <c r="AG648" s="57" t="s">
        <v>27</v>
      </c>
      <c r="AH648" s="58">
        <f t="shared" si="56"/>
        <v>0</v>
      </c>
    </row>
    <row r="649" spans="1:34" ht="16.5" x14ac:dyDescent="0.3">
      <c r="A649" s="134" t="s">
        <v>28</v>
      </c>
      <c r="B649" s="26" t="s">
        <v>902</v>
      </c>
      <c r="C649" s="145" t="s">
        <v>418</v>
      </c>
      <c r="D649" s="112" t="s">
        <v>903</v>
      </c>
      <c r="E649" s="35">
        <v>303842</v>
      </c>
      <c r="F649" s="33" t="s">
        <v>31</v>
      </c>
      <c r="G649" s="37">
        <v>44588</v>
      </c>
      <c r="H649" s="62">
        <v>187462000</v>
      </c>
      <c r="I649" s="49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66"/>
      <c r="U649" s="50"/>
      <c r="V649" s="50"/>
      <c r="W649" s="50"/>
      <c r="X649" s="50"/>
      <c r="Y649" s="50"/>
      <c r="Z649" s="51"/>
      <c r="AA649" s="15"/>
      <c r="AB649" s="16">
        <f t="shared" si="53"/>
        <v>0</v>
      </c>
      <c r="AC649" s="295">
        <f t="shared" si="54"/>
        <v>0</v>
      </c>
      <c r="AD649" s="341">
        <f>VLOOKUP(D649:D1087,Pacífico!$A$32:$S$105,19,FALSE)</f>
        <v>2</v>
      </c>
      <c r="AE649" s="353"/>
      <c r="AF649" s="342">
        <f t="shared" si="55"/>
        <v>187462000</v>
      </c>
      <c r="AG649" s="57" t="s">
        <v>27</v>
      </c>
      <c r="AH649" s="58">
        <f t="shared" si="56"/>
        <v>0</v>
      </c>
    </row>
    <row r="650" spans="1:34" ht="16.5" x14ac:dyDescent="0.3">
      <c r="A650" s="134" t="s">
        <v>28</v>
      </c>
      <c r="B650" s="26" t="s">
        <v>964</v>
      </c>
      <c r="C650" s="145" t="s">
        <v>418</v>
      </c>
      <c r="D650" s="112" t="s">
        <v>965</v>
      </c>
      <c r="E650" s="35">
        <v>303792</v>
      </c>
      <c r="F650" s="33" t="s">
        <v>452</v>
      </c>
      <c r="G650" s="37">
        <v>44588</v>
      </c>
      <c r="H650" s="62">
        <v>149300000</v>
      </c>
      <c r="I650" s="49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66"/>
      <c r="U650" s="50"/>
      <c r="V650" s="50"/>
      <c r="W650" s="50"/>
      <c r="X650" s="50"/>
      <c r="Y650" s="50"/>
      <c r="Z650" s="51"/>
      <c r="AA650" s="15"/>
      <c r="AB650" s="16">
        <f t="shared" si="53"/>
        <v>0</v>
      </c>
      <c r="AC650" s="295">
        <f t="shared" si="54"/>
        <v>0</v>
      </c>
      <c r="AD650" s="341">
        <f>VLOOKUP(D650:D1088,Pacífico!$A$32:$S$105,19,FALSE)</f>
        <v>2</v>
      </c>
      <c r="AE650" s="353"/>
      <c r="AF650" s="342">
        <f t="shared" si="55"/>
        <v>149300000</v>
      </c>
      <c r="AG650" s="57" t="s">
        <v>27</v>
      </c>
      <c r="AH650" s="58">
        <f t="shared" si="56"/>
        <v>0</v>
      </c>
    </row>
    <row r="651" spans="1:34" ht="16.5" x14ac:dyDescent="0.3">
      <c r="A651" s="134" t="s">
        <v>28</v>
      </c>
      <c r="B651" s="26" t="s">
        <v>976</v>
      </c>
      <c r="C651" s="145" t="s">
        <v>418</v>
      </c>
      <c r="D651" s="112" t="s">
        <v>977</v>
      </c>
      <c r="E651" s="35">
        <v>303524</v>
      </c>
      <c r="F651" s="33" t="s">
        <v>31</v>
      </c>
      <c r="G651" s="37">
        <v>44588</v>
      </c>
      <c r="H651" s="62">
        <v>186873000</v>
      </c>
      <c r="I651" s="49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66"/>
      <c r="U651" s="50"/>
      <c r="V651" s="50"/>
      <c r="W651" s="50"/>
      <c r="X651" s="50"/>
      <c r="Y651" s="50"/>
      <c r="Z651" s="51"/>
      <c r="AA651" s="15"/>
      <c r="AB651" s="16">
        <f t="shared" si="53"/>
        <v>0</v>
      </c>
      <c r="AC651" s="295">
        <f t="shared" si="54"/>
        <v>0</v>
      </c>
      <c r="AD651" s="341">
        <f>VLOOKUP(D651:D1089,Pacífico!$A$32:$S$105,19,FALSE)</f>
        <v>2</v>
      </c>
      <c r="AE651" s="353"/>
      <c r="AF651" s="342">
        <f t="shared" si="55"/>
        <v>186873000</v>
      </c>
      <c r="AG651" s="57" t="s">
        <v>27</v>
      </c>
      <c r="AH651" s="58">
        <f t="shared" si="56"/>
        <v>0</v>
      </c>
    </row>
    <row r="652" spans="1:34" ht="16.5" x14ac:dyDescent="0.3">
      <c r="A652" s="134" t="s">
        <v>28</v>
      </c>
      <c r="B652" s="23" t="s">
        <v>1343</v>
      </c>
      <c r="C652" s="145" t="s">
        <v>418</v>
      </c>
      <c r="D652" s="112" t="s">
        <v>1344</v>
      </c>
      <c r="E652" s="35">
        <v>303767</v>
      </c>
      <c r="F652" s="32" t="s">
        <v>31</v>
      </c>
      <c r="G652" s="37">
        <v>44600</v>
      </c>
      <c r="H652" s="61">
        <v>199894000</v>
      </c>
      <c r="I652" s="49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66"/>
      <c r="U652" s="50"/>
      <c r="V652" s="50"/>
      <c r="W652" s="50"/>
      <c r="X652" s="50"/>
      <c r="Y652" s="50"/>
      <c r="Z652" s="51"/>
      <c r="AA652" s="15"/>
      <c r="AB652" s="16">
        <f t="shared" si="53"/>
        <v>0</v>
      </c>
      <c r="AC652" s="295">
        <f t="shared" si="54"/>
        <v>0</v>
      </c>
      <c r="AD652" s="341">
        <f>VLOOKUP(D652:D1090,Pacífico!$A$32:$S$105,19,FALSE)</f>
        <v>2</v>
      </c>
      <c r="AE652" s="353"/>
      <c r="AF652" s="342">
        <f t="shared" si="55"/>
        <v>199894000</v>
      </c>
      <c r="AG652" s="57" t="s">
        <v>27</v>
      </c>
      <c r="AH652" s="58">
        <f t="shared" si="56"/>
        <v>0</v>
      </c>
    </row>
    <row r="653" spans="1:34" ht="16.5" x14ac:dyDescent="0.3">
      <c r="A653" s="134" t="s">
        <v>28</v>
      </c>
      <c r="B653" s="26" t="s">
        <v>1349</v>
      </c>
      <c r="C653" s="145" t="s">
        <v>418</v>
      </c>
      <c r="D653" s="112" t="s">
        <v>1350</v>
      </c>
      <c r="E653" s="35">
        <v>303891</v>
      </c>
      <c r="F653" s="33" t="s">
        <v>81</v>
      </c>
      <c r="G653" s="37">
        <v>44600</v>
      </c>
      <c r="H653" s="62">
        <v>193928000</v>
      </c>
      <c r="I653" s="49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66"/>
      <c r="U653" s="50"/>
      <c r="V653" s="50"/>
      <c r="W653" s="50"/>
      <c r="X653" s="50"/>
      <c r="Y653" s="50"/>
      <c r="Z653" s="51"/>
      <c r="AA653" s="15"/>
      <c r="AB653" s="16">
        <f t="shared" si="53"/>
        <v>0</v>
      </c>
      <c r="AC653" s="295">
        <f t="shared" si="54"/>
        <v>0</v>
      </c>
      <c r="AD653" s="341">
        <f>VLOOKUP(D653:D1091,Pacífico!$A$32:$S$105,19,FALSE)</f>
        <v>2</v>
      </c>
      <c r="AE653" s="353"/>
      <c r="AF653" s="342">
        <f t="shared" si="55"/>
        <v>193928000</v>
      </c>
      <c r="AG653" s="57" t="s">
        <v>27</v>
      </c>
      <c r="AH653" s="58">
        <f t="shared" si="56"/>
        <v>0</v>
      </c>
    </row>
    <row r="654" spans="1:34" ht="16.5" x14ac:dyDescent="0.3">
      <c r="A654" s="134" t="s">
        <v>49</v>
      </c>
      <c r="B654" s="26" t="s">
        <v>701</v>
      </c>
      <c r="C654" s="145" t="s">
        <v>418</v>
      </c>
      <c r="D654" s="112" t="s">
        <v>702</v>
      </c>
      <c r="E654" s="35">
        <v>303235</v>
      </c>
      <c r="F654" s="33" t="s">
        <v>125</v>
      </c>
      <c r="G654" s="37">
        <v>44544</v>
      </c>
      <c r="H654" s="62">
        <v>175000000</v>
      </c>
      <c r="I654" s="49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66"/>
      <c r="U654" s="50"/>
      <c r="V654" s="50"/>
      <c r="W654" s="50"/>
      <c r="X654" s="50"/>
      <c r="Y654" s="50"/>
      <c r="Z654" s="51"/>
      <c r="AA654" s="15"/>
      <c r="AB654" s="16">
        <f t="shared" si="53"/>
        <v>0</v>
      </c>
      <c r="AC654" s="295">
        <f t="shared" si="54"/>
        <v>0</v>
      </c>
      <c r="AD654" s="341">
        <f>VLOOKUP(D654:D1120,Santanderes!$A$21:$S$54,19,FALSE)</f>
        <v>3</v>
      </c>
      <c r="AE654" s="353"/>
      <c r="AF654" s="342">
        <f t="shared" si="55"/>
        <v>175000000</v>
      </c>
      <c r="AG654" s="57" t="s">
        <v>27</v>
      </c>
      <c r="AH654" s="58">
        <f t="shared" si="56"/>
        <v>0</v>
      </c>
    </row>
    <row r="655" spans="1:34" ht="16.5" x14ac:dyDescent="0.3">
      <c r="A655" s="134" t="s">
        <v>49</v>
      </c>
      <c r="B655" s="26" t="s">
        <v>1278</v>
      </c>
      <c r="C655" s="145" t="s">
        <v>418</v>
      </c>
      <c r="D655" s="112" t="s">
        <v>1279</v>
      </c>
      <c r="E655" s="35">
        <v>402773</v>
      </c>
      <c r="F655" s="33" t="s">
        <v>125</v>
      </c>
      <c r="G655" s="37">
        <v>44588</v>
      </c>
      <c r="H655" s="62">
        <v>150000000</v>
      </c>
      <c r="I655" s="49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66"/>
      <c r="U655" s="50"/>
      <c r="V655" s="50"/>
      <c r="W655" s="50"/>
      <c r="X655" s="50"/>
      <c r="Y655" s="50"/>
      <c r="Z655" s="51"/>
      <c r="AA655" s="15"/>
      <c r="AB655" s="16">
        <f t="shared" si="53"/>
        <v>0</v>
      </c>
      <c r="AC655" s="295">
        <f t="shared" si="54"/>
        <v>0</v>
      </c>
      <c r="AD655" s="341">
        <f>VLOOKUP(D655:D1121,Santanderes!$A$21:$S$54,19,FALSE)</f>
        <v>3</v>
      </c>
      <c r="AE655" s="353"/>
      <c r="AF655" s="342">
        <f t="shared" si="55"/>
        <v>150000000</v>
      </c>
      <c r="AG655" s="57" t="s">
        <v>27</v>
      </c>
      <c r="AH655" s="58">
        <f t="shared" si="56"/>
        <v>0</v>
      </c>
    </row>
    <row r="656" spans="1:34" ht="16.5" x14ac:dyDescent="0.3">
      <c r="A656" s="134" t="s">
        <v>49</v>
      </c>
      <c r="B656" s="26" t="s">
        <v>1280</v>
      </c>
      <c r="C656" s="145" t="s">
        <v>418</v>
      </c>
      <c r="D656" s="112" t="s">
        <v>1281</v>
      </c>
      <c r="E656" s="35">
        <v>303871</v>
      </c>
      <c r="F656" s="33" t="s">
        <v>690</v>
      </c>
      <c r="G656" s="37">
        <v>44588</v>
      </c>
      <c r="H656" s="62">
        <v>200000000</v>
      </c>
      <c r="I656" s="49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66"/>
      <c r="U656" s="50"/>
      <c r="V656" s="50"/>
      <c r="W656" s="50"/>
      <c r="X656" s="50"/>
      <c r="Y656" s="50"/>
      <c r="Z656" s="51"/>
      <c r="AA656" s="15"/>
      <c r="AB656" s="16">
        <f t="shared" si="53"/>
        <v>0</v>
      </c>
      <c r="AC656" s="295">
        <f t="shared" si="54"/>
        <v>0</v>
      </c>
      <c r="AD656" s="341">
        <f>VLOOKUP(D656:D1122,Santanderes!$A$21:$S$54,19,FALSE)</f>
        <v>3</v>
      </c>
      <c r="AE656" s="353"/>
      <c r="AF656" s="342">
        <f t="shared" si="55"/>
        <v>200000000</v>
      </c>
      <c r="AG656" s="57" t="s">
        <v>27</v>
      </c>
      <c r="AH656" s="58">
        <f t="shared" si="56"/>
        <v>0</v>
      </c>
    </row>
    <row r="657" spans="1:34" ht="16.5" x14ac:dyDescent="0.3">
      <c r="A657" s="134" t="s">
        <v>49</v>
      </c>
      <c r="B657" s="23" t="s">
        <v>1286</v>
      </c>
      <c r="C657" s="145" t="s">
        <v>418</v>
      </c>
      <c r="D657" s="112" t="s">
        <v>1287</v>
      </c>
      <c r="E657" s="35">
        <v>303451</v>
      </c>
      <c r="F657" s="32" t="s">
        <v>125</v>
      </c>
      <c r="G657" s="37">
        <v>44588</v>
      </c>
      <c r="H657" s="64">
        <v>190000000</v>
      </c>
      <c r="I657" s="49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66"/>
      <c r="U657" s="50"/>
      <c r="V657" s="50"/>
      <c r="W657" s="50"/>
      <c r="X657" s="50"/>
      <c r="Y657" s="50"/>
      <c r="Z657" s="51"/>
      <c r="AA657" s="15"/>
      <c r="AB657" s="16">
        <f t="shared" si="53"/>
        <v>0</v>
      </c>
      <c r="AC657" s="295">
        <f t="shared" si="54"/>
        <v>0</v>
      </c>
      <c r="AD657" s="341">
        <f>VLOOKUP(D657:D1123,Santanderes!$A$21:$S$54,19,FALSE)</f>
        <v>3</v>
      </c>
      <c r="AE657" s="353"/>
      <c r="AF657" s="342">
        <f t="shared" si="55"/>
        <v>190000000</v>
      </c>
      <c r="AG657" s="57" t="s">
        <v>27</v>
      </c>
      <c r="AH657" s="58">
        <f t="shared" si="56"/>
        <v>0</v>
      </c>
    </row>
    <row r="658" spans="1:34" ht="17.25" thickBot="1" x14ac:dyDescent="0.35">
      <c r="A658" s="136" t="s">
        <v>49</v>
      </c>
      <c r="B658" s="137" t="s">
        <v>1365</v>
      </c>
      <c r="C658" s="299" t="s">
        <v>418</v>
      </c>
      <c r="D658" s="138" t="s">
        <v>1366</v>
      </c>
      <c r="E658" s="300">
        <v>303913</v>
      </c>
      <c r="F658" s="185" t="s">
        <v>690</v>
      </c>
      <c r="G658" s="139">
        <v>44600</v>
      </c>
      <c r="H658" s="301">
        <v>200000000</v>
      </c>
      <c r="I658" s="52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259"/>
      <c r="U658" s="53"/>
      <c r="V658" s="53"/>
      <c r="W658" s="53"/>
      <c r="X658" s="53"/>
      <c r="Y658" s="53"/>
      <c r="Z658" s="54"/>
      <c r="AA658" s="140"/>
      <c r="AB658" s="141">
        <f t="shared" si="53"/>
        <v>0</v>
      </c>
      <c r="AC658" s="295">
        <f t="shared" si="54"/>
        <v>0</v>
      </c>
      <c r="AD658" s="341">
        <f>VLOOKUP(D658:D1124,Santanderes!$A$21:$S$54,19,FALSE)</f>
        <v>4</v>
      </c>
      <c r="AE658" s="354"/>
      <c r="AF658" s="350">
        <f t="shared" si="55"/>
        <v>200000000</v>
      </c>
      <c r="AG658" s="59" t="s">
        <v>27</v>
      </c>
      <c r="AH658" s="60">
        <f t="shared" si="56"/>
        <v>0</v>
      </c>
    </row>
    <row r="659" spans="1:34" ht="16.5" x14ac:dyDescent="0.3">
      <c r="A659" s="168"/>
      <c r="B659" s="169"/>
      <c r="C659" s="169"/>
      <c r="D659" s="170"/>
      <c r="E659" s="170"/>
      <c r="F659" s="168"/>
      <c r="G659" s="171"/>
      <c r="H659" s="172"/>
      <c r="I659" s="296">
        <f t="shared" ref="I659:U659" si="57">SUM(I183:I658)</f>
        <v>0</v>
      </c>
      <c r="J659" s="296">
        <f t="shared" si="57"/>
        <v>0</v>
      </c>
      <c r="K659" s="296">
        <f t="shared" si="57"/>
        <v>0</v>
      </c>
      <c r="L659" s="296">
        <f t="shared" si="57"/>
        <v>0</v>
      </c>
      <c r="M659" s="296">
        <f t="shared" si="57"/>
        <v>0</v>
      </c>
      <c r="N659" s="296">
        <f t="shared" si="57"/>
        <v>0</v>
      </c>
      <c r="O659" s="296">
        <f t="shared" si="57"/>
        <v>0</v>
      </c>
      <c r="P659" s="296">
        <f t="shared" si="57"/>
        <v>0</v>
      </c>
      <c r="Q659" s="296">
        <f t="shared" si="57"/>
        <v>0</v>
      </c>
      <c r="R659" s="296">
        <f t="shared" si="57"/>
        <v>7328500</v>
      </c>
      <c r="S659" s="296">
        <f t="shared" si="57"/>
        <v>93157000</v>
      </c>
      <c r="T659" s="296">
        <f t="shared" si="57"/>
        <v>519210000</v>
      </c>
      <c r="U659" s="296">
        <f t="shared" si="57"/>
        <v>757173753</v>
      </c>
      <c r="V659" s="296">
        <f>SUM(V181:V658)</f>
        <v>1954156418.0999999</v>
      </c>
      <c r="W659" s="296">
        <f>SUBTOTAL(9,W181:W658)</f>
        <v>2509714826.8400002</v>
      </c>
      <c r="X659" s="296">
        <f>SUM(X181:X658)</f>
        <v>5018864280.3699999</v>
      </c>
      <c r="Y659" s="296">
        <f>SUM(Y178:Y658)</f>
        <v>0</v>
      </c>
      <c r="Z659" s="296">
        <f>SUM(Z178:Z658)</f>
        <v>0</v>
      </c>
      <c r="AA659" s="296">
        <f>SUM(AA178:AA658)</f>
        <v>314139900</v>
      </c>
      <c r="AB659" s="296">
        <f>SUM(AB178:AB658)</f>
        <v>32993585631.579998</v>
      </c>
    </row>
    <row r="660" spans="1:34" x14ac:dyDescent="0.25">
      <c r="A660" s="177"/>
      <c r="B660" s="178"/>
      <c r="C660" s="178"/>
      <c r="D660" s="177"/>
      <c r="E660" s="177"/>
      <c r="F660" s="178"/>
      <c r="G660" s="177"/>
      <c r="H660" s="177"/>
      <c r="I660" s="179">
        <f t="shared" ref="I660:Z660" si="58">I659+I180</f>
        <v>127000000</v>
      </c>
      <c r="J660" s="179">
        <f t="shared" si="58"/>
        <v>592250000</v>
      </c>
      <c r="K660" s="179">
        <f t="shared" si="58"/>
        <v>496397763</v>
      </c>
      <c r="L660" s="179">
        <f t="shared" si="58"/>
        <v>510606907.72999996</v>
      </c>
      <c r="M660" s="179">
        <f t="shared" si="58"/>
        <v>1071605351.27</v>
      </c>
      <c r="N660" s="179">
        <f t="shared" si="58"/>
        <v>1836394450.47</v>
      </c>
      <c r="O660" s="179">
        <f t="shared" si="58"/>
        <v>1173319748.0500002</v>
      </c>
      <c r="P660" s="179">
        <f t="shared" si="58"/>
        <v>1455584947.6599998</v>
      </c>
      <c r="Q660" s="179">
        <f t="shared" si="58"/>
        <v>1465736230.2700002</v>
      </c>
      <c r="R660" s="179">
        <f t="shared" si="58"/>
        <v>1798949253.7999997</v>
      </c>
      <c r="S660" s="179">
        <f t="shared" si="58"/>
        <v>1731115282.9899998</v>
      </c>
      <c r="T660" s="179">
        <f t="shared" si="58"/>
        <v>3197846369.7099996</v>
      </c>
      <c r="U660" s="179">
        <f t="shared" si="58"/>
        <v>1892735248.3800001</v>
      </c>
      <c r="V660" s="179">
        <f t="shared" si="58"/>
        <v>3959134101.5599999</v>
      </c>
      <c r="W660" s="179">
        <f t="shared" si="58"/>
        <v>4354598074.9099998</v>
      </c>
      <c r="X660" s="179">
        <f t="shared" si="58"/>
        <v>6867181538.7799997</v>
      </c>
      <c r="Y660" s="179">
        <f t="shared" si="58"/>
        <v>0</v>
      </c>
      <c r="Z660" s="179">
        <f t="shared" si="58"/>
        <v>0</v>
      </c>
      <c r="AA660" s="178"/>
      <c r="AB660" s="178"/>
    </row>
    <row r="663" spans="1:34" x14ac:dyDescent="0.25">
      <c r="O663" s="173"/>
      <c r="T663" s="132"/>
      <c r="U663" s="132"/>
      <c r="AF663" s="174"/>
    </row>
    <row r="667" spans="1:34" x14ac:dyDescent="0.25">
      <c r="H667" s="186"/>
    </row>
    <row r="668" spans="1:34" x14ac:dyDescent="0.25">
      <c r="H668" s="186"/>
    </row>
    <row r="669" spans="1:34" x14ac:dyDescent="0.25">
      <c r="H669" s="193"/>
    </row>
    <row r="672" spans="1:34" x14ac:dyDescent="0.25">
      <c r="H672" s="193"/>
    </row>
  </sheetData>
  <autoFilter ref="A1:AH660" xr:uid="{00000000-0009-0000-0000-000000000000}">
    <sortState xmlns:xlrd2="http://schemas.microsoft.com/office/spreadsheetml/2017/richdata2" ref="A2:AH179">
      <sortCondition descending="1" ref="AC1:AC660"/>
    </sortState>
  </autoFilter>
  <conditionalFormatting sqref="D148">
    <cfRule type="duplicateValues" dxfId="80" priority="35"/>
  </conditionalFormatting>
  <conditionalFormatting sqref="D179:E179 D183:E658">
    <cfRule type="duplicateValues" dxfId="79" priority="110"/>
  </conditionalFormatting>
  <conditionalFormatting sqref="AC2:AC179">
    <cfRule type="colorScale" priority="117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118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119">
      <colorScale>
        <cfvo type="percent" val="0"/>
        <cfvo type="percent" val="100"/>
        <color rgb="FFFF0000"/>
        <color rgb="FF33CC33"/>
      </colorScale>
    </cfRule>
    <cfRule type="colorScale" priority="120">
      <colorScale>
        <cfvo type="min"/>
        <cfvo type="max"/>
        <color rgb="FFFF0000"/>
        <color rgb="FFF6FC08"/>
      </colorScale>
    </cfRule>
  </conditionalFormatting>
  <conditionalFormatting sqref="D659:E659">
    <cfRule type="duplicateValues" dxfId="78" priority="34"/>
  </conditionalFormatting>
  <conditionalFormatting sqref="D174">
    <cfRule type="duplicateValues" dxfId="77" priority="29"/>
  </conditionalFormatting>
  <conditionalFormatting sqref="D163">
    <cfRule type="duplicateValues" dxfId="76" priority="24"/>
  </conditionalFormatting>
  <conditionalFormatting sqref="D178:E178 D149:D162 D164:D173 D108:D147 D175:D177 D2:E97 D180:E180 E108:E177">
    <cfRule type="duplicateValues" dxfId="75" priority="130"/>
  </conditionalFormatting>
  <conditionalFormatting sqref="AC181:AC658">
    <cfRule type="colorScale" priority="2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3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4">
      <colorScale>
        <cfvo type="percent" val="0"/>
        <cfvo type="percent" val="100"/>
        <color rgb="FFFF0000"/>
        <color rgb="FF33CC33"/>
      </colorScale>
    </cfRule>
    <cfRule type="colorScale" priority="5">
      <colorScale>
        <cfvo type="min"/>
        <cfvo type="max"/>
        <color rgb="FFFF0000"/>
        <color rgb="FFF6FC08"/>
      </colorScale>
    </cfRule>
  </conditionalFormatting>
  <conditionalFormatting sqref="E181:E182 D98:E107">
    <cfRule type="duplicateValues" dxfId="74" priority="6"/>
  </conditionalFormatting>
  <conditionalFormatting sqref="D181:D182">
    <cfRule type="duplicateValues" dxfId="73" priority="1"/>
  </conditionalFormatting>
  <pageMargins left="0.51181102362204722" right="0.51181102362204722" top="0.94488188976377963" bottom="0.15748031496062992" header="0.31496062992125984" footer="0.31496062992125984"/>
  <pageSetup scale="65" orientation="portrait" r:id="rId1"/>
  <headerFooter>
    <oddHeader>&amp;L&amp;G&amp;C&amp;G</oddHeader>
  </headerFooter>
  <ignoredErrors>
    <ignoredError sqref="AH659:AH660 AH1:AH2 I180 L180:M180 W180 J180 K180 X180:Z180 N180:U180 R659 AB180 AB659 AH180 AB181:AB658 AB2:AB179 AH3:AH179" formulaRange="1"/>
    <ignoredError sqref="U659 AD183:AD200 AD212:AD215 AD230 AD284:AD377" formula="1"/>
    <ignoredError sqref="V180" formula="1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125"/>
  <sheetViews>
    <sheetView zoomScale="70" zoomScaleNormal="70" workbookViewId="0">
      <pane xSplit="3" ySplit="2" topLeftCell="D90" activePane="bottomRight" state="frozen"/>
      <selection pane="topRight" activeCell="D1" sqref="D1"/>
      <selection pane="bottomLeft" activeCell="A2" sqref="A2"/>
      <selection pane="bottomRight" activeCell="F97" sqref="F97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57.7109375" customWidth="1"/>
    <col min="4" max="18" width="14.5703125" customWidth="1"/>
    <col min="19" max="21" width="17.140625" customWidth="1"/>
  </cols>
  <sheetData>
    <row r="1" spans="1:21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</row>
    <row r="2" spans="1:21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>
        <v>44713</v>
      </c>
      <c r="R2" s="336">
        <v>44743</v>
      </c>
      <c r="S2" s="232" t="s">
        <v>1424</v>
      </c>
      <c r="T2" s="217" t="s">
        <v>1419</v>
      </c>
      <c r="U2" s="165" t="s">
        <v>1418</v>
      </c>
    </row>
    <row r="3" spans="1:21" ht="16.5" x14ac:dyDescent="0.3">
      <c r="A3" s="29" t="s">
        <v>292</v>
      </c>
      <c r="B3" s="10" t="s">
        <v>1377</v>
      </c>
      <c r="C3" s="23" t="s">
        <v>291</v>
      </c>
      <c r="D3" s="7">
        <v>0</v>
      </c>
      <c r="E3" s="7">
        <v>0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0</v>
      </c>
      <c r="L3" s="7">
        <v>0</v>
      </c>
      <c r="M3" s="7">
        <v>1</v>
      </c>
      <c r="N3" s="7">
        <v>1</v>
      </c>
      <c r="O3" s="7">
        <v>1</v>
      </c>
      <c r="P3" s="7">
        <v>1</v>
      </c>
      <c r="Q3" s="7">
        <v>1</v>
      </c>
      <c r="R3" s="7">
        <v>1</v>
      </c>
      <c r="S3" s="9">
        <f>SUM(D3:Q3)</f>
        <v>10</v>
      </c>
      <c r="T3" s="213">
        <f>SUM(R3)</f>
        <v>1</v>
      </c>
      <c r="U3" s="214">
        <f>S3+T3</f>
        <v>11</v>
      </c>
    </row>
    <row r="4" spans="1:21" ht="16.5" x14ac:dyDescent="0.3">
      <c r="A4" s="30" t="s">
        <v>30</v>
      </c>
      <c r="B4" s="10" t="s">
        <v>1377</v>
      </c>
      <c r="C4" s="23" t="s">
        <v>29</v>
      </c>
      <c r="D4" s="7">
        <v>0</v>
      </c>
      <c r="E4" s="7">
        <v>0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0</v>
      </c>
      <c r="L4" s="7">
        <v>0</v>
      </c>
      <c r="M4" s="7">
        <v>1</v>
      </c>
      <c r="N4" s="7">
        <v>1</v>
      </c>
      <c r="O4" s="7">
        <v>1</v>
      </c>
      <c r="P4" s="7">
        <v>1</v>
      </c>
      <c r="Q4" s="7">
        <v>1</v>
      </c>
      <c r="R4" s="7">
        <v>1</v>
      </c>
      <c r="S4" s="9">
        <f t="shared" ref="S4:S28" si="0">SUM(D4:Q4)</f>
        <v>10</v>
      </c>
      <c r="T4" s="213">
        <f t="shared" ref="T4:T28" si="1">SUM(R4)</f>
        <v>1</v>
      </c>
      <c r="U4" s="215">
        <f t="shared" ref="U4:U29" si="2">S4+T4</f>
        <v>11</v>
      </c>
    </row>
    <row r="5" spans="1:21" ht="16.5" x14ac:dyDescent="0.3">
      <c r="A5" s="30" t="s">
        <v>366</v>
      </c>
      <c r="B5" s="10" t="s">
        <v>1377</v>
      </c>
      <c r="C5" s="23" t="s">
        <v>365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0</v>
      </c>
      <c r="L5" s="7">
        <v>0</v>
      </c>
      <c r="M5" s="7">
        <v>1</v>
      </c>
      <c r="N5" s="7">
        <v>1</v>
      </c>
      <c r="O5" s="7">
        <v>1</v>
      </c>
      <c r="P5" s="7">
        <v>1</v>
      </c>
      <c r="Q5" s="7">
        <v>1</v>
      </c>
      <c r="R5" s="7">
        <v>1</v>
      </c>
      <c r="S5" s="9">
        <f t="shared" si="0"/>
        <v>10</v>
      </c>
      <c r="T5" s="213">
        <f t="shared" si="1"/>
        <v>1</v>
      </c>
      <c r="U5" s="215">
        <f t="shared" si="2"/>
        <v>11</v>
      </c>
    </row>
    <row r="6" spans="1:21" ht="16.5" x14ac:dyDescent="0.3">
      <c r="A6" s="30" t="s">
        <v>133</v>
      </c>
      <c r="B6" s="10" t="s">
        <v>1377</v>
      </c>
      <c r="C6" s="23" t="s">
        <v>132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0</v>
      </c>
      <c r="L6" s="7">
        <v>0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9">
        <f t="shared" si="0"/>
        <v>10</v>
      </c>
      <c r="T6" s="213">
        <f t="shared" si="1"/>
        <v>1</v>
      </c>
      <c r="U6" s="215">
        <f t="shared" si="2"/>
        <v>11</v>
      </c>
    </row>
    <row r="7" spans="1:21" ht="16.5" x14ac:dyDescent="0.3">
      <c r="A7" s="30" t="s">
        <v>75</v>
      </c>
      <c r="B7" s="10" t="s">
        <v>1377</v>
      </c>
      <c r="C7" s="23" t="s">
        <v>74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0</v>
      </c>
      <c r="L7" s="7">
        <v>0</v>
      </c>
      <c r="M7" s="7">
        <v>1</v>
      </c>
      <c r="N7" s="7">
        <v>1</v>
      </c>
      <c r="O7" s="7">
        <v>1</v>
      </c>
      <c r="P7" s="7">
        <v>1</v>
      </c>
      <c r="Q7" s="7">
        <v>1</v>
      </c>
      <c r="R7" s="7">
        <v>1</v>
      </c>
      <c r="S7" s="9">
        <f t="shared" si="0"/>
        <v>10</v>
      </c>
      <c r="T7" s="213">
        <f t="shared" si="1"/>
        <v>1</v>
      </c>
      <c r="U7" s="215">
        <f t="shared" si="2"/>
        <v>11</v>
      </c>
    </row>
    <row r="8" spans="1:21" ht="16.5" x14ac:dyDescent="0.3">
      <c r="A8" s="30" t="s">
        <v>290</v>
      </c>
      <c r="B8" s="10" t="s">
        <v>1377</v>
      </c>
      <c r="C8" s="23" t="s">
        <v>289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0</v>
      </c>
      <c r="L8" s="7">
        <v>0</v>
      </c>
      <c r="M8" s="7">
        <v>1</v>
      </c>
      <c r="N8" s="7">
        <v>1</v>
      </c>
      <c r="O8" s="7">
        <v>1</v>
      </c>
      <c r="P8" s="7">
        <v>1</v>
      </c>
      <c r="Q8" s="7">
        <v>1</v>
      </c>
      <c r="R8" s="7">
        <v>1</v>
      </c>
      <c r="S8" s="9">
        <f t="shared" si="0"/>
        <v>10</v>
      </c>
      <c r="T8" s="213">
        <f t="shared" si="1"/>
        <v>1</v>
      </c>
      <c r="U8" s="215">
        <f t="shared" si="2"/>
        <v>11</v>
      </c>
    </row>
    <row r="9" spans="1:21" ht="16.5" x14ac:dyDescent="0.3">
      <c r="A9" s="30" t="s">
        <v>112</v>
      </c>
      <c r="B9" s="10" t="s">
        <v>1377</v>
      </c>
      <c r="C9" s="23" t="s">
        <v>111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0</v>
      </c>
      <c r="L9" s="7">
        <v>0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9">
        <f t="shared" si="0"/>
        <v>10</v>
      </c>
      <c r="T9" s="213">
        <f t="shared" si="1"/>
        <v>1</v>
      </c>
      <c r="U9" s="215">
        <f t="shared" si="2"/>
        <v>11</v>
      </c>
    </row>
    <row r="10" spans="1:21" ht="16.5" x14ac:dyDescent="0.3">
      <c r="A10" s="30" t="s">
        <v>175</v>
      </c>
      <c r="B10" s="10" t="s">
        <v>1377</v>
      </c>
      <c r="C10" s="25" t="s">
        <v>174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0</v>
      </c>
      <c r="L10" s="7">
        <v>0</v>
      </c>
      <c r="M10" s="7">
        <v>1</v>
      </c>
      <c r="N10" s="7">
        <v>1</v>
      </c>
      <c r="O10" s="7">
        <v>1</v>
      </c>
      <c r="P10" s="7">
        <v>1</v>
      </c>
      <c r="Q10" s="7">
        <v>1</v>
      </c>
      <c r="R10" s="7">
        <v>1</v>
      </c>
      <c r="S10" s="9">
        <f t="shared" si="0"/>
        <v>10</v>
      </c>
      <c r="T10" s="213">
        <f t="shared" si="1"/>
        <v>1</v>
      </c>
      <c r="U10" s="215">
        <f t="shared" si="2"/>
        <v>11</v>
      </c>
    </row>
    <row r="11" spans="1:21" ht="16.5" x14ac:dyDescent="0.3">
      <c r="A11" s="30" t="s">
        <v>358</v>
      </c>
      <c r="B11" s="10" t="s">
        <v>1377</v>
      </c>
      <c r="C11" s="23" t="s">
        <v>357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0</v>
      </c>
      <c r="L11" s="7">
        <v>0</v>
      </c>
      <c r="M11" s="7">
        <v>1</v>
      </c>
      <c r="N11" s="7">
        <v>1</v>
      </c>
      <c r="O11" s="7">
        <v>1</v>
      </c>
      <c r="P11" s="7">
        <v>1</v>
      </c>
      <c r="Q11" s="7">
        <v>1</v>
      </c>
      <c r="R11" s="7">
        <v>1</v>
      </c>
      <c r="S11" s="9">
        <f t="shared" si="0"/>
        <v>10</v>
      </c>
      <c r="T11" s="213">
        <f t="shared" si="1"/>
        <v>1</v>
      </c>
      <c r="U11" s="215">
        <f t="shared" si="2"/>
        <v>11</v>
      </c>
    </row>
    <row r="12" spans="1:21" ht="16.5" x14ac:dyDescent="0.3">
      <c r="A12" s="30" t="s">
        <v>278</v>
      </c>
      <c r="B12" s="10" t="s">
        <v>1377</v>
      </c>
      <c r="C12" s="23" t="s">
        <v>277</v>
      </c>
      <c r="D12" s="7">
        <v>0</v>
      </c>
      <c r="E12" s="7">
        <v>0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0</v>
      </c>
      <c r="L12" s="7">
        <v>0</v>
      </c>
      <c r="M12" s="7">
        <v>1</v>
      </c>
      <c r="N12" s="7">
        <v>1</v>
      </c>
      <c r="O12" s="7">
        <v>1</v>
      </c>
      <c r="P12" s="7">
        <v>1</v>
      </c>
      <c r="Q12" s="7">
        <v>1</v>
      </c>
      <c r="R12" s="7">
        <v>1</v>
      </c>
      <c r="S12" s="9">
        <f t="shared" si="0"/>
        <v>10</v>
      </c>
      <c r="T12" s="213">
        <f t="shared" si="1"/>
        <v>1</v>
      </c>
      <c r="U12" s="215">
        <f t="shared" si="2"/>
        <v>11</v>
      </c>
    </row>
    <row r="13" spans="1:21" ht="16.5" x14ac:dyDescent="0.3">
      <c r="A13" s="30" t="s">
        <v>347</v>
      </c>
      <c r="B13" s="10" t="s">
        <v>1377</v>
      </c>
      <c r="C13" s="23" t="s">
        <v>346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0</v>
      </c>
      <c r="L13" s="7">
        <v>0</v>
      </c>
      <c r="M13" s="7">
        <v>1</v>
      </c>
      <c r="N13" s="7">
        <v>1</v>
      </c>
      <c r="O13" s="7">
        <v>1</v>
      </c>
      <c r="P13" s="7">
        <v>0</v>
      </c>
      <c r="Q13" s="7">
        <v>1</v>
      </c>
      <c r="R13" s="227">
        <v>1</v>
      </c>
      <c r="S13" s="9">
        <f>SUM(D13:R13)</f>
        <v>10</v>
      </c>
      <c r="T13" s="213">
        <v>0</v>
      </c>
      <c r="U13" s="215">
        <f t="shared" si="2"/>
        <v>10</v>
      </c>
    </row>
    <row r="14" spans="1:21" ht="16.5" x14ac:dyDescent="0.3">
      <c r="A14" s="30" t="s">
        <v>288</v>
      </c>
      <c r="B14" s="10" t="s">
        <v>1377</v>
      </c>
      <c r="C14" s="23" t="s">
        <v>287</v>
      </c>
      <c r="D14" s="7">
        <v>0</v>
      </c>
      <c r="E14" s="7">
        <v>0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0</v>
      </c>
      <c r="L14" s="7">
        <v>0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>
        <v>1</v>
      </c>
      <c r="S14" s="9">
        <f t="shared" si="0"/>
        <v>10</v>
      </c>
      <c r="T14" s="213">
        <f t="shared" si="1"/>
        <v>1</v>
      </c>
      <c r="U14" s="215">
        <f t="shared" si="2"/>
        <v>11</v>
      </c>
    </row>
    <row r="15" spans="1:21" ht="16.5" x14ac:dyDescent="0.3">
      <c r="A15" s="30" t="s">
        <v>410</v>
      </c>
      <c r="B15" s="10" t="s">
        <v>1377</v>
      </c>
      <c r="C15" s="26" t="s">
        <v>409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0</v>
      </c>
      <c r="L15" s="7">
        <v>0</v>
      </c>
      <c r="M15" s="7">
        <v>1</v>
      </c>
      <c r="N15" s="7">
        <v>1</v>
      </c>
      <c r="O15" s="7">
        <v>1</v>
      </c>
      <c r="P15" s="7">
        <v>0</v>
      </c>
      <c r="Q15" s="7">
        <v>1</v>
      </c>
      <c r="R15" s="227">
        <v>1</v>
      </c>
      <c r="S15" s="9">
        <f>SUM(D15:R15)</f>
        <v>10</v>
      </c>
      <c r="T15" s="213">
        <v>0</v>
      </c>
      <c r="U15" s="215">
        <f t="shared" si="2"/>
        <v>10</v>
      </c>
    </row>
    <row r="16" spans="1:21" ht="16.5" x14ac:dyDescent="0.3">
      <c r="A16" s="30" t="s">
        <v>272</v>
      </c>
      <c r="B16" s="10" t="s">
        <v>1377</v>
      </c>
      <c r="C16" s="26" t="s">
        <v>271</v>
      </c>
      <c r="D16" s="7">
        <v>0</v>
      </c>
      <c r="E16" s="7">
        <v>0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0</v>
      </c>
      <c r="L16" s="7">
        <v>0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>
        <v>0</v>
      </c>
      <c r="S16" s="9">
        <f t="shared" si="0"/>
        <v>10</v>
      </c>
      <c r="T16" s="213">
        <f t="shared" si="1"/>
        <v>0</v>
      </c>
      <c r="U16" s="215">
        <f t="shared" si="2"/>
        <v>10</v>
      </c>
    </row>
    <row r="17" spans="1:21" s="12" customFormat="1" ht="16.5" x14ac:dyDescent="0.3">
      <c r="A17" s="30" t="s">
        <v>412</v>
      </c>
      <c r="B17" s="85" t="s">
        <v>1377</v>
      </c>
      <c r="C17" s="26" t="s">
        <v>411</v>
      </c>
      <c r="D17" s="48">
        <v>0</v>
      </c>
      <c r="E17" s="48">
        <v>0</v>
      </c>
      <c r="F17" s="48">
        <v>1</v>
      </c>
      <c r="G17" s="48">
        <v>1</v>
      </c>
      <c r="H17" s="48">
        <v>1</v>
      </c>
      <c r="I17" s="48">
        <v>1</v>
      </c>
      <c r="J17" s="48">
        <v>1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9">
        <f t="shared" si="0"/>
        <v>5</v>
      </c>
      <c r="T17" s="213">
        <f t="shared" si="1"/>
        <v>0</v>
      </c>
      <c r="U17" s="215">
        <f t="shared" si="2"/>
        <v>5</v>
      </c>
    </row>
    <row r="18" spans="1:21" ht="16.5" x14ac:dyDescent="0.3">
      <c r="A18" s="30" t="s">
        <v>249</v>
      </c>
      <c r="B18" s="10" t="s">
        <v>1377</v>
      </c>
      <c r="C18" s="26" t="s">
        <v>248</v>
      </c>
      <c r="D18" s="7">
        <v>0</v>
      </c>
      <c r="E18" s="7">
        <v>0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>
        <v>0</v>
      </c>
      <c r="L18" s="7">
        <v>0</v>
      </c>
      <c r="M18" s="7">
        <v>1</v>
      </c>
      <c r="N18" s="7">
        <v>1</v>
      </c>
      <c r="O18" s="7">
        <v>1</v>
      </c>
      <c r="P18" s="7">
        <v>1</v>
      </c>
      <c r="Q18" s="7">
        <v>1</v>
      </c>
      <c r="R18" s="7">
        <v>0</v>
      </c>
      <c r="S18" s="9">
        <f t="shared" si="0"/>
        <v>10</v>
      </c>
      <c r="T18" s="213">
        <f t="shared" si="1"/>
        <v>0</v>
      </c>
      <c r="U18" s="215">
        <f t="shared" si="2"/>
        <v>10</v>
      </c>
    </row>
    <row r="19" spans="1:21" ht="16.5" x14ac:dyDescent="0.3">
      <c r="A19" s="30" t="s">
        <v>327</v>
      </c>
      <c r="B19" s="10" t="s">
        <v>1377</v>
      </c>
      <c r="C19" s="26" t="s">
        <v>326</v>
      </c>
      <c r="D19" s="7">
        <v>0</v>
      </c>
      <c r="E19" s="7">
        <v>0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0</v>
      </c>
      <c r="L19" s="7">
        <v>0</v>
      </c>
      <c r="M19" s="7">
        <v>1</v>
      </c>
      <c r="N19" s="7">
        <v>1</v>
      </c>
      <c r="O19" s="7">
        <v>1</v>
      </c>
      <c r="P19" s="7">
        <v>1</v>
      </c>
      <c r="Q19" s="7">
        <v>1</v>
      </c>
      <c r="R19" s="7">
        <v>1</v>
      </c>
      <c r="S19" s="9">
        <f>SUM(D19:Q19)</f>
        <v>10</v>
      </c>
      <c r="T19" s="213">
        <f t="shared" si="1"/>
        <v>1</v>
      </c>
      <c r="U19" s="215">
        <f t="shared" si="2"/>
        <v>11</v>
      </c>
    </row>
    <row r="20" spans="1:21" ht="16.5" x14ac:dyDescent="0.3">
      <c r="A20" s="30" t="s">
        <v>329</v>
      </c>
      <c r="B20" s="10" t="s">
        <v>1377</v>
      </c>
      <c r="C20" s="26" t="s">
        <v>328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0</v>
      </c>
      <c r="L20" s="7">
        <v>0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>
        <v>1</v>
      </c>
      <c r="S20" s="9">
        <f t="shared" si="0"/>
        <v>10</v>
      </c>
      <c r="T20" s="213">
        <f t="shared" si="1"/>
        <v>1</v>
      </c>
      <c r="U20" s="215">
        <f t="shared" si="2"/>
        <v>11</v>
      </c>
    </row>
    <row r="21" spans="1:21" ht="16.5" x14ac:dyDescent="0.3">
      <c r="A21" s="30" t="s">
        <v>220</v>
      </c>
      <c r="B21" s="10" t="s">
        <v>1377</v>
      </c>
      <c r="C21" s="26" t="s">
        <v>219</v>
      </c>
      <c r="D21" s="7">
        <v>0</v>
      </c>
      <c r="E21" s="7">
        <v>0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>
        <v>0</v>
      </c>
      <c r="L21" s="7">
        <v>0</v>
      </c>
      <c r="M21" s="7">
        <v>1</v>
      </c>
      <c r="N21" s="7">
        <v>1</v>
      </c>
      <c r="O21" s="7">
        <v>1</v>
      </c>
      <c r="P21" s="7">
        <v>1</v>
      </c>
      <c r="Q21" s="7">
        <v>1</v>
      </c>
      <c r="R21" s="7">
        <v>1</v>
      </c>
      <c r="S21" s="9">
        <f t="shared" si="0"/>
        <v>10</v>
      </c>
      <c r="T21" s="213">
        <f t="shared" si="1"/>
        <v>1</v>
      </c>
      <c r="U21" s="215">
        <f t="shared" si="2"/>
        <v>11</v>
      </c>
    </row>
    <row r="22" spans="1:21" ht="16.5" x14ac:dyDescent="0.3">
      <c r="A22" s="30" t="s">
        <v>408</v>
      </c>
      <c r="B22" s="10" t="s">
        <v>1377</v>
      </c>
      <c r="C22" s="26" t="s">
        <v>407</v>
      </c>
      <c r="D22" s="7">
        <v>0</v>
      </c>
      <c r="E22" s="7">
        <v>0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>
        <v>0</v>
      </c>
      <c r="L22" s="7">
        <v>0</v>
      </c>
      <c r="M22" s="7">
        <v>1</v>
      </c>
      <c r="N22" s="7">
        <v>1</v>
      </c>
      <c r="O22" s="7">
        <v>1</v>
      </c>
      <c r="P22" s="7">
        <v>1</v>
      </c>
      <c r="Q22" s="7">
        <v>1</v>
      </c>
      <c r="R22" s="7">
        <v>1</v>
      </c>
      <c r="S22" s="9">
        <f t="shared" si="0"/>
        <v>10</v>
      </c>
      <c r="T22" s="213">
        <f t="shared" si="1"/>
        <v>1</v>
      </c>
      <c r="U22" s="215">
        <f t="shared" si="2"/>
        <v>11</v>
      </c>
    </row>
    <row r="23" spans="1:21" ht="16.5" x14ac:dyDescent="0.3">
      <c r="A23" s="30" t="s">
        <v>195</v>
      </c>
      <c r="B23" s="10" t="s">
        <v>1377</v>
      </c>
      <c r="C23" s="23" t="s">
        <v>194</v>
      </c>
      <c r="D23" s="7">
        <v>0</v>
      </c>
      <c r="E23" s="7">
        <v>0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>
        <v>0</v>
      </c>
      <c r="L23" s="7">
        <v>0</v>
      </c>
      <c r="M23" s="7">
        <v>1</v>
      </c>
      <c r="N23" s="7">
        <v>1</v>
      </c>
      <c r="O23" s="7">
        <v>1</v>
      </c>
      <c r="P23" s="7">
        <v>1</v>
      </c>
      <c r="Q23" s="7">
        <v>1</v>
      </c>
      <c r="R23" s="7">
        <v>1</v>
      </c>
      <c r="S23" s="9">
        <f t="shared" si="0"/>
        <v>10</v>
      </c>
      <c r="T23" s="213">
        <f t="shared" si="1"/>
        <v>1</v>
      </c>
      <c r="U23" s="215">
        <f t="shared" si="2"/>
        <v>11</v>
      </c>
    </row>
    <row r="24" spans="1:21" ht="16.5" x14ac:dyDescent="0.3">
      <c r="A24" s="30" t="s">
        <v>370</v>
      </c>
      <c r="B24" s="10" t="s">
        <v>1377</v>
      </c>
      <c r="C24" s="26" t="s">
        <v>369</v>
      </c>
      <c r="D24" s="7">
        <v>0</v>
      </c>
      <c r="E24" s="7">
        <v>0</v>
      </c>
      <c r="F24" s="7">
        <v>1</v>
      </c>
      <c r="G24" s="7">
        <v>1</v>
      </c>
      <c r="H24" s="7">
        <v>1</v>
      </c>
      <c r="I24" s="7">
        <v>1</v>
      </c>
      <c r="J24" s="7">
        <v>1</v>
      </c>
      <c r="K24" s="7">
        <v>0</v>
      </c>
      <c r="L24" s="7">
        <v>0</v>
      </c>
      <c r="M24" s="7">
        <v>1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9">
        <f t="shared" si="0"/>
        <v>6</v>
      </c>
      <c r="T24" s="213">
        <f t="shared" si="1"/>
        <v>0</v>
      </c>
      <c r="U24" s="215">
        <f t="shared" si="2"/>
        <v>6</v>
      </c>
    </row>
    <row r="25" spans="1:21" ht="16.5" x14ac:dyDescent="0.3">
      <c r="A25" s="84" t="s">
        <v>80</v>
      </c>
      <c r="B25" s="10" t="s">
        <v>1377</v>
      </c>
      <c r="C25" s="26" t="s">
        <v>79</v>
      </c>
      <c r="D25" s="7">
        <v>0</v>
      </c>
      <c r="E25" s="7">
        <v>0</v>
      </c>
      <c r="F25" s="7">
        <v>1</v>
      </c>
      <c r="G25" s="7">
        <v>1</v>
      </c>
      <c r="H25" s="7">
        <v>1</v>
      </c>
      <c r="I25" s="7">
        <v>1</v>
      </c>
      <c r="J25" s="7">
        <v>1</v>
      </c>
      <c r="K25" s="7">
        <v>0</v>
      </c>
      <c r="L25" s="7">
        <v>0</v>
      </c>
      <c r="M25" s="7">
        <v>1</v>
      </c>
      <c r="N25" s="7">
        <v>1</v>
      </c>
      <c r="O25" s="7">
        <v>1</v>
      </c>
      <c r="P25" s="7">
        <v>1</v>
      </c>
      <c r="Q25" s="7">
        <v>1</v>
      </c>
      <c r="R25" s="7">
        <v>1</v>
      </c>
      <c r="S25" s="9">
        <f t="shared" si="0"/>
        <v>10</v>
      </c>
      <c r="T25" s="213">
        <f t="shared" si="1"/>
        <v>1</v>
      </c>
      <c r="U25" s="215">
        <f t="shared" si="2"/>
        <v>11</v>
      </c>
    </row>
    <row r="26" spans="1:21" ht="16.5" x14ac:dyDescent="0.3">
      <c r="A26" s="30" t="s">
        <v>237</v>
      </c>
      <c r="B26" s="10" t="s">
        <v>1377</v>
      </c>
      <c r="C26" s="27" t="s">
        <v>236</v>
      </c>
      <c r="D26" s="7">
        <v>0</v>
      </c>
      <c r="E26" s="7">
        <v>0</v>
      </c>
      <c r="F26" s="7">
        <v>1</v>
      </c>
      <c r="G26" s="7">
        <v>1</v>
      </c>
      <c r="H26" s="7">
        <v>1</v>
      </c>
      <c r="I26" s="7">
        <v>1</v>
      </c>
      <c r="J26" s="7">
        <v>1</v>
      </c>
      <c r="K26" s="7">
        <v>0</v>
      </c>
      <c r="L26" s="7">
        <v>0</v>
      </c>
      <c r="M26" s="7">
        <v>1</v>
      </c>
      <c r="N26" s="7">
        <v>1</v>
      </c>
      <c r="O26" s="7">
        <v>1</v>
      </c>
      <c r="P26" s="7">
        <v>1</v>
      </c>
      <c r="Q26" s="7">
        <v>1</v>
      </c>
      <c r="R26" s="7">
        <v>1</v>
      </c>
      <c r="S26" s="9">
        <f t="shared" si="0"/>
        <v>10</v>
      </c>
      <c r="T26" s="213">
        <f t="shared" si="1"/>
        <v>1</v>
      </c>
      <c r="U26" s="215">
        <f t="shared" si="2"/>
        <v>11</v>
      </c>
    </row>
    <row r="27" spans="1:21" ht="16.5" x14ac:dyDescent="0.3">
      <c r="A27" s="30" t="s">
        <v>282</v>
      </c>
      <c r="B27" s="10" t="s">
        <v>1377</v>
      </c>
      <c r="C27" s="26" t="s">
        <v>281</v>
      </c>
      <c r="D27" s="7">
        <v>0</v>
      </c>
      <c r="E27" s="7">
        <v>0</v>
      </c>
      <c r="F27" s="7">
        <v>1</v>
      </c>
      <c r="G27" s="7">
        <v>1</v>
      </c>
      <c r="H27" s="7">
        <v>1</v>
      </c>
      <c r="I27" s="7">
        <v>1</v>
      </c>
      <c r="J27" s="7">
        <v>1</v>
      </c>
      <c r="K27" s="7">
        <v>0</v>
      </c>
      <c r="L27" s="7">
        <v>0</v>
      </c>
      <c r="M27" s="7">
        <v>1</v>
      </c>
      <c r="N27" s="7">
        <v>1</v>
      </c>
      <c r="O27" s="7">
        <v>1</v>
      </c>
      <c r="P27" s="7">
        <v>1</v>
      </c>
      <c r="Q27" s="7">
        <v>1</v>
      </c>
      <c r="R27" s="7">
        <v>1</v>
      </c>
      <c r="S27" s="9">
        <f t="shared" si="0"/>
        <v>10</v>
      </c>
      <c r="T27" s="213">
        <f t="shared" si="1"/>
        <v>1</v>
      </c>
      <c r="U27" s="215">
        <f t="shared" si="2"/>
        <v>11</v>
      </c>
    </row>
    <row r="28" spans="1:21" ht="17.25" thickBot="1" x14ac:dyDescent="0.35">
      <c r="A28" s="30" t="s">
        <v>263</v>
      </c>
      <c r="B28" s="10" t="s">
        <v>1377</v>
      </c>
      <c r="C28" s="26" t="s">
        <v>262</v>
      </c>
      <c r="D28" s="7">
        <v>0</v>
      </c>
      <c r="E28" s="7">
        <v>0</v>
      </c>
      <c r="F28" s="7">
        <v>1</v>
      </c>
      <c r="G28" s="7">
        <v>1</v>
      </c>
      <c r="H28" s="7">
        <v>1</v>
      </c>
      <c r="I28" s="7">
        <v>1</v>
      </c>
      <c r="J28" s="7">
        <v>1</v>
      </c>
      <c r="K28" s="7">
        <v>0</v>
      </c>
      <c r="L28" s="7">
        <v>0</v>
      </c>
      <c r="M28" s="7">
        <v>1</v>
      </c>
      <c r="N28" s="7">
        <v>1</v>
      </c>
      <c r="O28" s="195">
        <v>1</v>
      </c>
      <c r="P28" s="195">
        <v>1</v>
      </c>
      <c r="Q28" s="195">
        <v>1</v>
      </c>
      <c r="R28" s="195">
        <v>0</v>
      </c>
      <c r="S28" s="9">
        <f t="shared" si="0"/>
        <v>10</v>
      </c>
      <c r="T28" s="338">
        <f t="shared" si="1"/>
        <v>0</v>
      </c>
      <c r="U28" s="222">
        <f t="shared" si="2"/>
        <v>10</v>
      </c>
    </row>
    <row r="29" spans="1:21" ht="15.75" thickBot="1" x14ac:dyDescent="0.3">
      <c r="C29" s="13" t="s">
        <v>1378</v>
      </c>
      <c r="D29" s="14">
        <f t="shared" ref="D29:Q29" si="3">SUM(D3:D28)</f>
        <v>0</v>
      </c>
      <c r="E29" s="14">
        <f t="shared" si="3"/>
        <v>0</v>
      </c>
      <c r="F29" s="192">
        <f t="shared" si="3"/>
        <v>26</v>
      </c>
      <c r="G29" s="192">
        <f t="shared" si="3"/>
        <v>26</v>
      </c>
      <c r="H29" s="14">
        <f t="shared" si="3"/>
        <v>26</v>
      </c>
      <c r="I29" s="14">
        <f t="shared" si="3"/>
        <v>26</v>
      </c>
      <c r="J29" s="14">
        <f t="shared" si="3"/>
        <v>26</v>
      </c>
      <c r="K29" s="14">
        <f t="shared" si="3"/>
        <v>0</v>
      </c>
      <c r="L29" s="14">
        <f t="shared" si="3"/>
        <v>0</v>
      </c>
      <c r="M29" s="14">
        <f t="shared" si="3"/>
        <v>25</v>
      </c>
      <c r="N29" s="94">
        <f t="shared" si="3"/>
        <v>24</v>
      </c>
      <c r="O29" s="94">
        <f t="shared" si="3"/>
        <v>24</v>
      </c>
      <c r="P29" s="94">
        <f t="shared" si="3"/>
        <v>22</v>
      </c>
      <c r="Q29" s="94">
        <f t="shared" si="3"/>
        <v>24</v>
      </c>
      <c r="R29" s="94">
        <f>SUM(R3:R28)</f>
        <v>21</v>
      </c>
      <c r="S29" s="95">
        <f>SUM(S3:S28)</f>
        <v>251</v>
      </c>
      <c r="T29" s="339">
        <f>SUM(T3:T28)</f>
        <v>19</v>
      </c>
      <c r="U29" s="234">
        <f t="shared" si="2"/>
        <v>270</v>
      </c>
    </row>
    <row r="30" spans="1:21" ht="15" customHeight="1" thickBot="1" x14ac:dyDescent="0.3">
      <c r="T30" s="105"/>
      <c r="U30" s="337">
        <f>SUM(D29:R29)</f>
        <v>270</v>
      </c>
    </row>
    <row r="31" spans="1:21" ht="15.75" thickBot="1" x14ac:dyDescent="0.3">
      <c r="A31" s="368" t="s">
        <v>1379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8"/>
    </row>
    <row r="32" spans="1:21" ht="43.15" customHeight="1" thickBot="1" x14ac:dyDescent="0.3">
      <c r="A32" s="5" t="s">
        <v>3</v>
      </c>
      <c r="B32" s="8" t="s">
        <v>0</v>
      </c>
      <c r="C32" s="4" t="s">
        <v>1</v>
      </c>
      <c r="D32" s="6">
        <v>44531</v>
      </c>
      <c r="E32" s="6">
        <v>44562</v>
      </c>
      <c r="F32" s="6">
        <v>44593</v>
      </c>
      <c r="G32" s="6">
        <v>44621</v>
      </c>
      <c r="H32" s="6">
        <v>44652</v>
      </c>
      <c r="I32" s="6">
        <v>44682</v>
      </c>
      <c r="J32" s="6">
        <v>44713</v>
      </c>
      <c r="K32" s="6">
        <v>44743</v>
      </c>
      <c r="L32" s="6">
        <v>44774</v>
      </c>
      <c r="M32" s="6">
        <v>44805</v>
      </c>
      <c r="N32" s="6">
        <v>44835</v>
      </c>
      <c r="O32" s="6">
        <v>44866</v>
      </c>
      <c r="P32" s="6">
        <v>44896</v>
      </c>
      <c r="Q32" s="6">
        <v>44927</v>
      </c>
      <c r="R32" s="6">
        <v>44958</v>
      </c>
      <c r="S32" s="6" t="s">
        <v>1376</v>
      </c>
      <c r="U32" s="194"/>
    </row>
    <row r="33" spans="1:21" ht="16.5" x14ac:dyDescent="0.3">
      <c r="A33" s="30" t="s">
        <v>885</v>
      </c>
      <c r="B33" s="10" t="s">
        <v>1377</v>
      </c>
      <c r="C33" s="26" t="s">
        <v>884</v>
      </c>
      <c r="D33" s="48">
        <v>1</v>
      </c>
      <c r="E33" s="48"/>
      <c r="F33" s="48"/>
      <c r="G33" s="48"/>
      <c r="H33" s="48"/>
      <c r="I33" s="48"/>
      <c r="J33" s="48">
        <v>1</v>
      </c>
      <c r="K33" s="48">
        <v>1</v>
      </c>
      <c r="L33" s="11"/>
      <c r="M33" s="11"/>
      <c r="N33" s="11"/>
      <c r="O33" s="11"/>
      <c r="P33" s="11"/>
      <c r="Q33" s="11"/>
      <c r="R33" s="11"/>
      <c r="S33" s="9">
        <f>SUM(D33:N33)</f>
        <v>3</v>
      </c>
      <c r="U33" s="194"/>
    </row>
    <row r="34" spans="1:21" ht="16.5" x14ac:dyDescent="0.3">
      <c r="A34" s="30" t="s">
        <v>877</v>
      </c>
      <c r="B34" s="10" t="s">
        <v>1377</v>
      </c>
      <c r="C34" s="26" t="s">
        <v>876</v>
      </c>
      <c r="D34" s="7">
        <v>1</v>
      </c>
      <c r="E34" s="7"/>
      <c r="F34" s="7"/>
      <c r="G34" s="7"/>
      <c r="H34" s="7"/>
      <c r="I34" s="7"/>
      <c r="J34" s="7">
        <v>1</v>
      </c>
      <c r="K34" s="7">
        <v>1</v>
      </c>
      <c r="L34" s="7"/>
      <c r="M34" s="7"/>
      <c r="N34" s="7"/>
      <c r="O34" s="7"/>
      <c r="P34" s="7"/>
      <c r="Q34" s="7"/>
      <c r="R34" s="7"/>
      <c r="S34" s="9">
        <f t="shared" ref="S34:S97" si="4">SUM(D34:N34)</f>
        <v>3</v>
      </c>
    </row>
    <row r="35" spans="1:21" ht="16.5" x14ac:dyDescent="0.3">
      <c r="A35" s="30" t="s">
        <v>875</v>
      </c>
      <c r="B35" s="10" t="s">
        <v>1377</v>
      </c>
      <c r="C35" s="26" t="s">
        <v>874</v>
      </c>
      <c r="D35" s="7">
        <v>1</v>
      </c>
      <c r="E35" s="7"/>
      <c r="F35" s="7"/>
      <c r="G35" s="7"/>
      <c r="H35" s="7"/>
      <c r="I35" s="7"/>
      <c r="J35" s="7">
        <v>1</v>
      </c>
      <c r="K35" s="7">
        <v>1</v>
      </c>
      <c r="L35" s="7"/>
      <c r="M35" s="7"/>
      <c r="N35" s="7"/>
      <c r="O35" s="7"/>
      <c r="P35" s="7"/>
      <c r="Q35" s="7"/>
      <c r="R35" s="7"/>
      <c r="S35" s="9">
        <f t="shared" si="4"/>
        <v>3</v>
      </c>
    </row>
    <row r="36" spans="1:21" ht="16.5" x14ac:dyDescent="0.3">
      <c r="A36" s="30" t="s">
        <v>923</v>
      </c>
      <c r="B36" s="10" t="s">
        <v>1377</v>
      </c>
      <c r="C36" s="26" t="s">
        <v>922</v>
      </c>
      <c r="D36" s="7">
        <v>1</v>
      </c>
      <c r="E36" s="7"/>
      <c r="F36" s="7"/>
      <c r="G36" s="7"/>
      <c r="H36" s="7"/>
      <c r="I36" s="7"/>
      <c r="J36" s="7">
        <v>1</v>
      </c>
      <c r="K36" s="7">
        <v>1</v>
      </c>
      <c r="L36" s="7"/>
      <c r="M36" s="7"/>
      <c r="N36" s="7"/>
      <c r="O36" s="7"/>
      <c r="P36" s="7"/>
      <c r="Q36" s="7"/>
      <c r="R36" s="7"/>
      <c r="S36" s="9">
        <f t="shared" si="4"/>
        <v>3</v>
      </c>
    </row>
    <row r="37" spans="1:21" ht="16.5" x14ac:dyDescent="0.3">
      <c r="A37" s="30" t="s">
        <v>427</v>
      </c>
      <c r="B37" s="10" t="s">
        <v>1377</v>
      </c>
      <c r="C37" s="26" t="s">
        <v>426</v>
      </c>
      <c r="D37" s="7">
        <v>1</v>
      </c>
      <c r="E37" s="7"/>
      <c r="F37" s="7"/>
      <c r="G37" s="7"/>
      <c r="H37" s="7"/>
      <c r="I37" s="7"/>
      <c r="J37" s="7">
        <v>1</v>
      </c>
      <c r="K37" s="227">
        <v>0</v>
      </c>
      <c r="L37" s="7"/>
      <c r="M37" s="7"/>
      <c r="N37" s="7"/>
      <c r="O37" s="7"/>
      <c r="P37" s="7"/>
      <c r="Q37" s="7"/>
      <c r="R37" s="7"/>
      <c r="S37" s="9">
        <f t="shared" si="4"/>
        <v>2</v>
      </c>
    </row>
    <row r="38" spans="1:21" ht="16.5" x14ac:dyDescent="0.3">
      <c r="A38" s="30" t="s">
        <v>957</v>
      </c>
      <c r="B38" s="10" t="s">
        <v>1377</v>
      </c>
      <c r="C38" s="26" t="s">
        <v>956</v>
      </c>
      <c r="D38" s="48">
        <v>1</v>
      </c>
      <c r="E38" s="7"/>
      <c r="F38" s="7"/>
      <c r="G38" s="7"/>
      <c r="H38" s="7"/>
      <c r="I38" s="7"/>
      <c r="J38" s="48">
        <v>1</v>
      </c>
      <c r="K38" s="7">
        <v>1</v>
      </c>
      <c r="L38" s="7"/>
      <c r="M38" s="7"/>
      <c r="N38" s="7"/>
      <c r="O38" s="7"/>
      <c r="P38" s="7"/>
      <c r="Q38" s="7"/>
      <c r="R38" s="7"/>
      <c r="S38" s="9">
        <f t="shared" si="4"/>
        <v>3</v>
      </c>
    </row>
    <row r="39" spans="1:21" ht="16.5" x14ac:dyDescent="0.3">
      <c r="A39" s="30" t="s">
        <v>979</v>
      </c>
      <c r="B39" s="10" t="s">
        <v>1377</v>
      </c>
      <c r="C39" s="23" t="s">
        <v>978</v>
      </c>
      <c r="D39" s="7">
        <v>1</v>
      </c>
      <c r="E39" s="7"/>
      <c r="F39" s="7"/>
      <c r="G39" s="7"/>
      <c r="H39" s="7"/>
      <c r="I39" s="7"/>
      <c r="J39" s="7">
        <v>1</v>
      </c>
      <c r="K39" s="7">
        <v>1</v>
      </c>
      <c r="L39" s="7"/>
      <c r="M39" s="7"/>
      <c r="N39" s="7"/>
      <c r="O39" s="7"/>
      <c r="P39" s="7"/>
      <c r="Q39" s="7"/>
      <c r="R39" s="7"/>
      <c r="S39" s="9">
        <f t="shared" si="4"/>
        <v>3</v>
      </c>
    </row>
    <row r="40" spans="1:21" ht="16.5" x14ac:dyDescent="0.3">
      <c r="A40" s="30" t="s">
        <v>873</v>
      </c>
      <c r="B40" s="10" t="s">
        <v>1377</v>
      </c>
      <c r="C40" s="26" t="s">
        <v>872</v>
      </c>
      <c r="D40" s="7">
        <v>1</v>
      </c>
      <c r="E40" s="48"/>
      <c r="F40" s="48"/>
      <c r="G40" s="48"/>
      <c r="H40" s="48"/>
      <c r="I40" s="48"/>
      <c r="J40" s="7">
        <v>1</v>
      </c>
      <c r="K40" s="48">
        <v>1</v>
      </c>
      <c r="L40" s="11"/>
      <c r="M40" s="11"/>
      <c r="N40" s="11"/>
      <c r="O40" s="11"/>
      <c r="P40" s="11"/>
      <c r="Q40" s="11"/>
      <c r="R40" s="11"/>
      <c r="S40" s="9">
        <f t="shared" si="4"/>
        <v>3</v>
      </c>
    </row>
    <row r="41" spans="1:21" ht="16.5" x14ac:dyDescent="0.3">
      <c r="A41" s="30" t="s">
        <v>975</v>
      </c>
      <c r="B41" s="10" t="s">
        <v>1377</v>
      </c>
      <c r="C41" s="26" t="s">
        <v>974</v>
      </c>
      <c r="D41" s="7">
        <v>1</v>
      </c>
      <c r="E41" s="7"/>
      <c r="F41" s="7"/>
      <c r="G41" s="7"/>
      <c r="H41" s="7"/>
      <c r="I41" s="7"/>
      <c r="J41" s="7">
        <v>1</v>
      </c>
      <c r="K41" s="227">
        <v>0</v>
      </c>
      <c r="L41" s="7"/>
      <c r="M41" s="7"/>
      <c r="N41" s="7"/>
      <c r="O41" s="7"/>
      <c r="P41" s="7"/>
      <c r="Q41" s="7"/>
      <c r="R41" s="7"/>
      <c r="S41" s="9">
        <f t="shared" si="4"/>
        <v>2</v>
      </c>
    </row>
    <row r="42" spans="1:21" ht="16.5" x14ac:dyDescent="0.3">
      <c r="A42" s="30" t="s">
        <v>431</v>
      </c>
      <c r="B42" s="10" t="s">
        <v>1377</v>
      </c>
      <c r="C42" s="26" t="s">
        <v>430</v>
      </c>
      <c r="D42" s="7">
        <v>1</v>
      </c>
      <c r="E42" s="7"/>
      <c r="F42" s="7"/>
      <c r="G42" s="7"/>
      <c r="H42" s="7"/>
      <c r="I42" s="7"/>
      <c r="J42" s="7">
        <v>1</v>
      </c>
      <c r="K42" s="227">
        <v>0</v>
      </c>
      <c r="L42" s="7"/>
      <c r="M42" s="7"/>
      <c r="N42" s="7"/>
      <c r="O42" s="7"/>
      <c r="P42" s="7"/>
      <c r="Q42" s="7"/>
      <c r="R42" s="7"/>
      <c r="S42" s="9">
        <f t="shared" si="4"/>
        <v>2</v>
      </c>
    </row>
    <row r="43" spans="1:21" ht="16.5" x14ac:dyDescent="0.3">
      <c r="A43" s="30" t="s">
        <v>429</v>
      </c>
      <c r="B43" s="10" t="s">
        <v>1377</v>
      </c>
      <c r="C43" s="26" t="s">
        <v>428</v>
      </c>
      <c r="D43" s="48">
        <v>1</v>
      </c>
      <c r="E43" s="7"/>
      <c r="F43" s="7"/>
      <c r="G43" s="7"/>
      <c r="H43" s="7"/>
      <c r="I43" s="7"/>
      <c r="J43" s="48">
        <v>1</v>
      </c>
      <c r="K43" s="7">
        <v>1</v>
      </c>
      <c r="L43" s="7"/>
      <c r="M43" s="7"/>
      <c r="N43" s="7"/>
      <c r="O43" s="7"/>
      <c r="P43" s="7"/>
      <c r="Q43" s="7"/>
      <c r="R43" s="7"/>
      <c r="S43" s="9">
        <f t="shared" si="4"/>
        <v>3</v>
      </c>
    </row>
    <row r="44" spans="1:21" ht="16.5" x14ac:dyDescent="0.3">
      <c r="A44" s="30" t="s">
        <v>440</v>
      </c>
      <c r="B44" s="10" t="s">
        <v>1377</v>
      </c>
      <c r="C44" s="26" t="s">
        <v>439</v>
      </c>
      <c r="D44" s="7">
        <v>1</v>
      </c>
      <c r="E44" s="7"/>
      <c r="F44" s="7"/>
      <c r="G44" s="7"/>
      <c r="H44" s="7"/>
      <c r="I44" s="7"/>
      <c r="J44" s="7">
        <v>1</v>
      </c>
      <c r="K44" s="7">
        <v>1</v>
      </c>
      <c r="L44" s="7"/>
      <c r="M44" s="7"/>
      <c r="N44" s="7"/>
      <c r="O44" s="7"/>
      <c r="P44" s="7"/>
      <c r="Q44" s="7"/>
      <c r="R44" s="7"/>
      <c r="S44" s="9">
        <f t="shared" si="4"/>
        <v>3</v>
      </c>
    </row>
    <row r="45" spans="1:21" ht="16.5" x14ac:dyDescent="0.3">
      <c r="A45" s="30" t="s">
        <v>903</v>
      </c>
      <c r="B45" s="10" t="s">
        <v>1377</v>
      </c>
      <c r="C45" s="26" t="s">
        <v>902</v>
      </c>
      <c r="D45" s="7">
        <v>1</v>
      </c>
      <c r="E45" s="7"/>
      <c r="F45" s="7"/>
      <c r="G45" s="7"/>
      <c r="H45" s="7"/>
      <c r="I45" s="7"/>
      <c r="J45" s="7">
        <v>1</v>
      </c>
      <c r="K45" s="227">
        <v>0</v>
      </c>
      <c r="L45" s="7"/>
      <c r="M45" s="7"/>
      <c r="N45" s="7"/>
      <c r="O45" s="7"/>
      <c r="P45" s="7"/>
      <c r="Q45" s="7"/>
      <c r="R45" s="7"/>
      <c r="S45" s="9">
        <f t="shared" si="4"/>
        <v>2</v>
      </c>
    </row>
    <row r="46" spans="1:21" ht="16.5" x14ac:dyDescent="0.3">
      <c r="A46" s="30" t="s">
        <v>879</v>
      </c>
      <c r="B46" s="10" t="s">
        <v>1377</v>
      </c>
      <c r="C46" s="23" t="s">
        <v>878</v>
      </c>
      <c r="D46" s="7">
        <v>1</v>
      </c>
      <c r="E46" s="7"/>
      <c r="F46" s="7"/>
      <c r="G46" s="7"/>
      <c r="H46" s="7"/>
      <c r="I46" s="7"/>
      <c r="J46" s="7">
        <v>1</v>
      </c>
      <c r="K46" s="7">
        <v>1</v>
      </c>
      <c r="L46" s="7"/>
      <c r="M46" s="7"/>
      <c r="N46" s="7"/>
      <c r="O46" s="7"/>
      <c r="P46" s="7"/>
      <c r="Q46" s="7"/>
      <c r="R46" s="7"/>
      <c r="S46" s="9">
        <f t="shared" si="4"/>
        <v>3</v>
      </c>
    </row>
    <row r="47" spans="1:21" ht="16.5" x14ac:dyDescent="0.3">
      <c r="A47" s="30" t="s">
        <v>905</v>
      </c>
      <c r="B47" s="10" t="s">
        <v>1377</v>
      </c>
      <c r="C47" s="26" t="s">
        <v>904</v>
      </c>
      <c r="D47" s="7">
        <v>1</v>
      </c>
      <c r="E47" s="48"/>
      <c r="F47" s="48"/>
      <c r="G47" s="48"/>
      <c r="H47" s="48"/>
      <c r="I47" s="48"/>
      <c r="J47" s="7">
        <v>1</v>
      </c>
      <c r="K47" s="48">
        <v>1</v>
      </c>
      <c r="L47" s="11"/>
      <c r="M47" s="11"/>
      <c r="N47" s="11"/>
      <c r="O47" s="11"/>
      <c r="P47" s="11"/>
      <c r="Q47" s="11"/>
      <c r="R47" s="11"/>
      <c r="S47" s="9">
        <f t="shared" si="4"/>
        <v>3</v>
      </c>
    </row>
    <row r="48" spans="1:21" ht="16.5" x14ac:dyDescent="0.3">
      <c r="A48" s="30" t="s">
        <v>977</v>
      </c>
      <c r="B48" s="10" t="s">
        <v>1377</v>
      </c>
      <c r="C48" s="26" t="s">
        <v>976</v>
      </c>
      <c r="D48" s="48">
        <v>1</v>
      </c>
      <c r="E48" s="7"/>
      <c r="F48" s="7"/>
      <c r="G48" s="7"/>
      <c r="H48" s="7"/>
      <c r="I48" s="7"/>
      <c r="J48" s="48">
        <v>1</v>
      </c>
      <c r="K48" s="227">
        <v>0</v>
      </c>
      <c r="L48" s="7"/>
      <c r="M48" s="7"/>
      <c r="N48" s="7"/>
      <c r="O48" s="7"/>
      <c r="P48" s="7"/>
      <c r="Q48" s="7"/>
      <c r="R48" s="7"/>
      <c r="S48" s="9">
        <f t="shared" si="4"/>
        <v>2</v>
      </c>
    </row>
    <row r="49" spans="1:32" ht="16.5" x14ac:dyDescent="0.3">
      <c r="A49" s="30" t="s">
        <v>425</v>
      </c>
      <c r="B49" s="10" t="s">
        <v>1377</v>
      </c>
      <c r="C49" s="26" t="s">
        <v>424</v>
      </c>
      <c r="D49" s="7">
        <v>1</v>
      </c>
      <c r="E49" s="7"/>
      <c r="F49" s="7"/>
      <c r="G49" s="7"/>
      <c r="H49" s="7"/>
      <c r="I49" s="7"/>
      <c r="J49" s="7">
        <v>1</v>
      </c>
      <c r="K49" s="7">
        <v>1</v>
      </c>
      <c r="L49" s="7"/>
      <c r="M49" s="7"/>
      <c r="N49" s="7"/>
      <c r="O49" s="7"/>
      <c r="P49" s="7"/>
      <c r="Q49" s="7"/>
      <c r="R49" s="7"/>
      <c r="S49" s="9">
        <f t="shared" si="4"/>
        <v>3</v>
      </c>
    </row>
    <row r="50" spans="1:32" ht="16.5" x14ac:dyDescent="0.3">
      <c r="A50" s="30" t="s">
        <v>1344</v>
      </c>
      <c r="B50" s="10" t="s">
        <v>1377</v>
      </c>
      <c r="C50" s="26" t="s">
        <v>1343</v>
      </c>
      <c r="D50" s="7">
        <v>1</v>
      </c>
      <c r="E50" s="7"/>
      <c r="F50" s="7"/>
      <c r="G50" s="7"/>
      <c r="H50" s="7"/>
      <c r="I50" s="7"/>
      <c r="J50" s="7">
        <v>1</v>
      </c>
      <c r="K50" s="7">
        <v>0</v>
      </c>
      <c r="L50" s="7"/>
      <c r="M50" s="7"/>
      <c r="N50" s="7"/>
      <c r="O50" s="7"/>
      <c r="P50" s="7"/>
      <c r="Q50" s="7"/>
      <c r="R50" s="7"/>
      <c r="S50" s="9">
        <f t="shared" si="4"/>
        <v>2</v>
      </c>
    </row>
    <row r="51" spans="1:32" ht="16.5" x14ac:dyDescent="0.3">
      <c r="A51" s="30" t="s">
        <v>933</v>
      </c>
      <c r="B51" s="10" t="s">
        <v>1377</v>
      </c>
      <c r="C51" s="26" t="s">
        <v>932</v>
      </c>
      <c r="D51" s="7">
        <v>1</v>
      </c>
      <c r="E51" s="7"/>
      <c r="F51" s="7"/>
      <c r="G51" s="7"/>
      <c r="H51" s="7"/>
      <c r="I51" s="7"/>
      <c r="J51" s="7">
        <v>1</v>
      </c>
      <c r="K51" s="7">
        <v>1</v>
      </c>
      <c r="L51" s="7"/>
      <c r="M51" s="7"/>
      <c r="N51" s="7"/>
      <c r="O51" s="7"/>
      <c r="P51" s="7"/>
      <c r="Q51" s="7"/>
      <c r="R51" s="7"/>
      <c r="S51" s="9">
        <f t="shared" si="4"/>
        <v>3</v>
      </c>
    </row>
    <row r="52" spans="1:32" ht="16.5" x14ac:dyDescent="0.3">
      <c r="A52" s="30" t="s">
        <v>929</v>
      </c>
      <c r="B52" s="10" t="s">
        <v>1377</v>
      </c>
      <c r="C52" s="26" t="s">
        <v>928</v>
      </c>
      <c r="D52" s="7">
        <v>1</v>
      </c>
      <c r="E52" s="7"/>
      <c r="F52" s="7"/>
      <c r="G52" s="7"/>
      <c r="H52" s="7"/>
      <c r="I52" s="7"/>
      <c r="J52" s="7">
        <v>1</v>
      </c>
      <c r="K52" s="7">
        <v>1</v>
      </c>
      <c r="L52" s="7"/>
      <c r="M52" s="7"/>
      <c r="N52" s="7"/>
      <c r="O52" s="7"/>
      <c r="P52" s="7"/>
      <c r="Q52" s="7"/>
      <c r="R52" s="7"/>
      <c r="S52" s="9">
        <f t="shared" si="4"/>
        <v>3</v>
      </c>
    </row>
    <row r="53" spans="1:32" ht="16.5" x14ac:dyDescent="0.3">
      <c r="A53" s="30" t="s">
        <v>941</v>
      </c>
      <c r="B53" s="10" t="s">
        <v>1377</v>
      </c>
      <c r="C53" s="23" t="s">
        <v>940</v>
      </c>
      <c r="D53" s="48">
        <v>1</v>
      </c>
      <c r="E53" s="7"/>
      <c r="F53" s="7"/>
      <c r="G53" s="7"/>
      <c r="H53" s="7"/>
      <c r="I53" s="7"/>
      <c r="J53" s="48">
        <v>1</v>
      </c>
      <c r="K53" s="7">
        <v>1</v>
      </c>
      <c r="L53" s="7"/>
      <c r="M53" s="7"/>
      <c r="N53" s="7"/>
      <c r="O53" s="7"/>
      <c r="P53" s="7"/>
      <c r="Q53" s="7"/>
      <c r="R53" s="7"/>
      <c r="S53" s="9">
        <f t="shared" si="4"/>
        <v>3</v>
      </c>
    </row>
    <row r="54" spans="1:32" ht="16.5" x14ac:dyDescent="0.3">
      <c r="A54" s="30" t="s">
        <v>939</v>
      </c>
      <c r="B54" s="10" t="s">
        <v>1377</v>
      </c>
      <c r="C54" s="26" t="s">
        <v>938</v>
      </c>
      <c r="D54" s="7">
        <v>1</v>
      </c>
      <c r="E54" s="48"/>
      <c r="F54" s="48"/>
      <c r="G54" s="48"/>
      <c r="H54" s="48"/>
      <c r="I54" s="48"/>
      <c r="J54" s="7">
        <v>1</v>
      </c>
      <c r="K54" s="48">
        <v>1</v>
      </c>
      <c r="L54" s="11"/>
      <c r="M54" s="11"/>
      <c r="N54" s="11"/>
      <c r="O54" s="11"/>
      <c r="P54" s="11"/>
      <c r="Q54" s="11"/>
      <c r="R54" s="11"/>
      <c r="S54" s="9">
        <f t="shared" si="4"/>
        <v>3</v>
      </c>
    </row>
    <row r="55" spans="1:32" ht="16.5" x14ac:dyDescent="0.3">
      <c r="A55" s="30" t="s">
        <v>951</v>
      </c>
      <c r="B55" s="10" t="s">
        <v>1377</v>
      </c>
      <c r="C55" s="26" t="s">
        <v>1438</v>
      </c>
      <c r="D55" s="7">
        <v>1</v>
      </c>
      <c r="E55" s="7"/>
      <c r="F55" s="7"/>
      <c r="G55" s="7"/>
      <c r="H55" s="7"/>
      <c r="I55" s="7"/>
      <c r="J55" s="7">
        <v>1</v>
      </c>
      <c r="K55" s="227">
        <v>0</v>
      </c>
      <c r="L55" s="7"/>
      <c r="M55" s="7"/>
      <c r="N55" s="7"/>
      <c r="O55" s="7"/>
      <c r="P55" s="7"/>
      <c r="Q55" s="7"/>
      <c r="R55" s="7"/>
      <c r="S55" s="9">
        <f t="shared" si="4"/>
        <v>2</v>
      </c>
    </row>
    <row r="56" spans="1:32" ht="16.5" x14ac:dyDescent="0.3">
      <c r="A56" s="30" t="s">
        <v>931</v>
      </c>
      <c r="B56" s="10" t="s">
        <v>1377</v>
      </c>
      <c r="C56" s="26" t="s">
        <v>930</v>
      </c>
      <c r="D56" s="7">
        <v>1</v>
      </c>
      <c r="E56" s="7"/>
      <c r="F56" s="7"/>
      <c r="G56" s="7"/>
      <c r="H56" s="7"/>
      <c r="I56" s="7"/>
      <c r="J56" s="7">
        <v>1</v>
      </c>
      <c r="K56" s="7">
        <v>1</v>
      </c>
      <c r="L56" s="7"/>
      <c r="M56" s="7"/>
      <c r="N56" s="7"/>
      <c r="O56" s="7"/>
      <c r="P56" s="7"/>
      <c r="Q56" s="7"/>
      <c r="R56" s="7"/>
      <c r="S56" s="9">
        <f t="shared" si="4"/>
        <v>3</v>
      </c>
    </row>
    <row r="57" spans="1:32" ht="16.5" x14ac:dyDescent="0.3">
      <c r="A57" s="30" t="s">
        <v>449</v>
      </c>
      <c r="B57" s="10" t="s">
        <v>1377</v>
      </c>
      <c r="C57" s="26" t="s">
        <v>448</v>
      </c>
      <c r="D57" s="7">
        <v>1</v>
      </c>
      <c r="E57" s="7"/>
      <c r="F57" s="7"/>
      <c r="G57" s="7"/>
      <c r="H57" s="7"/>
      <c r="I57" s="7"/>
      <c r="J57" s="7">
        <v>1</v>
      </c>
      <c r="K57" s="7">
        <v>1</v>
      </c>
      <c r="L57" s="7"/>
      <c r="M57" s="7"/>
      <c r="N57" s="7"/>
      <c r="O57" s="7"/>
      <c r="P57" s="7"/>
      <c r="Q57" s="7"/>
      <c r="R57" s="7"/>
      <c r="S57" s="9">
        <f t="shared" si="4"/>
        <v>3</v>
      </c>
    </row>
    <row r="58" spans="1:32" ht="16.5" x14ac:dyDescent="0.3">
      <c r="A58" s="30" t="s">
        <v>446</v>
      </c>
      <c r="B58" s="10" t="s">
        <v>1377</v>
      </c>
      <c r="C58" s="26" t="s">
        <v>1439</v>
      </c>
      <c r="D58" s="48">
        <v>1</v>
      </c>
      <c r="E58" s="7"/>
      <c r="F58" s="7"/>
      <c r="G58" s="7"/>
      <c r="H58" s="7"/>
      <c r="I58" s="7"/>
      <c r="J58" s="48">
        <v>1</v>
      </c>
      <c r="K58" s="227">
        <v>0</v>
      </c>
      <c r="L58" s="7"/>
      <c r="M58" s="7"/>
      <c r="N58" s="7"/>
      <c r="O58" s="7"/>
      <c r="P58" s="7"/>
      <c r="Q58" s="7"/>
      <c r="R58" s="7"/>
      <c r="S58" s="9">
        <f t="shared" si="4"/>
        <v>2</v>
      </c>
    </row>
    <row r="59" spans="1:32" ht="16.5" x14ac:dyDescent="0.3">
      <c r="A59" s="30" t="s">
        <v>955</v>
      </c>
      <c r="B59" s="10" t="s">
        <v>1377</v>
      </c>
      <c r="C59" s="26" t="s">
        <v>954</v>
      </c>
      <c r="D59" s="7">
        <v>1</v>
      </c>
      <c r="E59" s="7"/>
      <c r="F59" s="7"/>
      <c r="G59" s="7"/>
      <c r="H59" s="7"/>
      <c r="I59" s="7"/>
      <c r="J59" s="7">
        <v>1</v>
      </c>
      <c r="K59" s="227">
        <v>0</v>
      </c>
      <c r="L59" s="7"/>
      <c r="M59" s="7"/>
      <c r="N59" s="7"/>
      <c r="O59" s="7"/>
      <c r="P59" s="7"/>
      <c r="Q59" s="7"/>
      <c r="R59" s="7"/>
      <c r="S59" s="9">
        <f t="shared" si="4"/>
        <v>2</v>
      </c>
    </row>
    <row r="60" spans="1:32" ht="16.5" x14ac:dyDescent="0.3">
      <c r="A60" s="30" t="s">
        <v>949</v>
      </c>
      <c r="B60" s="10" t="s">
        <v>1377</v>
      </c>
      <c r="C60" s="23" t="s">
        <v>948</v>
      </c>
      <c r="D60" s="7">
        <v>1</v>
      </c>
      <c r="E60" s="7"/>
      <c r="F60" s="7"/>
      <c r="G60" s="7"/>
      <c r="H60" s="7"/>
      <c r="I60" s="7"/>
      <c r="J60" s="7">
        <v>1</v>
      </c>
      <c r="K60" s="7">
        <v>1</v>
      </c>
      <c r="L60" s="7"/>
      <c r="M60" s="7"/>
      <c r="N60" s="7"/>
      <c r="O60" s="7"/>
      <c r="P60" s="7"/>
      <c r="Q60" s="7"/>
      <c r="R60" s="7"/>
      <c r="S60" s="9">
        <f t="shared" si="4"/>
        <v>3</v>
      </c>
    </row>
    <row r="61" spans="1:32" ht="16.5" x14ac:dyDescent="0.3">
      <c r="A61" s="30" t="s">
        <v>1346</v>
      </c>
      <c r="B61" s="10" t="s">
        <v>1377</v>
      </c>
      <c r="C61" s="26" t="s">
        <v>1345</v>
      </c>
      <c r="D61" s="7">
        <v>1</v>
      </c>
      <c r="E61" s="48"/>
      <c r="F61" s="48"/>
      <c r="G61" s="48"/>
      <c r="H61" s="48"/>
      <c r="I61" s="48"/>
      <c r="J61" s="7">
        <v>1</v>
      </c>
      <c r="K61" s="48">
        <v>1</v>
      </c>
      <c r="L61" s="11"/>
      <c r="M61" s="11"/>
      <c r="N61" s="11"/>
      <c r="O61" s="11"/>
      <c r="P61" s="11"/>
      <c r="Q61" s="11"/>
      <c r="R61" s="11"/>
      <c r="S61" s="9">
        <f t="shared" si="4"/>
        <v>3</v>
      </c>
    </row>
    <row r="62" spans="1:32" ht="16.5" x14ac:dyDescent="0.3">
      <c r="A62" s="30" t="s">
        <v>947</v>
      </c>
      <c r="B62" s="10" t="s">
        <v>1377</v>
      </c>
      <c r="C62" s="26" t="s">
        <v>946</v>
      </c>
      <c r="D62" s="7">
        <v>1</v>
      </c>
      <c r="E62" s="7"/>
      <c r="F62" s="7"/>
      <c r="G62" s="7"/>
      <c r="H62" s="7"/>
      <c r="I62" s="7"/>
      <c r="J62" s="7">
        <v>1</v>
      </c>
      <c r="K62" s="7">
        <v>1</v>
      </c>
      <c r="L62" s="7"/>
      <c r="M62" s="7"/>
      <c r="N62" s="7"/>
      <c r="O62" s="7"/>
      <c r="P62" s="7"/>
      <c r="Q62" s="7"/>
      <c r="R62" s="7"/>
      <c r="S62" s="9">
        <f t="shared" si="4"/>
        <v>3</v>
      </c>
      <c r="AF62" t="e">
        <f>Pacífico!S3:S28</f>
        <v>#VALUE!</v>
      </c>
    </row>
    <row r="63" spans="1:32" ht="16.5" x14ac:dyDescent="0.3">
      <c r="A63" s="30" t="s">
        <v>909</v>
      </c>
      <c r="B63" s="10" t="s">
        <v>1377</v>
      </c>
      <c r="C63" s="26" t="s">
        <v>908</v>
      </c>
      <c r="D63" s="48">
        <v>1</v>
      </c>
      <c r="E63" s="7"/>
      <c r="F63" s="7"/>
      <c r="G63" s="7"/>
      <c r="H63" s="7"/>
      <c r="I63" s="7"/>
      <c r="J63" s="48">
        <v>1</v>
      </c>
      <c r="K63" s="7">
        <v>1</v>
      </c>
      <c r="L63" s="7"/>
      <c r="M63" s="7"/>
      <c r="N63" s="7"/>
      <c r="O63" s="7"/>
      <c r="P63" s="7"/>
      <c r="Q63" s="7"/>
      <c r="R63" s="7"/>
      <c r="S63" s="9">
        <f t="shared" si="4"/>
        <v>3</v>
      </c>
    </row>
    <row r="64" spans="1:32" ht="16.5" x14ac:dyDescent="0.3">
      <c r="A64" s="30" t="s">
        <v>911</v>
      </c>
      <c r="B64" s="10" t="s">
        <v>1377</v>
      </c>
      <c r="C64" s="26" t="s">
        <v>910</v>
      </c>
      <c r="D64" s="7">
        <v>1</v>
      </c>
      <c r="E64" s="7"/>
      <c r="F64" s="7"/>
      <c r="G64" s="7"/>
      <c r="H64" s="7"/>
      <c r="I64" s="7"/>
      <c r="J64" s="7">
        <v>1</v>
      </c>
      <c r="K64" s="7">
        <v>1</v>
      </c>
      <c r="L64" s="7"/>
      <c r="M64" s="7"/>
      <c r="N64" s="7"/>
      <c r="O64" s="7"/>
      <c r="P64" s="7"/>
      <c r="Q64" s="7"/>
      <c r="R64" s="7"/>
      <c r="S64" s="9">
        <f t="shared" si="4"/>
        <v>3</v>
      </c>
    </row>
    <row r="65" spans="1:19" ht="16.5" x14ac:dyDescent="0.3">
      <c r="A65" s="30" t="s">
        <v>925</v>
      </c>
      <c r="B65" s="10" t="s">
        <v>1377</v>
      </c>
      <c r="C65" s="26" t="s">
        <v>924</v>
      </c>
      <c r="D65" s="7">
        <v>1</v>
      </c>
      <c r="E65" s="7"/>
      <c r="F65" s="7"/>
      <c r="G65" s="7"/>
      <c r="H65" s="7"/>
      <c r="I65" s="7"/>
      <c r="J65" s="7">
        <v>1</v>
      </c>
      <c r="K65" s="7">
        <v>1</v>
      </c>
      <c r="L65" s="7"/>
      <c r="M65" s="7"/>
      <c r="N65" s="7"/>
      <c r="O65" s="7"/>
      <c r="P65" s="7"/>
      <c r="Q65" s="7"/>
      <c r="R65" s="7"/>
      <c r="S65" s="9">
        <f t="shared" si="4"/>
        <v>3</v>
      </c>
    </row>
    <row r="66" spans="1:19" ht="16.5" x14ac:dyDescent="0.3">
      <c r="A66" s="30" t="s">
        <v>927</v>
      </c>
      <c r="B66" s="10" t="s">
        <v>1377</v>
      </c>
      <c r="C66" s="26" t="s">
        <v>926</v>
      </c>
      <c r="D66" s="7">
        <v>1</v>
      </c>
      <c r="E66" s="7"/>
      <c r="F66" s="7"/>
      <c r="G66" s="7"/>
      <c r="H66" s="7"/>
      <c r="I66" s="7"/>
      <c r="J66" s="7">
        <v>1</v>
      </c>
      <c r="K66" s="7">
        <v>1</v>
      </c>
      <c r="L66" s="7"/>
      <c r="M66" s="7"/>
      <c r="N66" s="7"/>
      <c r="O66" s="7"/>
      <c r="P66" s="7"/>
      <c r="Q66" s="7"/>
      <c r="R66" s="7"/>
      <c r="S66" s="9">
        <f t="shared" si="4"/>
        <v>3</v>
      </c>
    </row>
    <row r="67" spans="1:19" ht="16.5" x14ac:dyDescent="0.3">
      <c r="A67" s="30" t="s">
        <v>881</v>
      </c>
      <c r="B67" s="10" t="s">
        <v>1377</v>
      </c>
      <c r="C67" s="23" t="s">
        <v>880</v>
      </c>
      <c r="D67" s="7">
        <v>1</v>
      </c>
      <c r="E67" s="7"/>
      <c r="F67" s="7"/>
      <c r="G67" s="7"/>
      <c r="H67" s="7"/>
      <c r="I67" s="7"/>
      <c r="J67" s="7">
        <v>1</v>
      </c>
      <c r="K67" s="7">
        <v>1</v>
      </c>
      <c r="L67" s="7"/>
      <c r="M67" s="7"/>
      <c r="N67" s="7"/>
      <c r="O67" s="7"/>
      <c r="P67" s="7"/>
      <c r="Q67" s="7"/>
      <c r="R67" s="7"/>
      <c r="S67" s="9">
        <f t="shared" si="4"/>
        <v>3</v>
      </c>
    </row>
    <row r="68" spans="1:19" ht="16.5" x14ac:dyDescent="0.3">
      <c r="A68" s="30" t="s">
        <v>433</v>
      </c>
      <c r="B68" s="10" t="s">
        <v>1377</v>
      </c>
      <c r="C68" s="26" t="s">
        <v>432</v>
      </c>
      <c r="D68" s="48">
        <v>1</v>
      </c>
      <c r="E68" s="48"/>
      <c r="F68" s="48"/>
      <c r="G68" s="48"/>
      <c r="H68" s="48"/>
      <c r="I68" s="48"/>
      <c r="J68" s="48">
        <v>1</v>
      </c>
      <c r="K68" s="360">
        <v>0</v>
      </c>
      <c r="L68" s="11"/>
      <c r="M68" s="11"/>
      <c r="N68" s="11"/>
      <c r="O68" s="11"/>
      <c r="P68" s="11"/>
      <c r="Q68" s="11"/>
      <c r="R68" s="11"/>
      <c r="S68" s="9">
        <f t="shared" si="4"/>
        <v>2</v>
      </c>
    </row>
    <row r="69" spans="1:19" ht="16.5" x14ac:dyDescent="0.3">
      <c r="A69" s="30" t="s">
        <v>917</v>
      </c>
      <c r="B69" s="10" t="s">
        <v>1377</v>
      </c>
      <c r="C69" s="26" t="s">
        <v>916</v>
      </c>
      <c r="D69" s="7">
        <v>1</v>
      </c>
      <c r="E69" s="7"/>
      <c r="F69" s="7"/>
      <c r="G69" s="7"/>
      <c r="H69" s="7"/>
      <c r="I69" s="7"/>
      <c r="J69" s="7">
        <v>1</v>
      </c>
      <c r="K69" s="7">
        <v>1</v>
      </c>
      <c r="L69" s="7"/>
      <c r="M69" s="7"/>
      <c r="N69" s="7"/>
      <c r="O69" s="7"/>
      <c r="P69" s="7"/>
      <c r="Q69" s="7"/>
      <c r="R69" s="7"/>
      <c r="S69" s="9">
        <f t="shared" si="4"/>
        <v>3</v>
      </c>
    </row>
    <row r="70" spans="1:19" ht="16.5" x14ac:dyDescent="0.3">
      <c r="A70" s="30" t="s">
        <v>901</v>
      </c>
      <c r="B70" s="10" t="s">
        <v>1377</v>
      </c>
      <c r="C70" s="26" t="s">
        <v>900</v>
      </c>
      <c r="D70" s="7">
        <v>1</v>
      </c>
      <c r="E70" s="7"/>
      <c r="F70" s="7"/>
      <c r="G70" s="7"/>
      <c r="H70" s="7"/>
      <c r="I70" s="7"/>
      <c r="J70" s="7">
        <v>1</v>
      </c>
      <c r="K70" s="7">
        <v>1</v>
      </c>
      <c r="L70" s="7"/>
      <c r="M70" s="7"/>
      <c r="N70" s="7"/>
      <c r="O70" s="7"/>
      <c r="P70" s="7"/>
      <c r="Q70" s="7"/>
      <c r="R70" s="7"/>
      <c r="S70" s="9">
        <f t="shared" si="4"/>
        <v>3</v>
      </c>
    </row>
    <row r="71" spans="1:19" ht="16.5" x14ac:dyDescent="0.3">
      <c r="A71" s="30" t="s">
        <v>883</v>
      </c>
      <c r="B71" s="10" t="s">
        <v>1377</v>
      </c>
      <c r="C71" s="26" t="s">
        <v>882</v>
      </c>
      <c r="D71" s="7">
        <v>1</v>
      </c>
      <c r="E71" s="7"/>
      <c r="F71" s="7"/>
      <c r="G71" s="7"/>
      <c r="H71" s="7"/>
      <c r="I71" s="7"/>
      <c r="J71" s="7">
        <v>1</v>
      </c>
      <c r="K71" s="7">
        <v>1</v>
      </c>
      <c r="L71" s="7"/>
      <c r="M71" s="7"/>
      <c r="N71" s="7"/>
      <c r="O71" s="7"/>
      <c r="P71" s="7"/>
      <c r="Q71" s="7"/>
      <c r="R71" s="7"/>
      <c r="S71" s="9">
        <f t="shared" si="4"/>
        <v>3</v>
      </c>
    </row>
    <row r="72" spans="1:19" ht="16.5" x14ac:dyDescent="0.3">
      <c r="A72" s="30" t="s">
        <v>919</v>
      </c>
      <c r="B72" s="10" t="s">
        <v>1377</v>
      </c>
      <c r="C72" s="26" t="s">
        <v>918</v>
      </c>
      <c r="D72" s="7">
        <v>1</v>
      </c>
      <c r="E72" s="7"/>
      <c r="F72" s="7"/>
      <c r="G72" s="7"/>
      <c r="H72" s="7"/>
      <c r="I72" s="7"/>
      <c r="J72" s="7">
        <v>1</v>
      </c>
      <c r="K72" s="227">
        <v>0</v>
      </c>
      <c r="L72" s="7"/>
      <c r="M72" s="7"/>
      <c r="N72" s="7"/>
      <c r="O72" s="7"/>
      <c r="P72" s="7"/>
      <c r="Q72" s="7"/>
      <c r="R72" s="7"/>
      <c r="S72" s="9">
        <f t="shared" si="4"/>
        <v>2</v>
      </c>
    </row>
    <row r="73" spans="1:19" ht="16.5" x14ac:dyDescent="0.3">
      <c r="A73" s="30" t="s">
        <v>895</v>
      </c>
      <c r="B73" s="10" t="s">
        <v>1377</v>
      </c>
      <c r="C73" s="26" t="s">
        <v>894</v>
      </c>
      <c r="D73" s="48">
        <v>1</v>
      </c>
      <c r="E73" s="7"/>
      <c r="F73" s="7"/>
      <c r="G73" s="7"/>
      <c r="H73" s="7"/>
      <c r="I73" s="7"/>
      <c r="J73" s="48">
        <v>1</v>
      </c>
      <c r="K73" s="7">
        <v>1</v>
      </c>
      <c r="L73" s="7"/>
      <c r="M73" s="7"/>
      <c r="N73" s="7"/>
      <c r="O73" s="7"/>
      <c r="P73" s="7"/>
      <c r="Q73" s="7"/>
      <c r="R73" s="7"/>
      <c r="S73" s="9">
        <f t="shared" si="4"/>
        <v>3</v>
      </c>
    </row>
    <row r="74" spans="1:19" ht="16.5" x14ac:dyDescent="0.3">
      <c r="A74" s="30" t="s">
        <v>913</v>
      </c>
      <c r="B74" s="10" t="s">
        <v>1377</v>
      </c>
      <c r="C74" s="23" t="s">
        <v>912</v>
      </c>
      <c r="D74" s="7">
        <v>1</v>
      </c>
      <c r="E74" s="7"/>
      <c r="F74" s="7"/>
      <c r="G74" s="7"/>
      <c r="H74" s="7"/>
      <c r="I74" s="7"/>
      <c r="J74" s="7">
        <v>1</v>
      </c>
      <c r="K74" s="7">
        <v>1</v>
      </c>
      <c r="L74" s="7"/>
      <c r="M74" s="7"/>
      <c r="N74" s="7"/>
      <c r="O74" s="7"/>
      <c r="P74" s="7"/>
      <c r="Q74" s="7"/>
      <c r="R74" s="7"/>
      <c r="S74" s="9">
        <f t="shared" si="4"/>
        <v>3</v>
      </c>
    </row>
    <row r="75" spans="1:19" ht="16.5" x14ac:dyDescent="0.3">
      <c r="A75" s="30" t="s">
        <v>437</v>
      </c>
      <c r="B75" s="10" t="s">
        <v>1377</v>
      </c>
      <c r="C75" s="26" t="s">
        <v>436</v>
      </c>
      <c r="D75" s="7">
        <v>1</v>
      </c>
      <c r="E75" s="48"/>
      <c r="F75" s="48"/>
      <c r="G75" s="48"/>
      <c r="H75" s="48"/>
      <c r="I75" s="48"/>
      <c r="J75" s="7">
        <v>1</v>
      </c>
      <c r="K75" s="48">
        <v>1</v>
      </c>
      <c r="L75" s="11"/>
      <c r="M75" s="11"/>
      <c r="N75" s="11"/>
      <c r="O75" s="11"/>
      <c r="P75" s="11"/>
      <c r="Q75" s="11"/>
      <c r="R75" s="11"/>
      <c r="S75" s="9">
        <f t="shared" si="4"/>
        <v>3</v>
      </c>
    </row>
    <row r="76" spans="1:19" ht="16.5" x14ac:dyDescent="0.3">
      <c r="A76" s="30" t="s">
        <v>887</v>
      </c>
      <c r="B76" s="10" t="s">
        <v>1377</v>
      </c>
      <c r="C76" s="26" t="s">
        <v>886</v>
      </c>
      <c r="D76" s="7">
        <v>1</v>
      </c>
      <c r="E76" s="7"/>
      <c r="F76" s="7"/>
      <c r="G76" s="7"/>
      <c r="H76" s="7"/>
      <c r="I76" s="7"/>
      <c r="J76" s="7">
        <v>1</v>
      </c>
      <c r="K76" s="227">
        <v>0</v>
      </c>
      <c r="L76" s="7"/>
      <c r="M76" s="7"/>
      <c r="N76" s="7"/>
      <c r="O76" s="7"/>
      <c r="P76" s="7"/>
      <c r="Q76" s="7"/>
      <c r="R76" s="7"/>
      <c r="S76" s="9">
        <f t="shared" si="4"/>
        <v>2</v>
      </c>
    </row>
    <row r="77" spans="1:19" ht="16.5" x14ac:dyDescent="0.3">
      <c r="A77" s="30" t="s">
        <v>893</v>
      </c>
      <c r="B77" s="10" t="s">
        <v>1377</v>
      </c>
      <c r="C77" s="26" t="s">
        <v>892</v>
      </c>
      <c r="D77" s="7">
        <v>1</v>
      </c>
      <c r="E77" s="7"/>
      <c r="F77" s="7"/>
      <c r="G77" s="7"/>
      <c r="H77" s="7"/>
      <c r="I77" s="7"/>
      <c r="J77" s="7">
        <v>1</v>
      </c>
      <c r="K77" s="7">
        <v>1</v>
      </c>
      <c r="L77" s="7"/>
      <c r="M77" s="7"/>
      <c r="N77" s="7"/>
      <c r="O77" s="7"/>
      <c r="P77" s="7"/>
      <c r="Q77" s="7"/>
      <c r="R77" s="7"/>
      <c r="S77" s="9">
        <f t="shared" si="4"/>
        <v>3</v>
      </c>
    </row>
    <row r="78" spans="1:19" ht="16.5" x14ac:dyDescent="0.3">
      <c r="A78" s="30" t="s">
        <v>442</v>
      </c>
      <c r="B78" s="10" t="s">
        <v>1377</v>
      </c>
      <c r="C78" s="26" t="s">
        <v>441</v>
      </c>
      <c r="D78" s="48">
        <v>1</v>
      </c>
      <c r="E78" s="7"/>
      <c r="F78" s="7"/>
      <c r="G78" s="7"/>
      <c r="H78" s="7"/>
      <c r="I78" s="7"/>
      <c r="J78" s="48">
        <v>1</v>
      </c>
      <c r="K78" s="227">
        <v>0</v>
      </c>
      <c r="L78" s="7"/>
      <c r="M78" s="7"/>
      <c r="N78" s="7"/>
      <c r="O78" s="7"/>
      <c r="P78" s="7"/>
      <c r="Q78" s="7"/>
      <c r="R78" s="7"/>
      <c r="S78" s="9">
        <f t="shared" si="4"/>
        <v>2</v>
      </c>
    </row>
    <row r="79" spans="1:19" ht="16.5" x14ac:dyDescent="0.3">
      <c r="A79" s="30" t="s">
        <v>444</v>
      </c>
      <c r="B79" s="10" t="s">
        <v>1377</v>
      </c>
      <c r="C79" s="26" t="s">
        <v>443</v>
      </c>
      <c r="D79" s="7">
        <v>1</v>
      </c>
      <c r="E79" s="7"/>
      <c r="F79" s="7"/>
      <c r="G79" s="7"/>
      <c r="H79" s="7"/>
      <c r="I79" s="7"/>
      <c r="J79" s="7">
        <v>1</v>
      </c>
      <c r="K79" s="227">
        <v>0</v>
      </c>
      <c r="L79" s="7"/>
      <c r="M79" s="7"/>
      <c r="N79" s="7"/>
      <c r="O79" s="7"/>
      <c r="P79" s="7"/>
      <c r="Q79" s="7"/>
      <c r="R79" s="7"/>
      <c r="S79" s="9">
        <f t="shared" si="4"/>
        <v>2</v>
      </c>
    </row>
    <row r="80" spans="1:19" ht="16.5" x14ac:dyDescent="0.3">
      <c r="A80" s="30" t="s">
        <v>921</v>
      </c>
      <c r="B80" s="10" t="s">
        <v>1377</v>
      </c>
      <c r="C80" s="26" t="s">
        <v>920</v>
      </c>
      <c r="D80" s="7">
        <v>1</v>
      </c>
      <c r="E80" s="7"/>
      <c r="F80" s="7"/>
      <c r="G80" s="7"/>
      <c r="H80" s="7"/>
      <c r="I80" s="7"/>
      <c r="J80" s="7">
        <v>1</v>
      </c>
      <c r="K80" s="7">
        <v>1</v>
      </c>
      <c r="L80" s="7"/>
      <c r="M80" s="7"/>
      <c r="N80" s="7"/>
      <c r="O80" s="7"/>
      <c r="P80" s="7"/>
      <c r="Q80" s="7"/>
      <c r="R80" s="7"/>
      <c r="S80" s="9">
        <f t="shared" si="4"/>
        <v>3</v>
      </c>
    </row>
    <row r="81" spans="1:19" ht="16.5" x14ac:dyDescent="0.3">
      <c r="A81" s="30" t="s">
        <v>889</v>
      </c>
      <c r="B81" s="10" t="s">
        <v>1377</v>
      </c>
      <c r="C81" s="23" t="s">
        <v>888</v>
      </c>
      <c r="D81" s="7">
        <v>1</v>
      </c>
      <c r="E81" s="7"/>
      <c r="F81" s="7"/>
      <c r="G81" s="7"/>
      <c r="H81" s="7"/>
      <c r="I81" s="7"/>
      <c r="J81" s="7">
        <v>1</v>
      </c>
      <c r="K81" s="227">
        <v>0</v>
      </c>
      <c r="L81" s="7"/>
      <c r="M81" s="7"/>
      <c r="N81" s="7"/>
      <c r="O81" s="7"/>
      <c r="P81" s="7"/>
      <c r="Q81" s="7"/>
      <c r="R81" s="7"/>
      <c r="S81" s="9">
        <f t="shared" si="4"/>
        <v>2</v>
      </c>
    </row>
    <row r="82" spans="1:19" ht="16.5" x14ac:dyDescent="0.3">
      <c r="A82" s="30" t="s">
        <v>891</v>
      </c>
      <c r="B82" s="10" t="s">
        <v>1377</v>
      </c>
      <c r="C82" s="26" t="s">
        <v>890</v>
      </c>
      <c r="D82" s="7">
        <v>1</v>
      </c>
      <c r="E82" s="48"/>
      <c r="F82" s="48"/>
      <c r="G82" s="48"/>
      <c r="H82" s="48"/>
      <c r="I82" s="48"/>
      <c r="J82" s="7">
        <v>1</v>
      </c>
      <c r="K82" s="360">
        <v>0</v>
      </c>
      <c r="L82" s="11"/>
      <c r="M82" s="11"/>
      <c r="N82" s="11"/>
      <c r="O82" s="11"/>
      <c r="P82" s="11"/>
      <c r="Q82" s="11"/>
      <c r="R82" s="11"/>
      <c r="S82" s="9">
        <f t="shared" si="4"/>
        <v>2</v>
      </c>
    </row>
    <row r="83" spans="1:19" ht="16.5" x14ac:dyDescent="0.3">
      <c r="A83" s="30" t="s">
        <v>899</v>
      </c>
      <c r="B83" s="10" t="s">
        <v>1377</v>
      </c>
      <c r="C83" s="26" t="s">
        <v>1440</v>
      </c>
      <c r="D83" s="48">
        <v>1</v>
      </c>
      <c r="E83" s="7"/>
      <c r="F83" s="7"/>
      <c r="G83" s="7"/>
      <c r="H83" s="7"/>
      <c r="I83" s="7"/>
      <c r="J83" s="48">
        <v>1</v>
      </c>
      <c r="K83" s="227">
        <v>0</v>
      </c>
      <c r="L83" s="7"/>
      <c r="M83" s="7"/>
      <c r="N83" s="7"/>
      <c r="O83" s="7"/>
      <c r="P83" s="7"/>
      <c r="Q83" s="7"/>
      <c r="R83" s="7"/>
      <c r="S83" s="9">
        <f t="shared" si="4"/>
        <v>2</v>
      </c>
    </row>
    <row r="84" spans="1:19" ht="16.5" x14ac:dyDescent="0.3">
      <c r="A84" s="30" t="s">
        <v>953</v>
      </c>
      <c r="B84" s="10" t="s">
        <v>1377</v>
      </c>
      <c r="C84" s="26" t="s">
        <v>952</v>
      </c>
      <c r="D84" s="7">
        <v>1</v>
      </c>
      <c r="E84" s="7"/>
      <c r="F84" s="7"/>
      <c r="G84" s="7"/>
      <c r="H84" s="7"/>
      <c r="I84" s="7"/>
      <c r="J84" s="7">
        <v>1</v>
      </c>
      <c r="K84" s="227">
        <v>0</v>
      </c>
      <c r="L84" s="7"/>
      <c r="M84" s="7"/>
      <c r="N84" s="7"/>
      <c r="O84" s="7"/>
      <c r="P84" s="7"/>
      <c r="Q84" s="7"/>
      <c r="R84" s="7"/>
      <c r="S84" s="9">
        <f t="shared" si="4"/>
        <v>2</v>
      </c>
    </row>
    <row r="85" spans="1:19" ht="16.5" x14ac:dyDescent="0.3">
      <c r="A85" s="30" t="s">
        <v>438</v>
      </c>
      <c r="B85" s="10" t="s">
        <v>1377</v>
      </c>
      <c r="C85" s="26" t="s">
        <v>152</v>
      </c>
      <c r="D85" s="7">
        <v>1</v>
      </c>
      <c r="E85" s="7"/>
      <c r="F85" s="7"/>
      <c r="G85" s="7"/>
      <c r="H85" s="7"/>
      <c r="I85" s="7"/>
      <c r="J85" s="7">
        <v>1</v>
      </c>
      <c r="K85" s="7">
        <v>1</v>
      </c>
      <c r="L85" s="7"/>
      <c r="M85" s="7"/>
      <c r="N85" s="7"/>
      <c r="O85" s="7"/>
      <c r="P85" s="7"/>
      <c r="Q85" s="7"/>
      <c r="R85" s="7"/>
      <c r="S85" s="9">
        <f t="shared" si="4"/>
        <v>3</v>
      </c>
    </row>
    <row r="86" spans="1:19" ht="16.5" x14ac:dyDescent="0.3">
      <c r="A86" s="30" t="s">
        <v>897</v>
      </c>
      <c r="B86" s="10" t="s">
        <v>1377</v>
      </c>
      <c r="C86" s="26" t="s">
        <v>896</v>
      </c>
      <c r="D86" s="7">
        <v>1</v>
      </c>
      <c r="E86" s="7"/>
      <c r="F86" s="7"/>
      <c r="G86" s="7"/>
      <c r="H86" s="7"/>
      <c r="I86" s="7"/>
      <c r="J86" s="7">
        <v>1</v>
      </c>
      <c r="K86" s="7">
        <v>0</v>
      </c>
      <c r="L86" s="7"/>
      <c r="M86" s="7"/>
      <c r="N86" s="7"/>
      <c r="O86" s="7"/>
      <c r="P86" s="7"/>
      <c r="Q86" s="7"/>
      <c r="R86" s="7"/>
      <c r="S86" s="9">
        <f t="shared" si="4"/>
        <v>2</v>
      </c>
    </row>
    <row r="87" spans="1:19" ht="16.5" x14ac:dyDescent="0.3">
      <c r="A87" s="30" t="s">
        <v>943</v>
      </c>
      <c r="B87" s="10" t="s">
        <v>1377</v>
      </c>
      <c r="C87" s="26" t="s">
        <v>942</v>
      </c>
      <c r="D87" s="7">
        <v>1</v>
      </c>
      <c r="E87" s="7"/>
      <c r="F87" s="7"/>
      <c r="G87" s="7"/>
      <c r="H87" s="7"/>
      <c r="I87" s="7"/>
      <c r="J87" s="7">
        <v>1</v>
      </c>
      <c r="K87" s="7">
        <v>1</v>
      </c>
      <c r="L87" s="7"/>
      <c r="M87" s="7"/>
      <c r="N87" s="7"/>
      <c r="O87" s="7"/>
      <c r="P87" s="7"/>
      <c r="Q87" s="7"/>
      <c r="R87" s="7"/>
      <c r="S87" s="9">
        <f t="shared" si="4"/>
        <v>3</v>
      </c>
    </row>
    <row r="88" spans="1:19" ht="16.5" x14ac:dyDescent="0.3">
      <c r="A88" s="30" t="s">
        <v>915</v>
      </c>
      <c r="B88" s="10" t="s">
        <v>1377</v>
      </c>
      <c r="C88" s="23" t="s">
        <v>914</v>
      </c>
      <c r="D88" s="48">
        <v>1</v>
      </c>
      <c r="E88" s="7"/>
      <c r="F88" s="7"/>
      <c r="G88" s="7"/>
      <c r="H88" s="7"/>
      <c r="I88" s="7"/>
      <c r="J88" s="48">
        <v>1</v>
      </c>
      <c r="K88" s="227">
        <v>0</v>
      </c>
      <c r="L88" s="7"/>
      <c r="M88" s="7"/>
      <c r="N88" s="7"/>
      <c r="O88" s="7"/>
      <c r="P88" s="7"/>
      <c r="Q88" s="7"/>
      <c r="R88" s="7"/>
      <c r="S88" s="9">
        <f t="shared" si="4"/>
        <v>2</v>
      </c>
    </row>
    <row r="89" spans="1:19" ht="16.5" x14ac:dyDescent="0.3">
      <c r="A89" s="30" t="s">
        <v>435</v>
      </c>
      <c r="B89" s="10" t="s">
        <v>1377</v>
      </c>
      <c r="C89" s="26" t="s">
        <v>434</v>
      </c>
      <c r="D89" s="7">
        <v>1</v>
      </c>
      <c r="E89" s="48"/>
      <c r="F89" s="48"/>
      <c r="G89" s="48"/>
      <c r="H89" s="48"/>
      <c r="I89" s="48"/>
      <c r="J89" s="7">
        <v>1</v>
      </c>
      <c r="K89" s="48">
        <v>1</v>
      </c>
      <c r="L89" s="11"/>
      <c r="M89" s="11"/>
      <c r="N89" s="11"/>
      <c r="O89" s="11"/>
      <c r="P89" s="11"/>
      <c r="Q89" s="11"/>
      <c r="R89" s="11"/>
      <c r="S89" s="9">
        <f t="shared" si="4"/>
        <v>3</v>
      </c>
    </row>
    <row r="90" spans="1:19" ht="16.5" x14ac:dyDescent="0.3">
      <c r="A90" s="30" t="s">
        <v>1350</v>
      </c>
      <c r="B90" s="10" t="s">
        <v>1377</v>
      </c>
      <c r="C90" s="26" t="s">
        <v>1349</v>
      </c>
      <c r="D90" s="7">
        <v>1</v>
      </c>
      <c r="E90" s="7"/>
      <c r="F90" s="7"/>
      <c r="G90" s="7"/>
      <c r="H90" s="7"/>
      <c r="I90" s="7"/>
      <c r="J90" s="7">
        <v>1</v>
      </c>
      <c r="K90" s="227">
        <v>0</v>
      </c>
      <c r="L90" s="7"/>
      <c r="M90" s="7"/>
      <c r="N90" s="7"/>
      <c r="O90" s="7"/>
      <c r="P90" s="7"/>
      <c r="Q90" s="7"/>
      <c r="R90" s="7"/>
      <c r="S90" s="9">
        <f t="shared" si="4"/>
        <v>2</v>
      </c>
    </row>
    <row r="91" spans="1:19" ht="16.5" x14ac:dyDescent="0.3">
      <c r="A91" s="30" t="s">
        <v>907</v>
      </c>
      <c r="B91" s="10" t="s">
        <v>1377</v>
      </c>
      <c r="C91" s="26" t="s">
        <v>906</v>
      </c>
      <c r="D91" s="7">
        <v>1</v>
      </c>
      <c r="E91" s="7"/>
      <c r="F91" s="7"/>
      <c r="G91" s="7"/>
      <c r="H91" s="7"/>
      <c r="I91" s="7"/>
      <c r="J91" s="7">
        <v>1</v>
      </c>
      <c r="K91" s="227">
        <v>0</v>
      </c>
      <c r="L91" s="7"/>
      <c r="M91" s="7"/>
      <c r="N91" s="7"/>
      <c r="O91" s="7"/>
      <c r="P91" s="7"/>
      <c r="Q91" s="7"/>
      <c r="R91" s="7"/>
      <c r="S91" s="9">
        <f t="shared" si="4"/>
        <v>2</v>
      </c>
    </row>
    <row r="92" spans="1:19" ht="16.5" x14ac:dyDescent="0.3">
      <c r="A92" s="30" t="s">
        <v>961</v>
      </c>
      <c r="B92" s="10" t="s">
        <v>1377</v>
      </c>
      <c r="C92" s="26" t="s">
        <v>960</v>
      </c>
      <c r="D92" s="7">
        <v>1</v>
      </c>
      <c r="E92" s="7"/>
      <c r="F92" s="7"/>
      <c r="G92" s="7"/>
      <c r="H92" s="7"/>
      <c r="I92" s="7"/>
      <c r="J92" s="7">
        <v>1</v>
      </c>
      <c r="K92" s="7">
        <v>1</v>
      </c>
      <c r="L92" s="7"/>
      <c r="M92" s="7"/>
      <c r="N92" s="7"/>
      <c r="O92" s="7"/>
      <c r="P92" s="7"/>
      <c r="Q92" s="7"/>
      <c r="R92" s="7"/>
      <c r="S92" s="9">
        <f t="shared" si="4"/>
        <v>3</v>
      </c>
    </row>
    <row r="93" spans="1:19" ht="16.5" x14ac:dyDescent="0.3">
      <c r="A93" s="30" t="s">
        <v>935</v>
      </c>
      <c r="B93" s="10" t="s">
        <v>1377</v>
      </c>
      <c r="C93" s="26" t="s">
        <v>934</v>
      </c>
      <c r="D93" s="48">
        <v>1</v>
      </c>
      <c r="E93" s="7"/>
      <c r="F93" s="7"/>
      <c r="G93" s="7"/>
      <c r="H93" s="7"/>
      <c r="I93" s="7"/>
      <c r="J93" s="48">
        <v>1</v>
      </c>
      <c r="K93" s="7">
        <v>1</v>
      </c>
      <c r="L93" s="7"/>
      <c r="M93" s="7"/>
      <c r="N93" s="7"/>
      <c r="O93" s="7"/>
      <c r="P93" s="7"/>
      <c r="Q93" s="7"/>
      <c r="R93" s="7"/>
      <c r="S93" s="9">
        <f t="shared" si="4"/>
        <v>3</v>
      </c>
    </row>
    <row r="94" spans="1:19" ht="16.5" x14ac:dyDescent="0.3">
      <c r="A94" s="30" t="s">
        <v>1348</v>
      </c>
      <c r="B94" s="10" t="s">
        <v>1377</v>
      </c>
      <c r="C94" s="26" t="s">
        <v>1347</v>
      </c>
      <c r="D94" s="7">
        <v>1</v>
      </c>
      <c r="E94" s="7"/>
      <c r="F94" s="7"/>
      <c r="G94" s="7"/>
      <c r="H94" s="7"/>
      <c r="I94" s="7"/>
      <c r="J94" s="7">
        <v>1</v>
      </c>
      <c r="K94" s="7">
        <v>1</v>
      </c>
      <c r="L94" s="7"/>
      <c r="M94" s="7"/>
      <c r="N94" s="7"/>
      <c r="O94" s="7"/>
      <c r="P94" s="7"/>
      <c r="Q94" s="7"/>
      <c r="R94" s="7"/>
      <c r="S94" s="9">
        <f t="shared" si="4"/>
        <v>3</v>
      </c>
    </row>
    <row r="95" spans="1:19" ht="16.5" x14ac:dyDescent="0.3">
      <c r="A95" s="30" t="s">
        <v>969</v>
      </c>
      <c r="B95" s="10" t="s">
        <v>1377</v>
      </c>
      <c r="C95" s="23" t="s">
        <v>968</v>
      </c>
      <c r="D95" s="7">
        <v>1</v>
      </c>
      <c r="E95" s="7"/>
      <c r="F95" s="7"/>
      <c r="G95" s="7"/>
      <c r="H95" s="7"/>
      <c r="I95" s="7"/>
      <c r="J95" s="7">
        <v>1</v>
      </c>
      <c r="K95" s="7">
        <v>1</v>
      </c>
      <c r="L95" s="7"/>
      <c r="M95" s="7"/>
      <c r="N95" s="7"/>
      <c r="O95" s="7"/>
      <c r="P95" s="7"/>
      <c r="Q95" s="7"/>
      <c r="R95" s="7"/>
      <c r="S95" s="9">
        <f t="shared" si="4"/>
        <v>3</v>
      </c>
    </row>
    <row r="96" spans="1:19" ht="16.5" x14ac:dyDescent="0.3">
      <c r="A96" s="30" t="s">
        <v>454</v>
      </c>
      <c r="B96" s="10" t="s">
        <v>1377</v>
      </c>
      <c r="C96" s="26" t="s">
        <v>453</v>
      </c>
      <c r="D96" s="7">
        <v>1</v>
      </c>
      <c r="E96" s="48"/>
      <c r="F96" s="48"/>
      <c r="G96" s="48"/>
      <c r="H96" s="48"/>
      <c r="I96" s="48"/>
      <c r="J96" s="7">
        <v>1</v>
      </c>
      <c r="K96" s="48">
        <v>1</v>
      </c>
      <c r="L96" s="11"/>
      <c r="M96" s="11"/>
      <c r="N96" s="11"/>
      <c r="O96" s="11"/>
      <c r="P96" s="11"/>
      <c r="Q96" s="11"/>
      <c r="R96" s="11"/>
      <c r="S96" s="9">
        <f t="shared" si="4"/>
        <v>3</v>
      </c>
    </row>
    <row r="97" spans="1:19" ht="16.5" x14ac:dyDescent="0.3">
      <c r="A97" s="30" t="s">
        <v>451</v>
      </c>
      <c r="B97" s="10" t="s">
        <v>1377</v>
      </c>
      <c r="C97" s="26" t="s">
        <v>450</v>
      </c>
      <c r="D97" s="7">
        <v>1</v>
      </c>
      <c r="E97" s="7"/>
      <c r="F97" s="7"/>
      <c r="G97" s="7"/>
      <c r="H97" s="7"/>
      <c r="I97" s="7"/>
      <c r="J97" s="7">
        <v>1</v>
      </c>
      <c r="K97" s="227">
        <v>0</v>
      </c>
      <c r="L97" s="7"/>
      <c r="M97" s="7"/>
      <c r="N97" s="7"/>
      <c r="O97" s="7"/>
      <c r="P97" s="7"/>
      <c r="Q97" s="7"/>
      <c r="R97" s="7"/>
      <c r="S97" s="9">
        <f t="shared" si="4"/>
        <v>2</v>
      </c>
    </row>
    <row r="98" spans="1:19" ht="16.5" x14ac:dyDescent="0.3">
      <c r="A98" s="30" t="s">
        <v>973</v>
      </c>
      <c r="B98" s="10" t="s">
        <v>1377</v>
      </c>
      <c r="C98" s="26" t="s">
        <v>972</v>
      </c>
      <c r="D98" s="48">
        <v>1</v>
      </c>
      <c r="E98" s="7"/>
      <c r="F98" s="7"/>
      <c r="G98" s="7"/>
      <c r="H98" s="7"/>
      <c r="I98" s="7"/>
      <c r="J98" s="48">
        <v>1</v>
      </c>
      <c r="K98" s="7">
        <v>1</v>
      </c>
      <c r="L98" s="7"/>
      <c r="M98" s="7"/>
      <c r="N98" s="7"/>
      <c r="O98" s="7"/>
      <c r="P98" s="7"/>
      <c r="Q98" s="7"/>
      <c r="R98" s="7"/>
      <c r="S98" s="9">
        <f t="shared" ref="S98:S105" si="5">SUM(D98:N98)</f>
        <v>3</v>
      </c>
    </row>
    <row r="99" spans="1:19" ht="16.5" x14ac:dyDescent="0.3">
      <c r="A99" s="30" t="s">
        <v>945</v>
      </c>
      <c r="B99" s="10" t="s">
        <v>1377</v>
      </c>
      <c r="C99" s="26" t="s">
        <v>944</v>
      </c>
      <c r="D99" s="7">
        <v>1</v>
      </c>
      <c r="E99" s="7"/>
      <c r="F99" s="7"/>
      <c r="G99" s="7"/>
      <c r="H99" s="7"/>
      <c r="I99" s="7"/>
      <c r="J99" s="7">
        <v>1</v>
      </c>
      <c r="K99" s="7">
        <v>1</v>
      </c>
      <c r="L99" s="7"/>
      <c r="M99" s="7"/>
      <c r="N99" s="7"/>
      <c r="O99" s="7"/>
      <c r="P99" s="7"/>
      <c r="Q99" s="7"/>
      <c r="R99" s="7"/>
      <c r="S99" s="9">
        <f t="shared" si="5"/>
        <v>3</v>
      </c>
    </row>
    <row r="100" spans="1:19" ht="16.5" x14ac:dyDescent="0.3">
      <c r="A100" s="30" t="s">
        <v>971</v>
      </c>
      <c r="B100" s="10" t="s">
        <v>1377</v>
      </c>
      <c r="C100" s="26" t="s">
        <v>970</v>
      </c>
      <c r="D100" s="7">
        <v>1</v>
      </c>
      <c r="E100" s="7"/>
      <c r="F100" s="7"/>
      <c r="G100" s="7"/>
      <c r="H100" s="7"/>
      <c r="I100" s="7"/>
      <c r="J100" s="7">
        <v>1</v>
      </c>
      <c r="K100" s="7">
        <v>1</v>
      </c>
      <c r="L100" s="7"/>
      <c r="M100" s="7"/>
      <c r="N100" s="7"/>
      <c r="O100" s="7"/>
      <c r="P100" s="7"/>
      <c r="Q100" s="7"/>
      <c r="R100" s="7"/>
      <c r="S100" s="9">
        <f t="shared" si="5"/>
        <v>3</v>
      </c>
    </row>
    <row r="101" spans="1:19" ht="16.5" x14ac:dyDescent="0.3">
      <c r="A101" s="30" t="s">
        <v>937</v>
      </c>
      <c r="B101" s="10" t="s">
        <v>1377</v>
      </c>
      <c r="C101" s="26" t="s">
        <v>936</v>
      </c>
      <c r="D101" s="7">
        <v>1</v>
      </c>
      <c r="E101" s="7"/>
      <c r="F101" s="7"/>
      <c r="G101" s="7"/>
      <c r="H101" s="7"/>
      <c r="I101" s="7"/>
      <c r="J101" s="7">
        <v>1</v>
      </c>
      <c r="K101" s="227">
        <v>0</v>
      </c>
      <c r="L101" s="7"/>
      <c r="M101" s="7"/>
      <c r="N101" s="7"/>
      <c r="O101" s="7"/>
      <c r="P101" s="7"/>
      <c r="Q101" s="7"/>
      <c r="R101" s="7"/>
      <c r="S101" s="9">
        <f t="shared" si="5"/>
        <v>2</v>
      </c>
    </row>
    <row r="102" spans="1:19" ht="16.5" x14ac:dyDescent="0.3">
      <c r="A102" s="30" t="s">
        <v>965</v>
      </c>
      <c r="B102" s="10" t="s">
        <v>1377</v>
      </c>
      <c r="C102" s="23" t="s">
        <v>964</v>
      </c>
      <c r="D102" s="7">
        <v>1</v>
      </c>
      <c r="E102" s="7"/>
      <c r="F102" s="7"/>
      <c r="G102" s="7"/>
      <c r="H102" s="7"/>
      <c r="I102" s="7"/>
      <c r="J102" s="7">
        <v>1</v>
      </c>
      <c r="K102" s="227">
        <v>0</v>
      </c>
      <c r="L102" s="7"/>
      <c r="M102" s="7"/>
      <c r="N102" s="7"/>
      <c r="O102" s="7"/>
      <c r="P102" s="7"/>
      <c r="Q102" s="7"/>
      <c r="R102" s="7"/>
      <c r="S102" s="9">
        <f t="shared" si="5"/>
        <v>2</v>
      </c>
    </row>
    <row r="103" spans="1:19" ht="16.5" x14ac:dyDescent="0.3">
      <c r="A103" s="30" t="s">
        <v>963</v>
      </c>
      <c r="B103" s="10" t="s">
        <v>1377</v>
      </c>
      <c r="C103" s="26" t="s">
        <v>962</v>
      </c>
      <c r="D103" s="48">
        <v>1</v>
      </c>
      <c r="E103" s="48"/>
      <c r="F103" s="48"/>
      <c r="G103" s="48"/>
      <c r="H103" s="48"/>
      <c r="I103" s="48"/>
      <c r="J103" s="48">
        <v>1</v>
      </c>
      <c r="K103" s="48">
        <v>1</v>
      </c>
      <c r="L103" s="11"/>
      <c r="M103" s="11"/>
      <c r="N103" s="11"/>
      <c r="O103" s="11"/>
      <c r="P103" s="11"/>
      <c r="Q103" s="11"/>
      <c r="R103" s="11"/>
      <c r="S103" s="9">
        <f t="shared" si="5"/>
        <v>3</v>
      </c>
    </row>
    <row r="104" spans="1:19" ht="16.5" x14ac:dyDescent="0.3">
      <c r="A104" s="30" t="s">
        <v>967</v>
      </c>
      <c r="B104" s="10" t="s">
        <v>1377</v>
      </c>
      <c r="C104" s="26" t="s">
        <v>966</v>
      </c>
      <c r="D104" s="7">
        <v>1</v>
      </c>
      <c r="E104" s="7"/>
      <c r="F104" s="7"/>
      <c r="G104" s="7"/>
      <c r="H104" s="7"/>
      <c r="I104" s="7"/>
      <c r="J104" s="7">
        <v>1</v>
      </c>
      <c r="K104" s="7">
        <v>1</v>
      </c>
      <c r="L104" s="7"/>
      <c r="M104" s="7"/>
      <c r="N104" s="7"/>
      <c r="O104" s="7"/>
      <c r="P104" s="7"/>
      <c r="Q104" s="7"/>
      <c r="R104" s="7"/>
      <c r="S104" s="9">
        <f t="shared" si="5"/>
        <v>3</v>
      </c>
    </row>
    <row r="105" spans="1:19" ht="17.25" thickBot="1" x14ac:dyDescent="0.35">
      <c r="A105" s="30" t="s">
        <v>959</v>
      </c>
      <c r="B105" s="10" t="s">
        <v>1377</v>
      </c>
      <c r="C105" s="26" t="s">
        <v>958</v>
      </c>
      <c r="D105" s="7">
        <v>1</v>
      </c>
      <c r="E105" s="7"/>
      <c r="F105" s="7"/>
      <c r="G105" s="7"/>
      <c r="H105" s="7"/>
      <c r="I105" s="7"/>
      <c r="J105" s="7">
        <v>1</v>
      </c>
      <c r="K105" s="227">
        <v>0</v>
      </c>
      <c r="L105" s="7"/>
      <c r="M105" s="7"/>
      <c r="N105" s="7"/>
      <c r="O105" s="7"/>
      <c r="P105" s="7"/>
      <c r="Q105" s="7"/>
      <c r="R105" s="7"/>
      <c r="S105" s="9">
        <f t="shared" si="5"/>
        <v>2</v>
      </c>
    </row>
    <row r="106" spans="1:19" ht="15.75" thickBot="1" x14ac:dyDescent="0.3">
      <c r="C106" s="13" t="s">
        <v>1378</v>
      </c>
      <c r="D106" s="14">
        <f>SUM(D33:D105)</f>
        <v>73</v>
      </c>
      <c r="E106" s="14">
        <f t="shared" ref="E106:N106" si="6">SUM(E80:E105)</f>
        <v>0</v>
      </c>
      <c r="F106" s="14">
        <f t="shared" si="6"/>
        <v>0</v>
      </c>
      <c r="G106" s="14">
        <f t="shared" si="6"/>
        <v>0</v>
      </c>
      <c r="H106" s="14">
        <f t="shared" si="6"/>
        <v>0</v>
      </c>
      <c r="I106" s="14">
        <f t="shared" si="6"/>
        <v>0</v>
      </c>
      <c r="J106" s="14">
        <f>SUM(J33:J105)</f>
        <v>73</v>
      </c>
      <c r="K106" s="14">
        <f>SUM(K33:K105)</f>
        <v>47</v>
      </c>
      <c r="L106" s="14">
        <f t="shared" si="6"/>
        <v>0</v>
      </c>
      <c r="M106" s="14">
        <f t="shared" si="6"/>
        <v>0</v>
      </c>
      <c r="N106" s="94">
        <f t="shared" si="6"/>
        <v>0</v>
      </c>
      <c r="O106" s="191"/>
      <c r="P106" s="191"/>
      <c r="Q106" s="191"/>
      <c r="R106" s="191"/>
      <c r="S106" s="95">
        <f>SUM(S33:S105)</f>
        <v>193</v>
      </c>
    </row>
    <row r="109" spans="1:19" x14ac:dyDescent="0.25">
      <c r="A109" s="369" t="s">
        <v>1380</v>
      </c>
      <c r="B109" s="369"/>
      <c r="C109" s="369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0"/>
    </row>
    <row r="110" spans="1:19" x14ac:dyDescent="0.25">
      <c r="A110" s="161">
        <v>44287</v>
      </c>
      <c r="B110" s="3" t="s">
        <v>1381</v>
      </c>
      <c r="C110" s="370">
        <v>189000000</v>
      </c>
    </row>
    <row r="111" spans="1:19" x14ac:dyDescent="0.25">
      <c r="A111" s="161">
        <v>44317</v>
      </c>
      <c r="B111" s="3" t="s">
        <v>1381</v>
      </c>
      <c r="C111" s="371"/>
    </row>
    <row r="112" spans="1:19" x14ac:dyDescent="0.25">
      <c r="A112" s="161">
        <v>44348</v>
      </c>
      <c r="B112" s="3" t="s">
        <v>1381</v>
      </c>
      <c r="C112" s="371"/>
    </row>
    <row r="113" spans="1:3" x14ac:dyDescent="0.25">
      <c r="A113" s="161">
        <v>44378</v>
      </c>
      <c r="B113" s="3" t="s">
        <v>1381</v>
      </c>
      <c r="C113" s="371"/>
    </row>
    <row r="114" spans="1:3" x14ac:dyDescent="0.25">
      <c r="A114" s="161">
        <v>44409</v>
      </c>
      <c r="B114" s="3" t="s">
        <v>1381</v>
      </c>
      <c r="C114" s="371"/>
    </row>
    <row r="115" spans="1:3" x14ac:dyDescent="0.25">
      <c r="A115" s="161">
        <v>44440</v>
      </c>
      <c r="B115" s="3" t="s">
        <v>1381</v>
      </c>
      <c r="C115" s="372"/>
    </row>
    <row r="116" spans="1:3" x14ac:dyDescent="0.25">
      <c r="A116" s="161">
        <v>44470</v>
      </c>
      <c r="B116" s="3" t="s">
        <v>1381</v>
      </c>
      <c r="C116" s="162">
        <v>31500000</v>
      </c>
    </row>
    <row r="117" spans="1:3" x14ac:dyDescent="0.25">
      <c r="A117" s="161">
        <v>44501</v>
      </c>
      <c r="B117" s="3" t="s">
        <v>1381</v>
      </c>
      <c r="C117" s="162">
        <v>31500000</v>
      </c>
    </row>
    <row r="118" spans="1:3" x14ac:dyDescent="0.25">
      <c r="A118" s="161">
        <v>44531</v>
      </c>
      <c r="B118" s="3" t="s">
        <v>1381</v>
      </c>
      <c r="C118" s="162">
        <v>31500000</v>
      </c>
    </row>
    <row r="119" spans="1:3" x14ac:dyDescent="0.25">
      <c r="A119" s="161">
        <v>44562</v>
      </c>
      <c r="B119" s="3" t="s">
        <v>1381</v>
      </c>
      <c r="C119" s="162">
        <v>31500000</v>
      </c>
    </row>
    <row r="120" spans="1:3" x14ac:dyDescent="0.25">
      <c r="A120" s="161">
        <v>44593</v>
      </c>
      <c r="B120" s="3" t="s">
        <v>1381</v>
      </c>
      <c r="C120" s="162">
        <v>31500000</v>
      </c>
    </row>
    <row r="121" spans="1:3" x14ac:dyDescent="0.25">
      <c r="A121" s="161">
        <v>44621</v>
      </c>
      <c r="B121" s="3" t="s">
        <v>1381</v>
      </c>
      <c r="C121" s="162">
        <v>31500000</v>
      </c>
    </row>
    <row r="122" spans="1:3" x14ac:dyDescent="0.25">
      <c r="A122" s="161">
        <v>44652</v>
      </c>
      <c r="B122" s="3" t="s">
        <v>1381</v>
      </c>
      <c r="C122" s="162">
        <v>31500000</v>
      </c>
    </row>
    <row r="123" spans="1:3" x14ac:dyDescent="0.25">
      <c r="A123" s="161">
        <v>44682</v>
      </c>
      <c r="B123" s="3" t="s">
        <v>1381</v>
      </c>
      <c r="C123" s="162">
        <v>31500000</v>
      </c>
    </row>
    <row r="124" spans="1:3" x14ac:dyDescent="0.25">
      <c r="A124" s="161">
        <v>44713</v>
      </c>
      <c r="B124" s="3" t="s">
        <v>1381</v>
      </c>
      <c r="C124" s="162">
        <v>45500000</v>
      </c>
    </row>
    <row r="125" spans="1:3" x14ac:dyDescent="0.25">
      <c r="A125" s="161">
        <v>44743</v>
      </c>
      <c r="B125" s="97"/>
      <c r="C125" s="97"/>
    </row>
  </sheetData>
  <autoFilter ref="B2:S28" xr:uid="{00000000-0009-0000-0000-000001000000}"/>
  <mergeCells count="4">
    <mergeCell ref="A31:S31"/>
    <mergeCell ref="A109:C109"/>
    <mergeCell ref="C110:C115"/>
    <mergeCell ref="A1:U1"/>
  </mergeCells>
  <conditionalFormatting sqref="A3:A28">
    <cfRule type="duplicateValues" dxfId="72" priority="2"/>
  </conditionalFormatting>
  <conditionalFormatting sqref="A33:A105">
    <cfRule type="duplicateValues" dxfId="71" priority="1"/>
  </conditionalFormatting>
  <pageMargins left="0.70866141732283472" right="0.70866141732283472" top="0.74803149606299213" bottom="0.74803149606299213" header="0.31496062992125984" footer="0.31496062992125984"/>
  <pageSetup scale="18" orientation="portrait" r:id="rId1"/>
  <ignoredErrors>
    <ignoredError sqref="D106 H29:O29 D29:G29 P29:R29 S3:S12 J106:K106 S20:S28" formulaRange="1"/>
    <ignoredError sqref="S15 S13" formula="1"/>
    <ignoredError sqref="S14 S16:S19" formula="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24"/>
  <sheetViews>
    <sheetView zoomScale="70" zoomScaleNormal="70" workbookViewId="0">
      <pane xSplit="3" ySplit="2" topLeftCell="G113" activePane="bottomRight" state="frozen"/>
      <selection pane="topRight" activeCell="D1" sqref="D1"/>
      <selection pane="bottomLeft" activeCell="A2" sqref="A2"/>
      <selection pane="bottomRight" activeCell="B132" sqref="B132"/>
    </sheetView>
  </sheetViews>
  <sheetFormatPr baseColWidth="10" defaultColWidth="11.42578125" defaultRowHeight="15" x14ac:dyDescent="0.25"/>
  <cols>
    <col min="1" max="1" width="14.7109375" customWidth="1"/>
    <col min="2" max="2" width="37.5703125" customWidth="1"/>
    <col min="3" max="3" width="42.28515625" customWidth="1"/>
    <col min="4" max="18" width="14.5703125" customWidth="1"/>
    <col min="19" max="19" width="16.5703125" customWidth="1"/>
    <col min="20" max="20" width="17.140625" customWidth="1"/>
    <col min="21" max="21" width="17.7109375" customWidth="1"/>
  </cols>
  <sheetData>
    <row r="1" spans="1:21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</row>
    <row r="2" spans="1:21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230">
        <v>44682</v>
      </c>
      <c r="Q2" s="6">
        <v>44713</v>
      </c>
      <c r="R2" s="6">
        <v>44743</v>
      </c>
      <c r="S2" s="302" t="s">
        <v>1424</v>
      </c>
      <c r="T2" s="233" t="s">
        <v>1419</v>
      </c>
      <c r="U2" s="165" t="s">
        <v>1418</v>
      </c>
    </row>
    <row r="3" spans="1:21" ht="16.5" x14ac:dyDescent="0.3">
      <c r="A3" s="28" t="s">
        <v>270</v>
      </c>
      <c r="B3" s="10" t="s">
        <v>1382</v>
      </c>
      <c r="C3" s="23" t="s">
        <v>269</v>
      </c>
      <c r="D3" s="7">
        <v>0</v>
      </c>
      <c r="E3" s="7">
        <v>0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7">
        <v>1</v>
      </c>
      <c r="O3" s="7">
        <v>1</v>
      </c>
      <c r="P3" s="7">
        <v>1</v>
      </c>
      <c r="Q3" s="10">
        <v>1</v>
      </c>
      <c r="R3" s="10"/>
      <c r="S3" s="231">
        <f>SUM(D3:O3)</f>
        <v>10</v>
      </c>
      <c r="T3" s="135">
        <f>SUM(P3:Q3)</f>
        <v>2</v>
      </c>
      <c r="U3" s="214">
        <f>S3+T3</f>
        <v>12</v>
      </c>
    </row>
    <row r="4" spans="1:21" ht="16.5" x14ac:dyDescent="0.3">
      <c r="A4" s="28" t="s">
        <v>181</v>
      </c>
      <c r="B4" s="10" t="s">
        <v>1382</v>
      </c>
      <c r="C4" s="23" t="s">
        <v>180</v>
      </c>
      <c r="D4" s="7">
        <v>0</v>
      </c>
      <c r="E4" s="7">
        <v>0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1</v>
      </c>
      <c r="P4" s="7">
        <v>1</v>
      </c>
      <c r="Q4" s="10">
        <v>1</v>
      </c>
      <c r="R4" s="10"/>
      <c r="S4" s="231">
        <f t="shared" ref="S4:S5" si="0">SUM(D4:O4)</f>
        <v>10</v>
      </c>
      <c r="T4" s="58">
        <f>SUM(P4:Q4)</f>
        <v>2</v>
      </c>
      <c r="U4" s="215">
        <f t="shared" ref="U4:U29" si="1">S4+T4</f>
        <v>12</v>
      </c>
    </row>
    <row r="5" spans="1:21" ht="16.5" x14ac:dyDescent="0.3">
      <c r="A5" s="28" t="s">
        <v>214</v>
      </c>
      <c r="B5" s="10" t="s">
        <v>1382</v>
      </c>
      <c r="C5" s="23" t="s">
        <v>213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85">
        <v>1</v>
      </c>
      <c r="R5" s="85">
        <v>1</v>
      </c>
      <c r="S5" s="231">
        <f t="shared" si="0"/>
        <v>10</v>
      </c>
      <c r="T5" s="58">
        <f>SUM(P5:R5)</f>
        <v>3</v>
      </c>
      <c r="U5" s="215">
        <f t="shared" si="1"/>
        <v>13</v>
      </c>
    </row>
    <row r="6" spans="1:21" ht="16.5" x14ac:dyDescent="0.3">
      <c r="A6" s="28" t="s">
        <v>155</v>
      </c>
      <c r="B6" s="10" t="s">
        <v>1382</v>
      </c>
      <c r="C6" s="23" t="s">
        <v>154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10">
        <v>1</v>
      </c>
      <c r="R6" s="10"/>
      <c r="S6" s="231">
        <f t="shared" ref="S6:S11" si="2">SUM(D6:O6)</f>
        <v>10</v>
      </c>
      <c r="T6" s="58">
        <f t="shared" ref="T6:T29" si="3">SUM(P6:Q6)</f>
        <v>2</v>
      </c>
      <c r="U6" s="215">
        <f t="shared" si="1"/>
        <v>12</v>
      </c>
    </row>
    <row r="7" spans="1:21" ht="16.5" x14ac:dyDescent="0.3">
      <c r="A7" s="28" t="s">
        <v>177</v>
      </c>
      <c r="B7" s="10" t="s">
        <v>1382</v>
      </c>
      <c r="C7" s="24" t="s">
        <v>176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227">
        <v>1</v>
      </c>
      <c r="Q7" s="340">
        <v>1</v>
      </c>
      <c r="R7" s="10"/>
      <c r="S7" s="231">
        <f>SUM(D7:O7)</f>
        <v>10</v>
      </c>
      <c r="T7" s="58">
        <f t="shared" ref="T7:T12" si="4">SUM(P7:R7)</f>
        <v>2</v>
      </c>
      <c r="U7" s="215">
        <f t="shared" si="1"/>
        <v>12</v>
      </c>
    </row>
    <row r="8" spans="1:21" ht="16.5" x14ac:dyDescent="0.3">
      <c r="A8" s="28" t="s">
        <v>73</v>
      </c>
      <c r="B8" s="10" t="s">
        <v>1382</v>
      </c>
      <c r="C8" s="23" t="s">
        <v>72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85">
        <v>1</v>
      </c>
      <c r="R8" s="85">
        <v>1</v>
      </c>
      <c r="S8" s="231">
        <f t="shared" si="2"/>
        <v>10</v>
      </c>
      <c r="T8" s="58">
        <f t="shared" si="4"/>
        <v>3</v>
      </c>
      <c r="U8" s="215">
        <f t="shared" si="1"/>
        <v>13</v>
      </c>
    </row>
    <row r="9" spans="1:21" ht="16.5" x14ac:dyDescent="0.3">
      <c r="A9" s="28" t="s">
        <v>96</v>
      </c>
      <c r="B9" s="10" t="s">
        <v>1382</v>
      </c>
      <c r="C9" s="23" t="s">
        <v>95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85">
        <v>1</v>
      </c>
      <c r="R9" s="85">
        <v>1</v>
      </c>
      <c r="S9" s="231">
        <f t="shared" si="2"/>
        <v>10</v>
      </c>
      <c r="T9" s="58">
        <f t="shared" si="4"/>
        <v>3</v>
      </c>
      <c r="U9" s="215">
        <f t="shared" si="1"/>
        <v>13</v>
      </c>
    </row>
    <row r="10" spans="1:21" ht="16.5" x14ac:dyDescent="0.3">
      <c r="A10" s="28" t="s">
        <v>57</v>
      </c>
      <c r="B10" s="10" t="s">
        <v>1382</v>
      </c>
      <c r="C10" s="24" t="s">
        <v>56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85">
        <v>1</v>
      </c>
      <c r="R10" s="85">
        <v>1</v>
      </c>
      <c r="S10" s="231">
        <f t="shared" si="2"/>
        <v>10</v>
      </c>
      <c r="T10" s="58">
        <f t="shared" si="4"/>
        <v>3</v>
      </c>
      <c r="U10" s="215">
        <f t="shared" si="1"/>
        <v>13</v>
      </c>
    </row>
    <row r="11" spans="1:21" ht="16.5" x14ac:dyDescent="0.3">
      <c r="A11" s="28" t="s">
        <v>88</v>
      </c>
      <c r="B11" s="10" t="s">
        <v>1382</v>
      </c>
      <c r="C11" s="24" t="s">
        <v>87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P11" s="7">
        <v>1</v>
      </c>
      <c r="Q11" s="85">
        <v>1</v>
      </c>
      <c r="R11" s="85">
        <v>1</v>
      </c>
      <c r="S11" s="231">
        <f t="shared" si="2"/>
        <v>10</v>
      </c>
      <c r="T11" s="58">
        <f t="shared" si="4"/>
        <v>3</v>
      </c>
      <c r="U11" s="215">
        <f t="shared" si="1"/>
        <v>13</v>
      </c>
    </row>
    <row r="12" spans="1:21" ht="16.5" x14ac:dyDescent="0.3">
      <c r="A12" s="28" t="s">
        <v>127</v>
      </c>
      <c r="B12" s="10" t="s">
        <v>1382</v>
      </c>
      <c r="C12" s="23" t="s">
        <v>126</v>
      </c>
      <c r="D12" s="7">
        <v>0</v>
      </c>
      <c r="E12" s="7">
        <v>0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10">
        <v>1</v>
      </c>
      <c r="R12" s="340">
        <v>1</v>
      </c>
      <c r="S12" s="231">
        <f t="shared" ref="S12:S17" si="5">SUM(D12:O12)</f>
        <v>10</v>
      </c>
      <c r="T12" s="58">
        <f t="shared" si="4"/>
        <v>3</v>
      </c>
      <c r="U12" s="215">
        <f t="shared" si="1"/>
        <v>13</v>
      </c>
    </row>
    <row r="13" spans="1:21" ht="16.5" x14ac:dyDescent="0.3">
      <c r="A13" s="28" t="s">
        <v>265</v>
      </c>
      <c r="B13" s="10" t="s">
        <v>1382</v>
      </c>
      <c r="C13" s="23" t="s">
        <v>264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1</v>
      </c>
      <c r="N13" s="7">
        <v>1</v>
      </c>
      <c r="O13" s="7">
        <v>1</v>
      </c>
      <c r="P13" s="7">
        <v>1</v>
      </c>
      <c r="Q13" s="7">
        <v>1</v>
      </c>
      <c r="R13" s="7"/>
      <c r="S13" s="9">
        <f t="shared" si="5"/>
        <v>10</v>
      </c>
      <c r="T13" s="58">
        <f t="shared" si="3"/>
        <v>2</v>
      </c>
      <c r="U13" s="215">
        <f t="shared" si="1"/>
        <v>12</v>
      </c>
    </row>
    <row r="14" spans="1:21" ht="16.5" x14ac:dyDescent="0.3">
      <c r="A14" s="28" t="s">
        <v>115</v>
      </c>
      <c r="B14" s="10" t="s">
        <v>1382</v>
      </c>
      <c r="C14" s="23" t="s">
        <v>114</v>
      </c>
      <c r="D14" s="7">
        <v>0</v>
      </c>
      <c r="E14" s="7">
        <v>0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85">
        <v>1</v>
      </c>
      <c r="R14" s="85">
        <v>1</v>
      </c>
      <c r="S14" s="9">
        <f t="shared" si="5"/>
        <v>10</v>
      </c>
      <c r="T14" s="58">
        <f>SUM(P14:R14)</f>
        <v>3</v>
      </c>
      <c r="U14" s="215">
        <f t="shared" si="1"/>
        <v>13</v>
      </c>
    </row>
    <row r="15" spans="1:21" ht="16.5" x14ac:dyDescent="0.3">
      <c r="A15" s="28" t="s">
        <v>135</v>
      </c>
      <c r="B15" s="10" t="s">
        <v>1382</v>
      </c>
      <c r="C15" s="23" t="s">
        <v>134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7">
        <v>1</v>
      </c>
      <c r="N15" s="7">
        <v>1</v>
      </c>
      <c r="O15" s="7">
        <v>1</v>
      </c>
      <c r="P15" s="7">
        <v>1</v>
      </c>
      <c r="Q15" s="85">
        <v>1</v>
      </c>
      <c r="R15" s="85">
        <v>1</v>
      </c>
      <c r="S15" s="9">
        <f t="shared" si="5"/>
        <v>10</v>
      </c>
      <c r="T15" s="58">
        <f>SUM(P15:R15)</f>
        <v>3</v>
      </c>
      <c r="U15" s="215">
        <f t="shared" si="1"/>
        <v>13</v>
      </c>
    </row>
    <row r="16" spans="1:21" ht="16.5" x14ac:dyDescent="0.3">
      <c r="A16" s="30" t="s">
        <v>161</v>
      </c>
      <c r="B16" s="10" t="s">
        <v>1382</v>
      </c>
      <c r="C16" s="23" t="s">
        <v>160</v>
      </c>
      <c r="D16" s="7">
        <v>0</v>
      </c>
      <c r="E16" s="7">
        <v>0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/>
      <c r="S16" s="9">
        <f t="shared" si="5"/>
        <v>10</v>
      </c>
      <c r="T16" s="58">
        <f t="shared" si="3"/>
        <v>2</v>
      </c>
      <c r="U16" s="215">
        <f t="shared" si="1"/>
        <v>12</v>
      </c>
    </row>
    <row r="17" spans="1:21" s="12" customFormat="1" ht="16.5" x14ac:dyDescent="0.3">
      <c r="A17" s="30" t="s">
        <v>208</v>
      </c>
      <c r="B17" s="10" t="s">
        <v>1382</v>
      </c>
      <c r="C17" s="23" t="s">
        <v>207</v>
      </c>
      <c r="D17" s="48">
        <v>0</v>
      </c>
      <c r="E17" s="48">
        <v>0</v>
      </c>
      <c r="F17" s="48">
        <v>1</v>
      </c>
      <c r="G17" s="48">
        <v>1</v>
      </c>
      <c r="H17" s="7">
        <v>1</v>
      </c>
      <c r="I17" s="48">
        <v>1</v>
      </c>
      <c r="J17" s="48">
        <v>1</v>
      </c>
      <c r="K17" s="48">
        <v>1</v>
      </c>
      <c r="L17" s="48">
        <v>1</v>
      </c>
      <c r="M17" s="7">
        <v>1</v>
      </c>
      <c r="N17" s="48">
        <v>1</v>
      </c>
      <c r="O17" s="48">
        <v>1</v>
      </c>
      <c r="P17" s="7">
        <v>1</v>
      </c>
      <c r="Q17" s="85">
        <v>1</v>
      </c>
      <c r="R17" s="85">
        <v>1</v>
      </c>
      <c r="S17" s="9">
        <f t="shared" si="5"/>
        <v>10</v>
      </c>
      <c r="T17" s="58">
        <f>SUM(P17:R17)</f>
        <v>3</v>
      </c>
      <c r="U17" s="215">
        <f t="shared" si="1"/>
        <v>13</v>
      </c>
    </row>
    <row r="18" spans="1:21" ht="16.5" x14ac:dyDescent="0.3">
      <c r="A18" s="153" t="s">
        <v>372</v>
      </c>
      <c r="B18" s="154" t="s">
        <v>1382</v>
      </c>
      <c r="C18" s="70" t="s">
        <v>371</v>
      </c>
      <c r="D18" s="86">
        <v>0</v>
      </c>
      <c r="E18" s="86">
        <v>0</v>
      </c>
      <c r="F18" s="86">
        <v>1</v>
      </c>
      <c r="G18" s="86">
        <v>1</v>
      </c>
      <c r="H18" s="86">
        <v>1</v>
      </c>
      <c r="I18" s="86">
        <v>1</v>
      </c>
      <c r="J18" s="86">
        <v>0</v>
      </c>
      <c r="K18" s="86">
        <v>0</v>
      </c>
      <c r="L18" s="86">
        <v>0</v>
      </c>
      <c r="M18" s="86">
        <v>0</v>
      </c>
      <c r="N18" s="86">
        <v>0</v>
      </c>
      <c r="O18" s="86">
        <v>0</v>
      </c>
      <c r="P18" s="86"/>
      <c r="Q18" s="86"/>
      <c r="R18" s="86"/>
      <c r="S18" s="87">
        <f>SUM(D18:P18)</f>
        <v>4</v>
      </c>
      <c r="T18" s="87">
        <f>SUM(P18:Q18)</f>
        <v>0</v>
      </c>
      <c r="U18" s="215">
        <f t="shared" si="1"/>
        <v>4</v>
      </c>
    </row>
    <row r="19" spans="1:21" ht="16.5" x14ac:dyDescent="0.3">
      <c r="A19" s="30" t="s">
        <v>235</v>
      </c>
      <c r="B19" s="10" t="s">
        <v>1382</v>
      </c>
      <c r="C19" s="23" t="s">
        <v>234</v>
      </c>
      <c r="D19" s="7">
        <v>0</v>
      </c>
      <c r="E19" s="7">
        <v>0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7">
        <v>1</v>
      </c>
      <c r="N19" s="7">
        <v>1</v>
      </c>
      <c r="O19" s="7">
        <v>1</v>
      </c>
      <c r="P19" s="227">
        <v>1</v>
      </c>
      <c r="Q19" s="227">
        <v>1</v>
      </c>
      <c r="R19" s="7"/>
      <c r="S19" s="9">
        <f>SUM(D19:O19)</f>
        <v>10</v>
      </c>
      <c r="T19" s="58">
        <f>SUM(P19:R19)</f>
        <v>2</v>
      </c>
      <c r="U19" s="215">
        <f t="shared" si="1"/>
        <v>12</v>
      </c>
    </row>
    <row r="20" spans="1:21" ht="16.5" x14ac:dyDescent="0.3">
      <c r="A20" s="28" t="s">
        <v>259</v>
      </c>
      <c r="B20" s="10" t="s">
        <v>1382</v>
      </c>
      <c r="C20" s="23" t="s">
        <v>258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  <c r="P20" s="7">
        <v>1</v>
      </c>
      <c r="Q20" s="85">
        <v>1</v>
      </c>
      <c r="R20" s="85">
        <v>1</v>
      </c>
      <c r="S20" s="9">
        <f>SUM(D20:O20)</f>
        <v>10</v>
      </c>
      <c r="T20" s="58">
        <f>SUM(P20:R20)</f>
        <v>3</v>
      </c>
      <c r="U20" s="215">
        <f t="shared" si="1"/>
        <v>13</v>
      </c>
    </row>
    <row r="21" spans="1:21" ht="16.5" x14ac:dyDescent="0.3">
      <c r="A21" s="28" t="s">
        <v>100</v>
      </c>
      <c r="B21" s="10" t="s">
        <v>1382</v>
      </c>
      <c r="C21" s="23" t="s">
        <v>99</v>
      </c>
      <c r="D21" s="7">
        <v>0</v>
      </c>
      <c r="E21" s="7">
        <v>0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>
        <v>1</v>
      </c>
      <c r="L21" s="7">
        <v>1</v>
      </c>
      <c r="M21" s="7">
        <v>1</v>
      </c>
      <c r="N21" s="7">
        <v>1</v>
      </c>
      <c r="O21" s="7">
        <v>1</v>
      </c>
      <c r="P21" s="7">
        <v>1</v>
      </c>
      <c r="Q21" s="85">
        <v>1</v>
      </c>
      <c r="R21" s="85">
        <v>1</v>
      </c>
      <c r="S21" s="9">
        <f t="shared" ref="S21:S26" si="6">SUM(D21:O21)</f>
        <v>10</v>
      </c>
      <c r="T21" s="58">
        <f>SUM(P21:R21)</f>
        <v>3</v>
      </c>
      <c r="U21" s="215">
        <f t="shared" si="1"/>
        <v>13</v>
      </c>
    </row>
    <row r="22" spans="1:21" ht="16.5" x14ac:dyDescent="0.3">
      <c r="A22" s="30" t="s">
        <v>70</v>
      </c>
      <c r="B22" s="10" t="s">
        <v>1382</v>
      </c>
      <c r="C22" s="23" t="s">
        <v>69</v>
      </c>
      <c r="D22" s="7">
        <v>0</v>
      </c>
      <c r="E22" s="7">
        <v>0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>
        <v>1</v>
      </c>
      <c r="L22" s="7">
        <v>1</v>
      </c>
      <c r="M22" s="7">
        <v>1</v>
      </c>
      <c r="N22" s="7">
        <v>1</v>
      </c>
      <c r="O22" s="7">
        <v>1</v>
      </c>
      <c r="P22" s="7">
        <v>1</v>
      </c>
      <c r="Q22" s="85">
        <v>1</v>
      </c>
      <c r="R22" s="85">
        <v>1</v>
      </c>
      <c r="S22" s="9">
        <f t="shared" si="6"/>
        <v>10</v>
      </c>
      <c r="T22" s="58">
        <f>SUM(P22:R22)</f>
        <v>3</v>
      </c>
      <c r="U22" s="215">
        <f t="shared" si="1"/>
        <v>13</v>
      </c>
    </row>
    <row r="23" spans="1:21" ht="16.5" x14ac:dyDescent="0.3">
      <c r="A23" s="30" t="s">
        <v>184</v>
      </c>
      <c r="B23" s="10" t="s">
        <v>1382</v>
      </c>
      <c r="C23" s="23" t="s">
        <v>183</v>
      </c>
      <c r="D23" s="7">
        <v>0</v>
      </c>
      <c r="E23" s="7">
        <v>0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>
        <v>1</v>
      </c>
      <c r="L23" s="7">
        <v>1</v>
      </c>
      <c r="M23" s="7">
        <v>1</v>
      </c>
      <c r="N23" s="7">
        <v>1</v>
      </c>
      <c r="O23" s="7">
        <v>1</v>
      </c>
      <c r="P23" s="7">
        <v>1</v>
      </c>
      <c r="Q23" s="85">
        <v>1</v>
      </c>
      <c r="R23" s="85">
        <v>1</v>
      </c>
      <c r="S23" s="9">
        <f t="shared" si="6"/>
        <v>10</v>
      </c>
      <c r="T23" s="58">
        <f>SUM(P23:R23)</f>
        <v>3</v>
      </c>
      <c r="U23" s="215">
        <f t="shared" si="1"/>
        <v>13</v>
      </c>
    </row>
    <row r="24" spans="1:21" ht="16.5" x14ac:dyDescent="0.3">
      <c r="A24" s="30" t="s">
        <v>284</v>
      </c>
      <c r="B24" s="10" t="s">
        <v>1382</v>
      </c>
      <c r="C24" s="23" t="s">
        <v>283</v>
      </c>
      <c r="D24" s="7">
        <v>0</v>
      </c>
      <c r="E24" s="7">
        <v>0</v>
      </c>
      <c r="F24" s="7">
        <v>1</v>
      </c>
      <c r="G24" s="7">
        <v>1</v>
      </c>
      <c r="H24" s="7">
        <v>1</v>
      </c>
      <c r="I24" s="7">
        <v>1</v>
      </c>
      <c r="J24" s="7">
        <v>1</v>
      </c>
      <c r="K24" s="7">
        <v>1</v>
      </c>
      <c r="L24" s="7">
        <v>1</v>
      </c>
      <c r="M24" s="7">
        <v>1</v>
      </c>
      <c r="N24" s="7">
        <v>1</v>
      </c>
      <c r="O24" s="7">
        <v>1</v>
      </c>
      <c r="P24" s="7">
        <v>1</v>
      </c>
      <c r="Q24" s="10">
        <v>1</v>
      </c>
      <c r="R24" s="10"/>
      <c r="S24" s="9">
        <f t="shared" si="6"/>
        <v>10</v>
      </c>
      <c r="T24" s="58">
        <f t="shared" si="3"/>
        <v>2</v>
      </c>
      <c r="U24" s="215">
        <f t="shared" si="1"/>
        <v>12</v>
      </c>
    </row>
    <row r="25" spans="1:21" ht="16.5" x14ac:dyDescent="0.3">
      <c r="A25" s="30" t="s">
        <v>171</v>
      </c>
      <c r="B25" s="10" t="s">
        <v>1382</v>
      </c>
      <c r="C25" s="23" t="s">
        <v>170</v>
      </c>
      <c r="D25" s="7">
        <v>0</v>
      </c>
      <c r="E25" s="7">
        <v>0</v>
      </c>
      <c r="F25" s="7">
        <v>1</v>
      </c>
      <c r="G25" s="7">
        <v>1</v>
      </c>
      <c r="H25" s="7">
        <v>1</v>
      </c>
      <c r="I25" s="7">
        <v>1</v>
      </c>
      <c r="J25" s="7">
        <v>1</v>
      </c>
      <c r="K25" s="7">
        <v>1</v>
      </c>
      <c r="L25" s="7">
        <v>1</v>
      </c>
      <c r="M25" s="7">
        <v>1</v>
      </c>
      <c r="N25" s="7">
        <v>1</v>
      </c>
      <c r="O25" s="7">
        <v>1</v>
      </c>
      <c r="P25" s="7">
        <v>1</v>
      </c>
      <c r="Q25" s="85">
        <v>1</v>
      </c>
      <c r="R25" s="85">
        <v>1</v>
      </c>
      <c r="S25" s="9">
        <f t="shared" si="6"/>
        <v>10</v>
      </c>
      <c r="T25" s="58">
        <f>SUM(P25:R25)</f>
        <v>3</v>
      </c>
      <c r="U25" s="215">
        <f t="shared" si="1"/>
        <v>13</v>
      </c>
    </row>
    <row r="26" spans="1:21" ht="16.5" x14ac:dyDescent="0.3">
      <c r="A26" s="30" t="s">
        <v>210</v>
      </c>
      <c r="B26" s="10" t="s">
        <v>1382</v>
      </c>
      <c r="C26" s="23" t="s">
        <v>209</v>
      </c>
      <c r="D26" s="7">
        <v>0</v>
      </c>
      <c r="E26" s="7">
        <v>0</v>
      </c>
      <c r="F26" s="7">
        <v>1</v>
      </c>
      <c r="G26" s="7">
        <v>1</v>
      </c>
      <c r="H26" s="7">
        <v>1</v>
      </c>
      <c r="I26" s="7">
        <v>1</v>
      </c>
      <c r="J26" s="7">
        <v>1</v>
      </c>
      <c r="K26" s="7">
        <v>1</v>
      </c>
      <c r="L26" s="7">
        <v>1</v>
      </c>
      <c r="M26" s="7">
        <v>1</v>
      </c>
      <c r="N26" s="7">
        <v>1</v>
      </c>
      <c r="O26" s="7">
        <v>1</v>
      </c>
      <c r="P26" s="7">
        <v>1</v>
      </c>
      <c r="Q26" s="48">
        <v>1</v>
      </c>
      <c r="R26" s="48">
        <v>1</v>
      </c>
      <c r="S26" s="9">
        <f t="shared" si="6"/>
        <v>10</v>
      </c>
      <c r="T26" s="58">
        <f>SUM(P26:R26)</f>
        <v>3</v>
      </c>
      <c r="U26" s="215">
        <f t="shared" si="1"/>
        <v>13</v>
      </c>
    </row>
    <row r="27" spans="1:21" ht="16.5" x14ac:dyDescent="0.3">
      <c r="A27" s="153" t="s">
        <v>378</v>
      </c>
      <c r="B27" s="154" t="s">
        <v>1382</v>
      </c>
      <c r="C27" s="70" t="s">
        <v>377</v>
      </c>
      <c r="D27" s="86">
        <v>0</v>
      </c>
      <c r="E27" s="86">
        <v>0</v>
      </c>
      <c r="F27" s="86">
        <v>1</v>
      </c>
      <c r="G27" s="86">
        <v>1</v>
      </c>
      <c r="H27" s="86">
        <v>1</v>
      </c>
      <c r="I27" s="86">
        <v>1</v>
      </c>
      <c r="J27" s="86">
        <v>1</v>
      </c>
      <c r="K27" s="86">
        <v>1</v>
      </c>
      <c r="L27" s="86">
        <v>1</v>
      </c>
      <c r="M27" s="86">
        <v>1</v>
      </c>
      <c r="N27" s="86">
        <v>0</v>
      </c>
      <c r="O27" s="86">
        <v>0</v>
      </c>
      <c r="P27" s="86"/>
      <c r="Q27" s="86"/>
      <c r="R27" s="86"/>
      <c r="S27" s="87">
        <f>SUM(D27:P27)</f>
        <v>8</v>
      </c>
      <c r="T27" s="87">
        <f t="shared" si="3"/>
        <v>0</v>
      </c>
      <c r="U27" s="215">
        <f t="shared" si="1"/>
        <v>8</v>
      </c>
    </row>
    <row r="28" spans="1:21" ht="16.5" x14ac:dyDescent="0.3">
      <c r="A28" s="30" t="s">
        <v>120</v>
      </c>
      <c r="B28" s="10" t="s">
        <v>1382</v>
      </c>
      <c r="C28" s="23" t="s">
        <v>119</v>
      </c>
      <c r="D28" s="7">
        <v>0</v>
      </c>
      <c r="E28" s="7">
        <v>0</v>
      </c>
      <c r="F28" s="7">
        <v>1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1</v>
      </c>
      <c r="M28" s="7">
        <v>1</v>
      </c>
      <c r="N28" s="7">
        <v>1</v>
      </c>
      <c r="O28" s="7">
        <v>1</v>
      </c>
      <c r="P28" s="7">
        <v>1</v>
      </c>
      <c r="Q28" s="85">
        <v>1</v>
      </c>
      <c r="R28" s="85">
        <v>1</v>
      </c>
      <c r="S28" s="9">
        <f>SUM(D28:O28)</f>
        <v>10</v>
      </c>
      <c r="T28" s="58">
        <f>SUM(P28:R28)</f>
        <v>3</v>
      </c>
      <c r="U28" s="215">
        <f t="shared" si="1"/>
        <v>13</v>
      </c>
    </row>
    <row r="29" spans="1:21" ht="17.25" thickBot="1" x14ac:dyDescent="0.35">
      <c r="A29" s="30" t="s">
        <v>233</v>
      </c>
      <c r="B29" s="10" t="s">
        <v>1382</v>
      </c>
      <c r="C29" s="23" t="s">
        <v>232</v>
      </c>
      <c r="D29" s="7">
        <v>0</v>
      </c>
      <c r="E29" s="7">
        <v>0</v>
      </c>
      <c r="F29" s="7">
        <v>1</v>
      </c>
      <c r="G29" s="7">
        <v>1</v>
      </c>
      <c r="H29" s="7">
        <v>1</v>
      </c>
      <c r="I29" s="7">
        <v>1</v>
      </c>
      <c r="J29" s="7">
        <v>1</v>
      </c>
      <c r="K29" s="7">
        <v>1</v>
      </c>
      <c r="L29" s="7">
        <v>1</v>
      </c>
      <c r="M29" s="7">
        <v>1</v>
      </c>
      <c r="N29" s="7">
        <v>1</v>
      </c>
      <c r="O29" s="7">
        <v>1</v>
      </c>
      <c r="P29" s="7">
        <v>1</v>
      </c>
      <c r="Q29" s="7"/>
      <c r="R29" s="7"/>
      <c r="S29" s="9">
        <f>SUM(D29:O29)</f>
        <v>10</v>
      </c>
      <c r="T29" s="58">
        <f t="shared" si="3"/>
        <v>1</v>
      </c>
      <c r="U29" s="222">
        <f t="shared" si="1"/>
        <v>11</v>
      </c>
    </row>
    <row r="30" spans="1:21" ht="15.75" thickBot="1" x14ac:dyDescent="0.3">
      <c r="C30" s="13" t="s">
        <v>1378</v>
      </c>
      <c r="D30" s="14">
        <f t="shared" ref="D30:M30" si="7">SUM(D3:D29)</f>
        <v>0</v>
      </c>
      <c r="E30" s="14">
        <f t="shared" si="7"/>
        <v>0</v>
      </c>
      <c r="F30" s="14">
        <f t="shared" si="7"/>
        <v>27</v>
      </c>
      <c r="G30" s="14">
        <f t="shared" si="7"/>
        <v>27</v>
      </c>
      <c r="H30" s="14">
        <f t="shared" si="7"/>
        <v>27</v>
      </c>
      <c r="I30" s="14">
        <f t="shared" si="7"/>
        <v>27</v>
      </c>
      <c r="J30" s="14">
        <f t="shared" si="7"/>
        <v>26</v>
      </c>
      <c r="K30" s="14">
        <f t="shared" si="7"/>
        <v>26</v>
      </c>
      <c r="L30" s="14">
        <f t="shared" si="7"/>
        <v>26</v>
      </c>
      <c r="M30" s="14">
        <f t="shared" si="7"/>
        <v>26</v>
      </c>
      <c r="N30" s="14">
        <f>SUM(N3:N29)</f>
        <v>25</v>
      </c>
      <c r="O30" s="14">
        <f>SUM(O3:O29)</f>
        <v>25</v>
      </c>
      <c r="P30" s="94">
        <f>SUM(P3:P29)</f>
        <v>25</v>
      </c>
      <c r="Q30" s="14">
        <f>SUM(Q3:Q29)</f>
        <v>24</v>
      </c>
      <c r="R30" s="94">
        <f>SUM(R3:R29)</f>
        <v>16</v>
      </c>
      <c r="S30" s="95">
        <f>SUM(F30:O30)</f>
        <v>262</v>
      </c>
      <c r="T30" s="190">
        <f>SUM(T3:T29)</f>
        <v>65</v>
      </c>
      <c r="U30" s="234">
        <f>SUM(U3:U29)</f>
        <v>327</v>
      </c>
    </row>
    <row r="31" spans="1:21" x14ac:dyDescent="0.25">
      <c r="C31" s="103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  <c r="U31" s="229">
        <f>S30+T30</f>
        <v>327</v>
      </c>
    </row>
    <row r="33" spans="1:19" ht="15.75" thickBot="1" x14ac:dyDescent="0.3">
      <c r="A33" s="368" t="s">
        <v>1379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8"/>
    </row>
    <row r="34" spans="1:19" ht="43.9" customHeight="1" thickBot="1" x14ac:dyDescent="0.3">
      <c r="A34" s="5" t="s">
        <v>3</v>
      </c>
      <c r="B34" s="8" t="s">
        <v>0</v>
      </c>
      <c r="C34" s="4" t="s">
        <v>1</v>
      </c>
      <c r="D34" s="6">
        <v>44531</v>
      </c>
      <c r="E34" s="6">
        <v>44562</v>
      </c>
      <c r="F34" s="6">
        <v>44593</v>
      </c>
      <c r="G34" s="6">
        <v>44621</v>
      </c>
      <c r="H34" s="6">
        <v>44652</v>
      </c>
      <c r="I34" s="6">
        <v>44682</v>
      </c>
      <c r="J34" s="6">
        <v>44713</v>
      </c>
      <c r="K34" s="6">
        <v>44743</v>
      </c>
      <c r="L34" s="6">
        <v>44774</v>
      </c>
      <c r="M34" s="6">
        <v>44805</v>
      </c>
      <c r="N34" s="6">
        <v>44835</v>
      </c>
      <c r="O34" s="6">
        <v>44866</v>
      </c>
      <c r="P34" s="6">
        <v>44896</v>
      </c>
      <c r="Q34" s="6">
        <v>44927</v>
      </c>
      <c r="R34" s="6">
        <v>44958</v>
      </c>
      <c r="S34" s="6" t="s">
        <v>1424</v>
      </c>
    </row>
    <row r="35" spans="1:19" ht="16.5" x14ac:dyDescent="0.3">
      <c r="A35" s="30" t="s">
        <v>511</v>
      </c>
      <c r="B35" s="10" t="s">
        <v>55</v>
      </c>
      <c r="C35" s="26" t="s">
        <v>510</v>
      </c>
      <c r="D35" s="48">
        <v>1</v>
      </c>
      <c r="E35" s="48"/>
      <c r="F35" s="48"/>
      <c r="G35" s="48"/>
      <c r="H35" s="48"/>
      <c r="I35" s="48">
        <v>1</v>
      </c>
      <c r="J35" s="48">
        <v>1</v>
      </c>
      <c r="K35" s="11"/>
      <c r="L35" s="11"/>
      <c r="M35" s="11"/>
      <c r="N35" s="11"/>
      <c r="O35" s="11"/>
      <c r="P35" s="11"/>
      <c r="Q35" s="11"/>
      <c r="R35" s="11"/>
      <c r="S35" s="9">
        <f>SUM(D35:R35)</f>
        <v>3</v>
      </c>
    </row>
    <row r="36" spans="1:19" ht="16.5" x14ac:dyDescent="0.3">
      <c r="A36" s="30" t="s">
        <v>523</v>
      </c>
      <c r="B36" s="10" t="s">
        <v>55</v>
      </c>
      <c r="C36" s="26" t="s">
        <v>1420</v>
      </c>
      <c r="D36" s="7">
        <v>1</v>
      </c>
      <c r="E36" s="7"/>
      <c r="F36" s="7"/>
      <c r="G36" s="7"/>
      <c r="H36" s="7"/>
      <c r="I36" s="7"/>
      <c r="J36" s="7"/>
      <c r="K36" s="7">
        <v>1</v>
      </c>
      <c r="L36" s="7"/>
      <c r="M36" s="7"/>
      <c r="N36" s="7"/>
      <c r="O36" s="7"/>
      <c r="P36" s="7"/>
      <c r="Q36" s="7"/>
      <c r="R36" s="7"/>
      <c r="S36" s="9">
        <f t="shared" ref="S36:S99" si="8">SUM(D36:R36)</f>
        <v>2</v>
      </c>
    </row>
    <row r="37" spans="1:19" ht="16.5" x14ac:dyDescent="0.3">
      <c r="A37" s="30" t="s">
        <v>541</v>
      </c>
      <c r="B37" s="10" t="s">
        <v>55</v>
      </c>
      <c r="C37" s="26" t="s">
        <v>540</v>
      </c>
      <c r="D37" s="7">
        <v>1</v>
      </c>
      <c r="E37" s="7"/>
      <c r="F37" s="7"/>
      <c r="G37" s="7"/>
      <c r="H37" s="7"/>
      <c r="I37" s="7"/>
      <c r="J37" s="7"/>
      <c r="K37" s="7">
        <v>1</v>
      </c>
      <c r="L37" s="7"/>
      <c r="M37" s="7"/>
      <c r="N37" s="7"/>
      <c r="O37" s="7"/>
      <c r="P37" s="7"/>
      <c r="Q37" s="7"/>
      <c r="R37" s="7"/>
      <c r="S37" s="9">
        <f t="shared" si="8"/>
        <v>2</v>
      </c>
    </row>
    <row r="38" spans="1:19" ht="16.5" x14ac:dyDescent="0.3">
      <c r="A38" s="30" t="s">
        <v>519</v>
      </c>
      <c r="B38" s="10" t="s">
        <v>55</v>
      </c>
      <c r="C38" s="26" t="s">
        <v>518</v>
      </c>
      <c r="D38" s="7">
        <v>1</v>
      </c>
      <c r="E38" s="7"/>
      <c r="F38" s="7"/>
      <c r="G38" s="7"/>
      <c r="H38" s="7"/>
      <c r="I38" s="7">
        <v>1</v>
      </c>
      <c r="J38" s="7">
        <v>1</v>
      </c>
      <c r="K38" s="7"/>
      <c r="L38" s="7"/>
      <c r="M38" s="7"/>
      <c r="N38" s="7"/>
      <c r="O38" s="7"/>
      <c r="P38" s="7"/>
      <c r="Q38" s="7"/>
      <c r="R38" s="7"/>
      <c r="S38" s="9">
        <f t="shared" si="8"/>
        <v>3</v>
      </c>
    </row>
    <row r="39" spans="1:19" ht="16.5" x14ac:dyDescent="0.3">
      <c r="A39" s="30" t="s">
        <v>517</v>
      </c>
      <c r="B39" s="10" t="s">
        <v>55</v>
      </c>
      <c r="C39" s="26" t="s">
        <v>516</v>
      </c>
      <c r="D39" s="7">
        <v>1</v>
      </c>
      <c r="E39" s="7"/>
      <c r="F39" s="7"/>
      <c r="G39" s="7"/>
      <c r="H39" s="7"/>
      <c r="I39" s="7">
        <v>1</v>
      </c>
      <c r="J39" s="7">
        <v>1</v>
      </c>
      <c r="K39" s="7"/>
      <c r="L39" s="7"/>
      <c r="M39" s="7"/>
      <c r="N39" s="7"/>
      <c r="O39" s="7"/>
      <c r="P39" s="7"/>
      <c r="Q39" s="7"/>
      <c r="R39" s="7"/>
      <c r="S39" s="9">
        <f t="shared" si="8"/>
        <v>3</v>
      </c>
    </row>
    <row r="40" spans="1:19" ht="16.5" x14ac:dyDescent="0.3">
      <c r="A40" s="30" t="s">
        <v>1011</v>
      </c>
      <c r="B40" s="10" t="s">
        <v>55</v>
      </c>
      <c r="C40" s="26" t="s">
        <v>1010</v>
      </c>
      <c r="D40" s="48">
        <v>1</v>
      </c>
      <c r="E40" s="7"/>
      <c r="F40" s="7"/>
      <c r="G40" s="7"/>
      <c r="H40" s="7">
        <v>1</v>
      </c>
      <c r="I40" s="7">
        <v>1</v>
      </c>
      <c r="J40" s="7">
        <v>1</v>
      </c>
      <c r="K40" s="7"/>
      <c r="L40" s="7"/>
      <c r="M40" s="7"/>
      <c r="N40" s="7"/>
      <c r="O40" s="7"/>
      <c r="P40" s="7"/>
      <c r="Q40" s="7"/>
      <c r="R40" s="7"/>
      <c r="S40" s="9">
        <f t="shared" si="8"/>
        <v>4</v>
      </c>
    </row>
    <row r="41" spans="1:19" ht="16.5" x14ac:dyDescent="0.3">
      <c r="A41" s="30" t="s">
        <v>501</v>
      </c>
      <c r="B41" s="10" t="s">
        <v>55</v>
      </c>
      <c r="C41" s="23" t="s">
        <v>500</v>
      </c>
      <c r="D41" s="7">
        <v>1</v>
      </c>
      <c r="E41" s="7"/>
      <c r="F41" s="7"/>
      <c r="G41" s="7"/>
      <c r="H41" s="7">
        <v>1</v>
      </c>
      <c r="I41" s="7">
        <v>1</v>
      </c>
      <c r="J41" s="7">
        <v>1</v>
      </c>
      <c r="K41" s="7"/>
      <c r="L41" s="7"/>
      <c r="M41" s="7"/>
      <c r="N41" s="7"/>
      <c r="O41" s="7"/>
      <c r="P41" s="7"/>
      <c r="Q41" s="7"/>
      <c r="R41" s="7"/>
      <c r="S41" s="9">
        <f t="shared" si="8"/>
        <v>4</v>
      </c>
    </row>
    <row r="42" spans="1:19" ht="16.5" x14ac:dyDescent="0.3">
      <c r="A42" s="30" t="s">
        <v>515</v>
      </c>
      <c r="B42" s="10" t="s">
        <v>55</v>
      </c>
      <c r="C42" s="26" t="s">
        <v>514</v>
      </c>
      <c r="D42" s="7">
        <v>1</v>
      </c>
      <c r="E42" s="48"/>
      <c r="F42" s="48"/>
      <c r="G42" s="48"/>
      <c r="H42" s="48">
        <v>1</v>
      </c>
      <c r="I42" s="48">
        <v>1</v>
      </c>
      <c r="J42" s="48">
        <v>1</v>
      </c>
      <c r="K42" s="11"/>
      <c r="L42" s="11"/>
      <c r="M42" s="11"/>
      <c r="N42" s="11"/>
      <c r="O42" s="11"/>
      <c r="P42" s="11"/>
      <c r="Q42" s="11"/>
      <c r="R42" s="11"/>
      <c r="S42" s="9">
        <f t="shared" si="8"/>
        <v>4</v>
      </c>
    </row>
    <row r="43" spans="1:19" ht="16.5" x14ac:dyDescent="0.3">
      <c r="A43" s="30" t="s">
        <v>499</v>
      </c>
      <c r="B43" s="10" t="s">
        <v>55</v>
      </c>
      <c r="C43" s="26" t="s">
        <v>498</v>
      </c>
      <c r="D43" s="7">
        <v>1</v>
      </c>
      <c r="E43" s="7"/>
      <c r="F43" s="7"/>
      <c r="G43" s="7"/>
      <c r="H43" s="7"/>
      <c r="I43" s="7">
        <v>1</v>
      </c>
      <c r="J43" s="7">
        <v>1</v>
      </c>
      <c r="K43" s="7"/>
      <c r="L43" s="7"/>
      <c r="M43" s="7"/>
      <c r="N43" s="7"/>
      <c r="O43" s="7"/>
      <c r="P43" s="7"/>
      <c r="Q43" s="7"/>
      <c r="R43" s="7"/>
      <c r="S43" s="9">
        <f t="shared" si="8"/>
        <v>3</v>
      </c>
    </row>
    <row r="44" spans="1:19" ht="16.5" x14ac:dyDescent="0.3">
      <c r="A44" s="30" t="s">
        <v>521</v>
      </c>
      <c r="B44" s="10" t="s">
        <v>55</v>
      </c>
      <c r="C44" s="26" t="s">
        <v>520</v>
      </c>
      <c r="D44" s="7">
        <v>1</v>
      </c>
      <c r="E44" s="7"/>
      <c r="F44" s="7"/>
      <c r="G44" s="7"/>
      <c r="H44" s="7"/>
      <c r="I44" s="7"/>
      <c r="J44" s="7"/>
      <c r="K44" s="7">
        <v>1</v>
      </c>
      <c r="L44" s="7"/>
      <c r="M44" s="7"/>
      <c r="N44" s="7"/>
      <c r="O44" s="7"/>
      <c r="P44" s="7"/>
      <c r="Q44" s="7"/>
      <c r="R44" s="7"/>
      <c r="S44" s="9">
        <f t="shared" si="8"/>
        <v>2</v>
      </c>
    </row>
    <row r="45" spans="1:19" ht="16.5" x14ac:dyDescent="0.3">
      <c r="A45" s="30" t="s">
        <v>503</v>
      </c>
      <c r="B45" s="10" t="s">
        <v>55</v>
      </c>
      <c r="C45" s="26" t="s">
        <v>502</v>
      </c>
      <c r="D45" s="48">
        <v>1</v>
      </c>
      <c r="E45" s="7"/>
      <c r="F45" s="7"/>
      <c r="G45" s="7"/>
      <c r="H45" s="7"/>
      <c r="I45" s="7">
        <v>1</v>
      </c>
      <c r="J45" s="7">
        <v>1</v>
      </c>
      <c r="K45" s="7"/>
      <c r="L45" s="7"/>
      <c r="M45" s="7"/>
      <c r="N45" s="7"/>
      <c r="O45" s="7"/>
      <c r="P45" s="7"/>
      <c r="Q45" s="7"/>
      <c r="R45" s="7"/>
      <c r="S45" s="9">
        <f t="shared" si="8"/>
        <v>3</v>
      </c>
    </row>
    <row r="46" spans="1:19" ht="16.5" x14ac:dyDescent="0.3">
      <c r="A46" s="30" t="s">
        <v>505</v>
      </c>
      <c r="B46" s="10" t="s">
        <v>55</v>
      </c>
      <c r="C46" s="26" t="s">
        <v>504</v>
      </c>
      <c r="D46" s="7">
        <v>1</v>
      </c>
      <c r="E46" s="7"/>
      <c r="F46" s="7"/>
      <c r="G46" s="7"/>
      <c r="H46" s="7"/>
      <c r="I46" s="7">
        <v>1</v>
      </c>
      <c r="J46" s="7">
        <v>1</v>
      </c>
      <c r="K46" s="7"/>
      <c r="L46" s="7"/>
      <c r="M46" s="7"/>
      <c r="N46" s="7"/>
      <c r="O46" s="7"/>
      <c r="P46" s="7"/>
      <c r="Q46" s="7"/>
      <c r="R46" s="7"/>
      <c r="S46" s="9">
        <f t="shared" si="8"/>
        <v>3</v>
      </c>
    </row>
    <row r="47" spans="1:19" ht="16.5" x14ac:dyDescent="0.3">
      <c r="A47" s="30" t="s">
        <v>513</v>
      </c>
      <c r="B47" s="10" t="s">
        <v>55</v>
      </c>
      <c r="C47" s="26" t="s">
        <v>512</v>
      </c>
      <c r="D47" s="7">
        <v>1</v>
      </c>
      <c r="E47" s="7"/>
      <c r="F47" s="7"/>
      <c r="G47" s="7"/>
      <c r="H47" s="7">
        <v>1</v>
      </c>
      <c r="I47" s="7">
        <v>1</v>
      </c>
      <c r="J47" s="7">
        <v>1</v>
      </c>
      <c r="K47" s="7">
        <v>1</v>
      </c>
      <c r="L47" s="7"/>
      <c r="M47" s="7"/>
      <c r="N47" s="7"/>
      <c r="O47" s="7"/>
      <c r="P47" s="7"/>
      <c r="Q47" s="7"/>
      <c r="R47" s="7"/>
      <c r="S47" s="9">
        <f t="shared" si="8"/>
        <v>5</v>
      </c>
    </row>
    <row r="48" spans="1:19" ht="16.5" x14ac:dyDescent="0.3">
      <c r="A48" s="30" t="s">
        <v>527</v>
      </c>
      <c r="B48" s="10" t="s">
        <v>55</v>
      </c>
      <c r="C48" s="23" t="s">
        <v>526</v>
      </c>
      <c r="D48" s="7">
        <v>1</v>
      </c>
      <c r="E48" s="7"/>
      <c r="F48" s="7"/>
      <c r="G48" s="7"/>
      <c r="H48" s="7"/>
      <c r="I48" s="7">
        <v>1</v>
      </c>
      <c r="J48" s="7">
        <v>1</v>
      </c>
      <c r="K48" s="7"/>
      <c r="L48" s="7"/>
      <c r="M48" s="7"/>
      <c r="N48" s="7"/>
      <c r="O48" s="7"/>
      <c r="P48" s="7"/>
      <c r="Q48" s="7"/>
      <c r="R48" s="7"/>
      <c r="S48" s="9">
        <f t="shared" si="8"/>
        <v>3</v>
      </c>
    </row>
    <row r="49" spans="1:19" ht="16.5" x14ac:dyDescent="0.3">
      <c r="A49" s="30" t="s">
        <v>525</v>
      </c>
      <c r="B49" s="10" t="s">
        <v>55</v>
      </c>
      <c r="C49" s="26" t="s">
        <v>524</v>
      </c>
      <c r="D49" s="7">
        <v>1</v>
      </c>
      <c r="E49" s="48"/>
      <c r="F49" s="48"/>
      <c r="G49" s="48"/>
      <c r="H49" s="48"/>
      <c r="I49" s="48">
        <v>1</v>
      </c>
      <c r="J49" s="48">
        <v>1</v>
      </c>
      <c r="K49" s="48">
        <v>1</v>
      </c>
      <c r="L49" s="11"/>
      <c r="M49" s="11"/>
      <c r="N49" s="11"/>
      <c r="O49" s="11"/>
      <c r="P49" s="11"/>
      <c r="Q49" s="11"/>
      <c r="R49" s="11"/>
      <c r="S49" s="9">
        <f t="shared" si="8"/>
        <v>4</v>
      </c>
    </row>
    <row r="50" spans="1:19" ht="16.5" x14ac:dyDescent="0.3">
      <c r="A50" s="30" t="s">
        <v>543</v>
      </c>
      <c r="B50" s="10" t="s">
        <v>55</v>
      </c>
      <c r="C50" s="26" t="s">
        <v>542</v>
      </c>
      <c r="D50" s="48">
        <v>1</v>
      </c>
      <c r="E50" s="7"/>
      <c r="F50" s="7"/>
      <c r="G50" s="7"/>
      <c r="H50" s="7"/>
      <c r="I50" s="7">
        <v>1</v>
      </c>
      <c r="J50" s="7">
        <v>1</v>
      </c>
      <c r="K50" s="7"/>
      <c r="L50" s="227">
        <v>1</v>
      </c>
      <c r="M50" s="7"/>
      <c r="N50" s="7"/>
      <c r="O50" s="7"/>
      <c r="P50" s="7"/>
      <c r="Q50" s="7"/>
      <c r="R50" s="7"/>
      <c r="S50" s="9">
        <f t="shared" si="8"/>
        <v>4</v>
      </c>
    </row>
    <row r="51" spans="1:19" ht="16.5" x14ac:dyDescent="0.3">
      <c r="A51" s="30" t="s">
        <v>507</v>
      </c>
      <c r="B51" s="10" t="s">
        <v>55</v>
      </c>
      <c r="C51" s="26" t="s">
        <v>506</v>
      </c>
      <c r="D51" s="7">
        <v>1</v>
      </c>
      <c r="E51" s="7"/>
      <c r="F51" s="7"/>
      <c r="G51" s="7"/>
      <c r="H51" s="7">
        <v>1</v>
      </c>
      <c r="I51" s="7">
        <v>1</v>
      </c>
      <c r="J51" s="7">
        <v>1</v>
      </c>
      <c r="K51" s="7">
        <v>1</v>
      </c>
      <c r="L51" s="7"/>
      <c r="M51" s="7"/>
      <c r="N51" s="7"/>
      <c r="O51" s="7"/>
      <c r="P51" s="7"/>
      <c r="Q51" s="7"/>
      <c r="R51" s="7"/>
      <c r="S51" s="9">
        <f t="shared" si="8"/>
        <v>5</v>
      </c>
    </row>
    <row r="52" spans="1:19" ht="16.5" x14ac:dyDescent="0.3">
      <c r="A52" s="30" t="s">
        <v>529</v>
      </c>
      <c r="B52" s="10" t="s">
        <v>55</v>
      </c>
      <c r="C52" s="26" t="s">
        <v>528</v>
      </c>
      <c r="D52" s="7">
        <v>1</v>
      </c>
      <c r="E52" s="7"/>
      <c r="F52" s="7"/>
      <c r="G52" s="7"/>
      <c r="H52" s="7"/>
      <c r="I52" s="7"/>
      <c r="J52" s="7">
        <v>1</v>
      </c>
      <c r="K52" s="7"/>
      <c r="L52" s="7"/>
      <c r="M52" s="7"/>
      <c r="N52" s="7"/>
      <c r="O52" s="7"/>
      <c r="P52" s="7"/>
      <c r="Q52" s="7"/>
      <c r="R52" s="7"/>
      <c r="S52" s="9">
        <f t="shared" si="8"/>
        <v>2</v>
      </c>
    </row>
    <row r="53" spans="1:19" ht="16.5" x14ac:dyDescent="0.3">
      <c r="A53" s="30" t="s">
        <v>535</v>
      </c>
      <c r="B53" s="10" t="s">
        <v>55</v>
      </c>
      <c r="C53" s="26" t="s">
        <v>534</v>
      </c>
      <c r="D53" s="7">
        <v>1</v>
      </c>
      <c r="E53" s="7"/>
      <c r="F53" s="7"/>
      <c r="G53" s="7"/>
      <c r="H53" s="7"/>
      <c r="I53" s="7">
        <v>1</v>
      </c>
      <c r="J53" s="7">
        <v>1</v>
      </c>
      <c r="K53" s="7"/>
      <c r="L53" s="7"/>
      <c r="M53" s="7"/>
      <c r="N53" s="7"/>
      <c r="O53" s="7"/>
      <c r="P53" s="7"/>
      <c r="Q53" s="7"/>
      <c r="R53" s="7"/>
      <c r="S53" s="9">
        <f t="shared" si="8"/>
        <v>3</v>
      </c>
    </row>
    <row r="54" spans="1:19" ht="16.5" x14ac:dyDescent="0.3">
      <c r="A54" s="30" t="s">
        <v>531</v>
      </c>
      <c r="B54" s="10" t="s">
        <v>55</v>
      </c>
      <c r="C54" s="26" t="s">
        <v>530</v>
      </c>
      <c r="D54" s="7">
        <v>1</v>
      </c>
      <c r="E54" s="7"/>
      <c r="F54" s="7"/>
      <c r="G54" s="7"/>
      <c r="H54" s="7"/>
      <c r="I54" s="7">
        <v>1</v>
      </c>
      <c r="J54" s="7">
        <v>1</v>
      </c>
      <c r="K54" s="7">
        <v>1</v>
      </c>
      <c r="L54" s="7"/>
      <c r="M54" s="7"/>
      <c r="N54" s="7"/>
      <c r="O54" s="7"/>
      <c r="P54" s="7"/>
      <c r="Q54" s="7"/>
      <c r="R54" s="7"/>
      <c r="S54" s="9">
        <f t="shared" si="8"/>
        <v>4</v>
      </c>
    </row>
    <row r="55" spans="1:19" ht="16.5" x14ac:dyDescent="0.3">
      <c r="A55" s="30" t="s">
        <v>1013</v>
      </c>
      <c r="B55" s="10" t="s">
        <v>55</v>
      </c>
      <c r="C55" s="23" t="s">
        <v>1012</v>
      </c>
      <c r="D55" s="48">
        <v>1</v>
      </c>
      <c r="E55" s="7"/>
      <c r="F55" s="7"/>
      <c r="G55" s="7"/>
      <c r="H55" s="7">
        <v>1</v>
      </c>
      <c r="I55" s="7">
        <v>1</v>
      </c>
      <c r="J55" s="7">
        <v>1</v>
      </c>
      <c r="K55" s="7"/>
      <c r="L55" s="7"/>
      <c r="M55" s="7"/>
      <c r="N55" s="7"/>
      <c r="O55" s="7"/>
      <c r="P55" s="7"/>
      <c r="Q55" s="7"/>
      <c r="R55" s="7"/>
      <c r="S55" s="9">
        <f t="shared" si="8"/>
        <v>4</v>
      </c>
    </row>
    <row r="56" spans="1:19" ht="16.5" x14ac:dyDescent="0.3">
      <c r="A56" s="30" t="s">
        <v>509</v>
      </c>
      <c r="B56" s="10" t="s">
        <v>55</v>
      </c>
      <c r="C56" s="26" t="s">
        <v>508</v>
      </c>
      <c r="D56" s="7">
        <v>1</v>
      </c>
      <c r="E56" s="48"/>
      <c r="F56" s="48"/>
      <c r="G56" s="48"/>
      <c r="H56" s="48"/>
      <c r="I56" s="48"/>
      <c r="J56" s="11"/>
      <c r="K56" s="48">
        <v>1</v>
      </c>
      <c r="L56" s="11"/>
      <c r="M56" s="11"/>
      <c r="N56" s="11"/>
      <c r="O56" s="11"/>
      <c r="P56" s="11"/>
      <c r="Q56" s="11"/>
      <c r="R56" s="11"/>
      <c r="S56" s="9">
        <f t="shared" si="8"/>
        <v>2</v>
      </c>
    </row>
    <row r="57" spans="1:19" ht="16.5" x14ac:dyDescent="0.3">
      <c r="A57" s="30" t="s">
        <v>533</v>
      </c>
      <c r="B57" s="10" t="s">
        <v>55</v>
      </c>
      <c r="C57" s="26" t="s">
        <v>532</v>
      </c>
      <c r="D57" s="7">
        <v>1</v>
      </c>
      <c r="E57" s="7"/>
      <c r="F57" s="7"/>
      <c r="G57" s="7"/>
      <c r="H57" s="7">
        <v>1</v>
      </c>
      <c r="I57" s="7">
        <v>1</v>
      </c>
      <c r="J57" s="7">
        <v>1</v>
      </c>
      <c r="K57" s="7"/>
      <c r="L57" s="7"/>
      <c r="M57" s="7"/>
      <c r="N57" s="7"/>
      <c r="O57" s="7"/>
      <c r="P57" s="7"/>
      <c r="Q57" s="7"/>
      <c r="R57" s="7"/>
      <c r="S57" s="9">
        <f t="shared" si="8"/>
        <v>4</v>
      </c>
    </row>
    <row r="58" spans="1:19" ht="16.5" x14ac:dyDescent="0.3">
      <c r="A58" s="30" t="s">
        <v>548</v>
      </c>
      <c r="B58" s="10" t="s">
        <v>55</v>
      </c>
      <c r="C58" s="26" t="s">
        <v>328</v>
      </c>
      <c r="D58" s="7">
        <v>1</v>
      </c>
      <c r="E58" s="7"/>
      <c r="F58" s="7"/>
      <c r="G58" s="7"/>
      <c r="H58" s="7"/>
      <c r="I58" s="7"/>
      <c r="J58" s="7">
        <v>1</v>
      </c>
      <c r="K58" s="7"/>
      <c r="L58" s="7"/>
      <c r="M58" s="7"/>
      <c r="N58" s="7"/>
      <c r="O58" s="7"/>
      <c r="P58" s="7"/>
      <c r="Q58" s="7"/>
      <c r="R58" s="7"/>
      <c r="S58" s="9">
        <f t="shared" si="8"/>
        <v>2</v>
      </c>
    </row>
    <row r="59" spans="1:19" ht="16.5" x14ac:dyDescent="0.3">
      <c r="A59" s="30" t="s">
        <v>461</v>
      </c>
      <c r="B59" s="10" t="s">
        <v>55</v>
      </c>
      <c r="C59" s="26" t="s">
        <v>460</v>
      </c>
      <c r="D59" s="7">
        <v>1</v>
      </c>
      <c r="E59" s="7"/>
      <c r="F59" s="7"/>
      <c r="G59" s="7"/>
      <c r="H59" s="7"/>
      <c r="I59" s="7">
        <v>1</v>
      </c>
      <c r="J59" s="7">
        <v>1</v>
      </c>
      <c r="K59" s="7"/>
      <c r="L59" s="7"/>
      <c r="M59" s="7"/>
      <c r="N59" s="7"/>
      <c r="O59" s="7"/>
      <c r="P59" s="7"/>
      <c r="Q59" s="7"/>
      <c r="R59" s="7"/>
      <c r="S59" s="9">
        <f t="shared" si="8"/>
        <v>3</v>
      </c>
    </row>
    <row r="60" spans="1:19" ht="16.5" x14ac:dyDescent="0.3">
      <c r="A60" s="30" t="s">
        <v>547</v>
      </c>
      <c r="B60" s="10" t="s">
        <v>55</v>
      </c>
      <c r="C60" s="26" t="s">
        <v>546</v>
      </c>
      <c r="D60" s="48">
        <v>1</v>
      </c>
      <c r="E60" s="7"/>
      <c r="F60" s="7"/>
      <c r="G60" s="7"/>
      <c r="H60" s="7"/>
      <c r="I60" s="7">
        <v>1</v>
      </c>
      <c r="J60" s="7">
        <v>1</v>
      </c>
      <c r="K60" s="7"/>
      <c r="L60" s="7"/>
      <c r="M60" s="7"/>
      <c r="N60" s="7"/>
      <c r="O60" s="7"/>
      <c r="P60" s="7"/>
      <c r="Q60" s="7"/>
      <c r="R60" s="7"/>
      <c r="S60" s="9">
        <f t="shared" si="8"/>
        <v>3</v>
      </c>
    </row>
    <row r="61" spans="1:19" ht="16.5" x14ac:dyDescent="0.3">
      <c r="A61" s="30" t="s">
        <v>465</v>
      </c>
      <c r="B61" s="10" t="s">
        <v>55</v>
      </c>
      <c r="C61" s="26" t="s">
        <v>464</v>
      </c>
      <c r="D61" s="7">
        <v>1</v>
      </c>
      <c r="E61" s="7"/>
      <c r="F61" s="7"/>
      <c r="G61" s="7"/>
      <c r="H61" s="7">
        <v>1</v>
      </c>
      <c r="I61" s="7">
        <v>1</v>
      </c>
      <c r="J61" s="7">
        <v>1</v>
      </c>
      <c r="K61" s="7">
        <v>1</v>
      </c>
      <c r="L61" s="227">
        <v>1</v>
      </c>
      <c r="M61" s="7"/>
      <c r="N61" s="7"/>
      <c r="O61" s="7"/>
      <c r="P61" s="7"/>
      <c r="Q61" s="7"/>
      <c r="R61" s="7"/>
      <c r="S61" s="9">
        <f t="shared" si="8"/>
        <v>6</v>
      </c>
    </row>
    <row r="62" spans="1:19" ht="16.5" x14ac:dyDescent="0.3">
      <c r="A62" s="30" t="s">
        <v>545</v>
      </c>
      <c r="B62" s="10" t="s">
        <v>55</v>
      </c>
      <c r="C62" s="23" t="s">
        <v>544</v>
      </c>
      <c r="D62" s="7">
        <v>1</v>
      </c>
      <c r="E62" s="7"/>
      <c r="F62" s="7"/>
      <c r="G62" s="7"/>
      <c r="H62" s="7">
        <v>1</v>
      </c>
      <c r="I62" s="7">
        <v>1</v>
      </c>
      <c r="J62" s="7">
        <v>1</v>
      </c>
      <c r="K62" s="7"/>
      <c r="L62" s="227">
        <v>1</v>
      </c>
      <c r="M62" s="7"/>
      <c r="N62" s="7"/>
      <c r="O62" s="7"/>
      <c r="P62" s="7"/>
      <c r="Q62" s="7"/>
      <c r="R62" s="7"/>
      <c r="S62" s="9">
        <f t="shared" si="8"/>
        <v>5</v>
      </c>
    </row>
    <row r="63" spans="1:19" ht="16.5" x14ac:dyDescent="0.3">
      <c r="A63" s="30" t="s">
        <v>1017</v>
      </c>
      <c r="B63" s="10" t="s">
        <v>55</v>
      </c>
      <c r="C63" s="26" t="s">
        <v>1016</v>
      </c>
      <c r="D63" s="7">
        <v>1</v>
      </c>
      <c r="E63" s="48"/>
      <c r="F63" s="48"/>
      <c r="G63" s="48"/>
      <c r="H63" s="48"/>
      <c r="I63" s="48"/>
      <c r="J63" s="48">
        <v>1</v>
      </c>
      <c r="K63" s="11"/>
      <c r="L63" s="11"/>
      <c r="M63" s="11"/>
      <c r="N63" s="11"/>
      <c r="O63" s="11"/>
      <c r="P63" s="11"/>
      <c r="Q63" s="11"/>
      <c r="R63" s="11"/>
      <c r="S63" s="9">
        <f t="shared" si="8"/>
        <v>2</v>
      </c>
    </row>
    <row r="64" spans="1:19" ht="16.5" x14ac:dyDescent="0.3">
      <c r="A64" s="30" t="s">
        <v>493</v>
      </c>
      <c r="B64" s="10" t="s">
        <v>55</v>
      </c>
      <c r="C64" s="26" t="s">
        <v>492</v>
      </c>
      <c r="D64" s="7">
        <v>1</v>
      </c>
      <c r="E64" s="7"/>
      <c r="F64" s="7"/>
      <c r="G64" s="7"/>
      <c r="H64" s="7"/>
      <c r="I64" s="7"/>
      <c r="J64" s="7">
        <v>1</v>
      </c>
      <c r="K64" s="7"/>
      <c r="L64" s="7"/>
      <c r="M64" s="7"/>
      <c r="N64" s="7"/>
      <c r="O64" s="7"/>
      <c r="P64" s="7"/>
      <c r="Q64" s="7"/>
      <c r="R64" s="7"/>
      <c r="S64" s="9">
        <f t="shared" si="8"/>
        <v>2</v>
      </c>
    </row>
    <row r="65" spans="1:19" ht="16.5" x14ac:dyDescent="0.3">
      <c r="A65" s="30" t="s">
        <v>994</v>
      </c>
      <c r="B65" s="10" t="s">
        <v>55</v>
      </c>
      <c r="C65" s="26" t="s">
        <v>993</v>
      </c>
      <c r="D65" s="48">
        <v>1</v>
      </c>
      <c r="E65" s="7"/>
      <c r="F65" s="7"/>
      <c r="G65" s="7"/>
      <c r="H65" s="7"/>
      <c r="I65" s="7"/>
      <c r="J65" s="7">
        <v>1</v>
      </c>
      <c r="K65" s="7"/>
      <c r="L65" s="7"/>
      <c r="M65" s="7"/>
      <c r="N65" s="7"/>
      <c r="O65" s="7"/>
      <c r="P65" s="7"/>
      <c r="Q65" s="7"/>
      <c r="R65" s="7"/>
      <c r="S65" s="9">
        <f t="shared" si="8"/>
        <v>2</v>
      </c>
    </row>
    <row r="66" spans="1:19" ht="16.5" x14ac:dyDescent="0.3">
      <c r="A66" s="30" t="s">
        <v>469</v>
      </c>
      <c r="B66" s="10" t="s">
        <v>55</v>
      </c>
      <c r="C66" s="26" t="s">
        <v>468</v>
      </c>
      <c r="D66" s="7">
        <v>1</v>
      </c>
      <c r="E66" s="7"/>
      <c r="F66" s="7"/>
      <c r="G66" s="7"/>
      <c r="H66" s="7"/>
      <c r="I66" s="7"/>
      <c r="J66" s="7">
        <v>1</v>
      </c>
      <c r="K66" s="7"/>
      <c r="L66" s="7"/>
      <c r="M66" s="7"/>
      <c r="N66" s="7"/>
      <c r="O66" s="7"/>
      <c r="P66" s="7"/>
      <c r="Q66" s="7"/>
      <c r="R66" s="7"/>
      <c r="S66" s="9">
        <f t="shared" si="8"/>
        <v>2</v>
      </c>
    </row>
    <row r="67" spans="1:19" ht="16.5" x14ac:dyDescent="0.3">
      <c r="A67" s="30" t="s">
        <v>1015</v>
      </c>
      <c r="B67" s="10" t="s">
        <v>55</v>
      </c>
      <c r="C67" s="26" t="s">
        <v>1014</v>
      </c>
      <c r="D67" s="7">
        <v>1</v>
      </c>
      <c r="E67" s="7"/>
      <c r="F67" s="7"/>
      <c r="G67" s="7"/>
      <c r="H67" s="7"/>
      <c r="I67" s="7">
        <v>1</v>
      </c>
      <c r="J67" s="7">
        <v>1</v>
      </c>
      <c r="K67" s="7"/>
      <c r="L67" s="7"/>
      <c r="M67" s="7"/>
      <c r="N67" s="7"/>
      <c r="O67" s="7"/>
      <c r="P67" s="7"/>
      <c r="Q67" s="7"/>
      <c r="R67" s="7"/>
      <c r="S67" s="9">
        <f t="shared" si="8"/>
        <v>3</v>
      </c>
    </row>
    <row r="68" spans="1:19" ht="16.5" x14ac:dyDescent="0.3">
      <c r="A68" s="30" t="s">
        <v>999</v>
      </c>
      <c r="B68" s="10" t="s">
        <v>55</v>
      </c>
      <c r="C68" s="26" t="s">
        <v>998</v>
      </c>
      <c r="D68" s="7">
        <v>1</v>
      </c>
      <c r="E68" s="7"/>
      <c r="F68" s="7"/>
      <c r="G68" s="7"/>
      <c r="H68" s="7"/>
      <c r="I68" s="7"/>
      <c r="J68" s="7">
        <v>1</v>
      </c>
      <c r="K68" s="7"/>
      <c r="L68" s="7"/>
      <c r="M68" s="7"/>
      <c r="N68" s="7"/>
      <c r="O68" s="7"/>
      <c r="P68" s="7"/>
      <c r="Q68" s="7"/>
      <c r="R68" s="7"/>
      <c r="S68" s="9">
        <f t="shared" si="8"/>
        <v>2</v>
      </c>
    </row>
    <row r="69" spans="1:19" ht="16.5" x14ac:dyDescent="0.3">
      <c r="A69" s="30" t="s">
        <v>479</v>
      </c>
      <c r="B69" s="10" t="s">
        <v>55</v>
      </c>
      <c r="C69" s="23" t="s">
        <v>478</v>
      </c>
      <c r="D69" s="7">
        <v>1</v>
      </c>
      <c r="E69" s="7"/>
      <c r="F69" s="7"/>
      <c r="G69" s="7"/>
      <c r="H69" s="7"/>
      <c r="I69" s="7">
        <v>1</v>
      </c>
      <c r="J69" s="7">
        <v>1</v>
      </c>
      <c r="K69" s="7"/>
      <c r="L69" s="7"/>
      <c r="M69" s="7"/>
      <c r="N69" s="7"/>
      <c r="O69" s="7"/>
      <c r="P69" s="7"/>
      <c r="Q69" s="7"/>
      <c r="R69" s="7"/>
      <c r="S69" s="9">
        <f t="shared" si="8"/>
        <v>3</v>
      </c>
    </row>
    <row r="70" spans="1:19" ht="16.5" x14ac:dyDescent="0.3">
      <c r="A70" s="30" t="s">
        <v>1009</v>
      </c>
      <c r="B70" s="10" t="s">
        <v>55</v>
      </c>
      <c r="C70" s="26" t="s">
        <v>1008</v>
      </c>
      <c r="D70" s="48">
        <v>1</v>
      </c>
      <c r="E70" s="48"/>
      <c r="F70" s="48"/>
      <c r="G70" s="48"/>
      <c r="H70" s="48"/>
      <c r="I70" s="48">
        <v>1</v>
      </c>
      <c r="J70" s="48">
        <v>1</v>
      </c>
      <c r="K70" s="11"/>
      <c r="L70" s="11"/>
      <c r="M70" s="11"/>
      <c r="N70" s="11"/>
      <c r="O70" s="11"/>
      <c r="P70" s="11"/>
      <c r="Q70" s="11"/>
      <c r="R70" s="11"/>
      <c r="S70" s="9">
        <f t="shared" si="8"/>
        <v>3</v>
      </c>
    </row>
    <row r="71" spans="1:19" ht="16.5" x14ac:dyDescent="0.3">
      <c r="A71" s="30" t="s">
        <v>983</v>
      </c>
      <c r="B71" s="10" t="s">
        <v>55</v>
      </c>
      <c r="C71" s="26" t="s">
        <v>982</v>
      </c>
      <c r="D71" s="7">
        <v>1</v>
      </c>
      <c r="E71" s="7"/>
      <c r="F71" s="7"/>
      <c r="G71" s="7"/>
      <c r="H71" s="7"/>
      <c r="I71" s="7">
        <v>1</v>
      </c>
      <c r="J71" s="7">
        <v>1</v>
      </c>
      <c r="K71" s="7"/>
      <c r="L71" s="7"/>
      <c r="M71" s="7"/>
      <c r="N71" s="7"/>
      <c r="O71" s="7"/>
      <c r="P71" s="7"/>
      <c r="Q71" s="7"/>
      <c r="R71" s="7"/>
      <c r="S71" s="9">
        <f t="shared" si="8"/>
        <v>3</v>
      </c>
    </row>
    <row r="72" spans="1:19" ht="16.5" x14ac:dyDescent="0.3">
      <c r="A72" s="30" t="s">
        <v>481</v>
      </c>
      <c r="B72" s="10" t="s">
        <v>55</v>
      </c>
      <c r="C72" s="26" t="s">
        <v>480</v>
      </c>
      <c r="D72" s="7">
        <v>1</v>
      </c>
      <c r="E72" s="7"/>
      <c r="F72" s="7"/>
      <c r="G72" s="7"/>
      <c r="H72" s="7"/>
      <c r="I72" s="7"/>
      <c r="J72" s="7">
        <v>1</v>
      </c>
      <c r="K72" s="7"/>
      <c r="L72" s="7"/>
      <c r="M72" s="7"/>
      <c r="N72" s="7"/>
      <c r="O72" s="7"/>
      <c r="P72" s="7"/>
      <c r="Q72" s="7"/>
      <c r="R72" s="7"/>
      <c r="S72" s="9">
        <f t="shared" si="8"/>
        <v>2</v>
      </c>
    </row>
    <row r="73" spans="1:19" ht="16.5" x14ac:dyDescent="0.3">
      <c r="A73" s="30" t="s">
        <v>463</v>
      </c>
      <c r="B73" s="10" t="s">
        <v>55</v>
      </c>
      <c r="C73" s="26" t="s">
        <v>462</v>
      </c>
      <c r="D73" s="7">
        <v>1</v>
      </c>
      <c r="E73" s="7"/>
      <c r="F73" s="7"/>
      <c r="G73" s="7"/>
      <c r="H73" s="7"/>
      <c r="I73" s="7"/>
      <c r="J73" s="7">
        <v>1</v>
      </c>
      <c r="K73" s="7"/>
      <c r="L73" s="7"/>
      <c r="M73" s="7"/>
      <c r="N73" s="7"/>
      <c r="O73" s="7"/>
      <c r="P73" s="7"/>
      <c r="Q73" s="7"/>
      <c r="R73" s="7"/>
      <c r="S73" s="9">
        <f t="shared" si="8"/>
        <v>2</v>
      </c>
    </row>
    <row r="74" spans="1:19" ht="16.5" x14ac:dyDescent="0.3">
      <c r="A74" s="30" t="s">
        <v>467</v>
      </c>
      <c r="B74" s="10" t="s">
        <v>55</v>
      </c>
      <c r="C74" s="26" t="s">
        <v>466</v>
      </c>
      <c r="D74" s="7">
        <v>1</v>
      </c>
      <c r="E74" s="7"/>
      <c r="F74" s="7"/>
      <c r="G74" s="7"/>
      <c r="H74" s="7"/>
      <c r="I74" s="7"/>
      <c r="J74" s="7">
        <v>1</v>
      </c>
      <c r="K74" s="7">
        <v>1</v>
      </c>
      <c r="L74" s="7"/>
      <c r="M74" s="7"/>
      <c r="N74" s="7"/>
      <c r="O74" s="7"/>
      <c r="P74" s="7"/>
      <c r="Q74" s="7"/>
      <c r="R74" s="7"/>
      <c r="S74" s="9">
        <f t="shared" si="8"/>
        <v>3</v>
      </c>
    </row>
    <row r="75" spans="1:19" ht="16.5" x14ac:dyDescent="0.3">
      <c r="A75" s="30" t="s">
        <v>483</v>
      </c>
      <c r="B75" s="10" t="s">
        <v>55</v>
      </c>
      <c r="C75" s="26" t="s">
        <v>482</v>
      </c>
      <c r="D75" s="48">
        <v>1</v>
      </c>
      <c r="E75" s="7"/>
      <c r="F75" s="7"/>
      <c r="G75" s="7"/>
      <c r="H75" s="7"/>
      <c r="I75" s="7">
        <v>1</v>
      </c>
      <c r="J75" s="7">
        <v>1</v>
      </c>
      <c r="K75" s="7">
        <v>1</v>
      </c>
      <c r="L75" s="227">
        <v>1</v>
      </c>
      <c r="M75" s="7"/>
      <c r="N75" s="7"/>
      <c r="O75" s="7"/>
      <c r="P75" s="7"/>
      <c r="Q75" s="7"/>
      <c r="R75" s="7"/>
      <c r="S75" s="9">
        <f t="shared" si="8"/>
        <v>5</v>
      </c>
    </row>
    <row r="76" spans="1:19" ht="16.5" x14ac:dyDescent="0.3">
      <c r="A76" s="30" t="s">
        <v>459</v>
      </c>
      <c r="B76" s="10" t="s">
        <v>55</v>
      </c>
      <c r="C76" s="23" t="s">
        <v>458</v>
      </c>
      <c r="D76" s="7">
        <v>1</v>
      </c>
      <c r="E76" s="7"/>
      <c r="F76" s="7"/>
      <c r="G76" s="7"/>
      <c r="H76" s="7"/>
      <c r="I76" s="7">
        <v>1</v>
      </c>
      <c r="J76" s="7">
        <v>1</v>
      </c>
      <c r="K76" s="7"/>
      <c r="L76" s="7"/>
      <c r="M76" s="7"/>
      <c r="N76" s="7"/>
      <c r="O76" s="7"/>
      <c r="P76" s="7"/>
      <c r="Q76" s="7"/>
      <c r="R76" s="7"/>
      <c r="S76" s="9">
        <f t="shared" si="8"/>
        <v>3</v>
      </c>
    </row>
    <row r="77" spans="1:19" ht="16.5" x14ac:dyDescent="0.3">
      <c r="A77" s="30" t="s">
        <v>537</v>
      </c>
      <c r="B77" s="10" t="s">
        <v>55</v>
      </c>
      <c r="C77" s="26" t="s">
        <v>536</v>
      </c>
      <c r="D77" s="7">
        <v>1</v>
      </c>
      <c r="E77" s="48"/>
      <c r="F77" s="48"/>
      <c r="G77" s="48"/>
      <c r="H77" s="48"/>
      <c r="I77" s="48">
        <v>1</v>
      </c>
      <c r="J77" s="48">
        <v>1</v>
      </c>
      <c r="K77" s="11"/>
      <c r="L77" s="11"/>
      <c r="M77" s="11"/>
      <c r="N77" s="11"/>
      <c r="O77" s="11"/>
      <c r="P77" s="11"/>
      <c r="Q77" s="11"/>
      <c r="R77" s="11"/>
      <c r="S77" s="9">
        <f t="shared" si="8"/>
        <v>3</v>
      </c>
    </row>
    <row r="78" spans="1:19" ht="16.5" x14ac:dyDescent="0.3">
      <c r="A78" s="30" t="s">
        <v>1005</v>
      </c>
      <c r="B78" s="10" t="s">
        <v>55</v>
      </c>
      <c r="C78" s="26" t="s">
        <v>1004</v>
      </c>
      <c r="D78" s="7">
        <v>1</v>
      </c>
      <c r="E78" s="7"/>
      <c r="F78" s="7"/>
      <c r="G78" s="7"/>
      <c r="H78" s="7"/>
      <c r="I78" s="7"/>
      <c r="J78" s="7"/>
      <c r="L78" s="227">
        <v>1</v>
      </c>
      <c r="M78" s="7"/>
      <c r="N78" s="7"/>
      <c r="O78" s="7"/>
      <c r="P78" s="7"/>
      <c r="Q78" s="7"/>
      <c r="R78" s="7"/>
      <c r="S78" s="9">
        <f t="shared" si="8"/>
        <v>2</v>
      </c>
    </row>
    <row r="79" spans="1:19" ht="16.5" x14ac:dyDescent="0.3">
      <c r="A79" s="30" t="s">
        <v>539</v>
      </c>
      <c r="B79" s="10" t="s">
        <v>55</v>
      </c>
      <c r="C79" s="26" t="s">
        <v>538</v>
      </c>
      <c r="D79" s="7">
        <v>1</v>
      </c>
      <c r="E79" s="7"/>
      <c r="F79" s="7"/>
      <c r="G79" s="7"/>
      <c r="H79" s="7"/>
      <c r="I79" s="7">
        <v>1</v>
      </c>
      <c r="J79" s="7"/>
      <c r="K79" s="7"/>
      <c r="L79" s="7"/>
      <c r="M79" s="7"/>
      <c r="N79" s="7"/>
      <c r="O79" s="7"/>
      <c r="P79" s="7"/>
      <c r="Q79" s="7"/>
      <c r="R79" s="7"/>
      <c r="S79" s="9">
        <f t="shared" si="8"/>
        <v>2</v>
      </c>
    </row>
    <row r="80" spans="1:19" ht="16.5" x14ac:dyDescent="0.3">
      <c r="A80" s="30" t="s">
        <v>495</v>
      </c>
      <c r="B80" s="10" t="s">
        <v>55</v>
      </c>
      <c r="C80" s="26" t="s">
        <v>494</v>
      </c>
      <c r="D80" s="48">
        <v>1</v>
      </c>
      <c r="E80" s="7"/>
      <c r="F80" s="7"/>
      <c r="G80" s="7"/>
      <c r="H80" s="7"/>
      <c r="I80" s="7">
        <v>1</v>
      </c>
      <c r="J80" s="7">
        <v>1</v>
      </c>
      <c r="K80" s="7"/>
      <c r="L80" s="7"/>
      <c r="M80" s="7"/>
      <c r="N80" s="7"/>
      <c r="O80" s="7"/>
      <c r="P80" s="7"/>
      <c r="Q80" s="7"/>
      <c r="R80" s="7"/>
      <c r="S80" s="9">
        <f t="shared" si="8"/>
        <v>3</v>
      </c>
    </row>
    <row r="81" spans="1:19" ht="16.5" x14ac:dyDescent="0.3">
      <c r="A81" s="30" t="s">
        <v>981</v>
      </c>
      <c r="B81" s="10" t="s">
        <v>55</v>
      </c>
      <c r="C81" s="26" t="s">
        <v>980</v>
      </c>
      <c r="D81" s="7">
        <v>1</v>
      </c>
      <c r="E81" s="7"/>
      <c r="F81" s="7"/>
      <c r="G81" s="7"/>
      <c r="H81" s="7"/>
      <c r="I81" s="7"/>
      <c r="J81" s="7"/>
      <c r="K81" s="7">
        <v>1</v>
      </c>
      <c r="L81" s="7"/>
      <c r="M81" s="7"/>
      <c r="N81" s="7"/>
      <c r="O81" s="7"/>
      <c r="P81" s="7"/>
      <c r="Q81" s="7"/>
      <c r="R81" s="7"/>
      <c r="S81" s="9">
        <f t="shared" si="8"/>
        <v>2</v>
      </c>
    </row>
    <row r="82" spans="1:19" ht="16.5" x14ac:dyDescent="0.3">
      <c r="A82" s="30" t="s">
        <v>1003</v>
      </c>
      <c r="B82" s="10" t="s">
        <v>55</v>
      </c>
      <c r="C82" s="26" t="s">
        <v>1002</v>
      </c>
      <c r="D82" s="7">
        <v>1</v>
      </c>
      <c r="E82" s="7"/>
      <c r="F82" s="7"/>
      <c r="G82" s="7"/>
      <c r="H82" s="7"/>
      <c r="I82" s="7">
        <v>1</v>
      </c>
      <c r="J82" s="7">
        <v>1</v>
      </c>
      <c r="K82" s="7"/>
      <c r="L82" s="7"/>
      <c r="M82" s="7"/>
      <c r="N82" s="7"/>
      <c r="O82" s="7"/>
      <c r="P82" s="7"/>
      <c r="Q82" s="7"/>
      <c r="R82" s="7"/>
      <c r="S82" s="9">
        <f t="shared" si="8"/>
        <v>3</v>
      </c>
    </row>
    <row r="83" spans="1:19" ht="16.5" x14ac:dyDescent="0.3">
      <c r="A83" s="30" t="s">
        <v>485</v>
      </c>
      <c r="B83" s="10" t="s">
        <v>55</v>
      </c>
      <c r="C83" s="23" t="s">
        <v>484</v>
      </c>
      <c r="D83" s="7">
        <v>1</v>
      </c>
      <c r="E83" s="7"/>
      <c r="F83" s="7"/>
      <c r="G83" s="7"/>
      <c r="H83" s="7"/>
      <c r="I83" s="7"/>
      <c r="J83" s="7"/>
      <c r="K83" s="7">
        <v>1</v>
      </c>
      <c r="L83" s="7"/>
      <c r="M83" s="7"/>
      <c r="N83" s="7"/>
      <c r="O83" s="7"/>
      <c r="P83" s="7"/>
      <c r="Q83" s="7"/>
      <c r="R83" s="7"/>
      <c r="S83" s="9">
        <f t="shared" si="8"/>
        <v>2</v>
      </c>
    </row>
    <row r="84" spans="1:19" ht="16.5" x14ac:dyDescent="0.3">
      <c r="A84" s="30" t="s">
        <v>1001</v>
      </c>
      <c r="B84" s="10" t="s">
        <v>55</v>
      </c>
      <c r="C84" s="26" t="s">
        <v>1000</v>
      </c>
      <c r="D84" s="7">
        <v>1</v>
      </c>
      <c r="E84" s="48"/>
      <c r="F84" s="48"/>
      <c r="G84" s="48"/>
      <c r="H84" s="48">
        <v>1</v>
      </c>
      <c r="I84" s="48">
        <v>1</v>
      </c>
      <c r="J84" s="48">
        <v>1</v>
      </c>
      <c r="K84" s="48">
        <v>1</v>
      </c>
      <c r="L84" s="11"/>
      <c r="M84" s="11"/>
      <c r="N84" s="11"/>
      <c r="O84" s="11"/>
      <c r="P84" s="11"/>
      <c r="Q84" s="11"/>
      <c r="R84" s="11"/>
      <c r="S84" s="9">
        <f t="shared" si="8"/>
        <v>5</v>
      </c>
    </row>
    <row r="85" spans="1:19" ht="16.5" x14ac:dyDescent="0.3">
      <c r="A85" s="30" t="s">
        <v>491</v>
      </c>
      <c r="B85" s="10" t="s">
        <v>55</v>
      </c>
      <c r="C85" s="26" t="s">
        <v>490</v>
      </c>
      <c r="D85" s="48">
        <v>1</v>
      </c>
      <c r="E85" s="7"/>
      <c r="F85" s="7"/>
      <c r="G85" s="7"/>
      <c r="H85" s="7"/>
      <c r="I85" s="7">
        <v>1</v>
      </c>
      <c r="J85" s="7">
        <v>1</v>
      </c>
      <c r="K85" s="7">
        <v>1</v>
      </c>
      <c r="L85" s="7"/>
      <c r="M85" s="7"/>
      <c r="N85" s="7"/>
      <c r="O85" s="7"/>
      <c r="P85" s="7"/>
      <c r="Q85" s="7"/>
      <c r="R85" s="7"/>
      <c r="S85" s="9">
        <f t="shared" si="8"/>
        <v>4</v>
      </c>
    </row>
    <row r="86" spans="1:19" ht="16.5" x14ac:dyDescent="0.3">
      <c r="A86" s="30" t="s">
        <v>456</v>
      </c>
      <c r="B86" s="10" t="s">
        <v>55</v>
      </c>
      <c r="C86" s="26" t="s">
        <v>455</v>
      </c>
      <c r="D86" s="7">
        <v>1</v>
      </c>
      <c r="E86" s="7"/>
      <c r="F86" s="7"/>
      <c r="G86" s="7"/>
      <c r="H86" s="7">
        <v>1</v>
      </c>
      <c r="I86" s="7">
        <v>1</v>
      </c>
      <c r="J86" s="7">
        <v>1</v>
      </c>
      <c r="K86" s="7">
        <v>1</v>
      </c>
      <c r="L86" s="7"/>
      <c r="M86" s="7"/>
      <c r="N86" s="7"/>
      <c r="O86" s="7"/>
      <c r="P86" s="7"/>
      <c r="Q86" s="7"/>
      <c r="R86" s="7"/>
      <c r="S86" s="9">
        <f t="shared" si="8"/>
        <v>5</v>
      </c>
    </row>
    <row r="87" spans="1:19" ht="16.5" x14ac:dyDescent="0.3">
      <c r="A87" s="30" t="s">
        <v>497</v>
      </c>
      <c r="B87" s="10" t="s">
        <v>55</v>
      </c>
      <c r="C87" s="26" t="s">
        <v>496</v>
      </c>
      <c r="D87" s="7">
        <v>1</v>
      </c>
      <c r="E87" s="7"/>
      <c r="F87" s="7"/>
      <c r="G87" s="7"/>
      <c r="H87" s="7">
        <v>1</v>
      </c>
      <c r="I87" s="7">
        <v>1</v>
      </c>
      <c r="J87" s="7">
        <v>1</v>
      </c>
      <c r="K87" s="7">
        <v>1</v>
      </c>
      <c r="L87" s="7"/>
      <c r="M87" s="7"/>
      <c r="N87" s="7"/>
      <c r="O87" s="7"/>
      <c r="P87" s="7"/>
      <c r="Q87" s="7"/>
      <c r="R87" s="7"/>
      <c r="S87" s="9">
        <f t="shared" si="8"/>
        <v>5</v>
      </c>
    </row>
    <row r="88" spans="1:19" ht="16.5" x14ac:dyDescent="0.3">
      <c r="A88" s="30" t="s">
        <v>1007</v>
      </c>
      <c r="B88" s="10" t="s">
        <v>55</v>
      </c>
      <c r="C88" s="26" t="s">
        <v>1006</v>
      </c>
      <c r="D88" s="7">
        <v>1</v>
      </c>
      <c r="E88" s="7"/>
      <c r="F88" s="7"/>
      <c r="G88" s="7"/>
      <c r="H88" s="7"/>
      <c r="I88" s="7"/>
      <c r="J88" s="7">
        <v>1</v>
      </c>
      <c r="K88" s="7"/>
      <c r="L88" s="7"/>
      <c r="M88" s="7"/>
      <c r="N88" s="7"/>
      <c r="O88" s="7"/>
      <c r="P88" s="7"/>
      <c r="Q88" s="7"/>
      <c r="R88" s="7"/>
      <c r="S88" s="9">
        <f t="shared" si="8"/>
        <v>2</v>
      </c>
    </row>
    <row r="89" spans="1:19" ht="16.5" x14ac:dyDescent="0.3">
      <c r="A89" s="30" t="s">
        <v>475</v>
      </c>
      <c r="B89" s="10" t="s">
        <v>55</v>
      </c>
      <c r="C89" s="26" t="s">
        <v>474</v>
      </c>
      <c r="D89" s="7">
        <v>1</v>
      </c>
      <c r="E89" s="7"/>
      <c r="F89" s="7"/>
      <c r="G89" s="7"/>
      <c r="H89" s="7"/>
      <c r="I89" s="7">
        <v>1</v>
      </c>
      <c r="J89" s="7">
        <v>1</v>
      </c>
      <c r="K89" s="7"/>
      <c r="L89" s="7"/>
      <c r="M89" s="7"/>
      <c r="N89" s="7"/>
      <c r="O89" s="7"/>
      <c r="P89" s="7"/>
      <c r="Q89" s="7"/>
      <c r="R89" s="7"/>
      <c r="S89" s="9">
        <f t="shared" si="8"/>
        <v>3</v>
      </c>
    </row>
    <row r="90" spans="1:19" ht="16.5" x14ac:dyDescent="0.3">
      <c r="A90" s="30" t="s">
        <v>1019</v>
      </c>
      <c r="B90" s="10" t="s">
        <v>55</v>
      </c>
      <c r="C90" s="23" t="s">
        <v>1018</v>
      </c>
      <c r="D90" s="48">
        <v>1</v>
      </c>
      <c r="E90" s="7"/>
      <c r="F90" s="7"/>
      <c r="G90" s="7"/>
      <c r="H90" s="7"/>
      <c r="I90" s="7">
        <v>1</v>
      </c>
      <c r="J90" s="7">
        <v>1</v>
      </c>
      <c r="K90" s="7"/>
      <c r="L90" s="7"/>
      <c r="M90" s="7"/>
      <c r="N90" s="7"/>
      <c r="O90" s="7"/>
      <c r="P90" s="7"/>
      <c r="Q90" s="7"/>
      <c r="R90" s="7"/>
      <c r="S90" s="9">
        <f t="shared" si="8"/>
        <v>3</v>
      </c>
    </row>
    <row r="91" spans="1:19" ht="16.5" x14ac:dyDescent="0.3">
      <c r="A91" s="30" t="s">
        <v>985</v>
      </c>
      <c r="B91" s="10" t="s">
        <v>55</v>
      </c>
      <c r="C91" s="26" t="s">
        <v>984</v>
      </c>
      <c r="D91" s="7">
        <v>1</v>
      </c>
      <c r="E91" s="48"/>
      <c r="F91" s="48"/>
      <c r="G91" s="48"/>
      <c r="H91" s="48"/>
      <c r="I91" s="48"/>
      <c r="J91" s="48">
        <v>1</v>
      </c>
      <c r="K91" s="11"/>
      <c r="L91" s="11"/>
      <c r="M91" s="11"/>
      <c r="N91" s="11"/>
      <c r="O91" s="11"/>
      <c r="P91" s="11"/>
      <c r="Q91" s="11"/>
      <c r="R91" s="11"/>
      <c r="S91" s="9">
        <f t="shared" si="8"/>
        <v>2</v>
      </c>
    </row>
    <row r="92" spans="1:19" ht="16.5" x14ac:dyDescent="0.3">
      <c r="A92" s="30" t="s">
        <v>489</v>
      </c>
      <c r="B92" s="10" t="s">
        <v>55</v>
      </c>
      <c r="C92" s="26" t="s">
        <v>488</v>
      </c>
      <c r="D92" s="48">
        <v>1</v>
      </c>
      <c r="E92" s="7"/>
      <c r="F92" s="7"/>
      <c r="G92" s="7"/>
      <c r="H92" s="7"/>
      <c r="I92" s="7"/>
      <c r="J92" s="7"/>
      <c r="K92" s="97"/>
      <c r="L92" s="227">
        <v>1</v>
      </c>
      <c r="M92" s="7"/>
      <c r="N92" s="7"/>
      <c r="O92" s="7"/>
      <c r="P92" s="7"/>
      <c r="Q92" s="7"/>
      <c r="R92" s="7"/>
      <c r="S92" s="9">
        <f t="shared" si="8"/>
        <v>2</v>
      </c>
    </row>
    <row r="93" spans="1:19" ht="16.5" x14ac:dyDescent="0.3">
      <c r="A93" s="30" t="s">
        <v>990</v>
      </c>
      <c r="B93" s="10" t="s">
        <v>55</v>
      </c>
      <c r="C93" s="26" t="s">
        <v>56</v>
      </c>
      <c r="D93" s="7">
        <v>1</v>
      </c>
      <c r="E93" s="7"/>
      <c r="F93" s="7"/>
      <c r="G93" s="7"/>
      <c r="H93" s="7"/>
      <c r="I93" s="7"/>
      <c r="J93" s="7"/>
      <c r="K93" s="97"/>
      <c r="L93" s="227">
        <v>1</v>
      </c>
      <c r="M93" s="7"/>
      <c r="N93" s="7"/>
      <c r="O93" s="7"/>
      <c r="P93" s="7"/>
      <c r="Q93" s="7"/>
      <c r="R93" s="7"/>
      <c r="S93" s="9">
        <f t="shared" si="8"/>
        <v>2</v>
      </c>
    </row>
    <row r="94" spans="1:19" ht="16.5" x14ac:dyDescent="0.3">
      <c r="A94" s="30" t="s">
        <v>473</v>
      </c>
      <c r="B94" s="10" t="s">
        <v>55</v>
      </c>
      <c r="C94" s="26" t="s">
        <v>472</v>
      </c>
      <c r="D94" s="7">
        <v>1</v>
      </c>
      <c r="E94" s="7"/>
      <c r="F94" s="7"/>
      <c r="G94" s="7"/>
      <c r="H94" s="7"/>
      <c r="I94" s="7"/>
      <c r="J94" s="7"/>
      <c r="K94" s="97"/>
      <c r="L94" s="227">
        <v>1</v>
      </c>
      <c r="M94" s="7"/>
      <c r="N94" s="7"/>
      <c r="O94" s="7"/>
      <c r="P94" s="7"/>
      <c r="Q94" s="7"/>
      <c r="R94" s="7"/>
      <c r="S94" s="9">
        <f t="shared" si="8"/>
        <v>2</v>
      </c>
    </row>
    <row r="95" spans="1:19" ht="16.5" x14ac:dyDescent="0.3">
      <c r="A95" s="30" t="s">
        <v>987</v>
      </c>
      <c r="B95" s="10" t="s">
        <v>55</v>
      </c>
      <c r="C95" s="26" t="s">
        <v>986</v>
      </c>
      <c r="D95" s="7">
        <v>1</v>
      </c>
      <c r="E95" s="7"/>
      <c r="F95" s="7"/>
      <c r="G95" s="7"/>
      <c r="H95" s="7"/>
      <c r="I95" s="7"/>
      <c r="J95" s="7">
        <v>1</v>
      </c>
      <c r="K95" s="7"/>
      <c r="L95" s="7"/>
      <c r="M95" s="7"/>
      <c r="N95" s="7"/>
      <c r="O95" s="7"/>
      <c r="P95" s="7"/>
      <c r="Q95" s="7"/>
      <c r="R95" s="7"/>
      <c r="S95" s="9">
        <f t="shared" si="8"/>
        <v>2</v>
      </c>
    </row>
    <row r="96" spans="1:19" ht="16.5" x14ac:dyDescent="0.3">
      <c r="A96" s="30" t="s">
        <v>989</v>
      </c>
      <c r="B96" s="10" t="s">
        <v>55</v>
      </c>
      <c r="C96" s="26" t="s">
        <v>988</v>
      </c>
      <c r="D96" s="7">
        <v>1</v>
      </c>
      <c r="E96" s="7"/>
      <c r="F96" s="7"/>
      <c r="G96" s="7"/>
      <c r="H96" s="7"/>
      <c r="I96" s="7"/>
      <c r="J96" s="7"/>
      <c r="K96" s="7">
        <v>1</v>
      </c>
      <c r="L96" s="7"/>
      <c r="M96" s="7"/>
      <c r="N96" s="7"/>
      <c r="O96" s="7"/>
      <c r="P96" s="7"/>
      <c r="Q96" s="7"/>
      <c r="R96" s="7"/>
      <c r="S96" s="9">
        <f t="shared" si="8"/>
        <v>2</v>
      </c>
    </row>
    <row r="97" spans="1:19" ht="16.5" x14ac:dyDescent="0.3">
      <c r="A97" s="30" t="s">
        <v>992</v>
      </c>
      <c r="B97" s="10" t="s">
        <v>55</v>
      </c>
      <c r="C97" s="23" t="s">
        <v>991</v>
      </c>
      <c r="D97" s="48">
        <v>1</v>
      </c>
      <c r="E97" s="7"/>
      <c r="F97" s="7"/>
      <c r="G97" s="7"/>
      <c r="H97" s="7"/>
      <c r="I97" s="7"/>
      <c r="J97" s="7"/>
      <c r="K97" s="97"/>
      <c r="L97" s="227">
        <v>1</v>
      </c>
      <c r="M97" s="7"/>
      <c r="N97" s="7"/>
      <c r="O97" s="7"/>
      <c r="P97" s="7"/>
      <c r="Q97" s="7"/>
      <c r="R97" s="7"/>
      <c r="S97" s="9">
        <f t="shared" si="8"/>
        <v>2</v>
      </c>
    </row>
    <row r="98" spans="1:19" ht="16.5" x14ac:dyDescent="0.3">
      <c r="A98" s="30" t="s">
        <v>995</v>
      </c>
      <c r="B98" s="10" t="s">
        <v>55</v>
      </c>
      <c r="C98" s="26" t="s">
        <v>29</v>
      </c>
      <c r="D98" s="7">
        <v>1</v>
      </c>
      <c r="E98" s="48"/>
      <c r="F98" s="48"/>
      <c r="G98" s="48"/>
      <c r="H98" s="48"/>
      <c r="I98" s="48"/>
      <c r="J98" s="11"/>
      <c r="K98" s="97"/>
      <c r="L98" s="227">
        <v>1</v>
      </c>
      <c r="M98" s="11"/>
      <c r="N98" s="11"/>
      <c r="O98" s="11"/>
      <c r="P98" s="11"/>
      <c r="Q98" s="11"/>
      <c r="R98" s="11"/>
      <c r="S98" s="9">
        <f t="shared" si="8"/>
        <v>2</v>
      </c>
    </row>
    <row r="99" spans="1:19" ht="16.5" x14ac:dyDescent="0.3">
      <c r="A99" s="30" t="s">
        <v>997</v>
      </c>
      <c r="B99" s="10" t="s">
        <v>55</v>
      </c>
      <c r="C99" s="26" t="s">
        <v>996</v>
      </c>
      <c r="D99" s="48">
        <v>1</v>
      </c>
      <c r="E99" s="7"/>
      <c r="F99" s="7"/>
      <c r="G99" s="7"/>
      <c r="H99" s="7"/>
      <c r="I99" s="7"/>
      <c r="J99" s="7"/>
      <c r="K99" s="97"/>
      <c r="L99" s="227">
        <v>1</v>
      </c>
      <c r="M99" s="7"/>
      <c r="N99" s="7"/>
      <c r="O99" s="7"/>
      <c r="P99" s="7"/>
      <c r="Q99" s="7"/>
      <c r="R99" s="7"/>
      <c r="S99" s="9">
        <f t="shared" si="8"/>
        <v>2</v>
      </c>
    </row>
    <row r="100" spans="1:19" ht="16.5" x14ac:dyDescent="0.3">
      <c r="A100" s="30" t="s">
        <v>487</v>
      </c>
      <c r="B100" s="10" t="s">
        <v>55</v>
      </c>
      <c r="C100" s="26" t="s">
        <v>486</v>
      </c>
      <c r="D100" s="7">
        <v>1</v>
      </c>
      <c r="E100" s="7"/>
      <c r="F100" s="7"/>
      <c r="G100" s="7"/>
      <c r="H100" s="7"/>
      <c r="I100" s="7">
        <v>1</v>
      </c>
      <c r="J100" s="7">
        <v>1</v>
      </c>
      <c r="K100" s="7"/>
      <c r="L100" s="7"/>
      <c r="M100" s="7"/>
      <c r="N100" s="7"/>
      <c r="O100" s="7"/>
      <c r="P100" s="7"/>
      <c r="Q100" s="7"/>
      <c r="R100" s="7"/>
      <c r="S100" s="9">
        <f t="shared" ref="S100:S102" si="9">SUM(D100:R100)</f>
        <v>3</v>
      </c>
    </row>
    <row r="101" spans="1:19" ht="16.5" x14ac:dyDescent="0.3">
      <c r="A101" s="30" t="s">
        <v>471</v>
      </c>
      <c r="B101" s="10" t="s">
        <v>55</v>
      </c>
      <c r="C101" s="26" t="s">
        <v>470</v>
      </c>
      <c r="D101" s="7">
        <v>1</v>
      </c>
      <c r="E101" s="7"/>
      <c r="F101" s="7"/>
      <c r="G101" s="7"/>
      <c r="H101" s="7"/>
      <c r="I101" s="7">
        <v>1</v>
      </c>
      <c r="J101" s="7">
        <v>1</v>
      </c>
      <c r="K101" s="7"/>
      <c r="L101" s="7"/>
      <c r="M101" s="7"/>
      <c r="N101" s="7"/>
      <c r="O101" s="7"/>
      <c r="P101" s="7"/>
      <c r="Q101" s="7"/>
      <c r="R101" s="7"/>
      <c r="S101" s="9">
        <f t="shared" si="9"/>
        <v>3</v>
      </c>
    </row>
    <row r="102" spans="1:19" ht="17.25" thickBot="1" x14ac:dyDescent="0.35">
      <c r="A102" s="30" t="s">
        <v>477</v>
      </c>
      <c r="B102" s="10" t="s">
        <v>55</v>
      </c>
      <c r="C102" s="26" t="s">
        <v>476</v>
      </c>
      <c r="D102" s="7">
        <v>1</v>
      </c>
      <c r="E102" s="7"/>
      <c r="F102" s="7"/>
      <c r="G102" s="7"/>
      <c r="H102" s="7"/>
      <c r="I102" s="7"/>
      <c r="J102" s="7"/>
      <c r="K102" s="97"/>
      <c r="L102" s="227">
        <v>1</v>
      </c>
      <c r="M102" s="7"/>
      <c r="N102" s="7"/>
      <c r="O102" s="7"/>
      <c r="P102" s="7"/>
      <c r="Q102" s="7"/>
      <c r="R102" s="7"/>
      <c r="S102" s="9">
        <f t="shared" si="9"/>
        <v>2</v>
      </c>
    </row>
    <row r="103" spans="1:19" ht="15.75" thickBot="1" x14ac:dyDescent="0.3">
      <c r="C103" s="13" t="s">
        <v>1378</v>
      </c>
      <c r="D103" s="14">
        <f>SUM(D35:D102)</f>
        <v>68</v>
      </c>
      <c r="E103" s="14">
        <f t="shared" ref="E103:P103" si="10">SUM(E35:E102)</f>
        <v>0</v>
      </c>
      <c r="F103" s="14">
        <f t="shared" si="10"/>
        <v>0</v>
      </c>
      <c r="G103" s="14">
        <f t="shared" si="10"/>
        <v>0</v>
      </c>
      <c r="H103" s="14">
        <f t="shared" si="10"/>
        <v>12</v>
      </c>
      <c r="I103" s="14">
        <f t="shared" si="10"/>
        <v>40</v>
      </c>
      <c r="J103" s="14">
        <f t="shared" si="10"/>
        <v>52</v>
      </c>
      <c r="K103" s="14">
        <f>SUM(K35:K102)</f>
        <v>18</v>
      </c>
      <c r="L103" s="14">
        <f>SUM(L35:L102)</f>
        <v>12</v>
      </c>
      <c r="M103" s="14">
        <f t="shared" si="10"/>
        <v>0</v>
      </c>
      <c r="N103" s="14">
        <f t="shared" si="10"/>
        <v>0</v>
      </c>
      <c r="O103" s="14">
        <f t="shared" si="10"/>
        <v>0</v>
      </c>
      <c r="P103" s="14">
        <f t="shared" si="10"/>
        <v>0</v>
      </c>
      <c r="Q103" s="191"/>
      <c r="R103" s="191"/>
      <c r="S103" s="95">
        <f>SUM(S35:S102)</f>
        <v>202</v>
      </c>
    </row>
    <row r="107" spans="1:19" x14ac:dyDescent="0.25">
      <c r="A107" s="369" t="s">
        <v>1380</v>
      </c>
      <c r="B107" s="369"/>
      <c r="C107" s="369"/>
    </row>
    <row r="108" spans="1:19" x14ac:dyDescent="0.25">
      <c r="A108" s="161">
        <v>44287</v>
      </c>
      <c r="B108" s="3" t="s">
        <v>1381</v>
      </c>
      <c r="C108" s="370">
        <v>189000000</v>
      </c>
    </row>
    <row r="109" spans="1:19" x14ac:dyDescent="0.25">
      <c r="A109" s="161">
        <v>44317</v>
      </c>
      <c r="B109" s="3" t="s">
        <v>1381</v>
      </c>
      <c r="C109" s="371"/>
    </row>
    <row r="110" spans="1:19" x14ac:dyDescent="0.25">
      <c r="A110" s="161">
        <v>44348</v>
      </c>
      <c r="B110" s="3" t="s">
        <v>1381</v>
      </c>
      <c r="C110" s="371"/>
    </row>
    <row r="111" spans="1:19" x14ac:dyDescent="0.25">
      <c r="A111" s="161">
        <v>44378</v>
      </c>
      <c r="B111" s="3" t="s">
        <v>1381</v>
      </c>
      <c r="C111" s="371"/>
    </row>
    <row r="112" spans="1:19" x14ac:dyDescent="0.25">
      <c r="A112" s="161">
        <v>44409</v>
      </c>
      <c r="B112" s="3" t="s">
        <v>1381</v>
      </c>
      <c r="C112" s="371"/>
    </row>
    <row r="113" spans="1:4" x14ac:dyDescent="0.25">
      <c r="A113" s="161">
        <v>44440</v>
      </c>
      <c r="B113" s="3" t="s">
        <v>1381</v>
      </c>
      <c r="C113" s="372"/>
    </row>
    <row r="114" spans="1:4" x14ac:dyDescent="0.25">
      <c r="A114" s="161">
        <v>44470</v>
      </c>
      <c r="B114" s="3" t="s">
        <v>1381</v>
      </c>
      <c r="C114" s="162">
        <v>31500000</v>
      </c>
    </row>
    <row r="115" spans="1:4" x14ac:dyDescent="0.25">
      <c r="A115" s="161">
        <v>44501</v>
      </c>
      <c r="B115" s="3" t="s">
        <v>1381</v>
      </c>
      <c r="C115" s="162">
        <v>31500000</v>
      </c>
    </row>
    <row r="116" spans="1:4" x14ac:dyDescent="0.25">
      <c r="A116" s="161">
        <v>44531</v>
      </c>
      <c r="B116" s="3" t="s">
        <v>1381</v>
      </c>
      <c r="C116" s="162">
        <v>31500000</v>
      </c>
    </row>
    <row r="117" spans="1:4" x14ac:dyDescent="0.25">
      <c r="A117" s="161">
        <v>44562</v>
      </c>
      <c r="B117" s="3" t="s">
        <v>1381</v>
      </c>
      <c r="C117" s="162">
        <v>31500000</v>
      </c>
    </row>
    <row r="118" spans="1:4" x14ac:dyDescent="0.25">
      <c r="A118" s="161">
        <v>44593</v>
      </c>
      <c r="B118" s="3" t="s">
        <v>1381</v>
      </c>
      <c r="C118" s="162">
        <v>31500000</v>
      </c>
      <c r="D118" s="182"/>
    </row>
    <row r="119" spans="1:4" x14ac:dyDescent="0.25">
      <c r="A119" s="161">
        <v>44621</v>
      </c>
      <c r="B119" s="3" t="s">
        <v>1381</v>
      </c>
      <c r="C119" s="162">
        <v>31500000</v>
      </c>
    </row>
    <row r="120" spans="1:4" x14ac:dyDescent="0.25">
      <c r="A120" s="161">
        <v>44652</v>
      </c>
      <c r="B120" s="3" t="s">
        <v>1381</v>
      </c>
      <c r="C120" s="162">
        <v>31500000</v>
      </c>
    </row>
    <row r="121" spans="1:4" x14ac:dyDescent="0.25">
      <c r="A121" s="161">
        <v>44682</v>
      </c>
      <c r="B121" s="3" t="s">
        <v>1381</v>
      </c>
      <c r="C121" s="162">
        <v>45500000</v>
      </c>
    </row>
    <row r="122" spans="1:4" x14ac:dyDescent="0.25">
      <c r="A122" s="161">
        <v>44713</v>
      </c>
      <c r="B122" s="3" t="s">
        <v>1381</v>
      </c>
      <c r="C122" s="162">
        <v>45500000</v>
      </c>
    </row>
    <row r="123" spans="1:4" x14ac:dyDescent="0.25">
      <c r="A123" s="161">
        <v>44743</v>
      </c>
      <c r="B123" s="3" t="s">
        <v>1381</v>
      </c>
      <c r="C123" s="162">
        <v>45500000</v>
      </c>
    </row>
    <row r="124" spans="1:4" x14ac:dyDescent="0.25">
      <c r="A124" s="161">
        <v>44774</v>
      </c>
      <c r="B124" s="3" t="s">
        <v>1381</v>
      </c>
      <c r="C124" s="162">
        <v>45500000</v>
      </c>
    </row>
  </sheetData>
  <autoFilter ref="B2:S29" xr:uid="{00000000-0009-0000-0000-000002000000}"/>
  <mergeCells count="4">
    <mergeCell ref="A33:S33"/>
    <mergeCell ref="A107:C107"/>
    <mergeCell ref="C108:C113"/>
    <mergeCell ref="A1:U1"/>
  </mergeCells>
  <conditionalFormatting sqref="A3:A29">
    <cfRule type="duplicateValues" dxfId="70" priority="2"/>
  </conditionalFormatting>
  <conditionalFormatting sqref="A35:A102">
    <cfRule type="duplicateValues" dxfId="69" priority="1"/>
  </conditionalFormatting>
  <pageMargins left="0.7" right="0.7" top="0.75" bottom="0.75" header="0.3" footer="0.3"/>
  <pageSetup orientation="portrait" r:id="rId1"/>
  <ignoredErrors>
    <ignoredError sqref="D30:G30 H30:P30 S3:S5 S8:S10 S11 S20:S23 S24:S25 S26 S28:S29 D103:J103 O103:P103 S16:S17 T3:T4 T21:T22 T29 T26 T9:T11 Q30:R30 K103 S6 S7:T7 S13:S15 T14 S12:T12 L103:N103" formulaRange="1"/>
    <ignoredError sqref="S30 S18" formula="1"/>
    <ignoredError sqref="S27 T23:T25 T20 T27:T28 T15:T18 T5:T6 T8 S19:T19 T13" formula="1" formulaRange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05"/>
  <sheetViews>
    <sheetView zoomScale="70" zoomScaleNormal="70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C10" sqref="C10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33.28515625" customWidth="1"/>
    <col min="4" max="17" width="14.5703125" customWidth="1"/>
    <col min="18" max="18" width="14.85546875" customWidth="1"/>
    <col min="19" max="19" width="19.85546875" customWidth="1"/>
  </cols>
  <sheetData>
    <row r="1" spans="1:19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</row>
    <row r="2" spans="1:19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47" t="s">
        <v>1417</v>
      </c>
      <c r="R2" s="217" t="s">
        <v>1419</v>
      </c>
      <c r="S2" s="220" t="s">
        <v>1418</v>
      </c>
    </row>
    <row r="3" spans="1:19" ht="16.5" x14ac:dyDescent="0.3">
      <c r="A3" s="71" t="s">
        <v>19</v>
      </c>
      <c r="B3" s="71" t="s">
        <v>16</v>
      </c>
      <c r="C3" s="70" t="s">
        <v>17</v>
      </c>
      <c r="D3" s="86">
        <v>0</v>
      </c>
      <c r="E3" s="86">
        <v>0</v>
      </c>
      <c r="F3" s="86">
        <v>0</v>
      </c>
      <c r="G3" s="86">
        <v>0</v>
      </c>
      <c r="H3" s="86">
        <v>0</v>
      </c>
      <c r="I3" s="86">
        <v>0</v>
      </c>
      <c r="J3" s="86">
        <v>0</v>
      </c>
      <c r="K3" s="86">
        <v>0</v>
      </c>
      <c r="L3" s="86">
        <v>0</v>
      </c>
      <c r="M3" s="86">
        <v>0</v>
      </c>
      <c r="N3" s="86">
        <v>0</v>
      </c>
      <c r="O3" s="86"/>
      <c r="P3" s="86"/>
      <c r="Q3" s="87">
        <f>SUM(D3:N3)</f>
        <v>0</v>
      </c>
      <c r="R3" s="208">
        <v>0</v>
      </c>
      <c r="S3" s="221">
        <f>Q3+R3</f>
        <v>0</v>
      </c>
    </row>
    <row r="4" spans="1:19" ht="16.5" x14ac:dyDescent="0.3">
      <c r="A4" s="28" t="s">
        <v>398</v>
      </c>
      <c r="B4" s="20" t="s">
        <v>16</v>
      </c>
      <c r="C4" s="23" t="s">
        <v>397</v>
      </c>
      <c r="D4" s="7">
        <v>0</v>
      </c>
      <c r="E4" s="7">
        <v>1</v>
      </c>
      <c r="F4" s="7">
        <v>1</v>
      </c>
      <c r="G4" s="7">
        <v>1</v>
      </c>
      <c r="H4" s="11">
        <v>1</v>
      </c>
      <c r="I4" s="11">
        <v>1</v>
      </c>
      <c r="J4" s="365">
        <v>1</v>
      </c>
      <c r="K4" s="365">
        <v>1</v>
      </c>
      <c r="L4" s="365">
        <v>1</v>
      </c>
      <c r="M4" s="365">
        <v>1</v>
      </c>
      <c r="N4" s="366">
        <v>1</v>
      </c>
      <c r="O4" s="366">
        <v>1</v>
      </c>
      <c r="P4" s="48">
        <v>1</v>
      </c>
      <c r="Q4" s="9">
        <f>SUM(D4:N4)</f>
        <v>10</v>
      </c>
      <c r="R4" s="206">
        <f>SUM(O4:P4)</f>
        <v>2</v>
      </c>
      <c r="S4" s="215">
        <f t="shared" ref="S4:S20" si="0">Q4+R4</f>
        <v>12</v>
      </c>
    </row>
    <row r="5" spans="1:19" ht="16.5" x14ac:dyDescent="0.3">
      <c r="A5" s="28" t="s">
        <v>39</v>
      </c>
      <c r="B5" s="20" t="s">
        <v>16</v>
      </c>
      <c r="C5" s="23" t="s">
        <v>38</v>
      </c>
      <c r="D5" s="7">
        <v>1</v>
      </c>
      <c r="E5" s="7">
        <v>1</v>
      </c>
      <c r="F5" s="7">
        <v>1</v>
      </c>
      <c r="G5" s="7">
        <v>1</v>
      </c>
      <c r="H5" s="11">
        <v>1</v>
      </c>
      <c r="I5" s="11">
        <v>1</v>
      </c>
      <c r="J5" s="360">
        <v>1</v>
      </c>
      <c r="K5" s="360">
        <v>1</v>
      </c>
      <c r="L5" s="360">
        <v>1</v>
      </c>
      <c r="M5" s="227">
        <v>1</v>
      </c>
      <c r="N5" s="366">
        <v>1</v>
      </c>
      <c r="O5" s="366">
        <v>1</v>
      </c>
      <c r="P5" s="366">
        <v>1</v>
      </c>
      <c r="Q5" s="9">
        <f>SUM(D5:M5)</f>
        <v>10</v>
      </c>
      <c r="R5" s="206">
        <f>SUM(N5:P5)</f>
        <v>3</v>
      </c>
      <c r="S5" s="215">
        <f t="shared" si="0"/>
        <v>13</v>
      </c>
    </row>
    <row r="6" spans="1:19" ht="16.5" x14ac:dyDescent="0.3">
      <c r="A6" s="30" t="s">
        <v>83</v>
      </c>
      <c r="B6" s="20" t="s">
        <v>16</v>
      </c>
      <c r="C6" s="23" t="s">
        <v>82</v>
      </c>
      <c r="D6" s="7">
        <v>0</v>
      </c>
      <c r="E6" s="7">
        <v>1</v>
      </c>
      <c r="F6" s="7">
        <v>1</v>
      </c>
      <c r="G6" s="7">
        <v>1</v>
      </c>
      <c r="H6" s="11">
        <v>1</v>
      </c>
      <c r="I6" s="11">
        <v>1</v>
      </c>
      <c r="J6" s="360">
        <v>1</v>
      </c>
      <c r="K6" s="360">
        <v>1</v>
      </c>
      <c r="L6" s="360">
        <v>1</v>
      </c>
      <c r="M6" s="365">
        <v>1</v>
      </c>
      <c r="N6" s="366">
        <v>1</v>
      </c>
      <c r="O6" s="366">
        <v>1</v>
      </c>
      <c r="P6" s="48">
        <v>1</v>
      </c>
      <c r="Q6" s="9">
        <f t="shared" ref="Q6:Q11" si="1">SUM(D6:N6)</f>
        <v>10</v>
      </c>
      <c r="R6" s="206">
        <f t="shared" ref="R6:R11" si="2">SUM(O6:P6)</f>
        <v>2</v>
      </c>
      <c r="S6" s="215">
        <f t="shared" si="0"/>
        <v>12</v>
      </c>
    </row>
    <row r="7" spans="1:19" ht="16.5" x14ac:dyDescent="0.3">
      <c r="A7" s="30" t="s">
        <v>193</v>
      </c>
      <c r="B7" s="20" t="s">
        <v>16</v>
      </c>
      <c r="C7" s="23" t="s">
        <v>192</v>
      </c>
      <c r="D7" s="7">
        <v>0</v>
      </c>
      <c r="E7" s="7">
        <v>1</v>
      </c>
      <c r="F7" s="7">
        <v>1</v>
      </c>
      <c r="G7" s="7">
        <v>1</v>
      </c>
      <c r="H7" s="11">
        <v>1</v>
      </c>
      <c r="I7" s="11">
        <v>1</v>
      </c>
      <c r="J7" s="360">
        <v>1</v>
      </c>
      <c r="K7" s="360">
        <v>1</v>
      </c>
      <c r="L7" s="360">
        <v>1</v>
      </c>
      <c r="M7" s="365">
        <v>1</v>
      </c>
      <c r="N7" s="366">
        <v>1</v>
      </c>
      <c r="O7" s="366">
        <v>1</v>
      </c>
      <c r="P7" s="48"/>
      <c r="Q7" s="9">
        <f t="shared" si="1"/>
        <v>10</v>
      </c>
      <c r="R7" s="206">
        <f t="shared" si="2"/>
        <v>1</v>
      </c>
      <c r="S7" s="215">
        <f t="shared" si="0"/>
        <v>11</v>
      </c>
    </row>
    <row r="8" spans="1:19" ht="16.5" x14ac:dyDescent="0.3">
      <c r="A8" s="30" t="s">
        <v>199</v>
      </c>
      <c r="B8" s="20" t="s">
        <v>16</v>
      </c>
      <c r="C8" s="23" t="s">
        <v>198</v>
      </c>
      <c r="D8" s="7">
        <v>0</v>
      </c>
      <c r="E8" s="7">
        <v>1</v>
      </c>
      <c r="F8" s="7">
        <v>1</v>
      </c>
      <c r="G8" s="7">
        <v>1</v>
      </c>
      <c r="H8" s="11">
        <v>1</v>
      </c>
      <c r="I8" s="11">
        <v>1</v>
      </c>
      <c r="J8" s="360">
        <v>1</v>
      </c>
      <c r="K8" s="360">
        <v>1</v>
      </c>
      <c r="L8" s="360">
        <v>1</v>
      </c>
      <c r="M8" s="365">
        <v>1</v>
      </c>
      <c r="N8" s="366">
        <v>1</v>
      </c>
      <c r="O8" s="366">
        <v>1</v>
      </c>
      <c r="P8" s="48">
        <v>1</v>
      </c>
      <c r="Q8" s="9">
        <f t="shared" si="1"/>
        <v>10</v>
      </c>
      <c r="R8" s="206">
        <f t="shared" si="2"/>
        <v>2</v>
      </c>
      <c r="S8" s="215">
        <f t="shared" si="0"/>
        <v>12</v>
      </c>
    </row>
    <row r="9" spans="1:19" ht="16.5" x14ac:dyDescent="0.3">
      <c r="A9" s="30" t="s">
        <v>104</v>
      </c>
      <c r="B9" s="20" t="s">
        <v>16</v>
      </c>
      <c r="C9" s="24" t="s">
        <v>103</v>
      </c>
      <c r="D9" s="7">
        <v>0</v>
      </c>
      <c r="E9" s="7">
        <v>1</v>
      </c>
      <c r="F9" s="7">
        <v>1</v>
      </c>
      <c r="G9" s="7">
        <v>1</v>
      </c>
      <c r="H9" s="11">
        <v>1</v>
      </c>
      <c r="I9" s="11">
        <v>1</v>
      </c>
      <c r="J9" s="360">
        <v>1</v>
      </c>
      <c r="K9" s="360">
        <v>1</v>
      </c>
      <c r="L9" s="366">
        <v>1</v>
      </c>
      <c r="M9" s="365">
        <v>1</v>
      </c>
      <c r="N9" s="366">
        <v>1</v>
      </c>
      <c r="O9" s="366">
        <v>1</v>
      </c>
      <c r="P9" s="48">
        <v>1</v>
      </c>
      <c r="Q9" s="9">
        <f t="shared" si="1"/>
        <v>10</v>
      </c>
      <c r="R9" s="206">
        <f t="shared" si="2"/>
        <v>2</v>
      </c>
      <c r="S9" s="215">
        <f t="shared" si="0"/>
        <v>12</v>
      </c>
    </row>
    <row r="10" spans="1:19" ht="16.5" x14ac:dyDescent="0.3">
      <c r="A10" s="30" t="s">
        <v>245</v>
      </c>
      <c r="B10" s="20" t="s">
        <v>16</v>
      </c>
      <c r="C10" s="23" t="s">
        <v>244</v>
      </c>
      <c r="D10" s="7">
        <v>0</v>
      </c>
      <c r="E10" s="7">
        <v>1</v>
      </c>
      <c r="F10" s="7">
        <v>1</v>
      </c>
      <c r="G10" s="7">
        <v>1</v>
      </c>
      <c r="H10" s="11">
        <v>1</v>
      </c>
      <c r="I10" s="11">
        <v>1</v>
      </c>
      <c r="J10" s="360">
        <v>1</v>
      </c>
      <c r="K10" s="366">
        <v>1</v>
      </c>
      <c r="L10" s="366">
        <v>1</v>
      </c>
      <c r="M10" s="365">
        <v>1</v>
      </c>
      <c r="N10" s="366">
        <v>1</v>
      </c>
      <c r="O10" s="366">
        <v>1</v>
      </c>
      <c r="P10" s="48"/>
      <c r="Q10" s="9">
        <f t="shared" si="1"/>
        <v>10</v>
      </c>
      <c r="R10" s="206">
        <f t="shared" si="2"/>
        <v>1</v>
      </c>
      <c r="S10" s="215">
        <f t="shared" si="0"/>
        <v>11</v>
      </c>
    </row>
    <row r="11" spans="1:19" ht="16.5" x14ac:dyDescent="0.3">
      <c r="A11" s="30" t="s">
        <v>188</v>
      </c>
      <c r="B11" s="20" t="s">
        <v>16</v>
      </c>
      <c r="C11" s="26" t="s">
        <v>187</v>
      </c>
      <c r="D11" s="7">
        <v>0</v>
      </c>
      <c r="E11" s="7">
        <v>1</v>
      </c>
      <c r="F11" s="7">
        <v>1</v>
      </c>
      <c r="G11" s="7">
        <v>1</v>
      </c>
      <c r="H11" s="11">
        <v>1</v>
      </c>
      <c r="I11" s="11">
        <v>1</v>
      </c>
      <c r="J11" s="360">
        <v>1</v>
      </c>
      <c r="K11" s="360">
        <v>1</v>
      </c>
      <c r="L11" s="360">
        <v>1</v>
      </c>
      <c r="M11" s="365">
        <v>1</v>
      </c>
      <c r="N11" s="366">
        <v>1</v>
      </c>
      <c r="O11" s="366">
        <v>1</v>
      </c>
      <c r="P11" s="48">
        <v>1</v>
      </c>
      <c r="Q11" s="9">
        <f t="shared" si="1"/>
        <v>10</v>
      </c>
      <c r="R11" s="206">
        <f t="shared" si="2"/>
        <v>2</v>
      </c>
      <c r="S11" s="215">
        <f t="shared" si="0"/>
        <v>12</v>
      </c>
    </row>
    <row r="12" spans="1:19" ht="16.5" x14ac:dyDescent="0.3">
      <c r="A12" s="30" t="s">
        <v>404</v>
      </c>
      <c r="B12" s="20" t="s">
        <v>16</v>
      </c>
      <c r="C12" s="23" t="s">
        <v>403</v>
      </c>
      <c r="D12" s="7">
        <v>0</v>
      </c>
      <c r="E12" s="7">
        <v>1</v>
      </c>
      <c r="F12" s="7">
        <v>1</v>
      </c>
      <c r="G12" s="7">
        <v>1</v>
      </c>
      <c r="H12" s="11">
        <v>1</v>
      </c>
      <c r="I12" s="11">
        <v>1</v>
      </c>
      <c r="J12" s="366">
        <v>1</v>
      </c>
      <c r="K12" s="366">
        <v>1</v>
      </c>
      <c r="L12" s="198"/>
      <c r="M12" s="197"/>
      <c r="N12" s="198"/>
      <c r="O12" s="198"/>
      <c r="P12" s="48"/>
      <c r="Q12" s="9">
        <f t="shared" ref="Q12:Q13" si="3">SUM(D12:O12)</f>
        <v>7</v>
      </c>
      <c r="R12" s="206"/>
      <c r="S12" s="215">
        <f t="shared" si="0"/>
        <v>7</v>
      </c>
    </row>
    <row r="13" spans="1:19" ht="16.5" x14ac:dyDescent="0.3">
      <c r="A13" s="30" t="s">
        <v>414</v>
      </c>
      <c r="B13" s="20" t="s">
        <v>16</v>
      </c>
      <c r="C13" s="23" t="s">
        <v>413</v>
      </c>
      <c r="D13" s="7">
        <v>0</v>
      </c>
      <c r="E13" s="7">
        <v>1</v>
      </c>
      <c r="F13" s="7">
        <v>1</v>
      </c>
      <c r="G13" s="7">
        <v>1</v>
      </c>
      <c r="H13" s="11">
        <v>1</v>
      </c>
      <c r="I13" s="11">
        <v>1</v>
      </c>
      <c r="J13" s="366">
        <v>1</v>
      </c>
      <c r="K13" s="366">
        <v>1</v>
      </c>
      <c r="L13" s="198"/>
      <c r="M13" s="197"/>
      <c r="N13" s="197"/>
      <c r="O13" s="197"/>
      <c r="P13" s="197"/>
      <c r="Q13" s="9">
        <f t="shared" si="3"/>
        <v>7</v>
      </c>
      <c r="R13" s="206"/>
      <c r="S13" s="215">
        <f t="shared" si="0"/>
        <v>7</v>
      </c>
    </row>
    <row r="14" spans="1:19" ht="16.5" x14ac:dyDescent="0.3">
      <c r="A14" s="30" t="s">
        <v>267</v>
      </c>
      <c r="B14" s="20" t="s">
        <v>16</v>
      </c>
      <c r="C14" s="23" t="s">
        <v>266</v>
      </c>
      <c r="D14" s="7">
        <v>0</v>
      </c>
      <c r="E14" s="7">
        <v>0</v>
      </c>
      <c r="F14" s="7">
        <v>0</v>
      </c>
      <c r="G14" s="7">
        <v>1</v>
      </c>
      <c r="H14" s="11">
        <v>1</v>
      </c>
      <c r="I14" s="11">
        <v>1</v>
      </c>
      <c r="J14" s="198">
        <v>1</v>
      </c>
      <c r="K14" s="198">
        <v>1</v>
      </c>
      <c r="L14" s="198">
        <v>1</v>
      </c>
      <c r="M14" s="198">
        <v>1</v>
      </c>
      <c r="N14" s="365">
        <v>1</v>
      </c>
      <c r="O14" s="365">
        <v>1</v>
      </c>
      <c r="P14" s="7">
        <v>1</v>
      </c>
      <c r="Q14" s="9">
        <f>SUM(D14:P14)</f>
        <v>10</v>
      </c>
      <c r="R14" s="206"/>
      <c r="S14" s="215">
        <f t="shared" si="0"/>
        <v>10</v>
      </c>
    </row>
    <row r="15" spans="1:19" ht="16.5" x14ac:dyDescent="0.3">
      <c r="A15" s="153" t="s">
        <v>416</v>
      </c>
      <c r="B15" s="155" t="s">
        <v>16</v>
      </c>
      <c r="C15" s="70" t="s">
        <v>415</v>
      </c>
      <c r="D15" s="86">
        <v>0</v>
      </c>
      <c r="E15" s="86">
        <v>1</v>
      </c>
      <c r="F15" s="86">
        <v>1</v>
      </c>
      <c r="G15" s="86">
        <v>1</v>
      </c>
      <c r="H15" s="159">
        <v>1</v>
      </c>
      <c r="I15" s="159">
        <v>1</v>
      </c>
      <c r="J15" s="158">
        <v>0</v>
      </c>
      <c r="K15" s="158">
        <v>0</v>
      </c>
      <c r="L15" s="158"/>
      <c r="M15" s="86"/>
      <c r="N15" s="86"/>
      <c r="O15" s="86"/>
      <c r="P15" s="86"/>
      <c r="Q15" s="87">
        <f>SUM(D15:N15)</f>
        <v>5</v>
      </c>
      <c r="R15" s="208">
        <v>0</v>
      </c>
      <c r="S15" s="221">
        <f t="shared" si="0"/>
        <v>5</v>
      </c>
    </row>
    <row r="16" spans="1:19" ht="16.5" x14ac:dyDescent="0.3">
      <c r="A16" s="153" t="s">
        <v>396</v>
      </c>
      <c r="B16" s="155" t="s">
        <v>16</v>
      </c>
      <c r="C16" s="156" t="s">
        <v>395</v>
      </c>
      <c r="D16" s="86">
        <v>0</v>
      </c>
      <c r="E16" s="86">
        <v>0</v>
      </c>
      <c r="F16" s="86">
        <v>0</v>
      </c>
      <c r="G16" s="86">
        <v>1</v>
      </c>
      <c r="H16" s="159">
        <v>1</v>
      </c>
      <c r="I16" s="159">
        <v>1</v>
      </c>
      <c r="J16" s="158">
        <v>1</v>
      </c>
      <c r="K16" s="158">
        <v>1</v>
      </c>
      <c r="L16" s="158"/>
      <c r="M16" s="86"/>
      <c r="N16" s="86"/>
      <c r="O16" s="86"/>
      <c r="P16" s="86"/>
      <c r="Q16" s="87">
        <f>SUM(D16:N16)</f>
        <v>5</v>
      </c>
      <c r="R16" s="208">
        <v>0</v>
      </c>
      <c r="S16" s="221">
        <f t="shared" si="0"/>
        <v>5</v>
      </c>
    </row>
    <row r="17" spans="1:19" s="12" customFormat="1" ht="16.5" x14ac:dyDescent="0.3">
      <c r="A17" s="153" t="s">
        <v>392</v>
      </c>
      <c r="B17" s="155" t="s">
        <v>16</v>
      </c>
      <c r="C17" s="156" t="s">
        <v>1383</v>
      </c>
      <c r="D17" s="158">
        <v>0</v>
      </c>
      <c r="E17" s="158">
        <v>0</v>
      </c>
      <c r="F17" s="158">
        <v>0</v>
      </c>
      <c r="G17" s="158">
        <v>1</v>
      </c>
      <c r="H17" s="159">
        <v>1</v>
      </c>
      <c r="I17" s="159">
        <v>1</v>
      </c>
      <c r="J17" s="158">
        <v>1</v>
      </c>
      <c r="K17" s="158">
        <v>1</v>
      </c>
      <c r="L17" s="158"/>
      <c r="M17" s="159"/>
      <c r="N17" s="159"/>
      <c r="O17" s="159"/>
      <c r="P17" s="159"/>
      <c r="Q17" s="87">
        <f>SUM(D17:N17)</f>
        <v>5</v>
      </c>
      <c r="R17" s="208">
        <v>0</v>
      </c>
      <c r="S17" s="221">
        <f t="shared" si="0"/>
        <v>5</v>
      </c>
    </row>
    <row r="18" spans="1:19" ht="16.5" x14ac:dyDescent="0.3">
      <c r="A18" s="153" t="s">
        <v>355</v>
      </c>
      <c r="B18" s="155" t="s">
        <v>16</v>
      </c>
      <c r="C18" s="156" t="s">
        <v>354</v>
      </c>
      <c r="D18" s="86">
        <v>0</v>
      </c>
      <c r="E18" s="86">
        <v>0</v>
      </c>
      <c r="F18" s="86">
        <v>1</v>
      </c>
      <c r="G18" s="86">
        <v>1</v>
      </c>
      <c r="H18" s="159">
        <v>1</v>
      </c>
      <c r="I18" s="159">
        <v>1</v>
      </c>
      <c r="J18" s="158">
        <v>1</v>
      </c>
      <c r="K18" s="158">
        <v>0</v>
      </c>
      <c r="L18" s="158"/>
      <c r="M18" s="86"/>
      <c r="N18" s="86"/>
      <c r="O18" s="86"/>
      <c r="P18" s="86"/>
      <c r="Q18" s="87">
        <f>SUM(D18:N18)</f>
        <v>5</v>
      </c>
      <c r="R18" s="208">
        <v>0</v>
      </c>
      <c r="S18" s="221">
        <f t="shared" si="0"/>
        <v>5</v>
      </c>
    </row>
    <row r="19" spans="1:19" ht="16.5" x14ac:dyDescent="0.3">
      <c r="A19" s="30" t="s">
        <v>368</v>
      </c>
      <c r="B19" s="20" t="s">
        <v>16</v>
      </c>
      <c r="C19" s="23" t="s">
        <v>367</v>
      </c>
      <c r="D19" s="7">
        <v>0</v>
      </c>
      <c r="E19" s="7">
        <v>0</v>
      </c>
      <c r="F19" s="7">
        <v>0</v>
      </c>
      <c r="G19" s="7">
        <v>1</v>
      </c>
      <c r="H19" s="11">
        <v>1</v>
      </c>
      <c r="I19" s="11">
        <v>1</v>
      </c>
      <c r="J19" s="198">
        <v>1</v>
      </c>
      <c r="K19" s="198">
        <v>1</v>
      </c>
      <c r="L19" s="198">
        <v>1</v>
      </c>
      <c r="M19" s="366">
        <v>1</v>
      </c>
      <c r="N19" s="365">
        <v>1</v>
      </c>
      <c r="O19" s="365">
        <v>1</v>
      </c>
      <c r="P19" s="7"/>
      <c r="Q19" s="9">
        <f>SUM(D19:O19)</f>
        <v>9</v>
      </c>
      <c r="R19" s="206"/>
      <c r="S19" s="215">
        <f t="shared" si="0"/>
        <v>9</v>
      </c>
    </row>
    <row r="20" spans="1:19" ht="17.25" thickBot="1" x14ac:dyDescent="0.35">
      <c r="A20" s="30" t="s">
        <v>402</v>
      </c>
      <c r="B20" s="20" t="s">
        <v>16</v>
      </c>
      <c r="C20" s="23" t="s">
        <v>401</v>
      </c>
      <c r="D20" s="7">
        <v>0</v>
      </c>
      <c r="E20" s="7">
        <v>1</v>
      </c>
      <c r="F20" s="7">
        <v>1</v>
      </c>
      <c r="G20" s="7">
        <v>1</v>
      </c>
      <c r="H20" s="11">
        <v>1</v>
      </c>
      <c r="I20" s="11">
        <v>1</v>
      </c>
      <c r="J20" s="366">
        <v>1</v>
      </c>
      <c r="K20" s="366">
        <v>1</v>
      </c>
      <c r="L20" s="198"/>
      <c r="M20" s="197"/>
      <c r="N20" s="197"/>
      <c r="O20" s="197"/>
      <c r="P20" s="7"/>
      <c r="Q20" s="9">
        <f>SUM(D20:N20)</f>
        <v>7</v>
      </c>
      <c r="R20" s="218"/>
      <c r="S20" s="222">
        <f t="shared" si="0"/>
        <v>7</v>
      </c>
    </row>
    <row r="21" spans="1:19" ht="15.75" thickBot="1" x14ac:dyDescent="0.3">
      <c r="C21" s="13" t="s">
        <v>1378</v>
      </c>
      <c r="D21" s="14">
        <f>SUM(D3:D20)</f>
        <v>1</v>
      </c>
      <c r="E21" s="14">
        <f t="shared" ref="E21:H21" si="4">SUM(E3:E20)</f>
        <v>12</v>
      </c>
      <c r="F21" s="14">
        <f t="shared" si="4"/>
        <v>13</v>
      </c>
      <c r="G21" s="14">
        <f t="shared" si="4"/>
        <v>17</v>
      </c>
      <c r="H21" s="14">
        <f t="shared" si="4"/>
        <v>17</v>
      </c>
      <c r="I21" s="14">
        <f t="shared" ref="I21:P21" si="5">SUM(I3:I20)</f>
        <v>17</v>
      </c>
      <c r="J21" s="14">
        <f t="shared" si="5"/>
        <v>16</v>
      </c>
      <c r="K21" s="14">
        <f t="shared" si="5"/>
        <v>15</v>
      </c>
      <c r="L21" s="14">
        <f t="shared" si="5"/>
        <v>10</v>
      </c>
      <c r="M21" s="14">
        <f t="shared" si="5"/>
        <v>10</v>
      </c>
      <c r="N21" s="14">
        <f t="shared" si="5"/>
        <v>10</v>
      </c>
      <c r="O21" s="14">
        <f t="shared" si="5"/>
        <v>10</v>
      </c>
      <c r="P21" s="14">
        <f t="shared" si="5"/>
        <v>7</v>
      </c>
      <c r="Q21" s="95">
        <f>SUM(Q3:Q20)</f>
        <v>140</v>
      </c>
      <c r="R21" s="219">
        <f>SUM(R3:R20)</f>
        <v>15</v>
      </c>
      <c r="S21" s="212">
        <f>SUM(S3:S20)</f>
        <v>155</v>
      </c>
    </row>
    <row r="22" spans="1:19" x14ac:dyDescent="0.25">
      <c r="D22" s="2"/>
      <c r="E22" s="2"/>
      <c r="F22" s="2"/>
      <c r="G22" s="2"/>
      <c r="S22" s="105">
        <f>SUM(D21:P21)</f>
        <v>155</v>
      </c>
    </row>
    <row r="24" spans="1:19" ht="15.75" thickBot="1" x14ac:dyDescent="0.3">
      <c r="A24" s="368" t="s">
        <v>1379</v>
      </c>
      <c r="B24" s="368"/>
      <c r="C24" s="368"/>
      <c r="D24" s="368"/>
      <c r="E24" s="368"/>
      <c r="F24" s="368"/>
      <c r="G24" s="368"/>
      <c r="H24" s="368"/>
      <c r="I24" s="368"/>
      <c r="J24" s="368"/>
      <c r="K24" s="368"/>
      <c r="L24" s="368"/>
      <c r="M24" s="368"/>
      <c r="N24" s="368"/>
      <c r="O24" s="368"/>
      <c r="P24" s="368"/>
      <c r="Q24" s="368"/>
    </row>
    <row r="25" spans="1:19" ht="43.9" customHeight="1" thickBot="1" x14ac:dyDescent="0.3">
      <c r="A25" s="5" t="s">
        <v>3</v>
      </c>
      <c r="B25" s="8" t="s">
        <v>0</v>
      </c>
      <c r="C25" s="4" t="s">
        <v>1</v>
      </c>
      <c r="D25" s="6">
        <v>44531</v>
      </c>
      <c r="E25" s="6">
        <v>44562</v>
      </c>
      <c r="F25" s="6">
        <v>44593</v>
      </c>
      <c r="G25" s="6">
        <v>44621</v>
      </c>
      <c r="H25" s="6">
        <v>44652</v>
      </c>
      <c r="I25" s="6">
        <v>44682</v>
      </c>
      <c r="J25" s="6">
        <v>44713</v>
      </c>
      <c r="K25" s="6">
        <v>44743</v>
      </c>
      <c r="L25" s="6">
        <v>44774</v>
      </c>
      <c r="M25" s="6">
        <v>44805</v>
      </c>
      <c r="N25" s="6">
        <v>44835</v>
      </c>
      <c r="O25" s="6">
        <v>44866</v>
      </c>
      <c r="P25" s="6">
        <v>44896</v>
      </c>
      <c r="Q25" s="6" t="s">
        <v>1376</v>
      </c>
    </row>
    <row r="26" spans="1:19" ht="16.5" x14ac:dyDescent="0.3">
      <c r="A26" s="30" t="s">
        <v>1065</v>
      </c>
      <c r="B26" s="20" t="s">
        <v>16</v>
      </c>
      <c r="C26" s="23" t="s">
        <v>1064</v>
      </c>
      <c r="D26" s="7">
        <v>1</v>
      </c>
      <c r="E26" s="7">
        <v>0</v>
      </c>
      <c r="F26" s="7">
        <v>0</v>
      </c>
      <c r="G26" s="7">
        <v>0</v>
      </c>
      <c r="H26" s="7">
        <v>1</v>
      </c>
      <c r="I26" s="7">
        <v>1</v>
      </c>
      <c r="J26" s="7"/>
      <c r="K26" s="7"/>
      <c r="L26" s="7"/>
      <c r="M26" s="7"/>
      <c r="N26" s="7"/>
      <c r="O26" s="7"/>
      <c r="P26" s="7"/>
      <c r="Q26" s="9">
        <f>SUM(D26:N26)</f>
        <v>3</v>
      </c>
    </row>
    <row r="27" spans="1:19" ht="16.5" x14ac:dyDescent="0.3">
      <c r="A27" s="30" t="s">
        <v>1050</v>
      </c>
      <c r="B27" s="20" t="s">
        <v>16</v>
      </c>
      <c r="C27" s="26" t="s">
        <v>1049</v>
      </c>
      <c r="D27" s="7">
        <v>1</v>
      </c>
      <c r="E27" s="7">
        <v>0</v>
      </c>
      <c r="F27" s="7">
        <v>0</v>
      </c>
      <c r="G27" s="7">
        <v>0</v>
      </c>
      <c r="H27" s="7">
        <v>1</v>
      </c>
      <c r="I27" s="7">
        <v>1</v>
      </c>
      <c r="J27" s="7"/>
      <c r="K27" s="7"/>
      <c r="L27" s="7"/>
      <c r="M27" s="7"/>
      <c r="N27" s="7"/>
      <c r="O27" s="7"/>
      <c r="P27" s="7"/>
      <c r="Q27" s="9">
        <f>SUM(D27:N27)</f>
        <v>3</v>
      </c>
    </row>
    <row r="28" spans="1:19" ht="16.5" x14ac:dyDescent="0.3">
      <c r="A28" s="30" t="s">
        <v>1067</v>
      </c>
      <c r="B28" s="20" t="s">
        <v>16</v>
      </c>
      <c r="C28" s="23" t="s">
        <v>1066</v>
      </c>
      <c r="D28" s="7">
        <v>1</v>
      </c>
      <c r="E28" s="7">
        <v>0</v>
      </c>
      <c r="F28" s="7">
        <v>0</v>
      </c>
      <c r="G28" s="7">
        <v>0</v>
      </c>
      <c r="H28" s="7"/>
      <c r="I28" s="7">
        <v>1</v>
      </c>
      <c r="J28" s="7"/>
      <c r="K28" s="7"/>
      <c r="L28" s="7"/>
      <c r="M28" s="7"/>
      <c r="N28" s="7"/>
      <c r="O28" s="7"/>
      <c r="P28" s="7"/>
      <c r="Q28" s="9">
        <f>SUM(D28:N28)</f>
        <v>2</v>
      </c>
    </row>
    <row r="29" spans="1:19" ht="16.5" x14ac:dyDescent="0.3">
      <c r="A29" s="30" t="s">
        <v>1069</v>
      </c>
      <c r="B29" s="20" t="s">
        <v>16</v>
      </c>
      <c r="C29" s="23" t="s">
        <v>1068</v>
      </c>
      <c r="D29" s="7">
        <v>1</v>
      </c>
      <c r="E29" s="7">
        <v>0</v>
      </c>
      <c r="F29" s="7">
        <v>0</v>
      </c>
      <c r="G29" s="7">
        <v>0</v>
      </c>
      <c r="H29" s="7"/>
      <c r="I29" s="7">
        <v>1</v>
      </c>
      <c r="J29" s="7"/>
      <c r="K29" s="7"/>
      <c r="L29" s="7"/>
      <c r="M29" s="7"/>
      <c r="N29" s="7"/>
      <c r="O29" s="7"/>
      <c r="P29" s="7"/>
      <c r="Q29" s="9">
        <f t="shared" ref="Q29:Q83" si="6">SUM(D29:N29)</f>
        <v>2</v>
      </c>
    </row>
    <row r="30" spans="1:19" ht="16.5" x14ac:dyDescent="0.3">
      <c r="A30" s="30" t="s">
        <v>1070</v>
      </c>
      <c r="B30" s="20" t="s">
        <v>16</v>
      </c>
      <c r="C30" s="23" t="s">
        <v>244</v>
      </c>
      <c r="D30" s="7">
        <v>1</v>
      </c>
      <c r="E30" s="7">
        <v>0</v>
      </c>
      <c r="F30" s="7">
        <v>0</v>
      </c>
      <c r="G30" s="7">
        <v>0</v>
      </c>
      <c r="H30" s="7"/>
      <c r="I30" s="7"/>
      <c r="J30" s="7"/>
      <c r="K30" s="7"/>
      <c r="L30" s="86">
        <v>1</v>
      </c>
      <c r="M30" s="7"/>
      <c r="N30" s="7"/>
      <c r="O30" s="7"/>
      <c r="P30" s="7"/>
      <c r="Q30" s="9">
        <f t="shared" si="6"/>
        <v>2</v>
      </c>
    </row>
    <row r="31" spans="1:19" ht="16.5" x14ac:dyDescent="0.3">
      <c r="A31" s="30" t="s">
        <v>1063</v>
      </c>
      <c r="B31" s="20" t="s">
        <v>16</v>
      </c>
      <c r="C31" s="23" t="s">
        <v>1060</v>
      </c>
      <c r="D31" s="7">
        <v>1</v>
      </c>
      <c r="E31" s="7">
        <v>0</v>
      </c>
      <c r="F31" s="7">
        <v>0</v>
      </c>
      <c r="G31" s="7">
        <v>0</v>
      </c>
      <c r="H31" s="7"/>
      <c r="I31" s="7">
        <v>1</v>
      </c>
      <c r="J31" s="7"/>
      <c r="K31" s="7"/>
      <c r="L31" s="7"/>
      <c r="M31" s="7"/>
      <c r="N31" s="7"/>
      <c r="O31" s="7"/>
      <c r="P31" s="7"/>
      <c r="Q31" s="9">
        <f t="shared" si="6"/>
        <v>2</v>
      </c>
    </row>
    <row r="32" spans="1:19" ht="16.5" x14ac:dyDescent="0.3">
      <c r="A32" s="30" t="s">
        <v>1061</v>
      </c>
      <c r="B32" s="20" t="s">
        <v>16</v>
      </c>
      <c r="C32" s="23" t="s">
        <v>1060</v>
      </c>
      <c r="D32" s="7">
        <v>1</v>
      </c>
      <c r="E32" s="7">
        <v>0</v>
      </c>
      <c r="F32" s="7">
        <v>0</v>
      </c>
      <c r="G32" s="7">
        <v>0</v>
      </c>
      <c r="H32" s="7"/>
      <c r="I32" s="7">
        <v>1</v>
      </c>
      <c r="J32" s="7"/>
      <c r="K32" s="7"/>
      <c r="L32" s="7"/>
      <c r="M32" s="7"/>
      <c r="N32" s="7"/>
      <c r="O32" s="7"/>
      <c r="P32" s="7"/>
      <c r="Q32" s="9">
        <f t="shared" si="6"/>
        <v>2</v>
      </c>
    </row>
    <row r="33" spans="1:17" ht="16.5" x14ac:dyDescent="0.3">
      <c r="A33" s="30" t="s">
        <v>1027</v>
      </c>
      <c r="B33" s="20" t="s">
        <v>16</v>
      </c>
      <c r="C33" s="26" t="s">
        <v>1026</v>
      </c>
      <c r="D33" s="7">
        <v>1</v>
      </c>
      <c r="E33" s="7">
        <v>0</v>
      </c>
      <c r="F33" s="7">
        <v>0</v>
      </c>
      <c r="G33" s="7">
        <v>0</v>
      </c>
      <c r="H33" s="7">
        <v>1</v>
      </c>
      <c r="I33" s="7">
        <v>1</v>
      </c>
      <c r="J33" s="7"/>
      <c r="K33" s="7"/>
      <c r="L33" s="7"/>
      <c r="M33" s="7"/>
      <c r="N33" s="7"/>
      <c r="O33" s="7"/>
      <c r="P33" s="7"/>
      <c r="Q33" s="9">
        <f t="shared" si="6"/>
        <v>3</v>
      </c>
    </row>
    <row r="34" spans="1:17" ht="16.5" x14ac:dyDescent="0.3">
      <c r="A34" s="30" t="s">
        <v>574</v>
      </c>
      <c r="B34" s="20" t="s">
        <v>16</v>
      </c>
      <c r="C34" s="23" t="s">
        <v>573</v>
      </c>
      <c r="D34" s="7">
        <v>1</v>
      </c>
      <c r="E34" s="7">
        <v>0</v>
      </c>
      <c r="F34" s="7">
        <v>0</v>
      </c>
      <c r="G34" s="7">
        <v>0</v>
      </c>
      <c r="H34" s="7"/>
      <c r="I34" s="7"/>
      <c r="J34" s="7"/>
      <c r="K34" s="7"/>
      <c r="L34" s="86">
        <v>1</v>
      </c>
      <c r="M34" s="7"/>
      <c r="N34" s="7"/>
      <c r="O34" s="7"/>
      <c r="P34" s="7"/>
      <c r="Q34" s="9">
        <f t="shared" si="6"/>
        <v>2</v>
      </c>
    </row>
    <row r="35" spans="1:17" ht="16.5" x14ac:dyDescent="0.3">
      <c r="A35" s="30" t="s">
        <v>571</v>
      </c>
      <c r="B35" s="20" t="s">
        <v>16</v>
      </c>
      <c r="C35" s="23" t="s">
        <v>570</v>
      </c>
      <c r="D35" s="7">
        <v>1</v>
      </c>
      <c r="E35" s="7">
        <v>0</v>
      </c>
      <c r="F35" s="7">
        <v>0</v>
      </c>
      <c r="G35" s="7">
        <v>0</v>
      </c>
      <c r="H35" s="7"/>
      <c r="I35" s="7">
        <v>1</v>
      </c>
      <c r="J35" s="7"/>
      <c r="K35" s="7"/>
      <c r="L35" s="7"/>
      <c r="M35" s="7"/>
      <c r="N35" s="7"/>
      <c r="O35" s="7"/>
      <c r="P35" s="7"/>
      <c r="Q35" s="9">
        <f t="shared" si="6"/>
        <v>2</v>
      </c>
    </row>
    <row r="36" spans="1:17" ht="16.5" x14ac:dyDescent="0.3">
      <c r="A36" s="30" t="s">
        <v>580</v>
      </c>
      <c r="B36" s="20" t="s">
        <v>16</v>
      </c>
      <c r="C36" s="23" t="s">
        <v>579</v>
      </c>
      <c r="D36" s="7">
        <v>1</v>
      </c>
      <c r="E36" s="7">
        <v>0</v>
      </c>
      <c r="F36" s="7">
        <v>0</v>
      </c>
      <c r="G36" s="7">
        <v>0</v>
      </c>
      <c r="H36" s="7"/>
      <c r="I36" s="7"/>
      <c r="J36" s="7"/>
      <c r="K36" s="7"/>
      <c r="L36" s="86">
        <v>1</v>
      </c>
      <c r="M36" s="7"/>
      <c r="N36" s="7"/>
      <c r="O36" s="7"/>
      <c r="P36" s="7"/>
      <c r="Q36" s="9">
        <f t="shared" si="6"/>
        <v>2</v>
      </c>
    </row>
    <row r="37" spans="1:17" ht="16.5" x14ac:dyDescent="0.3">
      <c r="A37" s="30" t="s">
        <v>1029</v>
      </c>
      <c r="B37" s="20" t="s">
        <v>16</v>
      </c>
      <c r="C37" s="23" t="s">
        <v>1028</v>
      </c>
      <c r="D37" s="7">
        <v>1</v>
      </c>
      <c r="E37" s="7">
        <v>0</v>
      </c>
      <c r="F37" s="7">
        <v>0</v>
      </c>
      <c r="G37" s="7">
        <v>0</v>
      </c>
      <c r="H37" s="7">
        <v>1</v>
      </c>
      <c r="I37" s="7"/>
      <c r="J37" s="7"/>
      <c r="K37" s="7"/>
      <c r="L37" s="86">
        <v>1</v>
      </c>
      <c r="M37" s="7"/>
      <c r="N37" s="7"/>
      <c r="O37" s="7"/>
      <c r="P37" s="7"/>
      <c r="Q37" s="9">
        <f t="shared" si="6"/>
        <v>3</v>
      </c>
    </row>
    <row r="38" spans="1:17" ht="16.5" x14ac:dyDescent="0.3">
      <c r="A38" s="30" t="s">
        <v>1062</v>
      </c>
      <c r="B38" s="20" t="s">
        <v>16</v>
      </c>
      <c r="C38" s="23" t="s">
        <v>1060</v>
      </c>
      <c r="D38" s="7">
        <v>1</v>
      </c>
      <c r="E38" s="7">
        <v>0</v>
      </c>
      <c r="F38" s="7">
        <v>0</v>
      </c>
      <c r="G38" s="7">
        <v>0</v>
      </c>
      <c r="H38" s="7"/>
      <c r="I38" s="7"/>
      <c r="J38" s="7"/>
      <c r="K38" s="86">
        <v>1</v>
      </c>
      <c r="L38" s="7"/>
      <c r="M38" s="7"/>
      <c r="N38" s="7"/>
      <c r="O38" s="7"/>
      <c r="P38" s="7"/>
      <c r="Q38" s="9">
        <f t="shared" si="6"/>
        <v>2</v>
      </c>
    </row>
    <row r="39" spans="1:17" ht="16.5" x14ac:dyDescent="0.3">
      <c r="A39" s="30" t="s">
        <v>1071</v>
      </c>
      <c r="B39" s="20" t="s">
        <v>16</v>
      </c>
      <c r="C39" s="26" t="s">
        <v>1060</v>
      </c>
      <c r="D39" s="7">
        <v>1</v>
      </c>
      <c r="E39" s="7">
        <v>0</v>
      </c>
      <c r="F39" s="7">
        <v>0</v>
      </c>
      <c r="G39" s="7">
        <v>0</v>
      </c>
      <c r="H39" s="7"/>
      <c r="I39" s="7"/>
      <c r="J39" s="7"/>
      <c r="K39" s="86">
        <v>1</v>
      </c>
      <c r="L39" s="7"/>
      <c r="M39" s="7"/>
      <c r="N39" s="7"/>
      <c r="O39" s="7"/>
      <c r="P39" s="7"/>
      <c r="Q39" s="9">
        <f t="shared" si="6"/>
        <v>2</v>
      </c>
    </row>
    <row r="40" spans="1:17" ht="16.5" x14ac:dyDescent="0.3">
      <c r="A40" s="30" t="s">
        <v>576</v>
      </c>
      <c r="B40" s="20" t="s">
        <v>16</v>
      </c>
      <c r="C40" s="23" t="s">
        <v>575</v>
      </c>
      <c r="D40" s="7">
        <v>1</v>
      </c>
      <c r="E40" s="7">
        <v>0</v>
      </c>
      <c r="F40" s="7">
        <v>0</v>
      </c>
      <c r="G40" s="7">
        <v>0</v>
      </c>
      <c r="H40" s="7"/>
      <c r="I40" s="7"/>
      <c r="J40" s="7"/>
      <c r="K40" s="7"/>
      <c r="L40" s="86">
        <v>1</v>
      </c>
      <c r="M40" s="7"/>
      <c r="N40" s="7"/>
      <c r="O40" s="7"/>
      <c r="P40" s="7"/>
      <c r="Q40" s="9">
        <f t="shared" si="6"/>
        <v>2</v>
      </c>
    </row>
    <row r="41" spans="1:17" ht="16.5" x14ac:dyDescent="0.3">
      <c r="A41" s="30" t="s">
        <v>1033</v>
      </c>
      <c r="B41" s="20" t="s">
        <v>16</v>
      </c>
      <c r="C41" s="23" t="s">
        <v>1032</v>
      </c>
      <c r="D41" s="7">
        <v>1</v>
      </c>
      <c r="E41" s="7">
        <v>0</v>
      </c>
      <c r="F41" s="7">
        <v>0</v>
      </c>
      <c r="G41" s="7">
        <v>0</v>
      </c>
      <c r="H41" s="7"/>
      <c r="I41" s="7">
        <v>1</v>
      </c>
      <c r="J41" s="7"/>
      <c r="K41" s="86">
        <v>1</v>
      </c>
      <c r="L41" s="7"/>
      <c r="M41" s="7"/>
      <c r="N41" s="7"/>
      <c r="O41" s="7"/>
      <c r="P41" s="7"/>
      <c r="Q41" s="9">
        <f t="shared" si="6"/>
        <v>3</v>
      </c>
    </row>
    <row r="42" spans="1:17" ht="16.5" x14ac:dyDescent="0.3">
      <c r="A42" s="30" t="s">
        <v>559</v>
      </c>
      <c r="B42" s="20" t="s">
        <v>16</v>
      </c>
      <c r="C42" s="23" t="s">
        <v>558</v>
      </c>
      <c r="D42" s="7">
        <v>1</v>
      </c>
      <c r="E42" s="7">
        <v>0</v>
      </c>
      <c r="F42" s="7">
        <v>0</v>
      </c>
      <c r="G42" s="7">
        <v>0</v>
      </c>
      <c r="H42" s="7">
        <v>1</v>
      </c>
      <c r="I42" s="7">
        <v>1</v>
      </c>
      <c r="J42" s="7"/>
      <c r="K42" s="7"/>
      <c r="L42" s="7"/>
      <c r="M42" s="7"/>
      <c r="N42" s="7"/>
      <c r="O42" s="7"/>
      <c r="P42" s="7"/>
      <c r="Q42" s="9">
        <f t="shared" si="6"/>
        <v>3</v>
      </c>
    </row>
    <row r="43" spans="1:17" ht="16.5" x14ac:dyDescent="0.3">
      <c r="A43" s="30" t="s">
        <v>561</v>
      </c>
      <c r="B43" s="20" t="s">
        <v>16</v>
      </c>
      <c r="C43" s="23" t="s">
        <v>560</v>
      </c>
      <c r="D43" s="7">
        <v>1</v>
      </c>
      <c r="E43" s="7">
        <v>0</v>
      </c>
      <c r="F43" s="7">
        <v>0</v>
      </c>
      <c r="G43" s="7">
        <v>0</v>
      </c>
      <c r="H43" s="7">
        <v>1</v>
      </c>
      <c r="I43" s="7">
        <v>1</v>
      </c>
      <c r="J43" s="7"/>
      <c r="K43" s="7"/>
      <c r="L43" s="7"/>
      <c r="M43" s="7"/>
      <c r="N43" s="7"/>
      <c r="O43" s="7"/>
      <c r="P43" s="7"/>
      <c r="Q43" s="9">
        <f t="shared" si="6"/>
        <v>3</v>
      </c>
    </row>
    <row r="44" spans="1:17" ht="16.5" x14ac:dyDescent="0.3">
      <c r="A44" s="30" t="s">
        <v>1023</v>
      </c>
      <c r="B44" s="20" t="s">
        <v>16</v>
      </c>
      <c r="C44" s="23" t="s">
        <v>1022</v>
      </c>
      <c r="D44" s="7">
        <v>1</v>
      </c>
      <c r="E44" s="7">
        <v>0</v>
      </c>
      <c r="F44" s="7">
        <v>0</v>
      </c>
      <c r="G44" s="7">
        <v>0</v>
      </c>
      <c r="H44" s="7">
        <v>1</v>
      </c>
      <c r="I44" s="7">
        <v>1</v>
      </c>
      <c r="J44" s="7"/>
      <c r="K44" s="7"/>
      <c r="L44" s="7"/>
      <c r="M44" s="7"/>
      <c r="N44" s="7"/>
      <c r="O44" s="7"/>
      <c r="P44" s="7"/>
      <c r="Q44" s="9">
        <f t="shared" si="6"/>
        <v>3</v>
      </c>
    </row>
    <row r="45" spans="1:17" ht="16.5" x14ac:dyDescent="0.3">
      <c r="A45" s="30" t="s">
        <v>1416</v>
      </c>
      <c r="B45" s="20" t="s">
        <v>16</v>
      </c>
      <c r="C45" s="26" t="s">
        <v>1371</v>
      </c>
      <c r="D45" s="7">
        <v>1</v>
      </c>
      <c r="E45" s="7">
        <v>0</v>
      </c>
      <c r="F45" s="7">
        <v>0</v>
      </c>
      <c r="G45" s="7">
        <v>0</v>
      </c>
      <c r="H45" s="7"/>
      <c r="I45" s="7">
        <v>1</v>
      </c>
      <c r="J45" s="7"/>
      <c r="K45" s="7"/>
      <c r="L45" s="7"/>
      <c r="M45" s="7"/>
      <c r="N45" s="7"/>
      <c r="O45" s="7"/>
      <c r="P45" s="7"/>
      <c r="Q45" s="9">
        <f t="shared" si="6"/>
        <v>2</v>
      </c>
    </row>
    <row r="46" spans="1:17" ht="16.5" x14ac:dyDescent="0.3">
      <c r="A46" s="30" t="s">
        <v>582</v>
      </c>
      <c r="B46" s="20" t="s">
        <v>16</v>
      </c>
      <c r="C46" s="23" t="s">
        <v>581</v>
      </c>
      <c r="D46" s="7">
        <v>1</v>
      </c>
      <c r="E46" s="7">
        <v>0</v>
      </c>
      <c r="F46" s="7">
        <v>0</v>
      </c>
      <c r="G46" s="7">
        <v>0</v>
      </c>
      <c r="H46" s="7"/>
      <c r="I46" s="7"/>
      <c r="J46" s="86">
        <v>1</v>
      </c>
      <c r="K46" s="86">
        <v>1</v>
      </c>
      <c r="L46" s="7"/>
      <c r="M46" s="7"/>
      <c r="N46" s="7"/>
      <c r="O46" s="7"/>
      <c r="P46" s="7"/>
      <c r="Q46" s="9">
        <f t="shared" si="6"/>
        <v>3</v>
      </c>
    </row>
    <row r="47" spans="1:17" ht="16.5" x14ac:dyDescent="0.3">
      <c r="A47" s="30" t="s">
        <v>1035</v>
      </c>
      <c r="B47" s="20" t="s">
        <v>16</v>
      </c>
      <c r="C47" s="23" t="s">
        <v>1034</v>
      </c>
      <c r="D47" s="7">
        <v>1</v>
      </c>
      <c r="E47" s="7">
        <v>0</v>
      </c>
      <c r="F47" s="7">
        <v>0</v>
      </c>
      <c r="G47" s="7">
        <v>0</v>
      </c>
      <c r="H47" s="7">
        <v>1</v>
      </c>
      <c r="I47" s="7">
        <v>1</v>
      </c>
      <c r="J47" s="7"/>
      <c r="K47" s="7"/>
      <c r="L47" s="7"/>
      <c r="M47" s="7"/>
      <c r="N47" s="7"/>
      <c r="O47" s="7"/>
      <c r="P47" s="7"/>
      <c r="Q47" s="9">
        <f t="shared" si="6"/>
        <v>3</v>
      </c>
    </row>
    <row r="48" spans="1:17" ht="16.5" x14ac:dyDescent="0.3">
      <c r="A48" s="30" t="s">
        <v>555</v>
      </c>
      <c r="B48" s="20" t="s">
        <v>16</v>
      </c>
      <c r="C48" s="23" t="s">
        <v>1426</v>
      </c>
      <c r="D48" s="7">
        <v>1</v>
      </c>
      <c r="E48" s="7">
        <v>0</v>
      </c>
      <c r="F48" s="7">
        <v>0</v>
      </c>
      <c r="G48" s="7">
        <v>0</v>
      </c>
      <c r="H48" s="7">
        <v>1</v>
      </c>
      <c r="I48" s="7">
        <v>1</v>
      </c>
      <c r="J48" s="86">
        <v>1</v>
      </c>
      <c r="K48" s="7"/>
      <c r="L48" s="7"/>
      <c r="M48" s="7"/>
      <c r="N48" s="7"/>
      <c r="O48" s="7"/>
      <c r="P48" s="7"/>
      <c r="Q48" s="9">
        <f t="shared" si="6"/>
        <v>4</v>
      </c>
    </row>
    <row r="49" spans="1:17" ht="16.5" x14ac:dyDescent="0.3">
      <c r="A49" s="30" t="s">
        <v>557</v>
      </c>
      <c r="B49" s="20" t="s">
        <v>16</v>
      </c>
      <c r="C49" s="23" t="s">
        <v>556</v>
      </c>
      <c r="D49" s="7">
        <v>1</v>
      </c>
      <c r="E49" s="7">
        <v>0</v>
      </c>
      <c r="F49" s="7">
        <v>0</v>
      </c>
      <c r="G49" s="7">
        <v>0</v>
      </c>
      <c r="H49" s="7">
        <v>1</v>
      </c>
      <c r="I49" s="7">
        <v>1</v>
      </c>
      <c r="J49" s="7"/>
      <c r="K49" s="7"/>
      <c r="L49" s="7"/>
      <c r="M49" s="7"/>
      <c r="N49" s="7"/>
      <c r="O49" s="7"/>
      <c r="P49" s="7"/>
      <c r="Q49" s="9">
        <f t="shared" si="6"/>
        <v>3</v>
      </c>
    </row>
    <row r="50" spans="1:17" ht="16.5" x14ac:dyDescent="0.3">
      <c r="A50" s="30" t="s">
        <v>553</v>
      </c>
      <c r="B50" s="20" t="s">
        <v>16</v>
      </c>
      <c r="C50" s="23" t="s">
        <v>552</v>
      </c>
      <c r="D50" s="7">
        <v>1</v>
      </c>
      <c r="E50" s="7">
        <v>0</v>
      </c>
      <c r="F50" s="7">
        <v>0</v>
      </c>
      <c r="G50" s="7">
        <v>0</v>
      </c>
      <c r="H50" s="7">
        <v>1</v>
      </c>
      <c r="I50" s="7">
        <v>1</v>
      </c>
      <c r="J50" s="7"/>
      <c r="K50" s="7"/>
      <c r="L50" s="7"/>
      <c r="M50" s="7"/>
      <c r="N50" s="7"/>
      <c r="O50" s="7"/>
      <c r="P50" s="7"/>
      <c r="Q50" s="9">
        <f t="shared" si="6"/>
        <v>3</v>
      </c>
    </row>
    <row r="51" spans="1:17" ht="16.5" x14ac:dyDescent="0.3">
      <c r="A51" s="30" t="s">
        <v>567</v>
      </c>
      <c r="B51" s="20" t="s">
        <v>16</v>
      </c>
      <c r="C51" s="26" t="s">
        <v>566</v>
      </c>
      <c r="D51" s="7">
        <v>1</v>
      </c>
      <c r="E51" s="7">
        <v>0</v>
      </c>
      <c r="F51" s="7">
        <v>0</v>
      </c>
      <c r="G51" s="7">
        <v>0</v>
      </c>
      <c r="H51" s="7">
        <v>1</v>
      </c>
      <c r="I51" s="7"/>
      <c r="J51" s="86">
        <v>1</v>
      </c>
      <c r="K51" s="86">
        <v>1</v>
      </c>
      <c r="L51" s="7"/>
      <c r="M51" s="7"/>
      <c r="N51" s="7"/>
      <c r="O51" s="7"/>
      <c r="P51" s="7"/>
      <c r="Q51" s="9">
        <f t="shared" si="6"/>
        <v>4</v>
      </c>
    </row>
    <row r="52" spans="1:17" ht="16.5" x14ac:dyDescent="0.3">
      <c r="A52" s="30" t="s">
        <v>1352</v>
      </c>
      <c r="B52" s="20" t="s">
        <v>16</v>
      </c>
      <c r="C52" s="23" t="s">
        <v>1351</v>
      </c>
      <c r="D52" s="7">
        <v>1</v>
      </c>
      <c r="E52" s="7">
        <v>0</v>
      </c>
      <c r="F52" s="7">
        <v>0</v>
      </c>
      <c r="G52" s="7">
        <v>0</v>
      </c>
      <c r="H52" s="7">
        <v>1</v>
      </c>
      <c r="I52" s="7">
        <v>1</v>
      </c>
      <c r="J52" s="7"/>
      <c r="K52" s="7"/>
      <c r="L52" s="7"/>
      <c r="M52" s="7"/>
      <c r="N52" s="7"/>
      <c r="O52" s="7"/>
      <c r="P52" s="7"/>
      <c r="Q52" s="9">
        <f t="shared" si="6"/>
        <v>3</v>
      </c>
    </row>
    <row r="53" spans="1:17" ht="16.5" x14ac:dyDescent="0.3">
      <c r="A53" s="30" t="s">
        <v>584</v>
      </c>
      <c r="B53" s="20" t="s">
        <v>16</v>
      </c>
      <c r="C53" s="23" t="s">
        <v>583</v>
      </c>
      <c r="D53" s="7">
        <v>1</v>
      </c>
      <c r="E53" s="7">
        <v>0</v>
      </c>
      <c r="F53" s="7">
        <v>0</v>
      </c>
      <c r="G53" s="7">
        <v>0</v>
      </c>
      <c r="H53" s="7"/>
      <c r="I53" s="7"/>
      <c r="J53" s="7"/>
      <c r="K53" s="7"/>
      <c r="L53" s="86">
        <v>1</v>
      </c>
      <c r="M53" s="7"/>
      <c r="N53" s="7"/>
      <c r="O53" s="7"/>
      <c r="P53" s="7"/>
      <c r="Q53" s="9">
        <f t="shared" si="6"/>
        <v>2</v>
      </c>
    </row>
    <row r="54" spans="1:17" ht="16.5" x14ac:dyDescent="0.3">
      <c r="A54" s="30" t="s">
        <v>1025</v>
      </c>
      <c r="B54" s="20" t="s">
        <v>16</v>
      </c>
      <c r="C54" s="23" t="s">
        <v>1024</v>
      </c>
      <c r="D54" s="7">
        <v>1</v>
      </c>
      <c r="E54" s="7">
        <v>0</v>
      </c>
      <c r="F54" s="7">
        <v>0</v>
      </c>
      <c r="G54" s="7">
        <v>0</v>
      </c>
      <c r="H54" s="7">
        <v>1</v>
      </c>
      <c r="I54" s="7">
        <v>1</v>
      </c>
      <c r="J54" s="7"/>
      <c r="K54" s="7"/>
      <c r="L54" s="7"/>
      <c r="M54" s="7"/>
      <c r="N54" s="7"/>
      <c r="O54" s="7"/>
      <c r="P54" s="7"/>
      <c r="Q54" s="9">
        <f t="shared" si="6"/>
        <v>3</v>
      </c>
    </row>
    <row r="55" spans="1:17" ht="16.5" x14ac:dyDescent="0.3">
      <c r="A55" s="30" t="s">
        <v>1415</v>
      </c>
      <c r="B55" s="20" t="s">
        <v>16</v>
      </c>
      <c r="C55" s="23" t="s">
        <v>1372</v>
      </c>
      <c r="D55" s="7">
        <v>1</v>
      </c>
      <c r="E55" s="7">
        <v>0</v>
      </c>
      <c r="F55" s="7">
        <v>0</v>
      </c>
      <c r="G55" s="7">
        <v>0</v>
      </c>
      <c r="H55" s="7"/>
      <c r="I55" s="7"/>
      <c r="J55" s="7"/>
      <c r="K55" s="86">
        <v>1</v>
      </c>
      <c r="M55" s="7"/>
      <c r="N55" s="7"/>
      <c r="O55" s="7"/>
      <c r="P55" s="7"/>
      <c r="Q55" s="9">
        <f t="shared" si="6"/>
        <v>2</v>
      </c>
    </row>
    <row r="56" spans="1:17" ht="16.5" x14ac:dyDescent="0.3">
      <c r="A56" s="30" t="s">
        <v>1021</v>
      </c>
      <c r="B56" s="20" t="s">
        <v>16</v>
      </c>
      <c r="C56" s="23" t="s">
        <v>1020</v>
      </c>
      <c r="D56" s="7">
        <v>1</v>
      </c>
      <c r="E56" s="7">
        <v>0</v>
      </c>
      <c r="F56" s="7">
        <v>0</v>
      </c>
      <c r="G56" s="7">
        <v>0</v>
      </c>
      <c r="H56" s="7">
        <v>1</v>
      </c>
      <c r="I56" s="7">
        <v>1</v>
      </c>
      <c r="J56" s="7"/>
      <c r="K56" s="7"/>
      <c r="L56" s="7"/>
      <c r="M56" s="7"/>
      <c r="N56" s="7"/>
      <c r="O56" s="7"/>
      <c r="P56" s="7"/>
      <c r="Q56" s="9">
        <f t="shared" si="6"/>
        <v>3</v>
      </c>
    </row>
    <row r="57" spans="1:17" ht="16.5" x14ac:dyDescent="0.3">
      <c r="A57" s="30" t="s">
        <v>565</v>
      </c>
      <c r="B57" s="20" t="s">
        <v>16</v>
      </c>
      <c r="C57" s="26" t="s">
        <v>564</v>
      </c>
      <c r="D57" s="7">
        <v>1</v>
      </c>
      <c r="E57" s="7">
        <v>0</v>
      </c>
      <c r="F57" s="7">
        <v>0</v>
      </c>
      <c r="G57" s="7">
        <v>0</v>
      </c>
      <c r="H57" s="7"/>
      <c r="I57" s="7"/>
      <c r="J57" s="7"/>
      <c r="K57" s="86">
        <v>1</v>
      </c>
      <c r="L57" s="7"/>
      <c r="M57" s="7"/>
      <c r="N57" s="7"/>
      <c r="O57" s="7"/>
      <c r="P57" s="7"/>
      <c r="Q57" s="9">
        <f t="shared" si="6"/>
        <v>2</v>
      </c>
    </row>
    <row r="58" spans="1:17" ht="16.5" x14ac:dyDescent="0.3">
      <c r="A58" s="30" t="s">
        <v>563</v>
      </c>
      <c r="B58" s="20" t="s">
        <v>16</v>
      </c>
      <c r="C58" s="23" t="s">
        <v>562</v>
      </c>
      <c r="D58" s="7">
        <v>1</v>
      </c>
      <c r="E58" s="7">
        <v>0</v>
      </c>
      <c r="F58" s="7">
        <v>0</v>
      </c>
      <c r="G58" s="7">
        <v>0</v>
      </c>
      <c r="H58" s="7">
        <v>1</v>
      </c>
      <c r="I58" s="7">
        <v>1</v>
      </c>
      <c r="J58" s="7"/>
      <c r="K58" s="7"/>
      <c r="L58" s="7"/>
      <c r="M58" s="7"/>
      <c r="N58" s="7"/>
      <c r="O58" s="7"/>
      <c r="P58" s="7"/>
      <c r="Q58" s="9">
        <f t="shared" si="6"/>
        <v>3</v>
      </c>
    </row>
    <row r="59" spans="1:17" ht="16.5" x14ac:dyDescent="0.3">
      <c r="A59" s="30" t="s">
        <v>578</v>
      </c>
      <c r="B59" s="20" t="s">
        <v>16</v>
      </c>
      <c r="C59" s="23" t="s">
        <v>577</v>
      </c>
      <c r="D59" s="7">
        <v>1</v>
      </c>
      <c r="E59" s="7">
        <v>0</v>
      </c>
      <c r="F59" s="7">
        <v>0</v>
      </c>
      <c r="G59" s="7">
        <v>0</v>
      </c>
      <c r="H59" s="7">
        <v>1</v>
      </c>
      <c r="I59" s="7">
        <v>1</v>
      </c>
      <c r="J59" s="7"/>
      <c r="K59" s="7"/>
      <c r="L59" s="7"/>
      <c r="M59" s="7"/>
      <c r="N59" s="7"/>
      <c r="O59" s="7"/>
      <c r="P59" s="7"/>
      <c r="Q59" s="9">
        <f t="shared" si="6"/>
        <v>3</v>
      </c>
    </row>
    <row r="60" spans="1:17" ht="16.5" x14ac:dyDescent="0.3">
      <c r="A60" s="30" t="s">
        <v>1031</v>
      </c>
      <c r="B60" s="20" t="s">
        <v>16</v>
      </c>
      <c r="C60" s="23" t="s">
        <v>1030</v>
      </c>
      <c r="D60" s="7">
        <v>1</v>
      </c>
      <c r="E60" s="7">
        <v>0</v>
      </c>
      <c r="F60" s="7">
        <v>0</v>
      </c>
      <c r="G60" s="7">
        <v>0</v>
      </c>
      <c r="H60" s="7"/>
      <c r="I60" s="7">
        <v>1</v>
      </c>
      <c r="J60" s="7"/>
      <c r="K60" s="7"/>
      <c r="L60" s="7"/>
      <c r="M60" s="7"/>
      <c r="N60" s="7"/>
      <c r="O60" s="7"/>
      <c r="P60" s="7"/>
      <c r="Q60" s="9">
        <f t="shared" si="6"/>
        <v>2</v>
      </c>
    </row>
    <row r="61" spans="1:17" ht="16.5" x14ac:dyDescent="0.3">
      <c r="A61" s="30" t="s">
        <v>592</v>
      </c>
      <c r="B61" s="20" t="s">
        <v>16</v>
      </c>
      <c r="C61" s="23" t="s">
        <v>591</v>
      </c>
      <c r="D61" s="7">
        <v>1</v>
      </c>
      <c r="E61" s="7">
        <v>0</v>
      </c>
      <c r="F61" s="7">
        <v>0</v>
      </c>
      <c r="G61" s="7">
        <v>0</v>
      </c>
      <c r="H61" s="7"/>
      <c r="I61" s="7"/>
      <c r="J61" s="7"/>
      <c r="K61" s="7"/>
      <c r="L61" s="7"/>
      <c r="M61" s="7"/>
      <c r="N61" s="7"/>
      <c r="O61" s="7"/>
      <c r="P61" s="7"/>
      <c r="Q61" s="9">
        <f t="shared" si="6"/>
        <v>1</v>
      </c>
    </row>
    <row r="62" spans="1:17" ht="16.5" x14ac:dyDescent="0.3">
      <c r="A62" s="30" t="s">
        <v>569</v>
      </c>
      <c r="B62" s="20" t="s">
        <v>16</v>
      </c>
      <c r="C62" s="23" t="s">
        <v>568</v>
      </c>
      <c r="D62" s="7">
        <v>1</v>
      </c>
      <c r="E62" s="7">
        <v>0</v>
      </c>
      <c r="F62" s="7">
        <v>0</v>
      </c>
      <c r="G62" s="7">
        <v>0</v>
      </c>
      <c r="H62" s="7">
        <v>1</v>
      </c>
      <c r="I62" s="7">
        <v>1</v>
      </c>
      <c r="J62" s="7"/>
      <c r="K62" s="7"/>
      <c r="L62" s="7"/>
      <c r="M62" s="7"/>
      <c r="N62" s="7"/>
      <c r="O62" s="7"/>
      <c r="P62" s="7"/>
      <c r="Q62" s="9">
        <f t="shared" si="6"/>
        <v>3</v>
      </c>
    </row>
    <row r="63" spans="1:17" ht="16.5" x14ac:dyDescent="0.3">
      <c r="A63" s="30" t="s">
        <v>550</v>
      </c>
      <c r="B63" s="20" t="s">
        <v>16</v>
      </c>
      <c r="C63" s="26" t="s">
        <v>549</v>
      </c>
      <c r="D63" s="7">
        <v>1</v>
      </c>
      <c r="E63" s="7">
        <v>0</v>
      </c>
      <c r="F63" s="7">
        <v>0</v>
      </c>
      <c r="G63" s="7">
        <v>0</v>
      </c>
      <c r="H63" s="7"/>
      <c r="I63" s="7"/>
      <c r="J63" s="7"/>
      <c r="K63" s="7"/>
      <c r="L63" s="7"/>
      <c r="M63" s="7"/>
      <c r="N63" s="7"/>
      <c r="O63" s="7"/>
      <c r="P63" s="7"/>
      <c r="Q63" s="9">
        <f t="shared" si="6"/>
        <v>1</v>
      </c>
    </row>
    <row r="64" spans="1:17" ht="16.5" x14ac:dyDescent="0.3">
      <c r="A64" s="30" t="s">
        <v>1055</v>
      </c>
      <c r="B64" s="20" t="s">
        <v>16</v>
      </c>
      <c r="C64" s="23" t="s">
        <v>1054</v>
      </c>
      <c r="D64" s="7">
        <v>1</v>
      </c>
      <c r="E64" s="7">
        <v>0</v>
      </c>
      <c r="F64" s="7">
        <v>0</v>
      </c>
      <c r="G64" s="7">
        <v>0</v>
      </c>
      <c r="H64" s="7"/>
      <c r="I64" s="7"/>
      <c r="J64" s="7"/>
      <c r="K64" s="7"/>
      <c r="L64" s="86">
        <v>1</v>
      </c>
      <c r="M64" s="7"/>
      <c r="N64" s="7"/>
      <c r="O64" s="7"/>
      <c r="P64" s="7"/>
      <c r="Q64" s="9">
        <f t="shared" si="6"/>
        <v>2</v>
      </c>
    </row>
    <row r="65" spans="1:17" ht="16.5" x14ac:dyDescent="0.3">
      <c r="A65" s="30" t="s">
        <v>1052</v>
      </c>
      <c r="B65" s="20" t="s">
        <v>16</v>
      </c>
      <c r="C65" s="23" t="s">
        <v>1051</v>
      </c>
      <c r="D65" s="7">
        <v>1</v>
      </c>
      <c r="E65" s="7">
        <v>0</v>
      </c>
      <c r="F65" s="7">
        <v>0</v>
      </c>
      <c r="G65" s="7">
        <v>0</v>
      </c>
      <c r="H65" s="7"/>
      <c r="I65" s="7"/>
      <c r="J65" s="7"/>
      <c r="K65" s="7"/>
      <c r="L65" s="86">
        <v>1</v>
      </c>
      <c r="M65" s="7"/>
      <c r="N65" s="7"/>
      <c r="O65" s="7"/>
      <c r="P65" s="7"/>
      <c r="Q65" s="9">
        <f t="shared" si="6"/>
        <v>2</v>
      </c>
    </row>
    <row r="66" spans="1:17" ht="16.5" x14ac:dyDescent="0.3">
      <c r="A66" s="30" t="s">
        <v>1354</v>
      </c>
      <c r="B66" s="20" t="s">
        <v>16</v>
      </c>
      <c r="C66" s="23" t="s">
        <v>1425</v>
      </c>
      <c r="D66" s="7">
        <v>1</v>
      </c>
      <c r="E66" s="7">
        <v>0</v>
      </c>
      <c r="F66" s="7">
        <v>0</v>
      </c>
      <c r="G66" s="7">
        <v>0</v>
      </c>
      <c r="H66" s="7"/>
      <c r="I66" s="7"/>
      <c r="J66" s="7"/>
      <c r="K66" s="7"/>
      <c r="L66" s="86">
        <v>1</v>
      </c>
      <c r="M66" s="7"/>
      <c r="N66" s="7"/>
      <c r="O66" s="7"/>
      <c r="P66" s="7"/>
      <c r="Q66" s="9">
        <f t="shared" si="6"/>
        <v>2</v>
      </c>
    </row>
    <row r="67" spans="1:17" ht="16.5" x14ac:dyDescent="0.3">
      <c r="A67" s="30" t="s">
        <v>1370</v>
      </c>
      <c r="B67" s="20" t="s">
        <v>16</v>
      </c>
      <c r="C67" s="23" t="s">
        <v>1369</v>
      </c>
      <c r="D67" s="7">
        <v>1</v>
      </c>
      <c r="E67" s="7">
        <v>0</v>
      </c>
      <c r="F67" s="7">
        <v>0</v>
      </c>
      <c r="G67" s="7">
        <v>0</v>
      </c>
      <c r="H67" s="7"/>
      <c r="I67" s="7"/>
      <c r="J67" s="7"/>
      <c r="K67" s="7"/>
      <c r="L67" s="86">
        <v>1</v>
      </c>
      <c r="M67" s="7"/>
      <c r="N67" s="7"/>
      <c r="O67" s="7"/>
      <c r="P67" s="7"/>
      <c r="Q67" s="9">
        <f t="shared" si="6"/>
        <v>2</v>
      </c>
    </row>
    <row r="68" spans="1:17" ht="16.5" x14ac:dyDescent="0.3">
      <c r="A68" s="30" t="s">
        <v>594</v>
      </c>
      <c r="B68" s="20" t="s">
        <v>16</v>
      </c>
      <c r="C68" s="23" t="s">
        <v>593</v>
      </c>
      <c r="D68" s="7">
        <v>1</v>
      </c>
      <c r="E68" s="7">
        <v>0</v>
      </c>
      <c r="F68" s="7">
        <v>0</v>
      </c>
      <c r="G68" s="7">
        <v>0</v>
      </c>
      <c r="H68" s="7"/>
      <c r="I68" s="7">
        <v>1</v>
      </c>
      <c r="J68" s="7"/>
      <c r="K68" s="7"/>
      <c r="L68" s="7"/>
      <c r="M68" s="7"/>
      <c r="N68" s="7"/>
      <c r="O68" s="7"/>
      <c r="P68" s="7"/>
      <c r="Q68" s="9">
        <f t="shared" si="6"/>
        <v>2</v>
      </c>
    </row>
    <row r="69" spans="1:17" ht="16.5" x14ac:dyDescent="0.3">
      <c r="A69" s="30" t="s">
        <v>1043</v>
      </c>
      <c r="B69" s="20" t="s">
        <v>16</v>
      </c>
      <c r="C69" s="26" t="s">
        <v>1042</v>
      </c>
      <c r="D69" s="7">
        <v>1</v>
      </c>
      <c r="E69" s="7">
        <v>0</v>
      </c>
      <c r="F69" s="7">
        <v>0</v>
      </c>
      <c r="G69" s="7">
        <v>0</v>
      </c>
      <c r="H69" s="7"/>
      <c r="I69" s="7"/>
      <c r="J69" s="7"/>
      <c r="K69" s="86">
        <v>1</v>
      </c>
      <c r="L69" s="7"/>
      <c r="M69" s="7"/>
      <c r="N69" s="7"/>
      <c r="O69" s="7"/>
      <c r="P69" s="7"/>
      <c r="Q69" s="9">
        <f t="shared" si="6"/>
        <v>2</v>
      </c>
    </row>
    <row r="70" spans="1:17" ht="16.5" x14ac:dyDescent="0.3">
      <c r="A70" s="30" t="s">
        <v>1044</v>
      </c>
      <c r="B70" s="20" t="s">
        <v>16</v>
      </c>
      <c r="C70" s="23" t="s">
        <v>1042</v>
      </c>
      <c r="D70" s="7">
        <v>1</v>
      </c>
      <c r="E70" s="7">
        <v>0</v>
      </c>
      <c r="F70" s="7">
        <v>0</v>
      </c>
      <c r="G70" s="7">
        <v>0</v>
      </c>
      <c r="H70" s="7"/>
      <c r="I70" s="7"/>
      <c r="J70" s="7"/>
      <c r="K70" s="86">
        <v>1</v>
      </c>
      <c r="L70" s="7"/>
      <c r="M70" s="7"/>
      <c r="N70" s="7"/>
      <c r="O70" s="7"/>
      <c r="P70" s="7"/>
      <c r="Q70" s="9">
        <f t="shared" si="6"/>
        <v>2</v>
      </c>
    </row>
    <row r="71" spans="1:17" ht="16.5" x14ac:dyDescent="0.3">
      <c r="A71" s="30" t="s">
        <v>598</v>
      </c>
      <c r="B71" s="20" t="s">
        <v>16</v>
      </c>
      <c r="C71" s="23" t="s">
        <v>597</v>
      </c>
      <c r="D71" s="7">
        <v>1</v>
      </c>
      <c r="E71" s="7">
        <v>0</v>
      </c>
      <c r="F71" s="7">
        <v>0</v>
      </c>
      <c r="G71" s="7">
        <v>0</v>
      </c>
      <c r="H71" s="7"/>
      <c r="I71" s="7">
        <v>1</v>
      </c>
      <c r="J71" s="7"/>
      <c r="K71" s="86">
        <v>1</v>
      </c>
      <c r="L71" s="7"/>
      <c r="M71" s="7"/>
      <c r="N71" s="7"/>
      <c r="O71" s="7"/>
      <c r="P71" s="7"/>
      <c r="Q71" s="9">
        <f t="shared" si="6"/>
        <v>3</v>
      </c>
    </row>
    <row r="72" spans="1:17" ht="16.5" x14ac:dyDescent="0.3">
      <c r="A72" s="30" t="s">
        <v>1048</v>
      </c>
      <c r="B72" s="20" t="s">
        <v>16</v>
      </c>
      <c r="C72" s="23" t="s">
        <v>1047</v>
      </c>
      <c r="D72" s="7">
        <v>1</v>
      </c>
      <c r="E72" s="7">
        <v>0</v>
      </c>
      <c r="F72" s="7">
        <v>0</v>
      </c>
      <c r="G72" s="7">
        <v>0</v>
      </c>
      <c r="H72" s="7"/>
      <c r="I72" s="7">
        <v>1</v>
      </c>
      <c r="J72" s="7"/>
      <c r="K72" s="86">
        <v>1</v>
      </c>
      <c r="L72" s="7"/>
      <c r="M72" s="7"/>
      <c r="N72" s="7"/>
      <c r="O72" s="7"/>
      <c r="P72" s="7"/>
      <c r="Q72" s="9">
        <f t="shared" si="6"/>
        <v>3</v>
      </c>
    </row>
    <row r="73" spans="1:17" ht="16.5" x14ac:dyDescent="0.3">
      <c r="A73" s="30" t="s">
        <v>1046</v>
      </c>
      <c r="B73" s="20" t="s">
        <v>16</v>
      </c>
      <c r="C73" s="23" t="s">
        <v>1045</v>
      </c>
      <c r="D73" s="7">
        <v>1</v>
      </c>
      <c r="E73" s="7">
        <v>0</v>
      </c>
      <c r="F73" s="7">
        <v>0</v>
      </c>
      <c r="G73" s="7">
        <v>0</v>
      </c>
      <c r="H73" s="7"/>
      <c r="I73" s="7">
        <v>1</v>
      </c>
      <c r="J73" s="7"/>
      <c r="K73" s="86">
        <v>1</v>
      </c>
      <c r="L73" s="7"/>
      <c r="M73" s="7"/>
      <c r="N73" s="7"/>
      <c r="O73" s="7"/>
      <c r="P73" s="7"/>
      <c r="Q73" s="9">
        <f t="shared" si="6"/>
        <v>3</v>
      </c>
    </row>
    <row r="74" spans="1:17" ht="16.5" x14ac:dyDescent="0.3">
      <c r="A74" s="30" t="s">
        <v>1037</v>
      </c>
      <c r="B74" s="20" t="s">
        <v>16</v>
      </c>
      <c r="C74" s="23" t="s">
        <v>1036</v>
      </c>
      <c r="D74" s="7">
        <v>1</v>
      </c>
      <c r="E74" s="7">
        <v>0</v>
      </c>
      <c r="F74" s="7">
        <v>0</v>
      </c>
      <c r="G74" s="7">
        <v>0</v>
      </c>
      <c r="H74" s="7"/>
      <c r="I74" s="7">
        <v>1</v>
      </c>
      <c r="J74" s="7"/>
      <c r="K74" s="7"/>
      <c r="L74" s="7"/>
      <c r="M74" s="7"/>
      <c r="N74" s="7"/>
      <c r="O74" s="7"/>
      <c r="P74" s="7"/>
      <c r="Q74" s="9">
        <f t="shared" si="6"/>
        <v>2</v>
      </c>
    </row>
    <row r="75" spans="1:17" ht="16.5" x14ac:dyDescent="0.3">
      <c r="A75" s="30" t="s">
        <v>1041</v>
      </c>
      <c r="B75" s="20" t="s">
        <v>16</v>
      </c>
      <c r="C75" s="26" t="s">
        <v>1040</v>
      </c>
      <c r="D75" s="7">
        <v>1</v>
      </c>
      <c r="E75" s="7">
        <v>0</v>
      </c>
      <c r="F75" s="7">
        <v>0</v>
      </c>
      <c r="G75" s="7">
        <v>0</v>
      </c>
      <c r="H75" s="7"/>
      <c r="I75" s="7"/>
      <c r="J75" s="7"/>
      <c r="K75" s="7"/>
      <c r="L75" s="86">
        <v>1</v>
      </c>
      <c r="M75" s="7"/>
      <c r="N75" s="7"/>
      <c r="O75" s="7"/>
      <c r="P75" s="7"/>
      <c r="Q75" s="9">
        <f t="shared" si="6"/>
        <v>2</v>
      </c>
    </row>
    <row r="76" spans="1:17" ht="16.5" x14ac:dyDescent="0.3">
      <c r="A76" s="30" t="s">
        <v>586</v>
      </c>
      <c r="B76" s="20" t="s">
        <v>16</v>
      </c>
      <c r="C76" s="23" t="s">
        <v>585</v>
      </c>
      <c r="D76" s="7">
        <v>1</v>
      </c>
      <c r="E76" s="7">
        <v>0</v>
      </c>
      <c r="F76" s="7">
        <v>0</v>
      </c>
      <c r="G76" s="7">
        <v>0</v>
      </c>
      <c r="H76" s="7"/>
      <c r="I76" s="7">
        <v>1</v>
      </c>
      <c r="J76" s="7"/>
      <c r="K76" s="86">
        <v>1</v>
      </c>
      <c r="L76" s="7"/>
      <c r="M76" s="7"/>
      <c r="N76" s="7"/>
      <c r="O76" s="7"/>
      <c r="P76" s="7"/>
      <c r="Q76" s="9">
        <f t="shared" si="6"/>
        <v>3</v>
      </c>
    </row>
    <row r="77" spans="1:17" ht="16.5" x14ac:dyDescent="0.3">
      <c r="A77" s="30" t="s">
        <v>588</v>
      </c>
      <c r="B77" s="20" t="s">
        <v>16</v>
      </c>
      <c r="C77" s="23" t="s">
        <v>587</v>
      </c>
      <c r="D77" s="7">
        <v>1</v>
      </c>
      <c r="E77" s="7">
        <v>0</v>
      </c>
      <c r="F77" s="7">
        <v>0</v>
      </c>
      <c r="G77" s="7">
        <v>0</v>
      </c>
      <c r="H77" s="7"/>
      <c r="I77" s="7">
        <v>1</v>
      </c>
      <c r="J77" s="7"/>
      <c r="K77" s="86">
        <v>1</v>
      </c>
      <c r="L77" s="7"/>
      <c r="M77" s="7"/>
      <c r="N77" s="7"/>
      <c r="O77" s="7"/>
      <c r="P77" s="7"/>
      <c r="Q77" s="9">
        <f t="shared" si="6"/>
        <v>3</v>
      </c>
    </row>
    <row r="78" spans="1:17" ht="16.5" customHeight="1" x14ac:dyDescent="0.3">
      <c r="A78" s="30" t="s">
        <v>1039</v>
      </c>
      <c r="B78" s="20" t="s">
        <v>16</v>
      </c>
      <c r="C78" s="23" t="s">
        <v>1038</v>
      </c>
      <c r="D78" s="7">
        <v>1</v>
      </c>
      <c r="E78" s="7">
        <v>0</v>
      </c>
      <c r="F78" s="7">
        <v>0</v>
      </c>
      <c r="G78" s="7">
        <v>0</v>
      </c>
      <c r="H78" s="7"/>
      <c r="I78" s="7">
        <v>1</v>
      </c>
      <c r="J78" s="86">
        <v>1</v>
      </c>
      <c r="K78" s="7"/>
      <c r="L78" s="7"/>
      <c r="M78" s="7"/>
      <c r="N78" s="7"/>
      <c r="O78" s="7"/>
      <c r="P78" s="7"/>
      <c r="Q78" s="9">
        <f t="shared" si="6"/>
        <v>3</v>
      </c>
    </row>
    <row r="79" spans="1:17" ht="16.5" customHeight="1" x14ac:dyDescent="0.3">
      <c r="A79" s="30" t="s">
        <v>596</v>
      </c>
      <c r="B79" s="20" t="s">
        <v>16</v>
      </c>
      <c r="C79" s="23" t="s">
        <v>595</v>
      </c>
      <c r="D79" s="7">
        <v>1</v>
      </c>
      <c r="E79" s="7">
        <v>0</v>
      </c>
      <c r="F79" s="7">
        <v>0</v>
      </c>
      <c r="G79" s="7">
        <v>0</v>
      </c>
      <c r="H79" s="7"/>
      <c r="I79" s="7"/>
      <c r="J79" s="7"/>
      <c r="K79" s="86">
        <v>1</v>
      </c>
      <c r="L79" s="7"/>
      <c r="M79" s="7"/>
      <c r="N79" s="7"/>
      <c r="O79" s="7"/>
      <c r="P79" s="7"/>
      <c r="Q79" s="9">
        <f t="shared" si="6"/>
        <v>2</v>
      </c>
    </row>
    <row r="80" spans="1:17" ht="16.5" customHeight="1" x14ac:dyDescent="0.3">
      <c r="A80" s="30" t="s">
        <v>590</v>
      </c>
      <c r="B80" s="20" t="s">
        <v>16</v>
      </c>
      <c r="C80" s="23" t="s">
        <v>589</v>
      </c>
      <c r="D80" s="7">
        <v>1</v>
      </c>
      <c r="E80" s="7">
        <v>0</v>
      </c>
      <c r="F80" s="7">
        <v>0</v>
      </c>
      <c r="G80" s="7">
        <v>0</v>
      </c>
      <c r="H80" s="7"/>
      <c r="I80" s="7"/>
      <c r="J80" s="7"/>
      <c r="K80" s="7"/>
      <c r="L80" s="7"/>
      <c r="M80" s="7"/>
      <c r="N80" s="7"/>
      <c r="O80" s="7"/>
      <c r="P80" s="7"/>
      <c r="Q80" s="9">
        <f t="shared" si="6"/>
        <v>1</v>
      </c>
    </row>
    <row r="81" spans="1:17" ht="16.5" customHeight="1" x14ac:dyDescent="0.3">
      <c r="A81" s="30" t="s">
        <v>1059</v>
      </c>
      <c r="B81" s="20" t="s">
        <v>16</v>
      </c>
      <c r="C81" s="26" t="s">
        <v>1058</v>
      </c>
      <c r="D81" s="7">
        <v>1</v>
      </c>
      <c r="E81" s="7">
        <v>0</v>
      </c>
      <c r="F81" s="7">
        <v>0</v>
      </c>
      <c r="G81" s="7">
        <v>0</v>
      </c>
      <c r="H81" s="7"/>
      <c r="I81" s="7"/>
      <c r="J81" s="7"/>
      <c r="K81" s="7"/>
      <c r="L81" s="7"/>
      <c r="M81" s="7"/>
      <c r="N81" s="7"/>
      <c r="O81" s="7"/>
      <c r="P81" s="7"/>
      <c r="Q81" s="9">
        <f t="shared" si="6"/>
        <v>1</v>
      </c>
    </row>
    <row r="82" spans="1:17" ht="16.5" customHeight="1" x14ac:dyDescent="0.3">
      <c r="A82" s="30" t="s">
        <v>1057</v>
      </c>
      <c r="B82" s="20" t="s">
        <v>16</v>
      </c>
      <c r="C82" s="23" t="s">
        <v>1056</v>
      </c>
      <c r="D82" s="7">
        <v>1</v>
      </c>
      <c r="E82" s="7">
        <v>0</v>
      </c>
      <c r="F82" s="7">
        <v>0</v>
      </c>
      <c r="G82" s="7">
        <v>0</v>
      </c>
      <c r="H82" s="7"/>
      <c r="I82" s="7"/>
      <c r="J82" s="7"/>
      <c r="K82" s="86">
        <v>1</v>
      </c>
      <c r="L82" s="7"/>
      <c r="M82" s="7"/>
      <c r="N82" s="7"/>
      <c r="O82" s="7"/>
      <c r="P82" s="7"/>
      <c r="Q82" s="9">
        <f t="shared" si="6"/>
        <v>2</v>
      </c>
    </row>
    <row r="83" spans="1:17" ht="17.25" customHeight="1" thickBot="1" x14ac:dyDescent="0.35">
      <c r="A83" s="115" t="s">
        <v>1413</v>
      </c>
      <c r="B83" s="116" t="s">
        <v>16</v>
      </c>
      <c r="C83" s="113" t="s">
        <v>1414</v>
      </c>
      <c r="D83" s="11">
        <v>1</v>
      </c>
      <c r="E83" s="7">
        <v>0</v>
      </c>
      <c r="F83" s="7">
        <v>0</v>
      </c>
      <c r="G83" s="7">
        <v>0</v>
      </c>
      <c r="H83" s="7"/>
      <c r="I83" s="7"/>
      <c r="J83" s="7"/>
      <c r="K83" s="7"/>
      <c r="L83" s="7"/>
      <c r="M83" s="7"/>
      <c r="N83" s="7"/>
      <c r="O83" s="7"/>
      <c r="P83" s="7"/>
      <c r="Q83" s="9">
        <f t="shared" si="6"/>
        <v>1</v>
      </c>
    </row>
    <row r="84" spans="1:17" ht="15.75" customHeight="1" thickBot="1" x14ac:dyDescent="0.3">
      <c r="C84" s="13" t="s">
        <v>1378</v>
      </c>
      <c r="D84" s="14">
        <f>SUM(D26:D83)</f>
        <v>58</v>
      </c>
      <c r="E84" s="14">
        <f t="shared" ref="E84:P84" si="7">SUM(E26:E82)</f>
        <v>0</v>
      </c>
      <c r="F84" s="14">
        <f t="shared" si="7"/>
        <v>0</v>
      </c>
      <c r="G84" s="14">
        <f t="shared" si="7"/>
        <v>0</v>
      </c>
      <c r="H84" s="14">
        <f t="shared" si="7"/>
        <v>18</v>
      </c>
      <c r="I84" s="14">
        <f t="shared" si="7"/>
        <v>32</v>
      </c>
      <c r="J84" s="14">
        <f t="shared" si="7"/>
        <v>4</v>
      </c>
      <c r="K84" s="14">
        <f t="shared" si="7"/>
        <v>16</v>
      </c>
      <c r="L84" s="14">
        <f t="shared" si="7"/>
        <v>11</v>
      </c>
      <c r="M84" s="14">
        <f t="shared" si="7"/>
        <v>0</v>
      </c>
      <c r="N84" s="14">
        <f t="shared" si="7"/>
        <v>0</v>
      </c>
      <c r="O84" s="14">
        <f t="shared" si="7"/>
        <v>0</v>
      </c>
      <c r="P84" s="14">
        <f t="shared" si="7"/>
        <v>0</v>
      </c>
      <c r="Q84" s="95">
        <f>SUM(D84:N84)</f>
        <v>139</v>
      </c>
    </row>
    <row r="87" spans="1:17" ht="18" customHeight="1" x14ac:dyDescent="0.25">
      <c r="A87" s="373" t="s">
        <v>1380</v>
      </c>
      <c r="B87" s="373"/>
      <c r="C87" s="373"/>
    </row>
    <row r="88" spans="1:17" x14ac:dyDescent="0.25">
      <c r="A88" s="161">
        <v>44287</v>
      </c>
      <c r="B88" s="3" t="s">
        <v>1381</v>
      </c>
      <c r="C88" s="370">
        <v>189000000</v>
      </c>
    </row>
    <row r="89" spans="1:17" x14ac:dyDescent="0.25">
      <c r="A89" s="161">
        <v>44317</v>
      </c>
      <c r="B89" s="3" t="s">
        <v>1381</v>
      </c>
      <c r="C89" s="371"/>
    </row>
    <row r="90" spans="1:17" x14ac:dyDescent="0.25">
      <c r="A90" s="161">
        <v>44348</v>
      </c>
      <c r="B90" s="3" t="s">
        <v>1381</v>
      </c>
      <c r="C90" s="371"/>
    </row>
    <row r="91" spans="1:17" x14ac:dyDescent="0.25">
      <c r="A91" s="161">
        <v>44378</v>
      </c>
      <c r="B91" s="3" t="s">
        <v>1381</v>
      </c>
      <c r="C91" s="371"/>
    </row>
    <row r="92" spans="1:17" x14ac:dyDescent="0.25">
      <c r="A92" s="161">
        <v>44409</v>
      </c>
      <c r="B92" s="3" t="s">
        <v>1381</v>
      </c>
      <c r="C92" s="371"/>
    </row>
    <row r="93" spans="1:17" x14ac:dyDescent="0.25">
      <c r="A93" s="161">
        <v>44440</v>
      </c>
      <c r="B93" s="3" t="s">
        <v>1381</v>
      </c>
      <c r="C93" s="372"/>
    </row>
    <row r="94" spans="1:17" x14ac:dyDescent="0.25">
      <c r="A94" s="161">
        <v>44470</v>
      </c>
      <c r="B94" s="3" t="s">
        <v>1381</v>
      </c>
      <c r="C94" s="162">
        <v>31500000</v>
      </c>
    </row>
    <row r="95" spans="1:17" x14ac:dyDescent="0.25">
      <c r="A95" s="161">
        <v>44501</v>
      </c>
      <c r="B95" s="3" t="s">
        <v>1381</v>
      </c>
      <c r="C95" s="162">
        <v>31500000</v>
      </c>
    </row>
    <row r="96" spans="1:17" x14ac:dyDescent="0.25">
      <c r="A96" s="161">
        <v>44531</v>
      </c>
      <c r="B96" s="3" t="s">
        <v>1381</v>
      </c>
      <c r="C96" s="162">
        <v>31500000</v>
      </c>
    </row>
    <row r="97" spans="1:3" x14ac:dyDescent="0.25">
      <c r="A97" s="161">
        <v>44562</v>
      </c>
      <c r="B97" s="3" t="s">
        <v>1381</v>
      </c>
      <c r="C97" s="162">
        <v>31500000</v>
      </c>
    </row>
    <row r="98" spans="1:3" x14ac:dyDescent="0.25">
      <c r="A98" s="161">
        <v>44593</v>
      </c>
      <c r="B98" s="3" t="s">
        <v>1381</v>
      </c>
      <c r="C98" s="162">
        <v>31500000</v>
      </c>
    </row>
    <row r="99" spans="1:3" x14ac:dyDescent="0.25">
      <c r="A99" s="161">
        <v>44621</v>
      </c>
      <c r="B99" s="3" t="s">
        <v>1381</v>
      </c>
      <c r="C99" s="162">
        <v>31500000</v>
      </c>
    </row>
    <row r="100" spans="1:3" x14ac:dyDescent="0.25">
      <c r="A100" s="161">
        <v>44652</v>
      </c>
      <c r="B100" s="3" t="s">
        <v>1381</v>
      </c>
      <c r="C100" s="162">
        <v>31500000</v>
      </c>
    </row>
    <row r="101" spans="1:3" x14ac:dyDescent="0.25">
      <c r="A101" s="161">
        <v>44682</v>
      </c>
      <c r="B101" s="3" t="s">
        <v>1381</v>
      </c>
      <c r="C101" s="162">
        <f>C100+14000000</f>
        <v>45500000</v>
      </c>
    </row>
    <row r="102" spans="1:3" x14ac:dyDescent="0.25">
      <c r="A102" s="161">
        <v>44713</v>
      </c>
      <c r="B102" s="3" t="s">
        <v>1381</v>
      </c>
      <c r="C102" s="162">
        <v>45500000</v>
      </c>
    </row>
    <row r="103" spans="1:3" x14ac:dyDescent="0.25">
      <c r="A103" s="161">
        <v>44743</v>
      </c>
      <c r="B103" s="3" t="s">
        <v>1381</v>
      </c>
      <c r="C103" s="162">
        <v>45500000</v>
      </c>
    </row>
    <row r="104" spans="1:3" x14ac:dyDescent="0.25">
      <c r="A104" s="161">
        <v>44774</v>
      </c>
      <c r="B104" s="3" t="s">
        <v>1381</v>
      </c>
      <c r="C104" s="162">
        <v>45500000</v>
      </c>
    </row>
    <row r="105" spans="1:3" x14ac:dyDescent="0.25">
      <c r="A105" s="161">
        <v>44805</v>
      </c>
      <c r="B105" s="3" t="s">
        <v>1381</v>
      </c>
      <c r="C105" s="162">
        <v>45500000</v>
      </c>
    </row>
  </sheetData>
  <autoFilter ref="B2:Q20" xr:uid="{00000000-0009-0000-0000-000003000000}"/>
  <mergeCells count="4">
    <mergeCell ref="A24:Q24"/>
    <mergeCell ref="A87:C87"/>
    <mergeCell ref="C88:C93"/>
    <mergeCell ref="A1:S1"/>
  </mergeCells>
  <conditionalFormatting sqref="B3">
    <cfRule type="duplicateValues" dxfId="68" priority="7"/>
  </conditionalFormatting>
  <conditionalFormatting sqref="A3:A20">
    <cfRule type="duplicateValues" dxfId="67" priority="6"/>
  </conditionalFormatting>
  <conditionalFormatting sqref="A26:A82">
    <cfRule type="duplicateValues" dxfId="66" priority="73"/>
  </conditionalFormatting>
  <conditionalFormatting sqref="A83">
    <cfRule type="duplicateValues" dxfId="65" priority="1"/>
  </conditionalFormatting>
  <pageMargins left="0.7" right="0.7" top="0.75" bottom="0.75" header="0.3" footer="0.3"/>
  <pageSetup orientation="portrait" r:id="rId1"/>
  <ignoredErrors>
    <ignoredError sqref="Q19" formula="1"/>
    <ignoredError sqref="Q4:R4 Q6:R11 D21:P21 D84:N84 O84:P84" formulaRange="1"/>
    <ignoredError sqref="Q5:R5" formula="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28"/>
  <sheetViews>
    <sheetView zoomScale="70" zoomScaleNormal="70" workbookViewId="0">
      <pane xSplit="3" ySplit="2" topLeftCell="E113" activePane="bottomRight" state="frozen"/>
      <selection pane="topRight" activeCell="D1" sqref="D1"/>
      <selection pane="bottomLeft" activeCell="A2" sqref="A2"/>
      <selection pane="bottomRight" activeCell="A38" sqref="A38:Q38"/>
    </sheetView>
  </sheetViews>
  <sheetFormatPr baseColWidth="10" defaultColWidth="11.42578125" defaultRowHeight="15" x14ac:dyDescent="0.25"/>
  <cols>
    <col min="1" max="1" width="16.5703125" customWidth="1"/>
    <col min="2" max="2" width="19.85546875" customWidth="1"/>
    <col min="3" max="3" width="49.42578125" customWidth="1"/>
    <col min="4" max="17" width="14.5703125" customWidth="1"/>
  </cols>
  <sheetData>
    <row r="1" spans="1:17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</row>
    <row r="2" spans="1:17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 t="s">
        <v>1376</v>
      </c>
    </row>
    <row r="3" spans="1:17" ht="16.5" x14ac:dyDescent="0.3">
      <c r="A3" s="28" t="s">
        <v>384</v>
      </c>
      <c r="B3" s="20" t="s">
        <v>89</v>
      </c>
      <c r="C3" s="23" t="s">
        <v>383</v>
      </c>
      <c r="D3" s="7">
        <v>0</v>
      </c>
      <c r="E3" s="7">
        <v>0</v>
      </c>
      <c r="F3" s="7">
        <v>0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0</v>
      </c>
      <c r="N3" s="7">
        <v>0</v>
      </c>
      <c r="O3" s="7">
        <v>0</v>
      </c>
      <c r="P3" s="7">
        <v>0</v>
      </c>
      <c r="Q3" s="9">
        <f>SUM(D3:P3)</f>
        <v>6</v>
      </c>
    </row>
    <row r="4" spans="1:17" ht="16.5" x14ac:dyDescent="0.3">
      <c r="A4" s="28" t="s">
        <v>341</v>
      </c>
      <c r="B4" s="20" t="s">
        <v>89</v>
      </c>
      <c r="C4" s="23" t="s">
        <v>340</v>
      </c>
      <c r="D4" s="7">
        <v>0</v>
      </c>
      <c r="E4" s="7">
        <v>0</v>
      </c>
      <c r="F4" s="7">
        <v>0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0</v>
      </c>
      <c r="P4" s="7">
        <v>0</v>
      </c>
      <c r="Q4" s="9">
        <f t="shared" ref="Q4:Q33" si="0">SUM(D4:P4)</f>
        <v>8</v>
      </c>
    </row>
    <row r="5" spans="1:17" ht="16.5" x14ac:dyDescent="0.3">
      <c r="A5" s="28" t="s">
        <v>91</v>
      </c>
      <c r="B5" s="20" t="s">
        <v>89</v>
      </c>
      <c r="C5" s="23" t="s">
        <v>90</v>
      </c>
      <c r="D5" s="7">
        <v>0</v>
      </c>
      <c r="E5" s="7">
        <v>0</v>
      </c>
      <c r="F5" s="7">
        <v>0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9">
        <f t="shared" si="0"/>
        <v>10</v>
      </c>
    </row>
    <row r="6" spans="1:17" ht="16.5" x14ac:dyDescent="0.3">
      <c r="A6" s="28" t="s">
        <v>218</v>
      </c>
      <c r="B6" s="20" t="s">
        <v>89</v>
      </c>
      <c r="C6" s="23" t="s">
        <v>217</v>
      </c>
      <c r="D6" s="7">
        <v>0</v>
      </c>
      <c r="E6" s="7">
        <v>0</v>
      </c>
      <c r="F6" s="7">
        <v>0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9">
        <f t="shared" si="0"/>
        <v>10</v>
      </c>
    </row>
    <row r="7" spans="1:17" ht="16.5" x14ac:dyDescent="0.3">
      <c r="A7" s="28" t="s">
        <v>376</v>
      </c>
      <c r="B7" s="20" t="s">
        <v>89</v>
      </c>
      <c r="C7" s="23" t="s">
        <v>375</v>
      </c>
      <c r="D7" s="7">
        <v>0</v>
      </c>
      <c r="E7" s="7">
        <v>0</v>
      </c>
      <c r="F7" s="7">
        <v>0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7">
        <v>0</v>
      </c>
      <c r="Q7" s="9">
        <f t="shared" si="0"/>
        <v>6</v>
      </c>
    </row>
    <row r="8" spans="1:17" ht="16.5" x14ac:dyDescent="0.3">
      <c r="A8" s="28" t="s">
        <v>339</v>
      </c>
      <c r="B8" s="20" t="s">
        <v>89</v>
      </c>
      <c r="C8" s="23" t="s">
        <v>338</v>
      </c>
      <c r="D8" s="7">
        <v>0</v>
      </c>
      <c r="E8" s="7">
        <v>0</v>
      </c>
      <c r="F8" s="7">
        <v>0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9">
        <f t="shared" si="0"/>
        <v>10</v>
      </c>
    </row>
    <row r="9" spans="1:17" ht="16.5" x14ac:dyDescent="0.3">
      <c r="A9" s="28" t="s">
        <v>362</v>
      </c>
      <c r="B9" s="20" t="s">
        <v>89</v>
      </c>
      <c r="C9" s="23" t="s">
        <v>361</v>
      </c>
      <c r="D9" s="7">
        <v>0</v>
      </c>
      <c r="E9" s="7">
        <v>0</v>
      </c>
      <c r="F9" s="7">
        <v>0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0</v>
      </c>
      <c r="N9" s="7">
        <v>0</v>
      </c>
      <c r="O9" s="7">
        <v>1</v>
      </c>
      <c r="P9" s="7">
        <v>1</v>
      </c>
      <c r="Q9" s="9">
        <f t="shared" si="0"/>
        <v>8</v>
      </c>
    </row>
    <row r="10" spans="1:17" ht="16.5" x14ac:dyDescent="0.3">
      <c r="A10" s="28" t="s">
        <v>173</v>
      </c>
      <c r="B10" s="20" t="s">
        <v>89</v>
      </c>
      <c r="C10" s="23" t="s">
        <v>172</v>
      </c>
      <c r="D10" s="7">
        <v>0</v>
      </c>
      <c r="E10" s="7">
        <v>0</v>
      </c>
      <c r="F10" s="7">
        <v>0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9">
        <f t="shared" si="0"/>
        <v>10</v>
      </c>
    </row>
    <row r="11" spans="1:17" ht="16.5" x14ac:dyDescent="0.3">
      <c r="A11" s="30" t="s">
        <v>286</v>
      </c>
      <c r="B11" s="20" t="s">
        <v>89</v>
      </c>
      <c r="C11" s="23" t="s">
        <v>285</v>
      </c>
      <c r="D11" s="7">
        <v>0</v>
      </c>
      <c r="E11" s="7">
        <v>0</v>
      </c>
      <c r="F11" s="7">
        <v>0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0</v>
      </c>
      <c r="O11" s="7">
        <v>0</v>
      </c>
      <c r="P11" s="7">
        <v>0</v>
      </c>
      <c r="Q11" s="9">
        <f t="shared" si="0"/>
        <v>7</v>
      </c>
    </row>
    <row r="12" spans="1:17" ht="16.5" x14ac:dyDescent="0.3">
      <c r="A12" s="30" t="s">
        <v>148</v>
      </c>
      <c r="B12" s="20" t="s">
        <v>89</v>
      </c>
      <c r="C12" s="23" t="s">
        <v>147</v>
      </c>
      <c r="D12" s="7">
        <v>0</v>
      </c>
      <c r="E12" s="7">
        <v>0</v>
      </c>
      <c r="F12" s="7">
        <v>0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9">
        <f t="shared" si="0"/>
        <v>10</v>
      </c>
    </row>
    <row r="13" spans="1:17" ht="16.5" x14ac:dyDescent="0.3">
      <c r="A13" s="30" t="s">
        <v>394</v>
      </c>
      <c r="B13" s="20" t="s">
        <v>89</v>
      </c>
      <c r="C13" s="23" t="s">
        <v>393</v>
      </c>
      <c r="D13" s="7">
        <v>0</v>
      </c>
      <c r="E13" s="7">
        <v>0</v>
      </c>
      <c r="F13" s="7">
        <v>0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0</v>
      </c>
      <c r="N13" s="7">
        <v>0</v>
      </c>
      <c r="O13" s="7">
        <v>0</v>
      </c>
      <c r="P13" s="7">
        <v>0</v>
      </c>
      <c r="Q13" s="9">
        <f t="shared" si="0"/>
        <v>6</v>
      </c>
    </row>
    <row r="14" spans="1:17" ht="16.5" x14ac:dyDescent="0.3">
      <c r="A14" s="30" t="s">
        <v>145</v>
      </c>
      <c r="B14" s="20" t="s">
        <v>89</v>
      </c>
      <c r="C14" s="23" t="s">
        <v>144</v>
      </c>
      <c r="D14" s="7">
        <v>0</v>
      </c>
      <c r="E14" s="7">
        <v>0</v>
      </c>
      <c r="F14" s="7">
        <v>0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9">
        <f t="shared" si="0"/>
        <v>10</v>
      </c>
    </row>
    <row r="15" spans="1:17" ht="16.5" x14ac:dyDescent="0.3">
      <c r="A15" s="30" t="s">
        <v>364</v>
      </c>
      <c r="B15" s="20" t="s">
        <v>89</v>
      </c>
      <c r="C15" s="24" t="s">
        <v>363</v>
      </c>
      <c r="D15" s="7">
        <v>0</v>
      </c>
      <c r="E15" s="7">
        <v>0</v>
      </c>
      <c r="F15" s="7">
        <v>0</v>
      </c>
      <c r="G15" s="7">
        <v>1</v>
      </c>
      <c r="H15" s="7">
        <v>1</v>
      </c>
      <c r="I15" s="7">
        <v>1</v>
      </c>
      <c r="J15" s="7">
        <v>1</v>
      </c>
      <c r="K15" s="7">
        <v>0</v>
      </c>
      <c r="L15" s="7">
        <v>0</v>
      </c>
      <c r="M15" s="7">
        <v>1</v>
      </c>
      <c r="N15" s="7">
        <v>0</v>
      </c>
      <c r="O15" s="7">
        <v>0</v>
      </c>
      <c r="P15" s="7">
        <v>0</v>
      </c>
      <c r="Q15" s="9">
        <f t="shared" si="0"/>
        <v>5</v>
      </c>
    </row>
    <row r="16" spans="1:17" ht="16.5" x14ac:dyDescent="0.3">
      <c r="A16" s="30" t="s">
        <v>310</v>
      </c>
      <c r="B16" s="20" t="s">
        <v>89</v>
      </c>
      <c r="C16" s="23" t="s">
        <v>309</v>
      </c>
      <c r="D16" s="7">
        <v>0</v>
      </c>
      <c r="E16" s="7">
        <v>0</v>
      </c>
      <c r="F16" s="7">
        <v>0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7">
        <v>1</v>
      </c>
      <c r="N16" s="7">
        <v>0</v>
      </c>
      <c r="O16" s="7">
        <v>0</v>
      </c>
      <c r="P16" s="7">
        <v>0</v>
      </c>
      <c r="Q16" s="9">
        <f t="shared" si="0"/>
        <v>7</v>
      </c>
    </row>
    <row r="17" spans="1:17" s="12" customFormat="1" ht="16.5" x14ac:dyDescent="0.3">
      <c r="A17" s="30" t="s">
        <v>280</v>
      </c>
      <c r="B17" s="20" t="s">
        <v>89</v>
      </c>
      <c r="C17" s="23" t="s">
        <v>279</v>
      </c>
      <c r="D17" s="48">
        <v>0</v>
      </c>
      <c r="E17" s="48">
        <v>0</v>
      </c>
      <c r="F17" s="48">
        <v>0</v>
      </c>
      <c r="G17" s="48">
        <v>1</v>
      </c>
      <c r="H17" s="48">
        <v>1</v>
      </c>
      <c r="I17" s="48">
        <v>1</v>
      </c>
      <c r="J17" s="48">
        <v>1</v>
      </c>
      <c r="K17" s="48">
        <v>1</v>
      </c>
      <c r="L17" s="48">
        <v>1</v>
      </c>
      <c r="M17" s="48">
        <v>1</v>
      </c>
      <c r="N17" s="48">
        <v>1</v>
      </c>
      <c r="O17" s="48">
        <v>1</v>
      </c>
      <c r="P17" s="48">
        <v>1</v>
      </c>
      <c r="Q17" s="9">
        <f t="shared" si="0"/>
        <v>10</v>
      </c>
    </row>
    <row r="18" spans="1:17" ht="16.5" x14ac:dyDescent="0.3">
      <c r="A18" s="30" t="s">
        <v>274</v>
      </c>
      <c r="B18" s="20" t="s">
        <v>89</v>
      </c>
      <c r="C18" s="23" t="s">
        <v>273</v>
      </c>
      <c r="D18" s="7">
        <v>0</v>
      </c>
      <c r="E18" s="7">
        <v>0</v>
      </c>
      <c r="F18" s="7">
        <v>0</v>
      </c>
      <c r="G18" s="7">
        <v>1</v>
      </c>
      <c r="H18" s="7">
        <v>1</v>
      </c>
      <c r="I18" s="7">
        <v>1</v>
      </c>
      <c r="J18" s="7">
        <v>1</v>
      </c>
      <c r="K18" s="7">
        <v>1</v>
      </c>
      <c r="L18" s="7">
        <v>1</v>
      </c>
      <c r="M18" s="7">
        <v>0</v>
      </c>
      <c r="N18" s="7">
        <v>0</v>
      </c>
      <c r="O18" s="7">
        <v>0</v>
      </c>
      <c r="P18" s="7">
        <v>0</v>
      </c>
      <c r="Q18" s="9">
        <f t="shared" si="0"/>
        <v>6</v>
      </c>
    </row>
    <row r="19" spans="1:17" ht="16.5" x14ac:dyDescent="0.3">
      <c r="A19" s="30" t="s">
        <v>386</v>
      </c>
      <c r="B19" s="20" t="s">
        <v>89</v>
      </c>
      <c r="C19" s="23" t="s">
        <v>385</v>
      </c>
      <c r="D19" s="7">
        <v>0</v>
      </c>
      <c r="E19" s="7">
        <v>0</v>
      </c>
      <c r="F19" s="7">
        <v>0</v>
      </c>
      <c r="G19" s="7">
        <v>1</v>
      </c>
      <c r="H19" s="7">
        <v>1</v>
      </c>
      <c r="I19" s="7">
        <v>1</v>
      </c>
      <c r="J19" s="7">
        <v>1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9">
        <f t="shared" si="0"/>
        <v>4</v>
      </c>
    </row>
    <row r="20" spans="1:17" ht="16.5" x14ac:dyDescent="0.3">
      <c r="A20" s="30" t="s">
        <v>333</v>
      </c>
      <c r="B20" s="20" t="s">
        <v>89</v>
      </c>
      <c r="C20" s="23" t="s">
        <v>332</v>
      </c>
      <c r="D20" s="7">
        <v>0</v>
      </c>
      <c r="E20" s="7">
        <v>0</v>
      </c>
      <c r="F20" s="7">
        <v>0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0</v>
      </c>
      <c r="P20" s="7">
        <v>0</v>
      </c>
      <c r="Q20" s="9">
        <f t="shared" si="0"/>
        <v>8</v>
      </c>
    </row>
    <row r="21" spans="1:17" ht="16.5" x14ac:dyDescent="0.3">
      <c r="A21" s="30" t="s">
        <v>406</v>
      </c>
      <c r="B21" s="20" t="s">
        <v>89</v>
      </c>
      <c r="C21" s="23" t="s">
        <v>405</v>
      </c>
      <c r="D21" s="7">
        <v>0</v>
      </c>
      <c r="E21" s="7">
        <v>0</v>
      </c>
      <c r="F21" s="7">
        <v>0</v>
      </c>
      <c r="G21" s="7">
        <v>1</v>
      </c>
      <c r="H21" s="7">
        <v>1</v>
      </c>
      <c r="I21" s="7">
        <v>1</v>
      </c>
      <c r="J21" s="7">
        <v>1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9">
        <f t="shared" si="0"/>
        <v>4</v>
      </c>
    </row>
    <row r="22" spans="1:17" ht="16.5" x14ac:dyDescent="0.3">
      <c r="A22" s="30" t="s">
        <v>226</v>
      </c>
      <c r="B22" s="20" t="s">
        <v>89</v>
      </c>
      <c r="C22" s="23" t="s">
        <v>225</v>
      </c>
      <c r="D22" s="7">
        <v>0</v>
      </c>
      <c r="E22" s="7">
        <v>0</v>
      </c>
      <c r="F22" s="7">
        <v>0</v>
      </c>
      <c r="G22" s="7">
        <v>1</v>
      </c>
      <c r="H22" s="7">
        <v>1</v>
      </c>
      <c r="I22" s="7">
        <v>1</v>
      </c>
      <c r="J22" s="7">
        <v>1</v>
      </c>
      <c r="K22" s="7">
        <v>1</v>
      </c>
      <c r="L22" s="7">
        <v>1</v>
      </c>
      <c r="M22" s="7">
        <v>1</v>
      </c>
      <c r="N22" s="7">
        <v>1</v>
      </c>
      <c r="O22" s="7">
        <v>0</v>
      </c>
      <c r="P22" s="7">
        <v>0</v>
      </c>
      <c r="Q22" s="9">
        <f t="shared" si="0"/>
        <v>8</v>
      </c>
    </row>
    <row r="23" spans="1:17" ht="16.5" x14ac:dyDescent="0.3">
      <c r="A23" s="30" t="s">
        <v>349</v>
      </c>
      <c r="B23" s="20" t="s">
        <v>89</v>
      </c>
      <c r="C23" s="23" t="s">
        <v>348</v>
      </c>
      <c r="D23" s="7">
        <v>0</v>
      </c>
      <c r="E23" s="7">
        <v>0</v>
      </c>
      <c r="F23" s="7">
        <v>0</v>
      </c>
      <c r="G23" s="7">
        <v>1</v>
      </c>
      <c r="H23" s="7">
        <v>1</v>
      </c>
      <c r="I23" s="7">
        <v>1</v>
      </c>
      <c r="J23" s="7">
        <v>1</v>
      </c>
      <c r="K23" s="7">
        <v>1</v>
      </c>
      <c r="L23" s="7">
        <v>1</v>
      </c>
      <c r="M23" s="7">
        <v>1</v>
      </c>
      <c r="N23" s="7">
        <v>1</v>
      </c>
      <c r="O23" s="7">
        <v>0</v>
      </c>
      <c r="P23" s="7">
        <v>0</v>
      </c>
      <c r="Q23" s="9">
        <f t="shared" si="0"/>
        <v>8</v>
      </c>
    </row>
    <row r="24" spans="1:17" ht="16.5" x14ac:dyDescent="0.3">
      <c r="A24" s="30" t="s">
        <v>335</v>
      </c>
      <c r="B24" s="20" t="s">
        <v>89</v>
      </c>
      <c r="C24" s="23" t="s">
        <v>334</v>
      </c>
      <c r="D24" s="7">
        <v>0</v>
      </c>
      <c r="E24" s="7">
        <v>0</v>
      </c>
      <c r="F24" s="7">
        <v>0</v>
      </c>
      <c r="G24" s="7">
        <v>1</v>
      </c>
      <c r="H24" s="7">
        <v>1</v>
      </c>
      <c r="I24" s="7">
        <v>1</v>
      </c>
      <c r="J24" s="7">
        <v>1</v>
      </c>
      <c r="K24" s="7">
        <v>1</v>
      </c>
      <c r="L24" s="7">
        <v>1</v>
      </c>
      <c r="M24" s="7">
        <v>1</v>
      </c>
      <c r="N24" s="7">
        <v>1</v>
      </c>
      <c r="O24" s="7">
        <v>0</v>
      </c>
      <c r="P24" s="7">
        <v>0</v>
      </c>
      <c r="Q24" s="9">
        <f t="shared" si="0"/>
        <v>8</v>
      </c>
    </row>
    <row r="25" spans="1:17" ht="16.5" x14ac:dyDescent="0.3">
      <c r="A25" s="30" t="s">
        <v>150</v>
      </c>
      <c r="B25" s="20" t="s">
        <v>89</v>
      </c>
      <c r="C25" s="23" t="s">
        <v>149</v>
      </c>
      <c r="D25" s="7">
        <v>0</v>
      </c>
      <c r="E25" s="7">
        <v>0</v>
      </c>
      <c r="F25" s="7">
        <v>0</v>
      </c>
      <c r="G25" s="7">
        <v>1</v>
      </c>
      <c r="H25" s="7">
        <v>1</v>
      </c>
      <c r="I25" s="7">
        <v>1</v>
      </c>
      <c r="J25" s="7">
        <v>1</v>
      </c>
      <c r="K25" s="7">
        <v>1</v>
      </c>
      <c r="L25" s="7">
        <v>1</v>
      </c>
      <c r="M25" s="7">
        <v>1</v>
      </c>
      <c r="N25" s="7">
        <v>1</v>
      </c>
      <c r="O25" s="7">
        <v>1</v>
      </c>
      <c r="P25" s="7">
        <v>1</v>
      </c>
      <c r="Q25" s="9">
        <f t="shared" si="0"/>
        <v>10</v>
      </c>
    </row>
    <row r="26" spans="1:17" ht="16.5" x14ac:dyDescent="0.3">
      <c r="A26" s="30" t="s">
        <v>306</v>
      </c>
      <c r="B26" s="20" t="s">
        <v>89</v>
      </c>
      <c r="C26" s="23" t="s">
        <v>305</v>
      </c>
      <c r="D26" s="7">
        <v>0</v>
      </c>
      <c r="E26" s="7">
        <v>0</v>
      </c>
      <c r="F26" s="7">
        <v>0</v>
      </c>
      <c r="G26" s="7">
        <v>1</v>
      </c>
      <c r="H26" s="7">
        <v>1</v>
      </c>
      <c r="I26" s="7">
        <v>1</v>
      </c>
      <c r="J26" s="7">
        <v>1</v>
      </c>
      <c r="K26" s="7">
        <v>1</v>
      </c>
      <c r="L26" s="7">
        <v>1</v>
      </c>
      <c r="M26" s="7">
        <v>1</v>
      </c>
      <c r="N26" s="7">
        <v>1</v>
      </c>
      <c r="O26" s="7">
        <v>1</v>
      </c>
      <c r="P26" s="7">
        <v>1</v>
      </c>
      <c r="Q26" s="9">
        <f t="shared" si="0"/>
        <v>10</v>
      </c>
    </row>
    <row r="27" spans="1:17" ht="16.5" x14ac:dyDescent="0.3">
      <c r="A27" s="30" t="s">
        <v>345</v>
      </c>
      <c r="B27" s="20" t="s">
        <v>89</v>
      </c>
      <c r="C27" s="23" t="s">
        <v>344</v>
      </c>
      <c r="D27" s="7">
        <v>0</v>
      </c>
      <c r="E27" s="7">
        <v>0</v>
      </c>
      <c r="F27" s="7">
        <v>0</v>
      </c>
      <c r="G27" s="7">
        <v>1</v>
      </c>
      <c r="H27" s="7">
        <v>1</v>
      </c>
      <c r="I27" s="7">
        <v>1</v>
      </c>
      <c r="J27" s="7">
        <v>1</v>
      </c>
      <c r="K27" s="7">
        <v>1</v>
      </c>
      <c r="L27" s="7">
        <v>1</v>
      </c>
      <c r="M27" s="7">
        <v>1</v>
      </c>
      <c r="N27" s="7">
        <v>1</v>
      </c>
      <c r="O27" s="7">
        <v>1</v>
      </c>
      <c r="P27" s="7">
        <v>0</v>
      </c>
      <c r="Q27" s="9">
        <f t="shared" si="0"/>
        <v>9</v>
      </c>
    </row>
    <row r="28" spans="1:17" ht="16.5" x14ac:dyDescent="0.3">
      <c r="A28" s="30" t="s">
        <v>157</v>
      </c>
      <c r="B28" s="20" t="s">
        <v>89</v>
      </c>
      <c r="C28" s="23" t="s">
        <v>156</v>
      </c>
      <c r="D28" s="7">
        <v>0</v>
      </c>
      <c r="E28" s="7">
        <v>0</v>
      </c>
      <c r="F28" s="7">
        <v>0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1</v>
      </c>
      <c r="M28" s="7">
        <v>1</v>
      </c>
      <c r="N28" s="7">
        <v>1</v>
      </c>
      <c r="O28" s="7">
        <v>1</v>
      </c>
      <c r="P28" s="7">
        <v>1</v>
      </c>
      <c r="Q28" s="9">
        <f t="shared" si="0"/>
        <v>10</v>
      </c>
    </row>
    <row r="29" spans="1:17" ht="16.5" x14ac:dyDescent="0.3">
      <c r="A29" s="30" t="s">
        <v>331</v>
      </c>
      <c r="B29" s="20" t="s">
        <v>89</v>
      </c>
      <c r="C29" s="23" t="s">
        <v>330</v>
      </c>
      <c r="D29" s="7">
        <v>0</v>
      </c>
      <c r="E29" s="7">
        <v>0</v>
      </c>
      <c r="F29" s="7">
        <v>0</v>
      </c>
      <c r="G29" s="7">
        <v>1</v>
      </c>
      <c r="H29" s="7">
        <v>1</v>
      </c>
      <c r="I29" s="7">
        <v>1</v>
      </c>
      <c r="J29" s="7">
        <v>1</v>
      </c>
      <c r="K29" s="7">
        <v>1</v>
      </c>
      <c r="L29" s="7">
        <v>1</v>
      </c>
      <c r="M29" s="7">
        <v>1</v>
      </c>
      <c r="N29" s="7">
        <v>0</v>
      </c>
      <c r="O29" s="7">
        <v>0</v>
      </c>
      <c r="P29" s="7">
        <v>0</v>
      </c>
      <c r="Q29" s="9">
        <f t="shared" si="0"/>
        <v>7</v>
      </c>
    </row>
    <row r="30" spans="1:17" ht="16.5" x14ac:dyDescent="0.3">
      <c r="A30" s="30" t="s">
        <v>308</v>
      </c>
      <c r="B30" s="20" t="s">
        <v>89</v>
      </c>
      <c r="C30" s="23" t="s">
        <v>307</v>
      </c>
      <c r="D30" s="7">
        <v>0</v>
      </c>
      <c r="E30" s="7">
        <v>0</v>
      </c>
      <c r="F30" s="7">
        <v>0</v>
      </c>
      <c r="G30" s="7">
        <v>1</v>
      </c>
      <c r="H30" s="7">
        <v>1</v>
      </c>
      <c r="I30" s="7">
        <v>1</v>
      </c>
      <c r="J30" s="7">
        <v>1</v>
      </c>
      <c r="K30" s="7">
        <v>1</v>
      </c>
      <c r="L30" s="7">
        <v>1</v>
      </c>
      <c r="M30" s="7">
        <v>1</v>
      </c>
      <c r="N30" s="7">
        <v>1</v>
      </c>
      <c r="O30" s="7">
        <v>1</v>
      </c>
      <c r="P30" s="7">
        <v>1</v>
      </c>
      <c r="Q30" s="9">
        <f t="shared" si="0"/>
        <v>10</v>
      </c>
    </row>
    <row r="31" spans="1:17" ht="16.5" x14ac:dyDescent="0.3">
      <c r="A31" s="30" t="s">
        <v>247</v>
      </c>
      <c r="B31" s="20" t="s">
        <v>89</v>
      </c>
      <c r="C31" s="26" t="s">
        <v>246</v>
      </c>
      <c r="D31" s="7">
        <v>0</v>
      </c>
      <c r="E31" s="7">
        <v>0</v>
      </c>
      <c r="F31" s="7">
        <v>0</v>
      </c>
      <c r="G31" s="7">
        <v>1</v>
      </c>
      <c r="H31" s="7">
        <v>1</v>
      </c>
      <c r="I31" s="7">
        <v>1</v>
      </c>
      <c r="J31" s="7">
        <v>1</v>
      </c>
      <c r="K31" s="7">
        <v>1</v>
      </c>
      <c r="L31" s="7">
        <v>1</v>
      </c>
      <c r="M31" s="7">
        <v>1</v>
      </c>
      <c r="N31" s="7">
        <v>1</v>
      </c>
      <c r="O31" s="7">
        <v>1</v>
      </c>
      <c r="P31" s="7">
        <v>1</v>
      </c>
      <c r="Q31" s="9">
        <f t="shared" si="0"/>
        <v>10</v>
      </c>
    </row>
    <row r="32" spans="1:17" ht="16.5" x14ac:dyDescent="0.3">
      <c r="A32" s="30" t="s">
        <v>312</v>
      </c>
      <c r="B32" s="20" t="s">
        <v>89</v>
      </c>
      <c r="C32" s="26" t="s">
        <v>311</v>
      </c>
      <c r="D32" s="7">
        <v>0</v>
      </c>
      <c r="E32" s="7">
        <v>0</v>
      </c>
      <c r="F32" s="7">
        <v>0</v>
      </c>
      <c r="G32" s="7">
        <v>1</v>
      </c>
      <c r="H32" s="7">
        <v>1</v>
      </c>
      <c r="I32" s="7">
        <v>1</v>
      </c>
      <c r="J32" s="7">
        <v>1</v>
      </c>
      <c r="K32" s="7">
        <v>1</v>
      </c>
      <c r="L32" s="7">
        <v>1</v>
      </c>
      <c r="M32" s="7">
        <v>1</v>
      </c>
      <c r="N32" s="7">
        <v>1</v>
      </c>
      <c r="O32" s="7">
        <v>1</v>
      </c>
      <c r="P32" s="7">
        <v>0</v>
      </c>
      <c r="Q32" s="9">
        <f t="shared" si="0"/>
        <v>9</v>
      </c>
    </row>
    <row r="33" spans="1:17" ht="17.25" thickBot="1" x14ac:dyDescent="0.35">
      <c r="A33" s="30" t="s">
        <v>314</v>
      </c>
      <c r="B33" s="20" t="s">
        <v>89</v>
      </c>
      <c r="C33" s="26" t="s">
        <v>313</v>
      </c>
      <c r="D33" s="7">
        <v>0</v>
      </c>
      <c r="E33" s="7">
        <v>0</v>
      </c>
      <c r="F33" s="7">
        <v>0</v>
      </c>
      <c r="G33" s="7">
        <v>1</v>
      </c>
      <c r="H33" s="7">
        <v>1</v>
      </c>
      <c r="I33" s="7">
        <v>1</v>
      </c>
      <c r="J33" s="7">
        <v>1</v>
      </c>
      <c r="K33" s="7">
        <v>1</v>
      </c>
      <c r="L33" s="7">
        <v>1</v>
      </c>
      <c r="M33" s="7">
        <v>1</v>
      </c>
      <c r="N33" s="7">
        <v>1</v>
      </c>
      <c r="O33" s="7">
        <v>1</v>
      </c>
      <c r="P33" s="7">
        <v>0</v>
      </c>
      <c r="Q33" s="9">
        <f t="shared" si="0"/>
        <v>9</v>
      </c>
    </row>
    <row r="34" spans="1:17" ht="15.75" thickBot="1" x14ac:dyDescent="0.3">
      <c r="C34" s="13" t="s">
        <v>1378</v>
      </c>
      <c r="D34" s="14">
        <f t="shared" ref="D34:P34" si="1">SUM(D3:D33)</f>
        <v>0</v>
      </c>
      <c r="E34" s="14">
        <f t="shared" si="1"/>
        <v>0</v>
      </c>
      <c r="F34" s="14">
        <f t="shared" si="1"/>
        <v>0</v>
      </c>
      <c r="G34" s="14">
        <f t="shared" si="1"/>
        <v>31</v>
      </c>
      <c r="H34" s="14">
        <f t="shared" si="1"/>
        <v>31</v>
      </c>
      <c r="I34" s="14">
        <f t="shared" si="1"/>
        <v>31</v>
      </c>
      <c r="J34" s="14">
        <f t="shared" si="1"/>
        <v>31</v>
      </c>
      <c r="K34" s="14">
        <f t="shared" si="1"/>
        <v>28</v>
      </c>
      <c r="L34" s="14">
        <f t="shared" si="1"/>
        <v>28</v>
      </c>
      <c r="M34" s="14">
        <f t="shared" si="1"/>
        <v>24</v>
      </c>
      <c r="N34" s="14">
        <f t="shared" si="1"/>
        <v>20</v>
      </c>
      <c r="O34" s="14">
        <f>SUM(O3:O33)</f>
        <v>16</v>
      </c>
      <c r="P34" s="14">
        <f t="shared" si="1"/>
        <v>13</v>
      </c>
      <c r="Q34" s="190">
        <f>SUM(F34:N34)</f>
        <v>224</v>
      </c>
    </row>
    <row r="35" spans="1:17" x14ac:dyDescent="0.25">
      <c r="G35" s="188"/>
    </row>
    <row r="36" spans="1:17" x14ac:dyDescent="0.25">
      <c r="G36" s="81"/>
    </row>
    <row r="37" spans="1:17" ht="15.75" thickBot="1" x14ac:dyDescent="0.3">
      <c r="A37" s="368" t="s">
        <v>1379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</row>
    <row r="38" spans="1:17" ht="43.5" customHeight="1" thickBot="1" x14ac:dyDescent="0.3">
      <c r="A38" s="5" t="s">
        <v>3</v>
      </c>
      <c r="B38" s="8" t="s">
        <v>0</v>
      </c>
      <c r="C38" s="4" t="s">
        <v>1</v>
      </c>
      <c r="D38" s="6">
        <v>44531</v>
      </c>
      <c r="E38" s="6">
        <v>44562</v>
      </c>
      <c r="F38" s="6">
        <v>44593</v>
      </c>
      <c r="G38" s="6">
        <v>44621</v>
      </c>
      <c r="H38" s="6">
        <v>44652</v>
      </c>
      <c r="I38" s="6">
        <v>44682</v>
      </c>
      <c r="J38" s="6">
        <v>44713</v>
      </c>
      <c r="K38" s="6">
        <v>44743</v>
      </c>
      <c r="L38" s="6">
        <v>44774</v>
      </c>
      <c r="M38" s="6">
        <v>44805</v>
      </c>
      <c r="N38" s="6">
        <v>44835</v>
      </c>
      <c r="O38" s="6">
        <v>44866</v>
      </c>
      <c r="P38" s="6">
        <v>44896</v>
      </c>
      <c r="Q38" s="6" t="s">
        <v>1376</v>
      </c>
    </row>
    <row r="39" spans="1:17" ht="16.5" x14ac:dyDescent="0.3">
      <c r="A39" s="30" t="s">
        <v>1089</v>
      </c>
      <c r="B39" s="20" t="s">
        <v>89</v>
      </c>
      <c r="C39" s="23" t="s">
        <v>1088</v>
      </c>
      <c r="D39" s="7"/>
      <c r="E39" s="7"/>
      <c r="F39" s="7"/>
      <c r="G39" s="7"/>
      <c r="H39" s="7">
        <v>1</v>
      </c>
      <c r="I39" s="7">
        <v>1</v>
      </c>
      <c r="J39" s="7"/>
      <c r="K39" s="7"/>
      <c r="L39" s="7"/>
      <c r="M39" s="7"/>
      <c r="N39" s="7"/>
      <c r="O39" s="7"/>
      <c r="P39" s="7"/>
      <c r="Q39" s="9">
        <f>SUM(D39:N39)</f>
        <v>2</v>
      </c>
    </row>
    <row r="40" spans="1:17" ht="16.5" x14ac:dyDescent="0.3">
      <c r="A40" s="30" t="s">
        <v>634</v>
      </c>
      <c r="B40" s="20" t="s">
        <v>89</v>
      </c>
      <c r="C40" s="26" t="s">
        <v>633</v>
      </c>
      <c r="D40" s="7"/>
      <c r="E40" s="7"/>
      <c r="F40" s="7"/>
      <c r="G40" s="7"/>
      <c r="H40" s="7">
        <v>1</v>
      </c>
      <c r="I40" s="7">
        <v>1</v>
      </c>
      <c r="J40" s="7"/>
      <c r="K40" s="7"/>
      <c r="L40" s="7"/>
      <c r="M40" s="7"/>
      <c r="N40" s="7"/>
      <c r="O40" s="7"/>
      <c r="P40" s="7"/>
      <c r="Q40" s="9">
        <f t="shared" ref="Q40:Q103" si="2">SUM(D40:N40)</f>
        <v>2</v>
      </c>
    </row>
    <row r="41" spans="1:17" ht="16.5" x14ac:dyDescent="0.3">
      <c r="A41" s="30" t="s">
        <v>636</v>
      </c>
      <c r="B41" s="20" t="s">
        <v>89</v>
      </c>
      <c r="C41" s="23" t="s">
        <v>635</v>
      </c>
      <c r="D41" s="7"/>
      <c r="E41" s="7"/>
      <c r="F41" s="7"/>
      <c r="G41" s="7"/>
      <c r="H41" s="7">
        <v>1</v>
      </c>
      <c r="I41" s="7">
        <v>1</v>
      </c>
      <c r="J41" s="7"/>
      <c r="K41" s="7"/>
      <c r="L41" s="7"/>
      <c r="M41" s="7"/>
      <c r="N41" s="7"/>
      <c r="O41" s="7"/>
      <c r="P41" s="7"/>
      <c r="Q41" s="9">
        <f t="shared" si="2"/>
        <v>2</v>
      </c>
    </row>
    <row r="42" spans="1:17" ht="16.5" x14ac:dyDescent="0.3">
      <c r="A42" s="30" t="s">
        <v>632</v>
      </c>
      <c r="B42" s="20" t="s">
        <v>89</v>
      </c>
      <c r="C42" s="23" t="s">
        <v>631</v>
      </c>
      <c r="D42" s="7"/>
      <c r="E42" s="7"/>
      <c r="F42" s="7"/>
      <c r="G42" s="7"/>
      <c r="H42" s="7">
        <v>1</v>
      </c>
      <c r="I42" s="7">
        <v>1</v>
      </c>
      <c r="J42" s="7"/>
      <c r="K42" s="7"/>
      <c r="L42" s="7"/>
      <c r="M42" s="7"/>
      <c r="N42" s="7"/>
      <c r="O42" s="7"/>
      <c r="P42" s="7"/>
      <c r="Q42" s="9">
        <f t="shared" si="2"/>
        <v>2</v>
      </c>
    </row>
    <row r="43" spans="1:17" ht="16.5" x14ac:dyDescent="0.3">
      <c r="A43" s="30" t="s">
        <v>648</v>
      </c>
      <c r="B43" s="20" t="s">
        <v>89</v>
      </c>
      <c r="C43" s="23" t="s">
        <v>647</v>
      </c>
      <c r="D43" s="7"/>
      <c r="E43" s="7"/>
      <c r="F43" s="7"/>
      <c r="G43" s="7"/>
      <c r="H43" s="7">
        <v>1</v>
      </c>
      <c r="I43" s="7">
        <v>1</v>
      </c>
      <c r="J43" s="7"/>
      <c r="K43" s="7"/>
      <c r="L43" s="7"/>
      <c r="M43" s="7"/>
      <c r="N43" s="7"/>
      <c r="O43" s="7"/>
      <c r="P43" s="7"/>
      <c r="Q43" s="9">
        <f t="shared" si="2"/>
        <v>2</v>
      </c>
    </row>
    <row r="44" spans="1:17" ht="16.5" x14ac:dyDescent="0.3">
      <c r="A44" s="30" t="s">
        <v>1145</v>
      </c>
      <c r="B44" s="20" t="s">
        <v>89</v>
      </c>
      <c r="C44" s="23" t="s">
        <v>1144</v>
      </c>
      <c r="D44" s="7"/>
      <c r="E44" s="7"/>
      <c r="F44" s="7"/>
      <c r="G44" s="7"/>
      <c r="H44" s="7">
        <v>1</v>
      </c>
      <c r="I44" s="7">
        <v>0</v>
      </c>
      <c r="J44" s="7"/>
      <c r="K44" s="7"/>
      <c r="L44" s="7"/>
      <c r="M44" s="7"/>
      <c r="N44" s="7"/>
      <c r="O44" s="7"/>
      <c r="P44" s="7"/>
      <c r="Q44" s="9">
        <f t="shared" si="2"/>
        <v>1</v>
      </c>
    </row>
    <row r="45" spans="1:17" ht="16.5" x14ac:dyDescent="0.3">
      <c r="A45" s="30" t="s">
        <v>1101</v>
      </c>
      <c r="B45" s="20" t="s">
        <v>89</v>
      </c>
      <c r="C45" s="23" t="s">
        <v>1100</v>
      </c>
      <c r="D45" s="7"/>
      <c r="E45" s="7"/>
      <c r="F45" s="7"/>
      <c r="G45" s="7"/>
      <c r="H45" s="7">
        <v>1</v>
      </c>
      <c r="I45" s="7">
        <v>1</v>
      </c>
      <c r="J45" s="7"/>
      <c r="K45" s="7"/>
      <c r="L45" s="7"/>
      <c r="M45" s="7"/>
      <c r="N45" s="7"/>
      <c r="O45" s="7"/>
      <c r="P45" s="7"/>
      <c r="Q45" s="9">
        <f t="shared" si="2"/>
        <v>2</v>
      </c>
    </row>
    <row r="46" spans="1:17" ht="16.5" x14ac:dyDescent="0.3">
      <c r="A46" s="30" t="s">
        <v>1085</v>
      </c>
      <c r="B46" s="20" t="s">
        <v>89</v>
      </c>
      <c r="C46" s="26" t="s">
        <v>1084</v>
      </c>
      <c r="D46" s="7"/>
      <c r="E46" s="7"/>
      <c r="F46" s="7"/>
      <c r="G46" s="7"/>
      <c r="H46" s="7">
        <v>1</v>
      </c>
      <c r="I46" s="7">
        <v>1</v>
      </c>
      <c r="J46" s="7"/>
      <c r="K46" s="7"/>
      <c r="L46" s="7"/>
      <c r="M46" s="7"/>
      <c r="N46" s="7"/>
      <c r="O46" s="7"/>
      <c r="P46" s="7"/>
      <c r="Q46" s="9">
        <f t="shared" si="2"/>
        <v>2</v>
      </c>
    </row>
    <row r="47" spans="1:17" ht="16.5" x14ac:dyDescent="0.3">
      <c r="A47" s="30" t="s">
        <v>650</v>
      </c>
      <c r="B47" s="20" t="s">
        <v>89</v>
      </c>
      <c r="C47" s="23" t="s">
        <v>649</v>
      </c>
      <c r="D47" s="7"/>
      <c r="E47" s="7"/>
      <c r="F47" s="7"/>
      <c r="G47" s="7"/>
      <c r="H47" s="7">
        <v>1</v>
      </c>
      <c r="I47" s="7">
        <v>1</v>
      </c>
      <c r="J47" s="7"/>
      <c r="K47" s="7"/>
      <c r="L47" s="7"/>
      <c r="M47" s="7"/>
      <c r="N47" s="7"/>
      <c r="O47" s="7"/>
      <c r="P47" s="7"/>
      <c r="Q47" s="9">
        <f t="shared" si="2"/>
        <v>2</v>
      </c>
    </row>
    <row r="48" spans="1:17" ht="16.5" x14ac:dyDescent="0.3">
      <c r="A48" s="30" t="s">
        <v>1109</v>
      </c>
      <c r="B48" s="20" t="s">
        <v>89</v>
      </c>
      <c r="C48" s="23" t="s">
        <v>1108</v>
      </c>
      <c r="D48" s="7"/>
      <c r="E48" s="7"/>
      <c r="F48" s="7"/>
      <c r="G48" s="7"/>
      <c r="H48" s="7">
        <v>1</v>
      </c>
      <c r="I48" s="7">
        <v>1</v>
      </c>
      <c r="J48" s="7"/>
      <c r="K48" s="7"/>
      <c r="L48" s="7"/>
      <c r="M48" s="7"/>
      <c r="N48" s="7"/>
      <c r="O48" s="7"/>
      <c r="P48" s="7"/>
      <c r="Q48" s="9">
        <f t="shared" si="2"/>
        <v>2</v>
      </c>
    </row>
    <row r="49" spans="1:17" ht="16.5" x14ac:dyDescent="0.3">
      <c r="A49" s="30" t="s">
        <v>1131</v>
      </c>
      <c r="B49" s="20" t="s">
        <v>89</v>
      </c>
      <c r="C49" s="23" t="s">
        <v>1130</v>
      </c>
      <c r="D49" s="7"/>
      <c r="E49" s="7"/>
      <c r="F49" s="7"/>
      <c r="G49" s="7"/>
      <c r="H49" s="7">
        <v>1</v>
      </c>
      <c r="I49" s="7">
        <v>1</v>
      </c>
      <c r="J49" s="7"/>
      <c r="K49" s="7"/>
      <c r="L49" s="7"/>
      <c r="M49" s="7"/>
      <c r="N49" s="7"/>
      <c r="O49" s="7"/>
      <c r="P49" s="7"/>
      <c r="Q49" s="9">
        <f t="shared" si="2"/>
        <v>2</v>
      </c>
    </row>
    <row r="50" spans="1:17" ht="16.5" x14ac:dyDescent="0.3">
      <c r="A50" s="30" t="s">
        <v>1083</v>
      </c>
      <c r="B50" s="20" t="s">
        <v>89</v>
      </c>
      <c r="C50" s="23" t="s">
        <v>1082</v>
      </c>
      <c r="D50" s="7"/>
      <c r="E50" s="7"/>
      <c r="F50" s="7"/>
      <c r="G50" s="7"/>
      <c r="H50" s="7">
        <v>1</v>
      </c>
      <c r="I50" s="7">
        <v>1</v>
      </c>
      <c r="J50" s="7"/>
      <c r="K50" s="7"/>
      <c r="L50" s="7"/>
      <c r="M50" s="7"/>
      <c r="N50" s="7"/>
      <c r="O50" s="7"/>
      <c r="P50" s="7"/>
      <c r="Q50" s="9">
        <f t="shared" si="2"/>
        <v>2</v>
      </c>
    </row>
    <row r="51" spans="1:17" ht="16.5" x14ac:dyDescent="0.3">
      <c r="A51" s="30" t="s">
        <v>1087</v>
      </c>
      <c r="B51" s="20" t="s">
        <v>89</v>
      </c>
      <c r="C51" s="23" t="s">
        <v>1086</v>
      </c>
      <c r="D51" s="7"/>
      <c r="E51" s="7"/>
      <c r="F51" s="7"/>
      <c r="G51" s="7"/>
      <c r="H51" s="7">
        <v>1</v>
      </c>
      <c r="I51" s="7">
        <v>1</v>
      </c>
      <c r="J51" s="7"/>
      <c r="K51" s="7"/>
      <c r="L51" s="7"/>
      <c r="M51" s="7"/>
      <c r="N51" s="7"/>
      <c r="O51" s="7"/>
      <c r="P51" s="7"/>
      <c r="Q51" s="9">
        <f t="shared" si="2"/>
        <v>2</v>
      </c>
    </row>
    <row r="52" spans="1:17" ht="16.5" x14ac:dyDescent="0.3">
      <c r="A52" s="30" t="s">
        <v>1151</v>
      </c>
      <c r="B52" s="20" t="s">
        <v>89</v>
      </c>
      <c r="C52" s="26" t="s">
        <v>1150</v>
      </c>
      <c r="D52" s="7"/>
      <c r="E52" s="7"/>
      <c r="F52" s="7"/>
      <c r="G52" s="7"/>
      <c r="H52" s="7">
        <v>1</v>
      </c>
      <c r="I52" s="7">
        <v>1</v>
      </c>
      <c r="J52" s="7"/>
      <c r="K52" s="7"/>
      <c r="L52" s="7"/>
      <c r="M52" s="7"/>
      <c r="N52" s="7"/>
      <c r="O52" s="7"/>
      <c r="P52" s="7"/>
      <c r="Q52" s="9">
        <f t="shared" si="2"/>
        <v>2</v>
      </c>
    </row>
    <row r="53" spans="1:17" ht="16.5" x14ac:dyDescent="0.3">
      <c r="A53" s="30" t="s">
        <v>630</v>
      </c>
      <c r="B53" s="20" t="s">
        <v>89</v>
      </c>
      <c r="C53" s="23" t="s">
        <v>629</v>
      </c>
      <c r="D53" s="7"/>
      <c r="E53" s="7"/>
      <c r="F53" s="7"/>
      <c r="G53" s="7"/>
      <c r="H53" s="7">
        <v>1</v>
      </c>
      <c r="I53" s="7">
        <v>1</v>
      </c>
      <c r="J53" s="7"/>
      <c r="K53" s="7"/>
      <c r="L53" s="7"/>
      <c r="M53" s="7"/>
      <c r="N53" s="7"/>
      <c r="O53" s="7"/>
      <c r="P53" s="7"/>
      <c r="Q53" s="9">
        <f t="shared" si="2"/>
        <v>2</v>
      </c>
    </row>
    <row r="54" spans="1:17" ht="16.5" x14ac:dyDescent="0.3">
      <c r="A54" s="30" t="s">
        <v>621</v>
      </c>
      <c r="B54" s="20" t="s">
        <v>89</v>
      </c>
      <c r="C54" s="23" t="s">
        <v>620</v>
      </c>
      <c r="D54" s="7"/>
      <c r="E54" s="7"/>
      <c r="F54" s="7"/>
      <c r="G54" s="7"/>
      <c r="H54" s="7">
        <v>1</v>
      </c>
      <c r="I54" s="7">
        <v>1</v>
      </c>
      <c r="J54" s="7"/>
      <c r="K54" s="7"/>
      <c r="L54" s="7"/>
      <c r="M54" s="7"/>
      <c r="N54" s="7"/>
      <c r="O54" s="7"/>
      <c r="P54" s="7"/>
      <c r="Q54" s="9">
        <f t="shared" si="2"/>
        <v>2</v>
      </c>
    </row>
    <row r="55" spans="1:17" ht="16.5" x14ac:dyDescent="0.3">
      <c r="A55" s="30" t="s">
        <v>1129</v>
      </c>
      <c r="B55" s="20" t="s">
        <v>89</v>
      </c>
      <c r="C55" s="23" t="s">
        <v>1128</v>
      </c>
      <c r="D55" s="7"/>
      <c r="E55" s="7"/>
      <c r="F55" s="7"/>
      <c r="G55" s="7"/>
      <c r="H55" s="7">
        <v>1</v>
      </c>
      <c r="I55" s="7">
        <v>1</v>
      </c>
      <c r="J55" s="7"/>
      <c r="K55" s="7"/>
      <c r="L55" s="7"/>
      <c r="M55" s="7"/>
      <c r="N55" s="7"/>
      <c r="O55" s="7"/>
      <c r="P55" s="7"/>
      <c r="Q55" s="9">
        <f t="shared" si="2"/>
        <v>2</v>
      </c>
    </row>
    <row r="56" spans="1:17" ht="16.5" x14ac:dyDescent="0.3">
      <c r="A56" s="30" t="s">
        <v>1143</v>
      </c>
      <c r="B56" s="20" t="s">
        <v>89</v>
      </c>
      <c r="C56" s="23" t="s">
        <v>1142</v>
      </c>
      <c r="D56" s="7"/>
      <c r="E56" s="7"/>
      <c r="F56" s="7"/>
      <c r="G56" s="7"/>
      <c r="H56" s="7">
        <v>1</v>
      </c>
      <c r="I56" s="7">
        <v>1</v>
      </c>
      <c r="J56" s="7"/>
      <c r="K56" s="7"/>
      <c r="L56" s="7"/>
      <c r="M56" s="7"/>
      <c r="N56" s="7"/>
      <c r="O56" s="7"/>
      <c r="P56" s="7"/>
      <c r="Q56" s="9">
        <f t="shared" si="2"/>
        <v>2</v>
      </c>
    </row>
    <row r="57" spans="1:17" ht="16.5" x14ac:dyDescent="0.3">
      <c r="A57" s="30" t="s">
        <v>628</v>
      </c>
      <c r="B57" s="20" t="s">
        <v>89</v>
      </c>
      <c r="C57" s="23" t="s">
        <v>627</v>
      </c>
      <c r="D57" s="7"/>
      <c r="E57" s="7"/>
      <c r="F57" s="7"/>
      <c r="G57" s="7"/>
      <c r="H57" s="7">
        <v>1</v>
      </c>
      <c r="I57" s="7">
        <v>1</v>
      </c>
      <c r="J57" s="7"/>
      <c r="K57" s="7"/>
      <c r="L57" s="7"/>
      <c r="M57" s="7"/>
      <c r="N57" s="7"/>
      <c r="O57" s="7"/>
      <c r="P57" s="7"/>
      <c r="Q57" s="9">
        <f t="shared" si="2"/>
        <v>2</v>
      </c>
    </row>
    <row r="58" spans="1:17" ht="16.5" x14ac:dyDescent="0.3">
      <c r="A58" s="30" t="s">
        <v>1107</v>
      </c>
      <c r="B58" s="20" t="s">
        <v>89</v>
      </c>
      <c r="C58" s="26" t="s">
        <v>1106</v>
      </c>
      <c r="D58" s="7"/>
      <c r="E58" s="7"/>
      <c r="F58" s="7"/>
      <c r="G58" s="7"/>
      <c r="H58" s="7">
        <v>1</v>
      </c>
      <c r="I58" s="7">
        <v>1</v>
      </c>
      <c r="J58" s="7"/>
      <c r="K58" s="7"/>
      <c r="L58" s="7"/>
      <c r="M58" s="7"/>
      <c r="N58" s="7"/>
      <c r="O58" s="7"/>
      <c r="P58" s="7"/>
      <c r="Q58" s="9">
        <f t="shared" si="2"/>
        <v>2</v>
      </c>
    </row>
    <row r="59" spans="1:17" ht="16.5" x14ac:dyDescent="0.3">
      <c r="A59" s="30" t="s">
        <v>1105</v>
      </c>
      <c r="B59" s="20" t="s">
        <v>89</v>
      </c>
      <c r="C59" s="23" t="s">
        <v>1104</v>
      </c>
      <c r="D59" s="7"/>
      <c r="E59" s="7"/>
      <c r="F59" s="7"/>
      <c r="G59" s="7"/>
      <c r="H59" s="7">
        <v>1</v>
      </c>
      <c r="I59" s="7">
        <v>1</v>
      </c>
      <c r="J59" s="7"/>
      <c r="K59" s="7"/>
      <c r="L59" s="7"/>
      <c r="M59" s="7"/>
      <c r="N59" s="7"/>
      <c r="O59" s="7"/>
      <c r="P59" s="7"/>
      <c r="Q59" s="9">
        <f t="shared" si="2"/>
        <v>2</v>
      </c>
    </row>
    <row r="60" spans="1:17" ht="16.5" x14ac:dyDescent="0.3">
      <c r="A60" s="30" t="s">
        <v>626</v>
      </c>
      <c r="B60" s="20" t="s">
        <v>89</v>
      </c>
      <c r="C60" s="23" t="s">
        <v>625</v>
      </c>
      <c r="D60" s="7"/>
      <c r="E60" s="7"/>
      <c r="F60" s="7"/>
      <c r="G60" s="7"/>
      <c r="H60" s="7">
        <v>1</v>
      </c>
      <c r="I60" s="7">
        <v>1</v>
      </c>
      <c r="J60" s="7"/>
      <c r="K60" s="7"/>
      <c r="L60" s="7"/>
      <c r="M60" s="7"/>
      <c r="N60" s="7"/>
      <c r="O60" s="7"/>
      <c r="P60" s="7"/>
      <c r="Q60" s="9">
        <f t="shared" si="2"/>
        <v>2</v>
      </c>
    </row>
    <row r="61" spans="1:17" ht="16.5" x14ac:dyDescent="0.3">
      <c r="A61" s="30" t="s">
        <v>1103</v>
      </c>
      <c r="B61" s="20" t="s">
        <v>89</v>
      </c>
      <c r="C61" s="23" t="s">
        <v>1102</v>
      </c>
      <c r="D61" s="7"/>
      <c r="E61" s="7"/>
      <c r="F61" s="7"/>
      <c r="G61" s="7"/>
      <c r="H61" s="7">
        <v>1</v>
      </c>
      <c r="I61" s="7">
        <v>1</v>
      </c>
      <c r="J61" s="7"/>
      <c r="K61" s="7"/>
      <c r="L61" s="7"/>
      <c r="M61" s="7"/>
      <c r="N61" s="7"/>
      <c r="O61" s="7"/>
      <c r="P61" s="7"/>
      <c r="Q61" s="9">
        <f t="shared" si="2"/>
        <v>2</v>
      </c>
    </row>
    <row r="62" spans="1:17" ht="16.5" x14ac:dyDescent="0.3">
      <c r="A62" s="30" t="s">
        <v>638</v>
      </c>
      <c r="B62" s="20" t="s">
        <v>89</v>
      </c>
      <c r="C62" s="23" t="s">
        <v>637</v>
      </c>
      <c r="D62" s="7"/>
      <c r="E62" s="7"/>
      <c r="F62" s="7"/>
      <c r="G62" s="7"/>
      <c r="H62" s="7">
        <v>1</v>
      </c>
      <c r="I62" s="7">
        <v>1</v>
      </c>
      <c r="J62" s="7"/>
      <c r="K62" s="7"/>
      <c r="L62" s="7"/>
      <c r="M62" s="7"/>
      <c r="N62" s="7"/>
      <c r="O62" s="7"/>
      <c r="P62" s="7"/>
      <c r="Q62" s="9">
        <f t="shared" si="2"/>
        <v>2</v>
      </c>
    </row>
    <row r="63" spans="1:17" ht="16.5" x14ac:dyDescent="0.3">
      <c r="A63" s="30" t="s">
        <v>624</v>
      </c>
      <c r="B63" s="20" t="s">
        <v>89</v>
      </c>
      <c r="C63" s="23" t="s">
        <v>623</v>
      </c>
      <c r="D63" s="7"/>
      <c r="E63" s="7"/>
      <c r="F63" s="7"/>
      <c r="G63" s="7"/>
      <c r="H63" s="7">
        <v>1</v>
      </c>
      <c r="I63" s="7">
        <v>1</v>
      </c>
      <c r="J63" s="7"/>
      <c r="K63" s="7"/>
      <c r="L63" s="7"/>
      <c r="M63" s="7"/>
      <c r="N63" s="7"/>
      <c r="O63" s="7"/>
      <c r="P63" s="7"/>
      <c r="Q63" s="9">
        <f t="shared" si="2"/>
        <v>2</v>
      </c>
    </row>
    <row r="64" spans="1:17" ht="16.5" x14ac:dyDescent="0.3">
      <c r="A64" s="30" t="s">
        <v>617</v>
      </c>
      <c r="B64" s="20" t="s">
        <v>89</v>
      </c>
      <c r="C64" s="26" t="s">
        <v>616</v>
      </c>
      <c r="D64" s="7"/>
      <c r="E64" s="7"/>
      <c r="F64" s="7"/>
      <c r="G64" s="7"/>
      <c r="H64" s="7">
        <v>1</v>
      </c>
      <c r="I64" s="7">
        <v>1</v>
      </c>
      <c r="J64" s="7"/>
      <c r="K64" s="7"/>
      <c r="L64" s="7"/>
      <c r="M64" s="7"/>
      <c r="N64" s="7"/>
      <c r="O64" s="7"/>
      <c r="P64" s="7"/>
      <c r="Q64" s="9">
        <f t="shared" si="2"/>
        <v>2</v>
      </c>
    </row>
    <row r="65" spans="1:17" ht="16.5" x14ac:dyDescent="0.3">
      <c r="A65" s="30" t="s">
        <v>1079</v>
      </c>
      <c r="B65" s="20" t="s">
        <v>89</v>
      </c>
      <c r="C65" s="26" t="s">
        <v>1078</v>
      </c>
      <c r="D65" s="7"/>
      <c r="E65" s="7"/>
      <c r="F65" s="7"/>
      <c r="G65" s="7"/>
      <c r="H65" s="7">
        <v>1</v>
      </c>
      <c r="I65" s="7">
        <v>1</v>
      </c>
      <c r="J65" s="7"/>
      <c r="K65" s="7"/>
      <c r="L65" s="7"/>
      <c r="M65" s="7"/>
      <c r="N65" s="7"/>
      <c r="O65" s="7"/>
      <c r="P65" s="7"/>
      <c r="Q65" s="9">
        <f t="shared" si="2"/>
        <v>2</v>
      </c>
    </row>
    <row r="66" spans="1:17" ht="16.5" x14ac:dyDescent="0.3">
      <c r="A66" s="30" t="s">
        <v>619</v>
      </c>
      <c r="B66" s="20" t="s">
        <v>89</v>
      </c>
      <c r="C66" s="23" t="s">
        <v>618</v>
      </c>
      <c r="D66" s="7"/>
      <c r="E66" s="7"/>
      <c r="F66" s="7"/>
      <c r="G66" s="7"/>
      <c r="H66" s="7">
        <v>1</v>
      </c>
      <c r="I66" s="7">
        <v>1</v>
      </c>
      <c r="J66" s="7"/>
      <c r="K66" s="7"/>
      <c r="L66" s="7"/>
      <c r="M66" s="7"/>
      <c r="N66" s="7"/>
      <c r="O66" s="7"/>
      <c r="P66" s="7"/>
      <c r="Q66" s="9">
        <f t="shared" si="2"/>
        <v>2</v>
      </c>
    </row>
    <row r="67" spans="1:17" ht="16.5" x14ac:dyDescent="0.3">
      <c r="A67" s="30" t="s">
        <v>640</v>
      </c>
      <c r="B67" s="20" t="s">
        <v>89</v>
      </c>
      <c r="C67" s="23" t="s">
        <v>639</v>
      </c>
      <c r="D67" s="7"/>
      <c r="E67" s="7"/>
      <c r="F67" s="7"/>
      <c r="G67" s="7"/>
      <c r="H67" s="7">
        <v>1</v>
      </c>
      <c r="I67" s="7">
        <v>1</v>
      </c>
      <c r="J67" s="7"/>
      <c r="K67" s="7"/>
      <c r="L67" s="7"/>
      <c r="M67" s="7"/>
      <c r="N67" s="7"/>
      <c r="O67" s="7"/>
      <c r="P67" s="7"/>
      <c r="Q67" s="9">
        <f t="shared" si="2"/>
        <v>2</v>
      </c>
    </row>
    <row r="68" spans="1:17" ht="16.5" x14ac:dyDescent="0.3">
      <c r="A68" s="30" t="s">
        <v>1119</v>
      </c>
      <c r="B68" s="20" t="s">
        <v>89</v>
      </c>
      <c r="C68" s="23" t="s">
        <v>1118</v>
      </c>
      <c r="D68" s="7"/>
      <c r="E68" s="7"/>
      <c r="F68" s="7"/>
      <c r="G68" s="7"/>
      <c r="H68" s="7">
        <v>1</v>
      </c>
      <c r="I68" s="7">
        <v>1</v>
      </c>
      <c r="J68" s="7"/>
      <c r="K68" s="7"/>
      <c r="L68" s="7"/>
      <c r="M68" s="7"/>
      <c r="N68" s="7"/>
      <c r="O68" s="7"/>
      <c r="P68" s="7"/>
      <c r="Q68" s="9">
        <f t="shared" si="2"/>
        <v>2</v>
      </c>
    </row>
    <row r="69" spans="1:17" ht="16.5" x14ac:dyDescent="0.3">
      <c r="A69" s="30" t="s">
        <v>1121</v>
      </c>
      <c r="B69" s="20" t="s">
        <v>89</v>
      </c>
      <c r="C69" s="23" t="s">
        <v>1120</v>
      </c>
      <c r="D69" s="7"/>
      <c r="E69" s="7"/>
      <c r="F69" s="7"/>
      <c r="G69" s="7"/>
      <c r="H69" s="7">
        <v>1</v>
      </c>
      <c r="I69" s="7">
        <v>1</v>
      </c>
      <c r="J69" s="7"/>
      <c r="K69" s="7"/>
      <c r="L69" s="7"/>
      <c r="M69" s="7"/>
      <c r="N69" s="7"/>
      <c r="O69" s="7"/>
      <c r="P69" s="7"/>
      <c r="Q69" s="9">
        <f t="shared" si="2"/>
        <v>2</v>
      </c>
    </row>
    <row r="70" spans="1:17" ht="16.5" x14ac:dyDescent="0.3">
      <c r="A70" s="30" t="s">
        <v>1123</v>
      </c>
      <c r="B70" s="20" t="s">
        <v>89</v>
      </c>
      <c r="C70" s="23" t="s">
        <v>1122</v>
      </c>
      <c r="D70" s="7"/>
      <c r="E70" s="7"/>
      <c r="F70" s="7"/>
      <c r="G70" s="7"/>
      <c r="H70" s="7">
        <v>1</v>
      </c>
      <c r="I70" s="7">
        <v>1</v>
      </c>
      <c r="J70" s="7"/>
      <c r="K70" s="7"/>
      <c r="L70" s="7"/>
      <c r="M70" s="7"/>
      <c r="N70" s="7"/>
      <c r="O70" s="7"/>
      <c r="P70" s="7"/>
      <c r="Q70" s="9">
        <f t="shared" si="2"/>
        <v>2</v>
      </c>
    </row>
    <row r="71" spans="1:17" ht="16.5" x14ac:dyDescent="0.3">
      <c r="A71" s="30" t="s">
        <v>1099</v>
      </c>
      <c r="B71" s="20" t="s">
        <v>89</v>
      </c>
      <c r="C71" s="26" t="s">
        <v>1098</v>
      </c>
      <c r="D71" s="7"/>
      <c r="E71" s="7"/>
      <c r="F71" s="7"/>
      <c r="G71" s="7"/>
      <c r="H71" s="7">
        <v>1</v>
      </c>
      <c r="I71" s="7">
        <v>1</v>
      </c>
      <c r="J71" s="7"/>
      <c r="K71" s="7"/>
      <c r="L71" s="7"/>
      <c r="M71" s="7"/>
      <c r="N71" s="7"/>
      <c r="O71" s="7"/>
      <c r="P71" s="7"/>
      <c r="Q71" s="9">
        <f t="shared" si="2"/>
        <v>2</v>
      </c>
    </row>
    <row r="72" spans="1:17" ht="16.5" x14ac:dyDescent="0.3">
      <c r="A72" s="30" t="s">
        <v>646</v>
      </c>
      <c r="B72" s="20" t="s">
        <v>89</v>
      </c>
      <c r="C72" s="23" t="s">
        <v>645</v>
      </c>
      <c r="D72" s="7"/>
      <c r="E72" s="7"/>
      <c r="F72" s="7"/>
      <c r="G72" s="7"/>
      <c r="H72" s="7">
        <v>1</v>
      </c>
      <c r="I72" s="7">
        <v>1</v>
      </c>
      <c r="J72" s="7"/>
      <c r="K72" s="7"/>
      <c r="L72" s="7"/>
      <c r="M72" s="7"/>
      <c r="N72" s="7"/>
      <c r="O72" s="7"/>
      <c r="P72" s="7"/>
      <c r="Q72" s="9">
        <f t="shared" si="2"/>
        <v>2</v>
      </c>
    </row>
    <row r="73" spans="1:17" ht="16.5" x14ac:dyDescent="0.3">
      <c r="A73" s="30" t="s">
        <v>1141</v>
      </c>
      <c r="B73" s="20" t="s">
        <v>89</v>
      </c>
      <c r="C73" s="23" t="s">
        <v>1140</v>
      </c>
      <c r="D73" s="7"/>
      <c r="E73" s="7"/>
      <c r="F73" s="7"/>
      <c r="G73" s="7"/>
      <c r="H73" s="7">
        <v>1</v>
      </c>
      <c r="I73" s="7">
        <v>1</v>
      </c>
      <c r="J73" s="7"/>
      <c r="K73" s="7"/>
      <c r="L73" s="7"/>
      <c r="M73" s="7"/>
      <c r="N73" s="7"/>
      <c r="O73" s="7"/>
      <c r="P73" s="7"/>
      <c r="Q73" s="9">
        <f t="shared" si="2"/>
        <v>2</v>
      </c>
    </row>
    <row r="74" spans="1:17" ht="16.5" x14ac:dyDescent="0.3">
      <c r="A74" s="30" t="s">
        <v>1137</v>
      </c>
      <c r="B74" s="20" t="s">
        <v>89</v>
      </c>
      <c r="C74" s="23" t="s">
        <v>1136</v>
      </c>
      <c r="D74" s="7"/>
      <c r="E74" s="7"/>
      <c r="F74" s="7"/>
      <c r="G74" s="7"/>
      <c r="H74" s="7">
        <v>1</v>
      </c>
      <c r="I74" s="7">
        <v>1</v>
      </c>
      <c r="J74" s="7"/>
      <c r="K74" s="7"/>
      <c r="L74" s="7"/>
      <c r="M74" s="7"/>
      <c r="N74" s="7"/>
      <c r="O74" s="7"/>
      <c r="P74" s="7"/>
      <c r="Q74" s="9">
        <f t="shared" si="2"/>
        <v>2</v>
      </c>
    </row>
    <row r="75" spans="1:17" ht="16.5" x14ac:dyDescent="0.3">
      <c r="A75" s="30" t="s">
        <v>1081</v>
      </c>
      <c r="B75" s="20" t="s">
        <v>89</v>
      </c>
      <c r="C75" s="26" t="s">
        <v>1080</v>
      </c>
      <c r="D75" s="7"/>
      <c r="E75" s="7"/>
      <c r="F75" s="7"/>
      <c r="G75" s="7"/>
      <c r="H75" s="7">
        <v>1</v>
      </c>
      <c r="I75" s="7">
        <v>1</v>
      </c>
      <c r="J75" s="7"/>
      <c r="K75" s="7"/>
      <c r="L75" s="7"/>
      <c r="M75" s="7"/>
      <c r="N75" s="7"/>
      <c r="O75" s="7"/>
      <c r="P75" s="7"/>
      <c r="Q75" s="9">
        <f t="shared" si="2"/>
        <v>2</v>
      </c>
    </row>
    <row r="76" spans="1:17" ht="16.5" x14ac:dyDescent="0.3">
      <c r="A76" s="30" t="s">
        <v>1139</v>
      </c>
      <c r="B76" s="20" t="s">
        <v>89</v>
      </c>
      <c r="C76" s="23" t="s">
        <v>1138</v>
      </c>
      <c r="D76" s="7"/>
      <c r="E76" s="7"/>
      <c r="F76" s="7"/>
      <c r="G76" s="7"/>
      <c r="H76" s="7">
        <v>1</v>
      </c>
      <c r="I76" s="7">
        <v>1</v>
      </c>
      <c r="J76" s="7"/>
      <c r="K76" s="7"/>
      <c r="L76" s="7"/>
      <c r="M76" s="7"/>
      <c r="N76" s="7"/>
      <c r="O76" s="7"/>
      <c r="P76" s="7"/>
      <c r="Q76" s="9">
        <f t="shared" si="2"/>
        <v>2</v>
      </c>
    </row>
    <row r="77" spans="1:17" ht="16.5" x14ac:dyDescent="0.3">
      <c r="A77" s="30" t="s">
        <v>1091</v>
      </c>
      <c r="B77" s="20" t="s">
        <v>89</v>
      </c>
      <c r="C77" s="23" t="s">
        <v>1090</v>
      </c>
      <c r="D77" s="7"/>
      <c r="E77" s="7"/>
      <c r="F77" s="7"/>
      <c r="G77" s="7"/>
      <c r="H77" s="7">
        <v>1</v>
      </c>
      <c r="I77" s="7">
        <v>0</v>
      </c>
      <c r="J77" s="7"/>
      <c r="K77" s="7"/>
      <c r="L77" s="7"/>
      <c r="M77" s="7"/>
      <c r="N77" s="7"/>
      <c r="O77" s="7"/>
      <c r="P77" s="7"/>
      <c r="Q77" s="9">
        <f t="shared" si="2"/>
        <v>1</v>
      </c>
    </row>
    <row r="78" spans="1:17" ht="16.5" x14ac:dyDescent="0.3">
      <c r="A78" s="30" t="s">
        <v>1073</v>
      </c>
      <c r="B78" s="20" t="s">
        <v>89</v>
      </c>
      <c r="C78" s="23" t="s">
        <v>1072</v>
      </c>
      <c r="D78" s="7"/>
      <c r="E78" s="7"/>
      <c r="F78" s="7"/>
      <c r="G78" s="7"/>
      <c r="H78" s="7">
        <v>1</v>
      </c>
      <c r="I78" s="7">
        <v>1</v>
      </c>
      <c r="J78" s="7"/>
      <c r="K78" s="7"/>
      <c r="L78" s="7"/>
      <c r="M78" s="7"/>
      <c r="N78" s="7"/>
      <c r="O78" s="7"/>
      <c r="P78" s="7"/>
      <c r="Q78" s="9">
        <f t="shared" si="2"/>
        <v>2</v>
      </c>
    </row>
    <row r="79" spans="1:17" ht="16.5" x14ac:dyDescent="0.3">
      <c r="A79" s="30" t="s">
        <v>1135</v>
      </c>
      <c r="B79" s="20" t="s">
        <v>89</v>
      </c>
      <c r="C79" s="23" t="s">
        <v>1134</v>
      </c>
      <c r="D79" s="7"/>
      <c r="E79" s="7"/>
      <c r="F79" s="7"/>
      <c r="G79" s="7"/>
      <c r="H79" s="7">
        <v>1</v>
      </c>
      <c r="I79" s="7">
        <v>0</v>
      </c>
      <c r="J79" s="7"/>
      <c r="K79" s="7"/>
      <c r="L79" s="7"/>
      <c r="M79" s="7"/>
      <c r="N79" s="7"/>
      <c r="O79" s="7"/>
      <c r="P79" s="7"/>
      <c r="Q79" s="9">
        <f t="shared" si="2"/>
        <v>1</v>
      </c>
    </row>
    <row r="80" spans="1:17" ht="16.5" x14ac:dyDescent="0.3">
      <c r="A80" s="30" t="s">
        <v>611</v>
      </c>
      <c r="B80" s="20" t="s">
        <v>89</v>
      </c>
      <c r="C80" s="23" t="s">
        <v>610</v>
      </c>
      <c r="D80" s="7"/>
      <c r="E80" s="7"/>
      <c r="F80" s="7"/>
      <c r="G80" s="7"/>
      <c r="H80" s="7">
        <v>1</v>
      </c>
      <c r="I80" s="7">
        <v>1</v>
      </c>
      <c r="J80" s="7"/>
      <c r="K80" s="7"/>
      <c r="L80" s="7"/>
      <c r="M80" s="7"/>
      <c r="N80" s="7"/>
      <c r="O80" s="7"/>
      <c r="P80" s="7"/>
      <c r="Q80" s="9">
        <f t="shared" si="2"/>
        <v>2</v>
      </c>
    </row>
    <row r="81" spans="1:17" ht="16.5" x14ac:dyDescent="0.3">
      <c r="A81" s="30" t="s">
        <v>1147</v>
      </c>
      <c r="B81" s="20" t="s">
        <v>89</v>
      </c>
      <c r="C81" s="26" t="s">
        <v>1146</v>
      </c>
      <c r="D81" s="7"/>
      <c r="E81" s="7"/>
      <c r="F81" s="7"/>
      <c r="G81" s="7"/>
      <c r="H81" s="7">
        <v>1</v>
      </c>
      <c r="I81" s="7">
        <v>1</v>
      </c>
      <c r="J81" s="7"/>
      <c r="K81" s="7"/>
      <c r="L81" s="7"/>
      <c r="M81" s="7"/>
      <c r="N81" s="7"/>
      <c r="O81" s="7"/>
      <c r="P81" s="7"/>
      <c r="Q81" s="9">
        <f t="shared" si="2"/>
        <v>2</v>
      </c>
    </row>
    <row r="82" spans="1:17" ht="16.5" x14ac:dyDescent="0.3">
      <c r="A82" s="30" t="s">
        <v>1075</v>
      </c>
      <c r="B82" s="20" t="s">
        <v>89</v>
      </c>
      <c r="C82" s="23" t="s">
        <v>1074</v>
      </c>
      <c r="D82" s="7"/>
      <c r="E82" s="7"/>
      <c r="F82" s="7"/>
      <c r="G82" s="7"/>
      <c r="H82" s="7">
        <v>1</v>
      </c>
      <c r="I82" s="7">
        <v>1</v>
      </c>
      <c r="J82" s="7"/>
      <c r="K82" s="7"/>
      <c r="L82" s="7"/>
      <c r="M82" s="7"/>
      <c r="N82" s="7"/>
      <c r="O82" s="7"/>
      <c r="P82" s="7"/>
      <c r="Q82" s="9">
        <f t="shared" si="2"/>
        <v>2</v>
      </c>
    </row>
    <row r="83" spans="1:17" ht="16.5" x14ac:dyDescent="0.3">
      <c r="A83" s="30" t="s">
        <v>1111</v>
      </c>
      <c r="B83" s="20" t="s">
        <v>89</v>
      </c>
      <c r="C83" s="23" t="s">
        <v>1110</v>
      </c>
      <c r="D83" s="7"/>
      <c r="E83" s="7"/>
      <c r="F83" s="7"/>
      <c r="G83" s="7"/>
      <c r="H83" s="7">
        <v>1</v>
      </c>
      <c r="I83" s="7">
        <v>1</v>
      </c>
      <c r="J83" s="7"/>
      <c r="K83" s="7"/>
      <c r="L83" s="7"/>
      <c r="M83" s="7"/>
      <c r="N83" s="7"/>
      <c r="O83" s="7"/>
      <c r="P83" s="7"/>
      <c r="Q83" s="9">
        <f t="shared" si="2"/>
        <v>2</v>
      </c>
    </row>
    <row r="84" spans="1:17" ht="16.5" x14ac:dyDescent="0.3">
      <c r="A84" s="30" t="s">
        <v>600</v>
      </c>
      <c r="B84" s="20" t="s">
        <v>89</v>
      </c>
      <c r="C84" s="23" t="s">
        <v>599</v>
      </c>
      <c r="D84" s="7"/>
      <c r="E84" s="7"/>
      <c r="F84" s="7"/>
      <c r="G84" s="7"/>
      <c r="H84" s="7">
        <v>1</v>
      </c>
      <c r="I84" s="7">
        <v>1</v>
      </c>
      <c r="J84" s="7"/>
      <c r="K84" s="7"/>
      <c r="L84" s="7"/>
      <c r="M84" s="7"/>
      <c r="N84" s="7"/>
      <c r="O84" s="7"/>
      <c r="P84" s="7"/>
      <c r="Q84" s="9">
        <f t="shared" si="2"/>
        <v>2</v>
      </c>
    </row>
    <row r="85" spans="1:17" ht="16.5" x14ac:dyDescent="0.3">
      <c r="A85" s="30" t="s">
        <v>609</v>
      </c>
      <c r="B85" s="20" t="s">
        <v>89</v>
      </c>
      <c r="C85" s="26" t="s">
        <v>608</v>
      </c>
      <c r="D85" s="7"/>
      <c r="E85" s="7"/>
      <c r="F85" s="7"/>
      <c r="G85" s="7"/>
      <c r="H85" s="7">
        <v>1</v>
      </c>
      <c r="I85" s="7">
        <v>1</v>
      </c>
      <c r="J85" s="7"/>
      <c r="K85" s="7"/>
      <c r="L85" s="7"/>
      <c r="M85" s="7"/>
      <c r="N85" s="7"/>
      <c r="O85" s="7"/>
      <c r="P85" s="7"/>
      <c r="Q85" s="9">
        <f t="shared" si="2"/>
        <v>2</v>
      </c>
    </row>
    <row r="86" spans="1:17" ht="16.5" x14ac:dyDescent="0.3">
      <c r="A86" s="30" t="s">
        <v>1097</v>
      </c>
      <c r="B86" s="20" t="s">
        <v>89</v>
      </c>
      <c r="C86" s="23" t="s">
        <v>1096</v>
      </c>
      <c r="D86" s="7"/>
      <c r="E86" s="7"/>
      <c r="F86" s="7"/>
      <c r="G86" s="7"/>
      <c r="H86" s="7">
        <v>1</v>
      </c>
      <c r="I86" s="7">
        <v>1</v>
      </c>
      <c r="J86" s="7"/>
      <c r="K86" s="7"/>
      <c r="L86" s="7"/>
      <c r="M86" s="7"/>
      <c r="N86" s="7"/>
      <c r="O86" s="7"/>
      <c r="P86" s="7"/>
      <c r="Q86" s="9">
        <f t="shared" si="2"/>
        <v>2</v>
      </c>
    </row>
    <row r="87" spans="1:17" ht="16.5" x14ac:dyDescent="0.3">
      <c r="A87" s="30" t="s">
        <v>607</v>
      </c>
      <c r="B87" s="20" t="s">
        <v>89</v>
      </c>
      <c r="C87" s="23" t="s">
        <v>606</v>
      </c>
      <c r="D87" s="7"/>
      <c r="E87" s="7"/>
      <c r="F87" s="7"/>
      <c r="G87" s="7"/>
      <c r="H87" s="7">
        <v>1</v>
      </c>
      <c r="I87" s="7">
        <v>1</v>
      </c>
      <c r="J87" s="7"/>
      <c r="K87" s="7"/>
      <c r="L87" s="7"/>
      <c r="M87" s="7"/>
      <c r="N87" s="7"/>
      <c r="O87" s="7"/>
      <c r="P87" s="7"/>
      <c r="Q87" s="9">
        <f t="shared" si="2"/>
        <v>2</v>
      </c>
    </row>
    <row r="88" spans="1:17" ht="16.5" x14ac:dyDescent="0.3">
      <c r="A88" s="30" t="s">
        <v>613</v>
      </c>
      <c r="B88" s="20" t="s">
        <v>89</v>
      </c>
      <c r="C88" s="23" t="s">
        <v>612</v>
      </c>
      <c r="D88" s="7"/>
      <c r="E88" s="7"/>
      <c r="F88" s="7"/>
      <c r="G88" s="7"/>
      <c r="H88" s="7">
        <v>1</v>
      </c>
      <c r="I88" s="7">
        <v>1</v>
      </c>
      <c r="J88" s="7"/>
      <c r="K88" s="7"/>
      <c r="L88" s="7"/>
      <c r="M88" s="7"/>
      <c r="N88" s="7"/>
      <c r="O88" s="7"/>
      <c r="P88" s="7"/>
      <c r="Q88" s="9">
        <f t="shared" si="2"/>
        <v>2</v>
      </c>
    </row>
    <row r="89" spans="1:17" ht="16.5" x14ac:dyDescent="0.3">
      <c r="A89" s="30" t="s">
        <v>615</v>
      </c>
      <c r="B89" s="20" t="s">
        <v>89</v>
      </c>
      <c r="C89" s="23" t="s">
        <v>614</v>
      </c>
      <c r="D89" s="7"/>
      <c r="E89" s="7"/>
      <c r="F89" s="7"/>
      <c r="G89" s="7"/>
      <c r="H89" s="7">
        <v>1</v>
      </c>
      <c r="I89" s="7">
        <v>1</v>
      </c>
      <c r="J89" s="7"/>
      <c r="K89" s="7"/>
      <c r="L89" s="7"/>
      <c r="M89" s="7"/>
      <c r="N89" s="7"/>
      <c r="O89" s="7"/>
      <c r="P89" s="7"/>
      <c r="Q89" s="9">
        <f t="shared" si="2"/>
        <v>2</v>
      </c>
    </row>
    <row r="90" spans="1:17" ht="16.5" x14ac:dyDescent="0.3">
      <c r="A90" s="30" t="s">
        <v>603</v>
      </c>
      <c r="B90" s="20" t="s">
        <v>89</v>
      </c>
      <c r="C90" s="23" t="s">
        <v>602</v>
      </c>
      <c r="D90" s="7"/>
      <c r="E90" s="7"/>
      <c r="F90" s="7"/>
      <c r="G90" s="7"/>
      <c r="H90" s="7">
        <v>1</v>
      </c>
      <c r="I90" s="7">
        <v>1</v>
      </c>
      <c r="J90" s="7"/>
      <c r="K90" s="7"/>
      <c r="L90" s="7"/>
      <c r="M90" s="7"/>
      <c r="N90" s="7"/>
      <c r="O90" s="7"/>
      <c r="P90" s="7"/>
      <c r="Q90" s="9">
        <f t="shared" si="2"/>
        <v>2</v>
      </c>
    </row>
    <row r="91" spans="1:17" ht="16.5" x14ac:dyDescent="0.3">
      <c r="A91" s="30" t="s">
        <v>605</v>
      </c>
      <c r="B91" s="20" t="s">
        <v>89</v>
      </c>
      <c r="C91" s="26" t="s">
        <v>604</v>
      </c>
      <c r="D91" s="7"/>
      <c r="E91" s="7"/>
      <c r="F91" s="7"/>
      <c r="G91" s="7"/>
      <c r="H91" s="7">
        <v>1</v>
      </c>
      <c r="I91" s="7">
        <v>1</v>
      </c>
      <c r="J91" s="7"/>
      <c r="K91" s="7"/>
      <c r="L91" s="7"/>
      <c r="M91" s="7"/>
      <c r="N91" s="7"/>
      <c r="O91" s="7"/>
      <c r="P91" s="7"/>
      <c r="Q91" s="9">
        <f t="shared" si="2"/>
        <v>2</v>
      </c>
    </row>
    <row r="92" spans="1:17" ht="16.5" x14ac:dyDescent="0.3">
      <c r="A92" s="30" t="s">
        <v>1077</v>
      </c>
      <c r="B92" s="20" t="s">
        <v>89</v>
      </c>
      <c r="C92" s="23" t="s">
        <v>1076</v>
      </c>
      <c r="D92" s="7"/>
      <c r="E92" s="7"/>
      <c r="F92" s="7"/>
      <c r="G92" s="7"/>
      <c r="H92" s="7">
        <v>1</v>
      </c>
      <c r="I92" s="7">
        <v>1</v>
      </c>
      <c r="J92" s="7"/>
      <c r="K92" s="7"/>
      <c r="L92" s="7"/>
      <c r="M92" s="7"/>
      <c r="N92" s="7"/>
      <c r="O92" s="7"/>
      <c r="P92" s="7"/>
      <c r="Q92" s="9">
        <f t="shared" si="2"/>
        <v>2</v>
      </c>
    </row>
    <row r="93" spans="1:17" ht="16.5" x14ac:dyDescent="0.3">
      <c r="A93" s="30" t="s">
        <v>1113</v>
      </c>
      <c r="B93" s="20" t="s">
        <v>89</v>
      </c>
      <c r="C93" s="23" t="s">
        <v>1112</v>
      </c>
      <c r="D93" s="7"/>
      <c r="E93" s="7"/>
      <c r="F93" s="7"/>
      <c r="G93" s="7"/>
      <c r="H93" s="7">
        <v>1</v>
      </c>
      <c r="I93" s="7">
        <v>1</v>
      </c>
      <c r="J93" s="7"/>
      <c r="K93" s="7"/>
      <c r="L93" s="7"/>
      <c r="M93" s="7"/>
      <c r="N93" s="7"/>
      <c r="O93" s="7"/>
      <c r="P93" s="7"/>
      <c r="Q93" s="9">
        <f t="shared" si="2"/>
        <v>2</v>
      </c>
    </row>
    <row r="94" spans="1:17" ht="16.5" x14ac:dyDescent="0.3">
      <c r="A94" s="30" t="s">
        <v>1095</v>
      </c>
      <c r="B94" s="20" t="s">
        <v>89</v>
      </c>
      <c r="C94" s="23" t="s">
        <v>1094</v>
      </c>
      <c r="D94" s="7"/>
      <c r="E94" s="7"/>
      <c r="F94" s="7"/>
      <c r="G94" s="7"/>
      <c r="H94" s="7">
        <v>1</v>
      </c>
      <c r="I94" s="7">
        <v>1</v>
      </c>
      <c r="J94" s="7"/>
      <c r="K94" s="7"/>
      <c r="L94" s="7"/>
      <c r="M94" s="7"/>
      <c r="N94" s="7"/>
      <c r="O94" s="7"/>
      <c r="P94" s="7"/>
      <c r="Q94" s="9">
        <f t="shared" si="2"/>
        <v>2</v>
      </c>
    </row>
    <row r="95" spans="1:17" ht="16.5" x14ac:dyDescent="0.3">
      <c r="A95" s="30" t="s">
        <v>1149</v>
      </c>
      <c r="B95" s="20" t="s">
        <v>89</v>
      </c>
      <c r="C95" s="26" t="s">
        <v>1427</v>
      </c>
      <c r="D95" s="7"/>
      <c r="E95" s="7"/>
      <c r="F95" s="7"/>
      <c r="G95" s="7"/>
      <c r="H95" s="7">
        <v>1</v>
      </c>
      <c r="I95" s="7">
        <v>0</v>
      </c>
      <c r="J95" s="7"/>
      <c r="K95" s="7"/>
      <c r="L95" s="7"/>
      <c r="M95" s="7"/>
      <c r="N95" s="7"/>
      <c r="O95" s="7"/>
      <c r="P95" s="7"/>
      <c r="Q95" s="9">
        <f t="shared" si="2"/>
        <v>1</v>
      </c>
    </row>
    <row r="96" spans="1:17" ht="16.5" x14ac:dyDescent="0.3">
      <c r="A96" s="30" t="s">
        <v>1125</v>
      </c>
      <c r="B96" s="20" t="s">
        <v>89</v>
      </c>
      <c r="C96" s="23" t="s">
        <v>1124</v>
      </c>
      <c r="D96" s="7"/>
      <c r="E96" s="7"/>
      <c r="F96" s="7"/>
      <c r="G96" s="7"/>
      <c r="H96" s="7">
        <v>1</v>
      </c>
      <c r="I96" s="7">
        <v>0</v>
      </c>
      <c r="J96" s="7"/>
      <c r="K96" s="7"/>
      <c r="L96" s="7"/>
      <c r="M96" s="7"/>
      <c r="N96" s="7"/>
      <c r="O96" s="7"/>
      <c r="P96" s="7"/>
      <c r="Q96" s="9">
        <f t="shared" si="2"/>
        <v>1</v>
      </c>
    </row>
    <row r="97" spans="1:17" ht="16.5" x14ac:dyDescent="0.3">
      <c r="A97" s="30" t="s">
        <v>1093</v>
      </c>
      <c r="B97" s="20" t="s">
        <v>89</v>
      </c>
      <c r="C97" s="23" t="s">
        <v>1092</v>
      </c>
      <c r="D97" s="7"/>
      <c r="E97" s="7"/>
      <c r="F97" s="7"/>
      <c r="G97" s="7"/>
      <c r="H97" s="7">
        <v>1</v>
      </c>
      <c r="I97" s="7">
        <v>0</v>
      </c>
      <c r="J97" s="7"/>
      <c r="K97" s="7"/>
      <c r="L97" s="7"/>
      <c r="M97" s="7"/>
      <c r="N97" s="7"/>
      <c r="O97" s="7"/>
      <c r="P97" s="7"/>
      <c r="Q97" s="9">
        <f t="shared" si="2"/>
        <v>1</v>
      </c>
    </row>
    <row r="98" spans="1:17" ht="16.5" x14ac:dyDescent="0.3">
      <c r="A98" s="30" t="s">
        <v>1356</v>
      </c>
      <c r="B98" s="20" t="s">
        <v>89</v>
      </c>
      <c r="C98" s="23" t="s">
        <v>1355</v>
      </c>
      <c r="D98" s="7"/>
      <c r="E98" s="7"/>
      <c r="F98" s="7"/>
      <c r="G98" s="7"/>
      <c r="H98" s="7">
        <v>1</v>
      </c>
      <c r="I98" s="7">
        <v>1</v>
      </c>
      <c r="J98" s="7"/>
      <c r="K98" s="7"/>
      <c r="L98" s="7"/>
      <c r="M98" s="7"/>
      <c r="N98" s="7"/>
      <c r="O98" s="7"/>
      <c r="P98" s="7"/>
      <c r="Q98" s="9">
        <f t="shared" si="2"/>
        <v>2</v>
      </c>
    </row>
    <row r="99" spans="1:17" ht="16.5" x14ac:dyDescent="0.3">
      <c r="A99" s="30" t="s">
        <v>654</v>
      </c>
      <c r="B99" s="20" t="s">
        <v>89</v>
      </c>
      <c r="C99" s="23" t="s">
        <v>653</v>
      </c>
      <c r="D99" s="7"/>
      <c r="E99" s="7"/>
      <c r="F99" s="7"/>
      <c r="G99" s="7"/>
      <c r="H99" s="7">
        <v>1</v>
      </c>
      <c r="I99" s="7">
        <v>0</v>
      </c>
      <c r="J99" s="7"/>
      <c r="K99" s="7"/>
      <c r="L99" s="7"/>
      <c r="M99" s="7"/>
      <c r="N99" s="7"/>
      <c r="O99" s="7"/>
      <c r="P99" s="7"/>
      <c r="Q99" s="9">
        <f t="shared" si="2"/>
        <v>1</v>
      </c>
    </row>
    <row r="100" spans="1:17" ht="16.5" x14ac:dyDescent="0.3">
      <c r="A100" s="30" t="s">
        <v>1115</v>
      </c>
      <c r="B100" s="20" t="s">
        <v>89</v>
      </c>
      <c r="C100" s="23" t="s">
        <v>1114</v>
      </c>
      <c r="D100" s="7"/>
      <c r="E100" s="7"/>
      <c r="F100" s="7"/>
      <c r="G100" s="7"/>
      <c r="H100" s="7">
        <v>1</v>
      </c>
      <c r="I100" s="7">
        <v>0</v>
      </c>
      <c r="J100" s="7"/>
      <c r="K100" s="7"/>
      <c r="L100" s="7"/>
      <c r="M100" s="7"/>
      <c r="N100" s="7"/>
      <c r="O100" s="7"/>
      <c r="P100" s="7"/>
      <c r="Q100" s="9">
        <f t="shared" si="2"/>
        <v>1</v>
      </c>
    </row>
    <row r="101" spans="1:17" ht="16.5" x14ac:dyDescent="0.3">
      <c r="A101" s="30" t="s">
        <v>1133</v>
      </c>
      <c r="B101" s="20" t="s">
        <v>89</v>
      </c>
      <c r="C101" s="26" t="s">
        <v>1132</v>
      </c>
      <c r="D101" s="7"/>
      <c r="E101" s="7"/>
      <c r="F101" s="7"/>
      <c r="G101" s="7"/>
      <c r="H101" s="7">
        <v>1</v>
      </c>
      <c r="I101" s="7">
        <v>1</v>
      </c>
      <c r="J101" s="7"/>
      <c r="K101" s="7"/>
      <c r="L101" s="7"/>
      <c r="M101" s="7"/>
      <c r="N101" s="7"/>
      <c r="O101" s="7"/>
      <c r="P101" s="7"/>
      <c r="Q101" s="9">
        <f t="shared" si="2"/>
        <v>2</v>
      </c>
    </row>
    <row r="102" spans="1:17" ht="16.5" x14ac:dyDescent="0.3">
      <c r="A102" s="30" t="s">
        <v>656</v>
      </c>
      <c r="B102" s="20" t="s">
        <v>89</v>
      </c>
      <c r="C102" s="23" t="s">
        <v>655</v>
      </c>
      <c r="D102" s="7"/>
      <c r="E102" s="7"/>
      <c r="F102" s="7"/>
      <c r="G102" s="7"/>
      <c r="H102" s="7">
        <v>1</v>
      </c>
      <c r="I102" s="7">
        <v>1</v>
      </c>
      <c r="J102" s="7"/>
      <c r="K102" s="7"/>
      <c r="L102" s="7"/>
      <c r="M102" s="7"/>
      <c r="N102" s="7"/>
      <c r="O102" s="7"/>
      <c r="P102" s="7"/>
      <c r="Q102" s="9">
        <f t="shared" si="2"/>
        <v>2</v>
      </c>
    </row>
    <row r="103" spans="1:17" ht="16.5" x14ac:dyDescent="0.3">
      <c r="A103" s="30" t="s">
        <v>1117</v>
      </c>
      <c r="B103" s="20" t="s">
        <v>89</v>
      </c>
      <c r="C103" s="23" t="s">
        <v>1116</v>
      </c>
      <c r="D103" s="7"/>
      <c r="E103" s="7"/>
      <c r="F103" s="7"/>
      <c r="G103" s="7"/>
      <c r="H103" s="7">
        <v>1</v>
      </c>
      <c r="I103" s="7">
        <v>1</v>
      </c>
      <c r="J103" s="7"/>
      <c r="K103" s="7"/>
      <c r="L103" s="7"/>
      <c r="M103" s="7"/>
      <c r="N103" s="7"/>
      <c r="O103" s="7"/>
      <c r="P103" s="7"/>
      <c r="Q103" s="9">
        <f t="shared" si="2"/>
        <v>2</v>
      </c>
    </row>
    <row r="104" spans="1:17" ht="16.5" x14ac:dyDescent="0.3">
      <c r="A104" s="30" t="s">
        <v>1127</v>
      </c>
      <c r="B104" s="20" t="s">
        <v>89</v>
      </c>
      <c r="C104" s="23" t="s">
        <v>1126</v>
      </c>
      <c r="D104" s="7"/>
      <c r="E104" s="7"/>
      <c r="F104" s="7"/>
      <c r="G104" s="7"/>
      <c r="H104" s="7">
        <v>1</v>
      </c>
      <c r="I104" s="7">
        <v>1</v>
      </c>
      <c r="J104" s="7"/>
      <c r="K104" s="7"/>
      <c r="L104" s="7"/>
      <c r="M104" s="7"/>
      <c r="N104" s="7"/>
      <c r="O104" s="7"/>
      <c r="P104" s="7"/>
      <c r="Q104" s="9">
        <f t="shared" ref="Q104:Q107" si="3">SUM(D104:N104)</f>
        <v>2</v>
      </c>
    </row>
    <row r="105" spans="1:17" ht="16.5" x14ac:dyDescent="0.3">
      <c r="A105" s="30" t="s">
        <v>652</v>
      </c>
      <c r="B105" s="20" t="s">
        <v>89</v>
      </c>
      <c r="C105" s="26" t="s">
        <v>651</v>
      </c>
      <c r="D105" s="7"/>
      <c r="E105" s="7"/>
      <c r="F105" s="7"/>
      <c r="G105" s="7"/>
      <c r="H105" s="7">
        <v>1</v>
      </c>
      <c r="I105" s="7">
        <v>1</v>
      </c>
      <c r="J105" s="7"/>
      <c r="K105" s="7"/>
      <c r="L105" s="7"/>
      <c r="M105" s="7"/>
      <c r="N105" s="7"/>
      <c r="O105" s="7"/>
      <c r="P105" s="7"/>
      <c r="Q105" s="9">
        <f t="shared" si="3"/>
        <v>2</v>
      </c>
    </row>
    <row r="106" spans="1:17" ht="16.5" x14ac:dyDescent="0.3">
      <c r="A106" s="30" t="s">
        <v>642</v>
      </c>
      <c r="B106" s="20" t="s">
        <v>89</v>
      </c>
      <c r="C106" s="23" t="s">
        <v>641</v>
      </c>
      <c r="D106" s="7"/>
      <c r="E106" s="7"/>
      <c r="F106" s="7"/>
      <c r="G106" s="7"/>
      <c r="H106" s="7">
        <v>1</v>
      </c>
      <c r="I106" s="7">
        <v>1</v>
      </c>
      <c r="J106" s="7"/>
      <c r="K106" s="7"/>
      <c r="L106" s="7"/>
      <c r="M106" s="7"/>
      <c r="N106" s="7"/>
      <c r="O106" s="7"/>
      <c r="P106" s="7"/>
      <c r="Q106" s="9">
        <f t="shared" si="3"/>
        <v>2</v>
      </c>
    </row>
    <row r="107" spans="1:17" ht="17.25" thickBot="1" x14ac:dyDescent="0.35">
      <c r="A107" s="30" t="s">
        <v>644</v>
      </c>
      <c r="B107" s="20" t="s">
        <v>89</v>
      </c>
      <c r="C107" s="23" t="s">
        <v>643</v>
      </c>
      <c r="D107" s="7"/>
      <c r="E107" s="7"/>
      <c r="F107" s="7"/>
      <c r="G107" s="7"/>
      <c r="H107" s="7">
        <v>1</v>
      </c>
      <c r="I107" s="7">
        <v>1</v>
      </c>
      <c r="J107" s="7"/>
      <c r="K107" s="7"/>
      <c r="L107" s="7"/>
      <c r="M107" s="7"/>
      <c r="N107" s="7"/>
      <c r="O107" s="7"/>
      <c r="P107" s="7"/>
      <c r="Q107" s="9">
        <f t="shared" si="3"/>
        <v>2</v>
      </c>
    </row>
    <row r="108" spans="1:17" ht="15.75" thickBot="1" x14ac:dyDescent="0.3">
      <c r="C108" s="13" t="s">
        <v>1378</v>
      </c>
      <c r="D108" s="14">
        <f t="shared" ref="D108" si="4">SUM(D77:D107)</f>
        <v>0</v>
      </c>
      <c r="E108" s="14">
        <f>SUM(E39:E107)</f>
        <v>0</v>
      </c>
      <c r="F108" s="14">
        <f t="shared" ref="F108:N108" si="5">SUM(F39:F107)</f>
        <v>0</v>
      </c>
      <c r="G108" s="14">
        <f t="shared" si="5"/>
        <v>0</v>
      </c>
      <c r="H108" s="14">
        <f t="shared" si="5"/>
        <v>69</v>
      </c>
      <c r="I108" s="14">
        <f t="shared" si="5"/>
        <v>61</v>
      </c>
      <c r="J108" s="14">
        <f t="shared" si="5"/>
        <v>0</v>
      </c>
      <c r="K108" s="14">
        <f t="shared" si="5"/>
        <v>0</v>
      </c>
      <c r="L108" s="14">
        <f t="shared" si="5"/>
        <v>0</v>
      </c>
      <c r="M108" s="14">
        <f t="shared" si="5"/>
        <v>0</v>
      </c>
      <c r="N108" s="14">
        <f t="shared" si="5"/>
        <v>0</v>
      </c>
      <c r="O108" s="191"/>
      <c r="P108" s="191"/>
      <c r="Q108" s="95">
        <f>SUM(F108:N108)</f>
        <v>130</v>
      </c>
    </row>
    <row r="111" spans="1:17" x14ac:dyDescent="0.25">
      <c r="A111" s="369" t="s">
        <v>1380</v>
      </c>
      <c r="B111" s="369"/>
      <c r="C111" s="369"/>
    </row>
    <row r="112" spans="1:17" x14ac:dyDescent="0.25">
      <c r="A112" s="161">
        <v>44287</v>
      </c>
      <c r="B112" s="3" t="s">
        <v>1381</v>
      </c>
      <c r="C112" s="370">
        <v>189000000</v>
      </c>
    </row>
    <row r="113" spans="1:3" x14ac:dyDescent="0.25">
      <c r="A113" s="161">
        <v>44317</v>
      </c>
      <c r="B113" s="3" t="s">
        <v>1381</v>
      </c>
      <c r="C113" s="371"/>
    </row>
    <row r="114" spans="1:3" x14ac:dyDescent="0.25">
      <c r="A114" s="161">
        <v>44348</v>
      </c>
      <c r="B114" s="3" t="s">
        <v>1381</v>
      </c>
      <c r="C114" s="371"/>
    </row>
    <row r="115" spans="1:3" x14ac:dyDescent="0.25">
      <c r="A115" s="161">
        <v>44378</v>
      </c>
      <c r="B115" s="3" t="s">
        <v>1381</v>
      </c>
      <c r="C115" s="371"/>
    </row>
    <row r="116" spans="1:3" x14ac:dyDescent="0.25">
      <c r="A116" s="161">
        <v>44409</v>
      </c>
      <c r="B116" s="3" t="s">
        <v>1381</v>
      </c>
      <c r="C116" s="371"/>
    </row>
    <row r="117" spans="1:3" x14ac:dyDescent="0.25">
      <c r="A117" s="161">
        <v>44440</v>
      </c>
      <c r="B117" s="3" t="s">
        <v>1381</v>
      </c>
      <c r="C117" s="372"/>
    </row>
    <row r="118" spans="1:3" x14ac:dyDescent="0.25">
      <c r="A118" s="161">
        <v>44470</v>
      </c>
      <c r="B118" s="3" t="s">
        <v>1381</v>
      </c>
      <c r="C118" s="162">
        <v>31500000</v>
      </c>
    </row>
    <row r="119" spans="1:3" x14ac:dyDescent="0.25">
      <c r="A119" s="161">
        <v>44501</v>
      </c>
      <c r="B119" s="3" t="s">
        <v>1381</v>
      </c>
      <c r="C119" s="162">
        <v>31500000</v>
      </c>
    </row>
    <row r="120" spans="1:3" x14ac:dyDescent="0.25">
      <c r="A120" s="161">
        <v>44531</v>
      </c>
      <c r="B120" s="3" t="s">
        <v>1381</v>
      </c>
      <c r="C120" s="162">
        <v>31500000</v>
      </c>
    </row>
    <row r="121" spans="1:3" x14ac:dyDescent="0.25">
      <c r="A121" s="161">
        <v>44562</v>
      </c>
      <c r="B121" s="3" t="s">
        <v>1381</v>
      </c>
      <c r="C121" s="162">
        <v>31500000</v>
      </c>
    </row>
    <row r="122" spans="1:3" x14ac:dyDescent="0.25">
      <c r="A122" s="161">
        <v>44593</v>
      </c>
      <c r="B122" s="3" t="s">
        <v>1381</v>
      </c>
      <c r="C122" s="162">
        <v>31500000</v>
      </c>
    </row>
    <row r="123" spans="1:3" x14ac:dyDescent="0.25">
      <c r="A123" s="161">
        <v>44621</v>
      </c>
      <c r="B123" s="3" t="s">
        <v>1381</v>
      </c>
      <c r="C123" s="162">
        <v>31500000</v>
      </c>
    </row>
    <row r="124" spans="1:3" x14ac:dyDescent="0.25">
      <c r="A124" s="161">
        <v>44652</v>
      </c>
      <c r="B124" s="3" t="s">
        <v>1381</v>
      </c>
      <c r="C124" s="162">
        <v>31500000</v>
      </c>
    </row>
    <row r="125" spans="1:3" x14ac:dyDescent="0.25">
      <c r="A125" s="161">
        <v>44682</v>
      </c>
      <c r="B125" s="3" t="s">
        <v>1381</v>
      </c>
      <c r="C125" s="162">
        <f>C124+14000000</f>
        <v>45500000</v>
      </c>
    </row>
    <row r="126" spans="1:3" x14ac:dyDescent="0.25">
      <c r="A126" s="161">
        <v>44713</v>
      </c>
      <c r="B126" s="3" t="s">
        <v>1381</v>
      </c>
      <c r="C126" s="162">
        <v>45500000</v>
      </c>
    </row>
    <row r="127" spans="1:3" x14ac:dyDescent="0.25">
      <c r="A127" s="161">
        <v>44743</v>
      </c>
      <c r="B127" s="3" t="s">
        <v>1381</v>
      </c>
      <c r="C127" s="162">
        <v>45500000</v>
      </c>
    </row>
    <row r="128" spans="1:3" x14ac:dyDescent="0.25">
      <c r="A128" s="161">
        <v>44774</v>
      </c>
      <c r="B128" s="3" t="s">
        <v>1381</v>
      </c>
      <c r="C128" s="162">
        <v>45500000</v>
      </c>
    </row>
  </sheetData>
  <autoFilter ref="B2:Q33" xr:uid="{00000000-0009-0000-0000-000004000000}"/>
  <mergeCells count="4">
    <mergeCell ref="A1:Q1"/>
    <mergeCell ref="A37:Q37"/>
    <mergeCell ref="A111:C111"/>
    <mergeCell ref="C112:C117"/>
  </mergeCells>
  <conditionalFormatting sqref="A3:A33">
    <cfRule type="duplicateValues" dxfId="64" priority="2"/>
  </conditionalFormatting>
  <conditionalFormatting sqref="A39:A107">
    <cfRule type="duplicateValues" dxfId="63" priority="1"/>
  </conditionalFormatting>
  <pageMargins left="0.7" right="0.7" top="0.75" bottom="0.75" header="0.3" footer="0.3"/>
  <pageSetup orientation="portrait" r:id="rId1"/>
  <ignoredErrors>
    <ignoredError sqref="F34:P34 D34:E34 E108:N10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29"/>
  <sheetViews>
    <sheetView zoomScale="70" zoomScaleNormal="70" workbookViewId="0">
      <pane xSplit="3" ySplit="2" topLeftCell="F108" activePane="bottomRight" state="frozen"/>
      <selection pane="topRight" activeCell="H29" sqref="H29"/>
      <selection pane="bottomLeft" activeCell="H29" sqref="H29"/>
      <selection pane="bottomRight" activeCell="G125" sqref="G125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45.7109375" customWidth="1"/>
    <col min="4" max="18" width="14.5703125" customWidth="1"/>
  </cols>
  <sheetData>
    <row r="1" spans="1:18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</row>
    <row r="2" spans="1:18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>
        <v>44713</v>
      </c>
      <c r="R2" s="6" t="s">
        <v>1376</v>
      </c>
    </row>
    <row r="3" spans="1:18" ht="16.5" x14ac:dyDescent="0.3">
      <c r="A3" s="31" t="s">
        <v>86</v>
      </c>
      <c r="B3" s="10" t="s">
        <v>23</v>
      </c>
      <c r="C3" s="83" t="s">
        <v>85</v>
      </c>
      <c r="D3" s="7">
        <v>0</v>
      </c>
      <c r="E3" s="7">
        <v>0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/>
      <c r="L3" s="7"/>
      <c r="M3" s="7">
        <v>1</v>
      </c>
      <c r="N3" s="7">
        <v>1</v>
      </c>
      <c r="O3" s="286">
        <v>1</v>
      </c>
      <c r="R3" s="9">
        <f>SUM(D3:Q3)</f>
        <v>8</v>
      </c>
    </row>
    <row r="4" spans="1:18" ht="16.5" x14ac:dyDescent="0.3">
      <c r="A4" s="153" t="s">
        <v>360</v>
      </c>
      <c r="B4" s="154" t="s">
        <v>23</v>
      </c>
      <c r="C4" s="70" t="s">
        <v>359</v>
      </c>
      <c r="D4" s="86">
        <v>0</v>
      </c>
      <c r="E4" s="86">
        <v>0</v>
      </c>
      <c r="F4" s="86">
        <v>1</v>
      </c>
      <c r="G4" s="86">
        <v>1</v>
      </c>
      <c r="H4" s="86">
        <v>1</v>
      </c>
      <c r="I4" s="86">
        <v>1</v>
      </c>
      <c r="J4" s="86">
        <v>1</v>
      </c>
      <c r="K4" s="86"/>
      <c r="L4" s="86"/>
      <c r="M4" s="86">
        <v>1</v>
      </c>
      <c r="N4" s="86">
        <v>1</v>
      </c>
      <c r="O4" s="86"/>
      <c r="P4" s="86"/>
      <c r="Q4" s="86"/>
      <c r="R4" s="9">
        <f t="shared" ref="R4:R24" si="0">SUM(D4:Q4)</f>
        <v>7</v>
      </c>
    </row>
    <row r="5" spans="1:18" ht="16.5" x14ac:dyDescent="0.3">
      <c r="A5" s="30" t="s">
        <v>320</v>
      </c>
      <c r="B5" s="10" t="s">
        <v>23</v>
      </c>
      <c r="C5" s="23" t="s">
        <v>319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/>
      <c r="L5" s="7"/>
      <c r="M5" s="7">
        <v>1</v>
      </c>
      <c r="N5" s="7">
        <v>1</v>
      </c>
      <c r="O5" s="286">
        <v>1</v>
      </c>
      <c r="P5" s="286">
        <v>1</v>
      </c>
      <c r="Q5" s="286">
        <v>1</v>
      </c>
      <c r="R5" s="9">
        <f t="shared" si="0"/>
        <v>10</v>
      </c>
    </row>
    <row r="6" spans="1:18" ht="16.5" x14ac:dyDescent="0.3">
      <c r="A6" s="30" t="s">
        <v>351</v>
      </c>
      <c r="B6" s="10" t="s">
        <v>23</v>
      </c>
      <c r="C6" s="23" t="s">
        <v>350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/>
      <c r="L6" s="7"/>
      <c r="M6" s="7">
        <v>1</v>
      </c>
      <c r="N6" s="7">
        <v>1</v>
      </c>
      <c r="O6" s="286">
        <v>1</v>
      </c>
      <c r="P6" s="7"/>
      <c r="Q6" s="7"/>
      <c r="R6" s="9">
        <f t="shared" si="0"/>
        <v>8</v>
      </c>
    </row>
    <row r="7" spans="1:18" ht="16.5" x14ac:dyDescent="0.3">
      <c r="A7" s="30" t="s">
        <v>169</v>
      </c>
      <c r="B7" s="10" t="s">
        <v>23</v>
      </c>
      <c r="C7" s="26" t="s">
        <v>168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/>
      <c r="L7" s="7"/>
      <c r="M7" s="7">
        <v>1</v>
      </c>
      <c r="N7" s="7">
        <v>1</v>
      </c>
      <c r="O7" s="7">
        <v>1</v>
      </c>
      <c r="P7" s="286">
        <v>1</v>
      </c>
      <c r="Q7" s="286">
        <v>1</v>
      </c>
      <c r="R7" s="9">
        <f t="shared" si="0"/>
        <v>10</v>
      </c>
    </row>
    <row r="8" spans="1:18" ht="16.5" x14ac:dyDescent="0.3">
      <c r="A8" s="30" t="s">
        <v>380</v>
      </c>
      <c r="B8" s="10" t="s">
        <v>23</v>
      </c>
      <c r="C8" s="26" t="s">
        <v>379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/>
      <c r="L8" s="7"/>
      <c r="M8" s="7">
        <v>1</v>
      </c>
      <c r="N8" s="7">
        <v>1</v>
      </c>
      <c r="O8" s="286">
        <v>1</v>
      </c>
      <c r="P8" s="7"/>
      <c r="Q8" s="7"/>
      <c r="R8" s="9">
        <f t="shared" si="0"/>
        <v>8</v>
      </c>
    </row>
    <row r="9" spans="1:18" ht="16.5" x14ac:dyDescent="0.3">
      <c r="A9" s="30" t="s">
        <v>43</v>
      </c>
      <c r="B9" s="10" t="s">
        <v>23</v>
      </c>
      <c r="C9" s="23" t="s">
        <v>42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/>
      <c r="L9" s="7"/>
      <c r="M9" s="7">
        <v>1</v>
      </c>
      <c r="N9" s="7">
        <v>1</v>
      </c>
      <c r="O9" s="7">
        <v>1</v>
      </c>
      <c r="P9" s="286">
        <v>1</v>
      </c>
      <c r="Q9" s="7"/>
      <c r="R9" s="9">
        <f t="shared" si="0"/>
        <v>9</v>
      </c>
    </row>
    <row r="10" spans="1:18" ht="16.5" x14ac:dyDescent="0.3">
      <c r="A10" s="30" t="s">
        <v>212</v>
      </c>
      <c r="B10" s="10" t="s">
        <v>23</v>
      </c>
      <c r="C10" s="26" t="s">
        <v>211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/>
      <c r="L10" s="7"/>
      <c r="M10" s="7">
        <v>1</v>
      </c>
      <c r="N10" s="7">
        <v>1</v>
      </c>
      <c r="O10" s="286">
        <v>1</v>
      </c>
      <c r="P10" s="286">
        <v>1</v>
      </c>
      <c r="Q10" s="7"/>
      <c r="R10" s="9">
        <f t="shared" si="0"/>
        <v>9</v>
      </c>
    </row>
    <row r="11" spans="1:18" ht="16.5" x14ac:dyDescent="0.3">
      <c r="A11" s="30" t="s">
        <v>390</v>
      </c>
      <c r="B11" s="10" t="s">
        <v>23</v>
      </c>
      <c r="C11" s="23" t="s">
        <v>389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/>
      <c r="L11" s="7"/>
      <c r="M11" s="286">
        <v>1</v>
      </c>
      <c r="N11" s="286">
        <v>1</v>
      </c>
      <c r="O11" s="286">
        <v>1</v>
      </c>
      <c r="P11" s="7"/>
      <c r="Q11" s="7"/>
      <c r="R11" s="9">
        <f t="shared" si="0"/>
        <v>8</v>
      </c>
    </row>
    <row r="12" spans="1:18" ht="16.5" x14ac:dyDescent="0.3">
      <c r="A12" s="30" t="s">
        <v>382</v>
      </c>
      <c r="B12" s="10" t="s">
        <v>23</v>
      </c>
      <c r="C12" s="23" t="s">
        <v>381</v>
      </c>
      <c r="D12" s="7">
        <v>0</v>
      </c>
      <c r="E12" s="7">
        <v>0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/>
      <c r="L12" s="7"/>
      <c r="M12" s="286">
        <v>1</v>
      </c>
      <c r="N12" s="286">
        <v>1</v>
      </c>
      <c r="O12" s="286">
        <v>1</v>
      </c>
      <c r="P12" s="7"/>
      <c r="Q12" s="7"/>
      <c r="R12" s="9">
        <f t="shared" si="0"/>
        <v>8</v>
      </c>
    </row>
    <row r="13" spans="1:18" ht="16.5" x14ac:dyDescent="0.3">
      <c r="A13" s="30" t="s">
        <v>98</v>
      </c>
      <c r="B13" s="10" t="s">
        <v>23</v>
      </c>
      <c r="C13" s="23" t="s">
        <v>97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/>
      <c r="L13" s="7"/>
      <c r="M13" s="7">
        <v>1</v>
      </c>
      <c r="N13" s="7">
        <v>1</v>
      </c>
      <c r="O13" s="286">
        <v>1</v>
      </c>
      <c r="P13" s="286">
        <v>1</v>
      </c>
      <c r="Q13" s="7"/>
      <c r="R13" s="9">
        <f t="shared" si="0"/>
        <v>9</v>
      </c>
    </row>
    <row r="14" spans="1:18" ht="16.5" x14ac:dyDescent="0.3">
      <c r="A14" s="30" t="s">
        <v>143</v>
      </c>
      <c r="B14" s="10" t="s">
        <v>23</v>
      </c>
      <c r="C14" s="26" t="s">
        <v>142</v>
      </c>
      <c r="D14" s="7">
        <v>0</v>
      </c>
      <c r="E14" s="7">
        <v>0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/>
      <c r="L14" s="7"/>
      <c r="M14" s="7">
        <v>1</v>
      </c>
      <c r="N14" s="7">
        <v>1</v>
      </c>
      <c r="O14" s="286">
        <v>1</v>
      </c>
      <c r="P14" s="7"/>
      <c r="Q14" s="7"/>
      <c r="R14" s="9">
        <f t="shared" si="0"/>
        <v>8</v>
      </c>
    </row>
    <row r="15" spans="1:18" ht="16.5" x14ac:dyDescent="0.3">
      <c r="A15" s="30" t="s">
        <v>224</v>
      </c>
      <c r="B15" s="10" t="s">
        <v>23</v>
      </c>
      <c r="C15" s="23" t="s">
        <v>223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/>
      <c r="L15" s="7"/>
      <c r="M15" s="7">
        <v>1</v>
      </c>
      <c r="N15" s="7">
        <v>1</v>
      </c>
      <c r="O15" s="7">
        <v>1</v>
      </c>
      <c r="P15" s="7"/>
      <c r="Q15" s="7"/>
      <c r="R15" s="9">
        <f t="shared" si="0"/>
        <v>8</v>
      </c>
    </row>
    <row r="16" spans="1:18" ht="16.5" x14ac:dyDescent="0.3">
      <c r="A16" s="153" t="s">
        <v>343</v>
      </c>
      <c r="B16" s="154" t="s">
        <v>23</v>
      </c>
      <c r="C16" s="70" t="s">
        <v>342</v>
      </c>
      <c r="D16" s="86">
        <v>0</v>
      </c>
      <c r="E16" s="86">
        <v>0</v>
      </c>
      <c r="F16" s="86">
        <v>1</v>
      </c>
      <c r="G16" s="86">
        <v>1</v>
      </c>
      <c r="H16" s="86">
        <v>1</v>
      </c>
      <c r="I16" s="86">
        <v>1</v>
      </c>
      <c r="J16" s="86">
        <v>1</v>
      </c>
      <c r="K16" s="86"/>
      <c r="L16" s="86"/>
      <c r="M16" s="86">
        <v>1</v>
      </c>
      <c r="N16" s="86">
        <v>1</v>
      </c>
      <c r="O16" s="86"/>
      <c r="P16" s="86"/>
      <c r="Q16" s="86"/>
      <c r="R16" s="9">
        <f t="shared" si="0"/>
        <v>7</v>
      </c>
    </row>
    <row r="17" spans="1:18" s="12" customFormat="1" ht="16.5" x14ac:dyDescent="0.3">
      <c r="A17" s="30" t="s">
        <v>137</v>
      </c>
      <c r="B17" s="10" t="s">
        <v>23</v>
      </c>
      <c r="C17" s="23" t="s">
        <v>136</v>
      </c>
      <c r="D17" s="48">
        <v>0</v>
      </c>
      <c r="E17" s="48">
        <v>0</v>
      </c>
      <c r="F17" s="48">
        <v>1</v>
      </c>
      <c r="G17" s="48">
        <v>1</v>
      </c>
      <c r="H17" s="48">
        <v>1</v>
      </c>
      <c r="I17" s="48">
        <v>1</v>
      </c>
      <c r="J17" s="48">
        <v>1</v>
      </c>
      <c r="K17" s="11"/>
      <c r="L17" s="11"/>
      <c r="M17" s="7">
        <v>1</v>
      </c>
      <c r="N17" s="7">
        <v>1</v>
      </c>
      <c r="O17" s="286">
        <v>1</v>
      </c>
      <c r="P17" s="7"/>
      <c r="Q17" s="7"/>
      <c r="R17" s="9">
        <f t="shared" si="0"/>
        <v>8</v>
      </c>
    </row>
    <row r="18" spans="1:18" ht="16.5" x14ac:dyDescent="0.3">
      <c r="A18" s="30" t="s">
        <v>204</v>
      </c>
      <c r="B18" s="10" t="s">
        <v>23</v>
      </c>
      <c r="C18" s="23" t="s">
        <v>203</v>
      </c>
      <c r="D18" s="7">
        <v>0</v>
      </c>
      <c r="E18" s="7">
        <v>0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/>
      <c r="L18" s="7"/>
      <c r="M18" s="7">
        <v>1</v>
      </c>
      <c r="N18" s="7">
        <v>1</v>
      </c>
      <c r="O18" s="7">
        <v>1</v>
      </c>
      <c r="P18" s="7"/>
      <c r="Q18" s="7"/>
      <c r="R18" s="9">
        <f t="shared" si="0"/>
        <v>8</v>
      </c>
    </row>
    <row r="19" spans="1:18" ht="16.5" x14ac:dyDescent="0.3">
      <c r="A19" s="30" t="s">
        <v>190</v>
      </c>
      <c r="B19" s="10" t="s">
        <v>23</v>
      </c>
      <c r="C19" s="23" t="s">
        <v>189</v>
      </c>
      <c r="D19" s="7">
        <v>0</v>
      </c>
      <c r="E19" s="7">
        <v>0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/>
      <c r="L19" s="7"/>
      <c r="M19" s="7">
        <v>1</v>
      </c>
      <c r="N19" s="7">
        <v>1</v>
      </c>
      <c r="O19" s="286">
        <v>1</v>
      </c>
      <c r="P19" s="286">
        <v>1</v>
      </c>
      <c r="Q19" s="7"/>
      <c r="R19" s="9">
        <f t="shared" si="0"/>
        <v>9</v>
      </c>
    </row>
    <row r="20" spans="1:18" ht="16.5" x14ac:dyDescent="0.3">
      <c r="A20" s="30" t="s">
        <v>216</v>
      </c>
      <c r="B20" s="10" t="s">
        <v>23</v>
      </c>
      <c r="C20" s="23" t="s">
        <v>215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/>
      <c r="L20" s="7"/>
      <c r="M20" s="7">
        <v>1</v>
      </c>
      <c r="N20" s="7">
        <v>1</v>
      </c>
      <c r="O20" s="286">
        <v>1</v>
      </c>
      <c r="P20" s="7"/>
      <c r="Q20" s="7"/>
      <c r="R20" s="9">
        <f t="shared" si="0"/>
        <v>8</v>
      </c>
    </row>
    <row r="21" spans="1:18" ht="16.5" x14ac:dyDescent="0.3">
      <c r="A21" s="30" t="s">
        <v>67</v>
      </c>
      <c r="B21" s="10" t="s">
        <v>23</v>
      </c>
      <c r="C21" s="23" t="s">
        <v>66</v>
      </c>
      <c r="D21" s="7">
        <v>0</v>
      </c>
      <c r="E21" s="7">
        <v>0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/>
      <c r="L21" s="7"/>
      <c r="M21" s="7">
        <v>1</v>
      </c>
      <c r="N21" s="7">
        <v>1</v>
      </c>
      <c r="O21" s="286">
        <v>1</v>
      </c>
      <c r="P21" s="7"/>
      <c r="Q21" s="7"/>
      <c r="R21" s="9">
        <f t="shared" si="0"/>
        <v>8</v>
      </c>
    </row>
    <row r="22" spans="1:18" ht="16.5" x14ac:dyDescent="0.3">
      <c r="A22" s="30" t="s">
        <v>102</v>
      </c>
      <c r="B22" s="10" t="s">
        <v>23</v>
      </c>
      <c r="C22" s="23" t="s">
        <v>101</v>
      </c>
      <c r="D22" s="7">
        <v>0</v>
      </c>
      <c r="E22" s="7">
        <v>0</v>
      </c>
      <c r="F22" s="7">
        <v>1</v>
      </c>
      <c r="G22" s="7">
        <v>1</v>
      </c>
      <c r="H22" s="7">
        <v>1</v>
      </c>
      <c r="I22" s="7">
        <v>1</v>
      </c>
      <c r="J22" s="7">
        <v>1</v>
      </c>
      <c r="K22" s="7"/>
      <c r="L22" s="7"/>
      <c r="M22" s="7">
        <v>1</v>
      </c>
      <c r="N22" s="7">
        <v>1</v>
      </c>
      <c r="O22" s="7">
        <v>1</v>
      </c>
      <c r="P22" s="286">
        <v>1</v>
      </c>
      <c r="Q22" s="286">
        <v>1</v>
      </c>
      <c r="R22" s="9">
        <f t="shared" si="0"/>
        <v>10</v>
      </c>
    </row>
    <row r="23" spans="1:18" ht="16.5" x14ac:dyDescent="0.3">
      <c r="A23" s="30" t="s">
        <v>25</v>
      </c>
      <c r="B23" s="10" t="s">
        <v>23</v>
      </c>
      <c r="C23" s="23" t="s">
        <v>24</v>
      </c>
      <c r="D23" s="7">
        <v>0</v>
      </c>
      <c r="E23" s="7">
        <v>0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/>
      <c r="L23" s="7"/>
      <c r="M23" s="7">
        <v>1</v>
      </c>
      <c r="N23" s="7">
        <v>1</v>
      </c>
      <c r="O23" s="7">
        <v>1</v>
      </c>
      <c r="P23" s="286">
        <v>1</v>
      </c>
      <c r="Q23" s="7"/>
      <c r="R23" s="9">
        <f t="shared" si="0"/>
        <v>9</v>
      </c>
    </row>
    <row r="24" spans="1:18" ht="17.25" thickBot="1" x14ac:dyDescent="0.35">
      <c r="A24" s="30" t="s">
        <v>94</v>
      </c>
      <c r="B24" s="10" t="s">
        <v>23</v>
      </c>
      <c r="C24" s="23" t="s">
        <v>93</v>
      </c>
      <c r="D24" s="7">
        <v>0</v>
      </c>
      <c r="E24" s="7">
        <v>0</v>
      </c>
      <c r="F24" s="7">
        <v>1</v>
      </c>
      <c r="G24" s="7">
        <v>1</v>
      </c>
      <c r="H24" s="7">
        <v>1</v>
      </c>
      <c r="I24" s="7">
        <v>1</v>
      </c>
      <c r="J24" s="7">
        <v>1</v>
      </c>
      <c r="K24" s="7"/>
      <c r="L24" s="7"/>
      <c r="M24" s="7">
        <v>1</v>
      </c>
      <c r="N24" s="7">
        <v>1</v>
      </c>
      <c r="O24" s="286">
        <v>1</v>
      </c>
      <c r="P24" s="7"/>
      <c r="Q24" s="7"/>
      <c r="R24" s="9">
        <f t="shared" si="0"/>
        <v>8</v>
      </c>
    </row>
    <row r="25" spans="1:18" ht="15.75" thickBot="1" x14ac:dyDescent="0.3">
      <c r="C25" s="13" t="s">
        <v>1378</v>
      </c>
      <c r="D25" s="14">
        <f t="shared" ref="D25:P25" si="1">SUM(D3:D24)</f>
        <v>0</v>
      </c>
      <c r="E25" s="14">
        <f t="shared" si="1"/>
        <v>0</v>
      </c>
      <c r="F25" s="14">
        <f t="shared" si="1"/>
        <v>22</v>
      </c>
      <c r="G25" s="14">
        <f t="shared" si="1"/>
        <v>22</v>
      </c>
      <c r="H25" s="14">
        <f t="shared" si="1"/>
        <v>22</v>
      </c>
      <c r="I25" s="14">
        <f t="shared" si="1"/>
        <v>22</v>
      </c>
      <c r="J25" s="14">
        <f>SUM(J3:J24)</f>
        <v>22</v>
      </c>
      <c r="K25" s="14">
        <f t="shared" si="1"/>
        <v>0</v>
      </c>
      <c r="L25" s="14">
        <f t="shared" si="1"/>
        <v>0</v>
      </c>
      <c r="M25" s="14">
        <f t="shared" si="1"/>
        <v>22</v>
      </c>
      <c r="N25" s="14">
        <f t="shared" si="1"/>
        <v>22</v>
      </c>
      <c r="O25" s="14">
        <f>SUM(O3:O24)</f>
        <v>20</v>
      </c>
      <c r="P25" s="14">
        <f t="shared" si="1"/>
        <v>8</v>
      </c>
      <c r="Q25" s="14">
        <f>SUM(Q3:Q24)</f>
        <v>3</v>
      </c>
      <c r="R25" s="190">
        <f>SUM(E25:Q25)</f>
        <v>185</v>
      </c>
    </row>
    <row r="26" spans="1:18" x14ac:dyDescent="0.25">
      <c r="C26" s="103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5"/>
    </row>
    <row r="27" spans="1:18" x14ac:dyDescent="0.25">
      <c r="F27" s="2"/>
      <c r="G27" s="2"/>
      <c r="H27" s="2"/>
    </row>
    <row r="28" spans="1:18" ht="15.75" thickBot="1" x14ac:dyDescent="0.3">
      <c r="A28" s="368" t="s">
        <v>1379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</row>
    <row r="29" spans="1:18" ht="39" customHeight="1" thickBot="1" x14ac:dyDescent="0.3">
      <c r="A29" s="5" t="s">
        <v>3</v>
      </c>
      <c r="B29" s="8" t="s">
        <v>0</v>
      </c>
      <c r="C29" s="4" t="s">
        <v>1</v>
      </c>
      <c r="D29" s="6">
        <v>44531</v>
      </c>
      <c r="E29" s="6">
        <v>44562</v>
      </c>
      <c r="F29" s="6">
        <v>44593</v>
      </c>
      <c r="G29" s="6">
        <v>44621</v>
      </c>
      <c r="H29" s="6">
        <v>44652</v>
      </c>
      <c r="I29" s="6">
        <v>44682</v>
      </c>
      <c r="J29" s="6">
        <v>44713</v>
      </c>
      <c r="K29" s="6">
        <v>44743</v>
      </c>
      <c r="L29" s="6">
        <v>44774</v>
      </c>
      <c r="M29" s="6">
        <v>44805</v>
      </c>
      <c r="N29" s="6">
        <v>44835</v>
      </c>
      <c r="O29" s="6">
        <v>44866</v>
      </c>
      <c r="P29" s="6">
        <v>44896</v>
      </c>
      <c r="Q29" s="6">
        <v>44927</v>
      </c>
      <c r="R29" s="6" t="s">
        <v>1376</v>
      </c>
    </row>
    <row r="30" spans="1:18" ht="16.5" x14ac:dyDescent="0.3">
      <c r="A30" s="30" t="s">
        <v>1251</v>
      </c>
      <c r="B30" s="20" t="s">
        <v>23</v>
      </c>
      <c r="C30" s="23" t="s">
        <v>1250</v>
      </c>
      <c r="D30" s="7">
        <v>1</v>
      </c>
      <c r="E30" s="7"/>
      <c r="F30" s="7"/>
      <c r="G30" s="7"/>
      <c r="H30" s="7"/>
      <c r="I30" s="7"/>
      <c r="J30" s="286">
        <v>1</v>
      </c>
      <c r="K30" s="7"/>
      <c r="L30" s="7"/>
      <c r="M30" s="7"/>
      <c r="N30" s="7"/>
      <c r="O30" s="7"/>
      <c r="P30" s="7"/>
      <c r="Q30" s="7"/>
      <c r="R30" s="9">
        <f>SUM(D30:Q30)</f>
        <v>2</v>
      </c>
    </row>
    <row r="31" spans="1:18" ht="16.5" x14ac:dyDescent="0.3">
      <c r="A31" s="30" t="s">
        <v>1245</v>
      </c>
      <c r="B31" s="20" t="s">
        <v>23</v>
      </c>
      <c r="C31" s="26" t="s">
        <v>1244</v>
      </c>
      <c r="D31" s="7">
        <v>1</v>
      </c>
      <c r="E31" s="7"/>
      <c r="F31" s="7"/>
      <c r="G31" s="7"/>
      <c r="H31" s="7"/>
      <c r="I31" s="7"/>
      <c r="J31" s="286">
        <v>1</v>
      </c>
      <c r="K31" s="7"/>
      <c r="L31" s="7"/>
      <c r="M31" s="7"/>
      <c r="N31" s="7"/>
      <c r="O31" s="7"/>
      <c r="P31" s="7"/>
      <c r="Q31" s="7"/>
      <c r="R31" s="9">
        <f t="shared" ref="R31:R94" si="2">SUM(D31:Q31)</f>
        <v>2</v>
      </c>
    </row>
    <row r="32" spans="1:18" ht="16.5" x14ac:dyDescent="0.3">
      <c r="A32" s="30" t="s">
        <v>661</v>
      </c>
      <c r="B32" s="20" t="s">
        <v>23</v>
      </c>
      <c r="C32" s="23" t="s">
        <v>660</v>
      </c>
      <c r="D32" s="7">
        <v>1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9">
        <f t="shared" si="2"/>
        <v>1</v>
      </c>
    </row>
    <row r="33" spans="1:18" ht="16.5" x14ac:dyDescent="0.3">
      <c r="A33" s="30" t="s">
        <v>1193</v>
      </c>
      <c r="B33" s="20" t="s">
        <v>23</v>
      </c>
      <c r="C33" s="23" t="s">
        <v>1192</v>
      </c>
      <c r="D33" s="7">
        <v>1</v>
      </c>
      <c r="E33" s="7"/>
      <c r="F33" s="7"/>
      <c r="G33" s="7"/>
      <c r="H33" s="7"/>
      <c r="I33" s="7"/>
      <c r="J33" s="286">
        <v>1</v>
      </c>
      <c r="K33" s="7"/>
      <c r="L33" s="7"/>
      <c r="M33" s="7"/>
      <c r="N33" s="7"/>
      <c r="O33" s="7"/>
      <c r="P33" s="7"/>
      <c r="Q33" s="7"/>
      <c r="R33" s="9">
        <f t="shared" si="2"/>
        <v>2</v>
      </c>
    </row>
    <row r="34" spans="1:18" ht="16.5" x14ac:dyDescent="0.3">
      <c r="A34" s="30" t="s">
        <v>1267</v>
      </c>
      <c r="B34" s="20" t="s">
        <v>23</v>
      </c>
      <c r="C34" s="23" t="s">
        <v>1266</v>
      </c>
      <c r="D34" s="7">
        <v>1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9">
        <f t="shared" si="2"/>
        <v>1</v>
      </c>
    </row>
    <row r="35" spans="1:18" ht="16.5" x14ac:dyDescent="0.3">
      <c r="A35" s="30" t="s">
        <v>658</v>
      </c>
      <c r="B35" s="20" t="s">
        <v>23</v>
      </c>
      <c r="C35" s="23" t="s">
        <v>657</v>
      </c>
      <c r="D35" s="7">
        <v>1</v>
      </c>
      <c r="E35" s="7"/>
      <c r="F35" s="7"/>
      <c r="G35" s="7"/>
      <c r="H35" s="7"/>
      <c r="I35" s="7"/>
      <c r="J35" s="286">
        <v>1</v>
      </c>
      <c r="K35" s="7"/>
      <c r="L35" s="7"/>
      <c r="M35" s="7"/>
      <c r="N35" s="7"/>
      <c r="O35" s="7"/>
      <c r="P35" s="7"/>
      <c r="Q35" s="7"/>
      <c r="R35" s="9">
        <f t="shared" si="2"/>
        <v>2</v>
      </c>
    </row>
    <row r="36" spans="1:18" ht="16.5" x14ac:dyDescent="0.3">
      <c r="A36" s="30" t="s">
        <v>1253</v>
      </c>
      <c r="B36" s="20" t="s">
        <v>23</v>
      </c>
      <c r="C36" s="23" t="s">
        <v>1252</v>
      </c>
      <c r="D36" s="7">
        <v>1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9">
        <f t="shared" si="2"/>
        <v>1</v>
      </c>
    </row>
    <row r="37" spans="1:18" ht="16.5" x14ac:dyDescent="0.3">
      <c r="A37" s="30" t="s">
        <v>663</v>
      </c>
      <c r="B37" s="20" t="s">
        <v>23</v>
      </c>
      <c r="C37" s="26" t="s">
        <v>662</v>
      </c>
      <c r="D37" s="7">
        <v>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9">
        <f t="shared" si="2"/>
        <v>1</v>
      </c>
    </row>
    <row r="38" spans="1:18" ht="16.5" x14ac:dyDescent="0.3">
      <c r="A38" s="30" t="s">
        <v>1179</v>
      </c>
      <c r="B38" s="20" t="s">
        <v>23</v>
      </c>
      <c r="C38" s="23" t="s">
        <v>1178</v>
      </c>
      <c r="D38" s="7">
        <v>1</v>
      </c>
      <c r="E38" s="7"/>
      <c r="F38" s="7"/>
      <c r="G38" s="7"/>
      <c r="H38" s="7"/>
      <c r="I38" s="7"/>
      <c r="J38" s="286">
        <v>1</v>
      </c>
      <c r="K38" s="7"/>
      <c r="L38" s="7"/>
      <c r="M38" s="7"/>
      <c r="N38" s="7"/>
      <c r="O38" s="7"/>
      <c r="P38" s="7"/>
      <c r="Q38" s="7"/>
      <c r="R38" s="9">
        <f t="shared" si="2"/>
        <v>2</v>
      </c>
    </row>
    <row r="39" spans="1:18" ht="16.5" x14ac:dyDescent="0.3">
      <c r="A39" s="30" t="s">
        <v>1257</v>
      </c>
      <c r="B39" s="20" t="s">
        <v>23</v>
      </c>
      <c r="C39" s="23" t="s">
        <v>1256</v>
      </c>
      <c r="D39" s="7">
        <v>1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9">
        <f t="shared" si="2"/>
        <v>1</v>
      </c>
    </row>
    <row r="40" spans="1:18" ht="16.5" x14ac:dyDescent="0.3">
      <c r="A40" s="30" t="s">
        <v>1235</v>
      </c>
      <c r="B40" s="20" t="s">
        <v>23</v>
      </c>
      <c r="C40" s="23" t="s">
        <v>1234</v>
      </c>
      <c r="D40" s="7">
        <v>1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9">
        <f t="shared" si="2"/>
        <v>1</v>
      </c>
    </row>
    <row r="41" spans="1:18" ht="16.5" x14ac:dyDescent="0.3">
      <c r="A41" s="30" t="s">
        <v>1181</v>
      </c>
      <c r="B41" s="20" t="s">
        <v>23</v>
      </c>
      <c r="C41" s="23" t="s">
        <v>1180</v>
      </c>
      <c r="D41" s="7">
        <v>1</v>
      </c>
      <c r="E41" s="7"/>
      <c r="F41" s="7"/>
      <c r="G41" s="7"/>
      <c r="H41" s="7"/>
      <c r="I41" s="7"/>
      <c r="J41" s="286">
        <v>1</v>
      </c>
      <c r="K41" s="7"/>
      <c r="L41" s="7"/>
      <c r="M41" s="7"/>
      <c r="N41" s="7"/>
      <c r="O41" s="7"/>
      <c r="P41" s="7"/>
      <c r="Q41" s="7"/>
      <c r="R41" s="9">
        <f t="shared" si="2"/>
        <v>2</v>
      </c>
    </row>
    <row r="42" spans="1:18" ht="16.5" x14ac:dyDescent="0.3">
      <c r="A42" s="30" t="s">
        <v>1197</v>
      </c>
      <c r="B42" s="20" t="s">
        <v>23</v>
      </c>
      <c r="C42" s="23" t="s">
        <v>1196</v>
      </c>
      <c r="D42" s="7">
        <v>1</v>
      </c>
      <c r="E42" s="7"/>
      <c r="F42" s="7"/>
      <c r="G42" s="7"/>
      <c r="H42" s="7"/>
      <c r="I42" s="7"/>
      <c r="J42" s="286">
        <v>1</v>
      </c>
      <c r="K42" s="7"/>
      <c r="L42" s="7"/>
      <c r="M42" s="7"/>
      <c r="N42" s="7"/>
      <c r="O42" s="7"/>
      <c r="P42" s="7"/>
      <c r="Q42" s="7"/>
      <c r="R42" s="9">
        <f t="shared" si="2"/>
        <v>2</v>
      </c>
    </row>
    <row r="43" spans="1:18" ht="16.5" x14ac:dyDescent="0.3">
      <c r="A43" s="30" t="s">
        <v>685</v>
      </c>
      <c r="B43" s="20" t="s">
        <v>23</v>
      </c>
      <c r="C43" s="23" t="s">
        <v>684</v>
      </c>
      <c r="D43" s="7">
        <v>1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9">
        <f t="shared" si="2"/>
        <v>1</v>
      </c>
    </row>
    <row r="44" spans="1:18" ht="16.5" x14ac:dyDescent="0.3">
      <c r="A44" s="30" t="s">
        <v>1247</v>
      </c>
      <c r="B44" s="20" t="s">
        <v>23</v>
      </c>
      <c r="C44" s="23" t="s">
        <v>1246</v>
      </c>
      <c r="D44" s="7">
        <v>1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9">
        <f t="shared" si="2"/>
        <v>1</v>
      </c>
    </row>
    <row r="45" spans="1:18" ht="16.5" x14ac:dyDescent="0.3">
      <c r="A45" s="30" t="s">
        <v>1199</v>
      </c>
      <c r="B45" s="20" t="s">
        <v>23</v>
      </c>
      <c r="C45" s="23" t="s">
        <v>1198</v>
      </c>
      <c r="D45" s="7">
        <v>1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9">
        <f t="shared" si="2"/>
        <v>1</v>
      </c>
    </row>
    <row r="46" spans="1:18" ht="16.5" x14ac:dyDescent="0.3">
      <c r="A46" s="30" t="s">
        <v>1167</v>
      </c>
      <c r="B46" s="20" t="s">
        <v>23</v>
      </c>
      <c r="C46" s="23" t="s">
        <v>1166</v>
      </c>
      <c r="D46" s="7">
        <v>1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9">
        <f t="shared" si="2"/>
        <v>1</v>
      </c>
    </row>
    <row r="47" spans="1:18" ht="16.5" x14ac:dyDescent="0.3">
      <c r="A47" s="30" t="s">
        <v>1195</v>
      </c>
      <c r="B47" s="20" t="s">
        <v>23</v>
      </c>
      <c r="C47" s="26" t="s">
        <v>1194</v>
      </c>
      <c r="D47" s="7">
        <v>1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9">
        <f t="shared" si="2"/>
        <v>1</v>
      </c>
    </row>
    <row r="48" spans="1:18" ht="16.5" x14ac:dyDescent="0.3">
      <c r="A48" s="30" t="s">
        <v>667</v>
      </c>
      <c r="B48" s="20" t="s">
        <v>23</v>
      </c>
      <c r="C48" s="23" t="s">
        <v>666</v>
      </c>
      <c r="D48" s="7">
        <v>1</v>
      </c>
      <c r="E48" s="7"/>
      <c r="F48" s="7"/>
      <c r="G48" s="7"/>
      <c r="H48" s="7"/>
      <c r="I48" s="7"/>
      <c r="J48" s="286">
        <v>1</v>
      </c>
      <c r="K48" s="7"/>
      <c r="L48" s="7"/>
      <c r="M48" s="7"/>
      <c r="N48" s="7"/>
      <c r="O48" s="7"/>
      <c r="P48" s="7"/>
      <c r="Q48" s="7"/>
      <c r="R48" s="9">
        <f t="shared" si="2"/>
        <v>2</v>
      </c>
    </row>
    <row r="49" spans="1:18" ht="16.5" x14ac:dyDescent="0.3">
      <c r="A49" s="30" t="s">
        <v>671</v>
      </c>
      <c r="B49" s="20" t="s">
        <v>23</v>
      </c>
      <c r="C49" s="23" t="s">
        <v>670</v>
      </c>
      <c r="D49" s="7">
        <v>1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9">
        <f t="shared" si="2"/>
        <v>1</v>
      </c>
    </row>
    <row r="50" spans="1:18" ht="16.5" x14ac:dyDescent="0.3">
      <c r="A50" s="30" t="s">
        <v>1161</v>
      </c>
      <c r="B50" s="20" t="s">
        <v>23</v>
      </c>
      <c r="C50" s="23" t="s">
        <v>1160</v>
      </c>
      <c r="D50" s="7">
        <v>1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9">
        <f t="shared" si="2"/>
        <v>1</v>
      </c>
    </row>
    <row r="51" spans="1:18" ht="16.5" x14ac:dyDescent="0.3">
      <c r="A51" s="30" t="s">
        <v>1255</v>
      </c>
      <c r="B51" s="20" t="s">
        <v>23</v>
      </c>
      <c r="C51" s="23" t="s">
        <v>1254</v>
      </c>
      <c r="D51" s="7">
        <v>1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9">
        <f t="shared" si="2"/>
        <v>1</v>
      </c>
    </row>
    <row r="52" spans="1:18" ht="16.5" x14ac:dyDescent="0.3">
      <c r="A52" s="30" t="s">
        <v>675</v>
      </c>
      <c r="B52" s="20" t="s">
        <v>23</v>
      </c>
      <c r="C52" s="23" t="s">
        <v>674</v>
      </c>
      <c r="D52" s="7">
        <v>1</v>
      </c>
      <c r="E52" s="7"/>
      <c r="F52" s="7"/>
      <c r="G52" s="7"/>
      <c r="H52" s="7"/>
      <c r="I52" s="286">
        <v>1</v>
      </c>
      <c r="J52" s="286">
        <v>1</v>
      </c>
      <c r="K52" s="7"/>
      <c r="L52" s="7"/>
      <c r="M52" s="7"/>
      <c r="N52" s="7"/>
      <c r="O52" s="7"/>
      <c r="P52" s="7"/>
      <c r="Q52" s="7"/>
      <c r="R52" s="9">
        <f t="shared" si="2"/>
        <v>3</v>
      </c>
    </row>
    <row r="53" spans="1:18" ht="16.5" x14ac:dyDescent="0.3">
      <c r="A53" s="30" t="s">
        <v>669</v>
      </c>
      <c r="B53" s="20" t="s">
        <v>23</v>
      </c>
      <c r="C53" s="23" t="s">
        <v>668</v>
      </c>
      <c r="D53" s="7">
        <v>1</v>
      </c>
      <c r="E53" s="7"/>
      <c r="F53" s="7"/>
      <c r="G53" s="7"/>
      <c r="H53" s="7"/>
      <c r="I53" s="286">
        <v>1</v>
      </c>
      <c r="J53" s="286">
        <v>1</v>
      </c>
      <c r="K53" s="7"/>
      <c r="L53" s="7"/>
      <c r="M53" s="7"/>
      <c r="N53" s="7"/>
      <c r="O53" s="7"/>
      <c r="P53" s="7"/>
      <c r="Q53" s="7"/>
      <c r="R53" s="9">
        <f t="shared" si="2"/>
        <v>3</v>
      </c>
    </row>
    <row r="54" spans="1:18" ht="16.5" x14ac:dyDescent="0.3">
      <c r="A54" s="30" t="s">
        <v>665</v>
      </c>
      <c r="B54" s="20" t="s">
        <v>23</v>
      </c>
      <c r="C54" s="26" t="s">
        <v>664</v>
      </c>
      <c r="D54" s="7">
        <v>1</v>
      </c>
      <c r="E54" s="7"/>
      <c r="F54" s="7"/>
      <c r="G54" s="7"/>
      <c r="H54" s="7"/>
      <c r="I54" s="286">
        <v>1</v>
      </c>
      <c r="J54" s="286">
        <v>1</v>
      </c>
      <c r="K54" s="7"/>
      <c r="L54" s="7"/>
      <c r="M54" s="7"/>
      <c r="N54" s="7"/>
      <c r="O54" s="7"/>
      <c r="P54" s="7"/>
      <c r="Q54" s="7"/>
      <c r="R54" s="9">
        <f t="shared" si="2"/>
        <v>3</v>
      </c>
    </row>
    <row r="55" spans="1:18" ht="16.5" x14ac:dyDescent="0.3">
      <c r="A55" s="30" t="s">
        <v>1364</v>
      </c>
      <c r="B55" s="20" t="s">
        <v>23</v>
      </c>
      <c r="C55" s="23" t="s">
        <v>1363</v>
      </c>
      <c r="D55" s="7">
        <v>1</v>
      </c>
      <c r="E55" s="7"/>
      <c r="F55" s="7"/>
      <c r="G55" s="7"/>
      <c r="H55" s="7"/>
      <c r="I55" s="286">
        <v>1</v>
      </c>
      <c r="J55" s="286">
        <v>1</v>
      </c>
      <c r="K55" s="7"/>
      <c r="L55" s="7"/>
      <c r="M55" s="7"/>
      <c r="N55" s="7"/>
      <c r="O55" s="7"/>
      <c r="P55" s="7"/>
      <c r="Q55" s="7"/>
      <c r="R55" s="9">
        <f t="shared" si="2"/>
        <v>3</v>
      </c>
    </row>
    <row r="56" spans="1:18" ht="16.5" x14ac:dyDescent="0.3">
      <c r="A56" s="30" t="s">
        <v>1261</v>
      </c>
      <c r="B56" s="20" t="s">
        <v>23</v>
      </c>
      <c r="C56" s="23" t="s">
        <v>1260</v>
      </c>
      <c r="D56" s="7">
        <v>1</v>
      </c>
      <c r="E56" s="7"/>
      <c r="F56" s="7"/>
      <c r="G56" s="7"/>
      <c r="H56" s="7"/>
      <c r="I56" s="286">
        <v>1</v>
      </c>
      <c r="J56" s="286">
        <v>1</v>
      </c>
      <c r="K56" s="7"/>
      <c r="L56" s="7"/>
      <c r="M56" s="7"/>
      <c r="N56" s="7"/>
      <c r="O56" s="7"/>
      <c r="P56" s="7"/>
      <c r="Q56" s="7"/>
      <c r="R56" s="9">
        <f t="shared" si="2"/>
        <v>3</v>
      </c>
    </row>
    <row r="57" spans="1:18" ht="16.5" x14ac:dyDescent="0.3">
      <c r="A57" s="30" t="s">
        <v>1263</v>
      </c>
      <c r="B57" s="20" t="s">
        <v>23</v>
      </c>
      <c r="C57" s="23" t="s">
        <v>1262</v>
      </c>
      <c r="D57" s="7">
        <v>1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9">
        <f t="shared" si="2"/>
        <v>1</v>
      </c>
    </row>
    <row r="58" spans="1:18" ht="16.5" x14ac:dyDescent="0.3">
      <c r="A58" s="30" t="s">
        <v>1171</v>
      </c>
      <c r="B58" s="20" t="s">
        <v>23</v>
      </c>
      <c r="C58" s="23" t="s">
        <v>1170</v>
      </c>
      <c r="D58" s="7">
        <v>1</v>
      </c>
      <c r="E58" s="7"/>
      <c r="F58" s="7"/>
      <c r="G58" s="7"/>
      <c r="H58" s="7"/>
      <c r="I58" s="7"/>
      <c r="J58" s="286">
        <v>1</v>
      </c>
      <c r="K58" s="7"/>
      <c r="L58" s="7"/>
      <c r="M58" s="7"/>
      <c r="N58" s="7"/>
      <c r="O58" s="7"/>
      <c r="P58" s="7"/>
      <c r="Q58" s="7"/>
      <c r="R58" s="9">
        <f t="shared" si="2"/>
        <v>2</v>
      </c>
    </row>
    <row r="59" spans="1:18" ht="16.5" x14ac:dyDescent="0.3">
      <c r="A59" s="30" t="s">
        <v>1177</v>
      </c>
      <c r="B59" s="20" t="s">
        <v>23</v>
      </c>
      <c r="C59" s="23" t="s">
        <v>1176</v>
      </c>
      <c r="D59" s="7">
        <v>1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9">
        <f t="shared" si="2"/>
        <v>1</v>
      </c>
    </row>
    <row r="60" spans="1:18" ht="16.5" x14ac:dyDescent="0.3">
      <c r="A60" s="30" t="s">
        <v>673</v>
      </c>
      <c r="B60" s="20" t="s">
        <v>23</v>
      </c>
      <c r="C60" s="23" t="s">
        <v>672</v>
      </c>
      <c r="D60" s="7">
        <v>1</v>
      </c>
      <c r="E60" s="7"/>
      <c r="F60" s="7"/>
      <c r="G60" s="7"/>
      <c r="H60" s="7"/>
      <c r="I60" s="286">
        <v>1</v>
      </c>
      <c r="J60" s="286">
        <v>1</v>
      </c>
      <c r="K60" s="7"/>
      <c r="L60" s="7"/>
      <c r="M60" s="7"/>
      <c r="N60" s="7"/>
      <c r="O60" s="7"/>
      <c r="P60" s="7"/>
      <c r="Q60" s="7"/>
      <c r="R60" s="9">
        <f t="shared" si="2"/>
        <v>3</v>
      </c>
    </row>
    <row r="61" spans="1:18" ht="16.5" x14ac:dyDescent="0.3">
      <c r="A61" s="30" t="s">
        <v>1259</v>
      </c>
      <c r="B61" s="20" t="s">
        <v>23</v>
      </c>
      <c r="C61" s="26" t="s">
        <v>1423</v>
      </c>
      <c r="D61" s="7">
        <v>1</v>
      </c>
      <c r="E61" s="7"/>
      <c r="F61" s="7"/>
      <c r="G61" s="7"/>
      <c r="H61" s="7"/>
      <c r="I61" s="286">
        <v>1</v>
      </c>
      <c r="J61" s="286">
        <v>1</v>
      </c>
      <c r="K61" s="7"/>
      <c r="L61" s="7"/>
      <c r="M61" s="7"/>
      <c r="N61" s="7"/>
      <c r="O61" s="7"/>
      <c r="P61" s="7"/>
      <c r="Q61" s="7"/>
      <c r="R61" s="9">
        <f t="shared" si="2"/>
        <v>3</v>
      </c>
    </row>
    <row r="62" spans="1:18" ht="16.5" x14ac:dyDescent="0.3">
      <c r="A62" s="30" t="s">
        <v>1207</v>
      </c>
      <c r="B62" s="20" t="s">
        <v>23</v>
      </c>
      <c r="C62" s="23" t="s">
        <v>1206</v>
      </c>
      <c r="D62" s="7">
        <v>1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9">
        <f t="shared" si="2"/>
        <v>1</v>
      </c>
    </row>
    <row r="63" spans="1:18" ht="16.5" x14ac:dyDescent="0.3">
      <c r="A63" s="30" t="s">
        <v>1227</v>
      </c>
      <c r="B63" s="20" t="s">
        <v>23</v>
      </c>
      <c r="C63" s="23" t="s">
        <v>1226</v>
      </c>
      <c r="D63" s="7">
        <v>1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9">
        <f t="shared" si="2"/>
        <v>1</v>
      </c>
    </row>
    <row r="64" spans="1:18" ht="16.5" x14ac:dyDescent="0.3">
      <c r="A64" s="30" t="s">
        <v>1358</v>
      </c>
      <c r="B64" s="20" t="s">
        <v>23</v>
      </c>
      <c r="C64" s="23" t="s">
        <v>1357</v>
      </c>
      <c r="D64" s="7">
        <v>1</v>
      </c>
      <c r="E64" s="7"/>
      <c r="F64" s="7"/>
      <c r="G64" s="7"/>
      <c r="H64" s="7"/>
      <c r="I64" s="7"/>
      <c r="J64" s="286">
        <v>1</v>
      </c>
      <c r="K64" s="7"/>
      <c r="L64" s="7"/>
      <c r="M64" s="7"/>
      <c r="N64" s="7"/>
      <c r="O64" s="7"/>
      <c r="P64" s="7"/>
      <c r="Q64" s="7"/>
      <c r="R64" s="9">
        <f t="shared" si="2"/>
        <v>2</v>
      </c>
    </row>
    <row r="65" spans="1:18" ht="16.5" x14ac:dyDescent="0.3">
      <c r="A65" s="30" t="s">
        <v>1229</v>
      </c>
      <c r="B65" s="20" t="s">
        <v>23</v>
      </c>
      <c r="C65" s="23" t="s">
        <v>1228</v>
      </c>
      <c r="D65" s="7">
        <v>1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9">
        <f t="shared" si="2"/>
        <v>1</v>
      </c>
    </row>
    <row r="66" spans="1:18" ht="16.5" x14ac:dyDescent="0.3">
      <c r="A66" s="30" t="s">
        <v>1217</v>
      </c>
      <c r="B66" s="20" t="s">
        <v>23</v>
      </c>
      <c r="C66" s="23" t="s">
        <v>1216</v>
      </c>
      <c r="D66" s="7">
        <v>1</v>
      </c>
      <c r="E66" s="7"/>
      <c r="F66" s="7"/>
      <c r="G66" s="7"/>
      <c r="H66" s="7"/>
      <c r="I66" s="7"/>
      <c r="J66" s="286">
        <v>1</v>
      </c>
      <c r="K66" s="7"/>
      <c r="L66" s="7"/>
      <c r="M66" s="7"/>
      <c r="N66" s="7"/>
      <c r="O66" s="7"/>
      <c r="P66" s="7"/>
      <c r="Q66" s="7"/>
      <c r="R66" s="9">
        <f t="shared" si="2"/>
        <v>2</v>
      </c>
    </row>
    <row r="67" spans="1:18" ht="16.5" x14ac:dyDescent="0.3">
      <c r="A67" s="30" t="s">
        <v>1231</v>
      </c>
      <c r="B67" s="20" t="s">
        <v>23</v>
      </c>
      <c r="C67" s="23" t="s">
        <v>1230</v>
      </c>
      <c r="D67" s="7">
        <v>1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9">
        <f t="shared" si="2"/>
        <v>1</v>
      </c>
    </row>
    <row r="68" spans="1:18" ht="16.5" x14ac:dyDescent="0.3">
      <c r="A68" s="30" t="s">
        <v>1241</v>
      </c>
      <c r="B68" s="20" t="s">
        <v>23</v>
      </c>
      <c r="C68" s="26" t="s">
        <v>1240</v>
      </c>
      <c r="D68" s="7">
        <v>1</v>
      </c>
      <c r="E68" s="7"/>
      <c r="F68" s="7"/>
      <c r="G68" s="7"/>
      <c r="H68" s="7"/>
      <c r="I68" s="7"/>
      <c r="J68" s="286">
        <v>1</v>
      </c>
      <c r="K68" s="7"/>
      <c r="L68" s="7"/>
      <c r="M68" s="7"/>
      <c r="N68" s="7"/>
      <c r="O68" s="7"/>
      <c r="P68" s="7"/>
      <c r="Q68" s="7"/>
      <c r="R68" s="9">
        <f t="shared" si="2"/>
        <v>2</v>
      </c>
    </row>
    <row r="69" spans="1:18" ht="16.5" x14ac:dyDescent="0.3">
      <c r="A69" s="30" t="s">
        <v>1225</v>
      </c>
      <c r="B69" s="20" t="s">
        <v>23</v>
      </c>
      <c r="C69" s="23" t="s">
        <v>1224</v>
      </c>
      <c r="D69" s="7">
        <v>1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9">
        <f t="shared" si="2"/>
        <v>1</v>
      </c>
    </row>
    <row r="70" spans="1:18" ht="16.5" x14ac:dyDescent="0.3">
      <c r="A70" s="30" t="s">
        <v>1223</v>
      </c>
      <c r="B70" s="20" t="s">
        <v>23</v>
      </c>
      <c r="C70" s="23" t="s">
        <v>1222</v>
      </c>
      <c r="D70" s="7">
        <v>1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9">
        <f t="shared" si="2"/>
        <v>1</v>
      </c>
    </row>
    <row r="71" spans="1:18" ht="16.5" x14ac:dyDescent="0.3">
      <c r="A71" s="30" t="s">
        <v>1213</v>
      </c>
      <c r="B71" s="20" t="s">
        <v>23</v>
      </c>
      <c r="C71" s="23" t="s">
        <v>1212</v>
      </c>
      <c r="D71" s="7">
        <v>1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9">
        <f t="shared" si="2"/>
        <v>1</v>
      </c>
    </row>
    <row r="72" spans="1:18" ht="16.5" x14ac:dyDescent="0.3">
      <c r="A72" s="30" t="s">
        <v>1209</v>
      </c>
      <c r="B72" s="20" t="s">
        <v>23</v>
      </c>
      <c r="C72" s="23" t="s">
        <v>1208</v>
      </c>
      <c r="D72" s="7">
        <v>1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9">
        <f t="shared" si="2"/>
        <v>1</v>
      </c>
    </row>
    <row r="73" spans="1:18" ht="16.5" x14ac:dyDescent="0.3">
      <c r="A73" s="30" t="s">
        <v>1243</v>
      </c>
      <c r="B73" s="20" t="s">
        <v>23</v>
      </c>
      <c r="C73" s="23" t="s">
        <v>1242</v>
      </c>
      <c r="D73" s="7">
        <v>1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9">
        <f t="shared" si="2"/>
        <v>1</v>
      </c>
    </row>
    <row r="74" spans="1:18" ht="16.5" x14ac:dyDescent="0.3">
      <c r="A74" s="30" t="s">
        <v>1265</v>
      </c>
      <c r="B74" s="20" t="s">
        <v>23</v>
      </c>
      <c r="C74" s="23" t="s">
        <v>1264</v>
      </c>
      <c r="D74" s="7">
        <v>1</v>
      </c>
      <c r="E74" s="7"/>
      <c r="F74" s="7"/>
      <c r="G74" s="7"/>
      <c r="H74" s="7"/>
      <c r="I74" s="7"/>
      <c r="J74" s="286">
        <v>1</v>
      </c>
      <c r="K74" s="7"/>
      <c r="L74" s="7"/>
      <c r="M74" s="7"/>
      <c r="N74" s="7"/>
      <c r="O74" s="7"/>
      <c r="P74" s="7"/>
      <c r="Q74" s="7"/>
      <c r="R74" s="9">
        <f t="shared" si="2"/>
        <v>2</v>
      </c>
    </row>
    <row r="75" spans="1:18" ht="16.5" x14ac:dyDescent="0.3">
      <c r="A75" s="30" t="s">
        <v>1360</v>
      </c>
      <c r="B75" s="20" t="s">
        <v>23</v>
      </c>
      <c r="C75" s="26" t="s">
        <v>1359</v>
      </c>
      <c r="D75" s="7">
        <v>1</v>
      </c>
      <c r="E75" s="7"/>
      <c r="F75" s="7"/>
      <c r="G75" s="7"/>
      <c r="H75" s="7"/>
      <c r="I75" s="7"/>
      <c r="J75" s="286">
        <v>1</v>
      </c>
      <c r="K75" s="7"/>
      <c r="L75" s="7"/>
      <c r="M75" s="7"/>
      <c r="N75" s="7"/>
      <c r="O75" s="7"/>
      <c r="P75" s="7"/>
      <c r="Q75" s="7"/>
      <c r="R75" s="9">
        <f t="shared" si="2"/>
        <v>2</v>
      </c>
    </row>
    <row r="76" spans="1:18" ht="16.5" x14ac:dyDescent="0.3">
      <c r="A76" s="30" t="s">
        <v>1205</v>
      </c>
      <c r="B76" s="20" t="s">
        <v>23</v>
      </c>
      <c r="C76" s="23" t="s">
        <v>1204</v>
      </c>
      <c r="D76" s="7">
        <v>1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9">
        <f t="shared" si="2"/>
        <v>1</v>
      </c>
    </row>
    <row r="77" spans="1:18" ht="16.5" x14ac:dyDescent="0.3">
      <c r="A77" s="30" t="s">
        <v>1211</v>
      </c>
      <c r="B77" s="20" t="s">
        <v>23</v>
      </c>
      <c r="C77" s="23" t="s">
        <v>1210</v>
      </c>
      <c r="D77" s="7">
        <v>1</v>
      </c>
      <c r="E77" s="7"/>
      <c r="F77" s="7"/>
      <c r="G77" s="7"/>
      <c r="H77" s="7"/>
      <c r="I77" s="7"/>
      <c r="J77" s="286">
        <v>1</v>
      </c>
      <c r="K77" s="7"/>
      <c r="L77" s="7"/>
      <c r="M77" s="7"/>
      <c r="N77" s="7"/>
      <c r="O77" s="7"/>
      <c r="P77" s="7"/>
      <c r="Q77" s="7"/>
      <c r="R77" s="9">
        <f t="shared" si="2"/>
        <v>2</v>
      </c>
    </row>
    <row r="78" spans="1:18" ht="16.5" x14ac:dyDescent="0.3">
      <c r="A78" s="30" t="s">
        <v>1215</v>
      </c>
      <c r="B78" s="20" t="s">
        <v>23</v>
      </c>
      <c r="C78" s="23" t="s">
        <v>1214</v>
      </c>
      <c r="D78" s="7">
        <v>1</v>
      </c>
      <c r="E78" s="7"/>
      <c r="F78" s="7"/>
      <c r="G78" s="7"/>
      <c r="H78" s="7"/>
      <c r="I78" s="7"/>
      <c r="J78" s="286">
        <v>1</v>
      </c>
      <c r="K78" s="7"/>
      <c r="L78" s="7"/>
      <c r="M78" s="7"/>
      <c r="N78" s="7"/>
      <c r="O78" s="7"/>
      <c r="P78" s="7"/>
      <c r="Q78" s="7"/>
      <c r="R78" s="9">
        <f t="shared" si="2"/>
        <v>2</v>
      </c>
    </row>
    <row r="79" spans="1:18" ht="16.5" x14ac:dyDescent="0.3">
      <c r="A79" s="30" t="s">
        <v>1221</v>
      </c>
      <c r="B79" s="20" t="s">
        <v>23</v>
      </c>
      <c r="C79" s="23" t="s">
        <v>1220</v>
      </c>
      <c r="D79" s="7">
        <v>1</v>
      </c>
      <c r="E79" s="7"/>
      <c r="F79" s="7"/>
      <c r="G79" s="7"/>
      <c r="H79" s="7"/>
      <c r="I79" s="7"/>
      <c r="J79" s="286">
        <v>1</v>
      </c>
      <c r="K79" s="7"/>
      <c r="L79" s="7"/>
      <c r="M79" s="7"/>
      <c r="N79" s="7"/>
      <c r="O79" s="7"/>
      <c r="P79" s="7"/>
      <c r="Q79" s="7"/>
      <c r="R79" s="9">
        <f t="shared" si="2"/>
        <v>2</v>
      </c>
    </row>
    <row r="80" spans="1:18" ht="16.5" x14ac:dyDescent="0.3">
      <c r="A80" s="30" t="s">
        <v>1233</v>
      </c>
      <c r="B80" s="20" t="s">
        <v>23</v>
      </c>
      <c r="C80" s="23" t="s">
        <v>1232</v>
      </c>
      <c r="D80" s="7">
        <v>1</v>
      </c>
      <c r="E80" s="7"/>
      <c r="F80" s="7"/>
      <c r="G80" s="7"/>
      <c r="H80" s="7"/>
      <c r="I80" s="7"/>
      <c r="J80" s="286">
        <v>1</v>
      </c>
      <c r="K80" s="7"/>
      <c r="L80" s="7"/>
      <c r="M80" s="7"/>
      <c r="N80" s="7"/>
      <c r="O80" s="7"/>
      <c r="P80" s="7"/>
      <c r="Q80" s="7"/>
      <c r="R80" s="9">
        <f t="shared" si="2"/>
        <v>2</v>
      </c>
    </row>
    <row r="81" spans="1:18" ht="16.5" x14ac:dyDescent="0.3">
      <c r="A81" s="30" t="s">
        <v>1362</v>
      </c>
      <c r="B81" s="20" t="s">
        <v>23</v>
      </c>
      <c r="C81" s="23" t="s">
        <v>1361</v>
      </c>
      <c r="D81" s="7">
        <v>1</v>
      </c>
      <c r="E81" s="7"/>
      <c r="F81" s="7"/>
      <c r="G81" s="7"/>
      <c r="H81" s="7"/>
      <c r="I81" s="7"/>
      <c r="J81" s="286">
        <v>1</v>
      </c>
      <c r="K81" s="7"/>
      <c r="L81" s="7"/>
      <c r="M81" s="7"/>
      <c r="N81" s="7"/>
      <c r="O81" s="7"/>
      <c r="P81" s="7"/>
      <c r="Q81" s="7"/>
      <c r="R81" s="9">
        <f t="shared" si="2"/>
        <v>2</v>
      </c>
    </row>
    <row r="82" spans="1:18" ht="16.5" x14ac:dyDescent="0.3">
      <c r="A82" s="30" t="s">
        <v>1219</v>
      </c>
      <c r="B82" s="20" t="s">
        <v>23</v>
      </c>
      <c r="C82" s="26" t="s">
        <v>1218</v>
      </c>
      <c r="D82" s="7">
        <v>1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9">
        <f t="shared" si="2"/>
        <v>1</v>
      </c>
    </row>
    <row r="83" spans="1:18" ht="16.5" x14ac:dyDescent="0.3">
      <c r="A83" s="30" t="s">
        <v>1269</v>
      </c>
      <c r="B83" s="20" t="s">
        <v>23</v>
      </c>
      <c r="C83" s="23" t="s">
        <v>1268</v>
      </c>
      <c r="D83" s="7">
        <v>1</v>
      </c>
      <c r="E83" s="7"/>
      <c r="F83" s="7"/>
      <c r="G83" s="7"/>
      <c r="H83" s="7"/>
      <c r="I83" s="7"/>
      <c r="J83" s="286">
        <v>1</v>
      </c>
      <c r="K83" s="7"/>
      <c r="L83" s="7"/>
      <c r="M83" s="7"/>
      <c r="N83" s="7"/>
      <c r="O83" s="7"/>
      <c r="P83" s="7"/>
      <c r="Q83" s="7"/>
      <c r="R83" s="9">
        <f t="shared" si="2"/>
        <v>2</v>
      </c>
    </row>
    <row r="84" spans="1:18" ht="16.5" x14ac:dyDescent="0.3">
      <c r="A84" s="30" t="s">
        <v>1239</v>
      </c>
      <c r="B84" s="20" t="s">
        <v>23</v>
      </c>
      <c r="C84" s="23" t="s">
        <v>1238</v>
      </c>
      <c r="D84" s="7">
        <v>1</v>
      </c>
      <c r="E84" s="7"/>
      <c r="F84" s="7"/>
      <c r="G84" s="7"/>
      <c r="H84" s="7"/>
      <c r="I84" s="7"/>
      <c r="J84" s="286">
        <v>1</v>
      </c>
      <c r="K84" s="7"/>
      <c r="L84" s="7"/>
      <c r="M84" s="7"/>
      <c r="N84" s="7"/>
      <c r="O84" s="7"/>
      <c r="P84" s="7"/>
      <c r="Q84" s="7"/>
      <c r="R84" s="9">
        <f t="shared" si="2"/>
        <v>2</v>
      </c>
    </row>
    <row r="85" spans="1:18" ht="16.5" x14ac:dyDescent="0.3">
      <c r="A85" s="30" t="s">
        <v>1175</v>
      </c>
      <c r="B85" s="20" t="s">
        <v>23</v>
      </c>
      <c r="C85" s="23" t="s">
        <v>1174</v>
      </c>
      <c r="D85" s="7">
        <v>1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9">
        <f t="shared" si="2"/>
        <v>1</v>
      </c>
    </row>
    <row r="86" spans="1:18" ht="16.5" x14ac:dyDescent="0.3">
      <c r="A86" s="30" t="s">
        <v>1173</v>
      </c>
      <c r="B86" s="20" t="s">
        <v>23</v>
      </c>
      <c r="C86" s="23" t="s">
        <v>1172</v>
      </c>
      <c r="D86" s="7">
        <v>1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9">
        <f t="shared" si="2"/>
        <v>1</v>
      </c>
    </row>
    <row r="87" spans="1:18" ht="16.5" x14ac:dyDescent="0.3">
      <c r="A87" s="30" t="s">
        <v>1153</v>
      </c>
      <c r="B87" s="20" t="s">
        <v>23</v>
      </c>
      <c r="C87" s="23" t="s">
        <v>1152</v>
      </c>
      <c r="D87" s="7">
        <v>1</v>
      </c>
      <c r="E87" s="7"/>
      <c r="F87" s="7"/>
      <c r="H87" s="7"/>
      <c r="I87" s="286">
        <v>1</v>
      </c>
      <c r="J87" s="286">
        <v>1</v>
      </c>
      <c r="K87" s="7"/>
      <c r="L87" s="7"/>
      <c r="M87" s="7"/>
      <c r="N87" s="7"/>
      <c r="O87" s="7"/>
      <c r="P87" s="7"/>
      <c r="Q87" s="7"/>
      <c r="R87" s="9">
        <f t="shared" si="2"/>
        <v>3</v>
      </c>
    </row>
    <row r="88" spans="1:18" ht="16.5" x14ac:dyDescent="0.3">
      <c r="A88" s="30" t="s">
        <v>1155</v>
      </c>
      <c r="B88" s="20" t="s">
        <v>23</v>
      </c>
      <c r="C88" s="23" t="s">
        <v>1154</v>
      </c>
      <c r="D88" s="7">
        <v>1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9">
        <f t="shared" si="2"/>
        <v>1</v>
      </c>
    </row>
    <row r="89" spans="1:18" ht="16.5" x14ac:dyDescent="0.3">
      <c r="A89" s="30" t="s">
        <v>1191</v>
      </c>
      <c r="B89" s="20" t="s">
        <v>23</v>
      </c>
      <c r="C89" s="26" t="s">
        <v>1190</v>
      </c>
      <c r="D89" s="7">
        <v>1</v>
      </c>
      <c r="E89" s="7"/>
      <c r="F89" s="7"/>
      <c r="G89" s="7"/>
      <c r="H89" s="7"/>
      <c r="I89" s="7"/>
      <c r="J89" s="286">
        <v>1</v>
      </c>
      <c r="K89" s="7"/>
      <c r="L89" s="7"/>
      <c r="M89" s="7"/>
      <c r="N89" s="7"/>
      <c r="O89" s="7"/>
      <c r="P89" s="7"/>
      <c r="Q89" s="7"/>
      <c r="R89" s="9">
        <f t="shared" si="2"/>
        <v>2</v>
      </c>
    </row>
    <row r="90" spans="1:18" ht="16.5" x14ac:dyDescent="0.3">
      <c r="A90" s="30" t="s">
        <v>1201</v>
      </c>
      <c r="B90" s="20" t="s">
        <v>23</v>
      </c>
      <c r="C90" s="23" t="s">
        <v>1200</v>
      </c>
      <c r="D90" s="7">
        <v>1</v>
      </c>
      <c r="E90" s="7"/>
      <c r="F90" s="7"/>
      <c r="G90" s="7"/>
      <c r="H90" s="7"/>
      <c r="I90" s="7"/>
      <c r="J90" s="286">
        <v>1</v>
      </c>
      <c r="K90" s="7"/>
      <c r="L90" s="7"/>
      <c r="M90" s="7"/>
      <c r="N90" s="7"/>
      <c r="O90" s="7"/>
      <c r="P90" s="7"/>
      <c r="Q90" s="7"/>
      <c r="R90" s="9">
        <f t="shared" si="2"/>
        <v>2</v>
      </c>
    </row>
    <row r="91" spans="1:18" ht="16.5" x14ac:dyDescent="0.3">
      <c r="A91" s="30" t="s">
        <v>1203</v>
      </c>
      <c r="B91" s="20" t="s">
        <v>23</v>
      </c>
      <c r="C91" s="23" t="s">
        <v>1202</v>
      </c>
      <c r="D91" s="7">
        <v>1</v>
      </c>
      <c r="E91" s="7"/>
      <c r="F91" s="7"/>
      <c r="G91" s="7"/>
      <c r="H91" s="7"/>
      <c r="I91" s="286">
        <v>1</v>
      </c>
      <c r="J91" s="286">
        <v>1</v>
      </c>
      <c r="K91" s="7"/>
      <c r="L91" s="7"/>
      <c r="M91" s="7"/>
      <c r="N91" s="7"/>
      <c r="O91" s="7"/>
      <c r="P91" s="7"/>
      <c r="Q91" s="7"/>
      <c r="R91" s="9">
        <f t="shared" si="2"/>
        <v>3</v>
      </c>
    </row>
    <row r="92" spans="1:18" ht="16.5" x14ac:dyDescent="0.3">
      <c r="A92" s="30" t="s">
        <v>679</v>
      </c>
      <c r="B92" s="20" t="s">
        <v>23</v>
      </c>
      <c r="C92" s="23" t="s">
        <v>678</v>
      </c>
      <c r="D92" s="7">
        <v>1</v>
      </c>
      <c r="E92" s="7"/>
      <c r="F92" s="7"/>
      <c r="G92" s="7"/>
      <c r="H92" s="7"/>
      <c r="I92" s="286">
        <v>1</v>
      </c>
      <c r="J92" s="7"/>
      <c r="K92" s="7"/>
      <c r="L92" s="7"/>
      <c r="M92" s="7"/>
      <c r="N92" s="7"/>
      <c r="O92" s="7"/>
      <c r="P92" s="7"/>
      <c r="Q92" s="7"/>
      <c r="R92" s="9">
        <f t="shared" si="2"/>
        <v>2</v>
      </c>
    </row>
    <row r="93" spans="1:18" ht="16.5" x14ac:dyDescent="0.3">
      <c r="A93" s="30" t="s">
        <v>1159</v>
      </c>
      <c r="B93" s="20" t="s">
        <v>23</v>
      </c>
      <c r="C93" s="23" t="s">
        <v>1158</v>
      </c>
      <c r="D93" s="7">
        <v>1</v>
      </c>
      <c r="E93" s="7"/>
      <c r="F93" s="7"/>
      <c r="G93" s="7"/>
      <c r="H93" s="7"/>
      <c r="I93" s="286">
        <v>1</v>
      </c>
      <c r="J93" s="286">
        <v>1</v>
      </c>
      <c r="K93" s="7"/>
      <c r="L93" s="7"/>
      <c r="M93" s="7"/>
      <c r="N93" s="7"/>
      <c r="O93" s="7"/>
      <c r="P93" s="7"/>
      <c r="Q93" s="7"/>
      <c r="R93" s="9">
        <f t="shared" si="2"/>
        <v>3</v>
      </c>
    </row>
    <row r="94" spans="1:18" ht="16.5" x14ac:dyDescent="0.3">
      <c r="A94" s="30" t="s">
        <v>1183</v>
      </c>
      <c r="B94" s="20" t="s">
        <v>23</v>
      </c>
      <c r="C94" s="23" t="s">
        <v>1182</v>
      </c>
      <c r="D94" s="7">
        <v>1</v>
      </c>
      <c r="E94" s="7"/>
      <c r="F94" s="7"/>
      <c r="G94" s="7"/>
      <c r="H94" s="7"/>
      <c r="I94" s="286">
        <v>1</v>
      </c>
      <c r="J94" s="286">
        <v>1</v>
      </c>
      <c r="K94" s="7"/>
      <c r="L94" s="7"/>
      <c r="M94" s="7"/>
      <c r="N94" s="7"/>
      <c r="O94" s="7"/>
      <c r="P94" s="7"/>
      <c r="Q94" s="7"/>
      <c r="R94" s="9">
        <f t="shared" si="2"/>
        <v>3</v>
      </c>
    </row>
    <row r="95" spans="1:18" ht="16.5" x14ac:dyDescent="0.3">
      <c r="A95" s="30" t="s">
        <v>1165</v>
      </c>
      <c r="B95" s="20" t="s">
        <v>23</v>
      </c>
      <c r="C95" s="23" t="s">
        <v>1164</v>
      </c>
      <c r="D95" s="7">
        <v>1</v>
      </c>
      <c r="E95" s="7"/>
      <c r="F95" s="7"/>
      <c r="G95" s="7"/>
      <c r="H95" s="7"/>
      <c r="I95" s="286">
        <v>1</v>
      </c>
      <c r="J95" s="286">
        <v>1</v>
      </c>
      <c r="K95" s="7"/>
      <c r="L95" s="7"/>
      <c r="M95" s="7"/>
      <c r="N95" s="7"/>
      <c r="O95" s="7"/>
      <c r="P95" s="7"/>
      <c r="Q95" s="7"/>
      <c r="R95" s="9">
        <f t="shared" ref="R95:R107" si="3">SUM(D95:Q95)</f>
        <v>3</v>
      </c>
    </row>
    <row r="96" spans="1:18" ht="16.5" x14ac:dyDescent="0.3">
      <c r="A96" s="30" t="s">
        <v>1185</v>
      </c>
      <c r="B96" s="20" t="s">
        <v>23</v>
      </c>
      <c r="C96" s="26" t="s">
        <v>1184</v>
      </c>
      <c r="D96" s="7">
        <v>1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9">
        <f t="shared" si="3"/>
        <v>1</v>
      </c>
    </row>
    <row r="97" spans="1:18" ht="16.5" x14ac:dyDescent="0.3">
      <c r="A97" s="30" t="s">
        <v>1157</v>
      </c>
      <c r="B97" s="20" t="s">
        <v>23</v>
      </c>
      <c r="C97" s="23" t="s">
        <v>1156</v>
      </c>
      <c r="D97" s="7">
        <v>1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9">
        <f t="shared" si="3"/>
        <v>1</v>
      </c>
    </row>
    <row r="98" spans="1:18" ht="16.5" x14ac:dyDescent="0.3">
      <c r="A98" s="30" t="s">
        <v>1237</v>
      </c>
      <c r="B98" s="20" t="s">
        <v>23</v>
      </c>
      <c r="C98" s="23" t="s">
        <v>1236</v>
      </c>
      <c r="D98" s="7">
        <v>1</v>
      </c>
      <c r="E98" s="7"/>
      <c r="F98" s="7"/>
      <c r="G98" s="7"/>
      <c r="H98" s="7"/>
      <c r="I98" s="286">
        <v>1</v>
      </c>
      <c r="J98" s="7"/>
      <c r="K98" s="7"/>
      <c r="L98" s="7"/>
      <c r="M98" s="7"/>
      <c r="N98" s="7"/>
      <c r="O98" s="7"/>
      <c r="P98" s="7"/>
      <c r="Q98" s="7"/>
      <c r="R98" s="9">
        <f t="shared" si="3"/>
        <v>2</v>
      </c>
    </row>
    <row r="99" spans="1:18" ht="16.5" x14ac:dyDescent="0.3">
      <c r="A99" s="30" t="s">
        <v>1249</v>
      </c>
      <c r="B99" s="20" t="s">
        <v>23</v>
      </c>
      <c r="C99" s="23" t="s">
        <v>1248</v>
      </c>
      <c r="D99" s="7">
        <v>1</v>
      </c>
      <c r="E99" s="7"/>
      <c r="F99" s="7"/>
      <c r="G99" s="7"/>
      <c r="H99" s="7"/>
      <c r="I99" s="7"/>
      <c r="J99" s="286">
        <v>1</v>
      </c>
      <c r="K99" s="7"/>
      <c r="L99" s="7"/>
      <c r="M99" s="7"/>
      <c r="N99" s="7"/>
      <c r="O99" s="7"/>
      <c r="P99" s="7"/>
      <c r="Q99" s="7"/>
      <c r="R99" s="9">
        <f t="shared" si="3"/>
        <v>2</v>
      </c>
    </row>
    <row r="100" spans="1:18" ht="16.5" x14ac:dyDescent="0.3">
      <c r="A100" s="30" t="s">
        <v>683</v>
      </c>
      <c r="B100" s="20" t="s">
        <v>23</v>
      </c>
      <c r="C100" s="23" t="s">
        <v>682</v>
      </c>
      <c r="D100" s="7">
        <v>1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9">
        <f t="shared" si="3"/>
        <v>1</v>
      </c>
    </row>
    <row r="101" spans="1:18" ht="16.5" x14ac:dyDescent="0.3">
      <c r="A101" s="30" t="s">
        <v>681</v>
      </c>
      <c r="B101" s="20" t="s">
        <v>23</v>
      </c>
      <c r="C101" s="23" t="s">
        <v>680</v>
      </c>
      <c r="D101" s="7">
        <v>1</v>
      </c>
      <c r="E101" s="7"/>
      <c r="F101" s="7"/>
      <c r="G101" s="7"/>
      <c r="H101" s="7"/>
      <c r="I101" s="286">
        <v>1</v>
      </c>
      <c r="J101" s="7"/>
      <c r="K101" s="7"/>
      <c r="L101" s="7"/>
      <c r="M101" s="7"/>
      <c r="N101" s="7"/>
      <c r="O101" s="7"/>
      <c r="P101" s="7"/>
      <c r="Q101" s="7"/>
      <c r="R101" s="9">
        <f t="shared" si="3"/>
        <v>2</v>
      </c>
    </row>
    <row r="102" spans="1:18" ht="16.5" x14ac:dyDescent="0.3">
      <c r="A102" s="30" t="s">
        <v>1169</v>
      </c>
      <c r="B102" s="20" t="s">
        <v>23</v>
      </c>
      <c r="C102" s="23" t="s">
        <v>1168</v>
      </c>
      <c r="D102" s="7">
        <v>1</v>
      </c>
      <c r="E102" s="7"/>
      <c r="F102" s="7"/>
      <c r="G102" s="7"/>
      <c r="H102" s="7"/>
      <c r="I102" s="286">
        <v>1</v>
      </c>
      <c r="J102" s="7"/>
      <c r="K102" s="7"/>
      <c r="L102" s="7"/>
      <c r="M102" s="7"/>
      <c r="N102" s="7"/>
      <c r="O102" s="7"/>
      <c r="P102" s="7"/>
      <c r="Q102" s="7"/>
      <c r="R102" s="9">
        <f t="shared" si="3"/>
        <v>2</v>
      </c>
    </row>
    <row r="103" spans="1:18" ht="16.5" x14ac:dyDescent="0.3">
      <c r="A103" s="30" t="s">
        <v>677</v>
      </c>
      <c r="B103" s="20" t="s">
        <v>23</v>
      </c>
      <c r="C103" s="26" t="s">
        <v>676</v>
      </c>
      <c r="D103" s="7">
        <v>1</v>
      </c>
      <c r="E103" s="7"/>
      <c r="F103" s="7"/>
      <c r="G103" s="7"/>
      <c r="H103" s="7"/>
      <c r="I103" s="286">
        <v>1</v>
      </c>
      <c r="J103" s="7"/>
      <c r="K103" s="7"/>
      <c r="L103" s="7"/>
      <c r="M103" s="7"/>
      <c r="N103" s="7"/>
      <c r="O103" s="7"/>
      <c r="P103" s="7"/>
      <c r="Q103" s="7"/>
      <c r="R103" s="9">
        <f t="shared" si="3"/>
        <v>2</v>
      </c>
    </row>
    <row r="104" spans="1:18" ht="16.5" x14ac:dyDescent="0.3">
      <c r="A104" s="30" t="s">
        <v>1187</v>
      </c>
      <c r="B104" s="20" t="s">
        <v>23</v>
      </c>
      <c r="C104" s="23" t="s">
        <v>1186</v>
      </c>
      <c r="D104" s="7">
        <v>1</v>
      </c>
      <c r="E104" s="7"/>
      <c r="F104" s="7"/>
      <c r="G104" s="7"/>
      <c r="H104" s="7"/>
      <c r="I104" s="286">
        <v>1</v>
      </c>
      <c r="J104" s="286">
        <v>1</v>
      </c>
      <c r="K104" s="7"/>
      <c r="L104" s="7"/>
      <c r="M104" s="7"/>
      <c r="N104" s="7"/>
      <c r="O104" s="7"/>
      <c r="P104" s="7"/>
      <c r="Q104" s="7"/>
      <c r="R104" s="9">
        <f t="shared" si="3"/>
        <v>3</v>
      </c>
    </row>
    <row r="105" spans="1:18" ht="16.5" x14ac:dyDescent="0.3">
      <c r="A105" s="30" t="s">
        <v>687</v>
      </c>
      <c r="B105" s="20" t="s">
        <v>23</v>
      </c>
      <c r="C105" s="23" t="s">
        <v>686</v>
      </c>
      <c r="D105" s="7">
        <v>1</v>
      </c>
      <c r="E105" s="7"/>
      <c r="F105" s="7"/>
      <c r="G105" s="7"/>
      <c r="H105" s="7"/>
      <c r="I105" s="286">
        <v>1</v>
      </c>
      <c r="J105" s="7"/>
      <c r="K105" s="7"/>
      <c r="L105" s="7"/>
      <c r="M105" s="7"/>
      <c r="N105" s="7"/>
      <c r="O105" s="7"/>
      <c r="P105" s="7"/>
      <c r="Q105" s="7"/>
      <c r="R105" s="9">
        <f t="shared" si="3"/>
        <v>2</v>
      </c>
    </row>
    <row r="106" spans="1:18" ht="16.5" x14ac:dyDescent="0.3">
      <c r="A106" s="30" t="s">
        <v>1163</v>
      </c>
      <c r="B106" s="20" t="s">
        <v>23</v>
      </c>
      <c r="C106" s="23" t="s">
        <v>1162</v>
      </c>
      <c r="D106" s="7">
        <v>1</v>
      </c>
      <c r="E106" s="7"/>
      <c r="F106" s="7"/>
      <c r="G106" s="7"/>
      <c r="H106" s="7"/>
      <c r="I106" s="7"/>
      <c r="J106" s="286">
        <v>1</v>
      </c>
      <c r="K106" s="7"/>
      <c r="L106" s="7"/>
      <c r="M106" s="7"/>
      <c r="N106" s="7"/>
      <c r="O106" s="7"/>
      <c r="P106" s="7"/>
      <c r="Q106" s="7"/>
      <c r="R106" s="9">
        <f t="shared" si="3"/>
        <v>2</v>
      </c>
    </row>
    <row r="107" spans="1:18" ht="17.25" thickBot="1" x14ac:dyDescent="0.35">
      <c r="A107" s="30" t="s">
        <v>1189</v>
      </c>
      <c r="B107" s="20" t="s">
        <v>23</v>
      </c>
      <c r="C107" s="23" t="s">
        <v>1188</v>
      </c>
      <c r="D107" s="7">
        <v>1</v>
      </c>
      <c r="E107" s="7"/>
      <c r="F107" s="7"/>
      <c r="G107" s="7"/>
      <c r="H107" s="7"/>
      <c r="I107" s="286">
        <v>1</v>
      </c>
      <c r="J107" s="286">
        <v>1</v>
      </c>
      <c r="K107" s="7"/>
      <c r="L107" s="7"/>
      <c r="M107" s="7"/>
      <c r="N107" s="7"/>
      <c r="O107" s="7"/>
      <c r="P107" s="7"/>
      <c r="Q107" s="7"/>
      <c r="R107" s="9">
        <f t="shared" si="3"/>
        <v>3</v>
      </c>
    </row>
    <row r="108" spans="1:18" ht="15.75" thickBot="1" x14ac:dyDescent="0.3">
      <c r="C108" s="13" t="s">
        <v>1378</v>
      </c>
      <c r="D108" s="14">
        <f>SUM(D30:D107)</f>
        <v>78</v>
      </c>
      <c r="E108" s="14">
        <f t="shared" ref="E108:Q108" si="4">SUM(E30:E107)</f>
        <v>0</v>
      </c>
      <c r="F108" s="14">
        <f t="shared" si="4"/>
        <v>0</v>
      </c>
      <c r="G108" s="14">
        <f t="shared" si="4"/>
        <v>0</v>
      </c>
      <c r="H108" s="14">
        <f t="shared" si="4"/>
        <v>0</v>
      </c>
      <c r="I108" s="14">
        <f t="shared" si="4"/>
        <v>20</v>
      </c>
      <c r="J108" s="14">
        <f t="shared" si="4"/>
        <v>39</v>
      </c>
      <c r="K108" s="14">
        <f t="shared" si="4"/>
        <v>0</v>
      </c>
      <c r="L108" s="14">
        <f t="shared" si="4"/>
        <v>0</v>
      </c>
      <c r="M108" s="14">
        <f t="shared" si="4"/>
        <v>0</v>
      </c>
      <c r="N108" s="14">
        <f t="shared" si="4"/>
        <v>0</v>
      </c>
      <c r="O108" s="14">
        <f t="shared" si="4"/>
        <v>0</v>
      </c>
      <c r="P108" s="14">
        <f t="shared" si="4"/>
        <v>0</v>
      </c>
      <c r="Q108" s="14">
        <f t="shared" si="4"/>
        <v>0</v>
      </c>
      <c r="R108" s="95">
        <f>SUM(D108:Q108)</f>
        <v>137</v>
      </c>
    </row>
    <row r="110" spans="1:18" x14ac:dyDescent="0.25">
      <c r="D110" s="81"/>
    </row>
    <row r="111" spans="1:18" x14ac:dyDescent="0.25">
      <c r="A111" s="369" t="s">
        <v>1380</v>
      </c>
      <c r="B111" s="369"/>
      <c r="C111" s="369"/>
    </row>
    <row r="112" spans="1:18" x14ac:dyDescent="0.25">
      <c r="A112" s="161">
        <v>44287</v>
      </c>
      <c r="B112" s="3" t="s">
        <v>1381</v>
      </c>
      <c r="C112" s="370">
        <v>189000000</v>
      </c>
    </row>
    <row r="113" spans="1:4" x14ac:dyDescent="0.25">
      <c r="A113" s="161">
        <v>44317</v>
      </c>
      <c r="B113" s="3" t="s">
        <v>1381</v>
      </c>
      <c r="C113" s="371"/>
    </row>
    <row r="114" spans="1:4" x14ac:dyDescent="0.25">
      <c r="A114" s="161">
        <v>44348</v>
      </c>
      <c r="B114" s="3" t="s">
        <v>1381</v>
      </c>
      <c r="C114" s="371"/>
    </row>
    <row r="115" spans="1:4" x14ac:dyDescent="0.25">
      <c r="A115" s="161">
        <v>44378</v>
      </c>
      <c r="B115" s="3" t="s">
        <v>1381</v>
      </c>
      <c r="C115" s="371"/>
    </row>
    <row r="116" spans="1:4" x14ac:dyDescent="0.25">
      <c r="A116" s="161">
        <v>44409</v>
      </c>
      <c r="B116" s="3" t="s">
        <v>1381</v>
      </c>
      <c r="C116" s="371"/>
    </row>
    <row r="117" spans="1:4" x14ac:dyDescent="0.25">
      <c r="A117" s="161">
        <v>44440</v>
      </c>
      <c r="B117" s="3" t="s">
        <v>1381</v>
      </c>
      <c r="C117" s="372"/>
    </row>
    <row r="118" spans="1:4" x14ac:dyDescent="0.25">
      <c r="A118" s="161">
        <v>44470</v>
      </c>
      <c r="B118" s="3" t="s">
        <v>1381</v>
      </c>
      <c r="C118" s="162">
        <v>31500000</v>
      </c>
    </row>
    <row r="119" spans="1:4" x14ac:dyDescent="0.25">
      <c r="A119" s="161">
        <v>44501</v>
      </c>
      <c r="B119" s="3" t="s">
        <v>1381</v>
      </c>
      <c r="C119" s="162">
        <v>31500000</v>
      </c>
    </row>
    <row r="120" spans="1:4" x14ac:dyDescent="0.25">
      <c r="A120" s="161">
        <v>44531</v>
      </c>
      <c r="B120" s="3" t="s">
        <v>1381</v>
      </c>
      <c r="C120" s="162">
        <v>31500000</v>
      </c>
    </row>
    <row r="121" spans="1:4" x14ac:dyDescent="0.25">
      <c r="A121" s="161">
        <v>44562</v>
      </c>
      <c r="B121" s="3" t="s">
        <v>1381</v>
      </c>
      <c r="C121" s="162">
        <v>31500000</v>
      </c>
    </row>
    <row r="122" spans="1:4" x14ac:dyDescent="0.25">
      <c r="A122" s="161">
        <v>44593</v>
      </c>
      <c r="B122" s="3" t="s">
        <v>1381</v>
      </c>
      <c r="C122" s="162">
        <v>31500000</v>
      </c>
    </row>
    <row r="123" spans="1:4" x14ac:dyDescent="0.25">
      <c r="A123" s="161">
        <v>44621</v>
      </c>
      <c r="B123" s="3" t="s">
        <v>1381</v>
      </c>
      <c r="C123" s="162">
        <v>31500000</v>
      </c>
    </row>
    <row r="124" spans="1:4" x14ac:dyDescent="0.25">
      <c r="A124" s="161">
        <v>44652</v>
      </c>
      <c r="B124" s="3" t="s">
        <v>1381</v>
      </c>
      <c r="C124" s="162">
        <v>31500000</v>
      </c>
    </row>
    <row r="125" spans="1:4" x14ac:dyDescent="0.25">
      <c r="A125" s="161">
        <v>44682</v>
      </c>
      <c r="B125" s="3" t="s">
        <v>1381</v>
      </c>
      <c r="C125" s="162">
        <v>45500000</v>
      </c>
      <c r="D125" t="s">
        <v>1421</v>
      </c>
    </row>
    <row r="126" spans="1:4" x14ac:dyDescent="0.25">
      <c r="A126" s="161">
        <v>44713</v>
      </c>
      <c r="B126" s="3" t="s">
        <v>1381</v>
      </c>
      <c r="C126" s="162">
        <v>45500000</v>
      </c>
    </row>
    <row r="127" spans="1:4" x14ac:dyDescent="0.25">
      <c r="A127" s="161">
        <v>44743</v>
      </c>
      <c r="B127" s="3" t="s">
        <v>1381</v>
      </c>
      <c r="C127" s="162">
        <v>45500000</v>
      </c>
    </row>
    <row r="128" spans="1:4" x14ac:dyDescent="0.25">
      <c r="A128" s="161">
        <v>44774</v>
      </c>
      <c r="B128" s="3" t="s">
        <v>1381</v>
      </c>
      <c r="C128" s="162">
        <v>45500000</v>
      </c>
    </row>
    <row r="129" spans="1:3" x14ac:dyDescent="0.25">
      <c r="A129" s="161">
        <v>44805</v>
      </c>
      <c r="B129" s="3" t="s">
        <v>1381</v>
      </c>
      <c r="C129" s="162">
        <v>45500000</v>
      </c>
    </row>
  </sheetData>
  <autoFilter ref="B2:R24" xr:uid="{00000000-0009-0000-0000-000005000000}"/>
  <mergeCells count="4">
    <mergeCell ref="A1:R1"/>
    <mergeCell ref="A28:R28"/>
    <mergeCell ref="A111:C111"/>
    <mergeCell ref="C112:C117"/>
  </mergeCells>
  <conditionalFormatting sqref="A3:A24">
    <cfRule type="duplicateValues" dxfId="62" priority="2"/>
  </conditionalFormatting>
  <conditionalFormatting sqref="A30:A107">
    <cfRule type="duplicateValues" dxfId="61" priority="1"/>
  </conditionalFormatting>
  <pageMargins left="0.7" right="0.7" top="0.75" bottom="0.75" header="0.3" footer="0.3"/>
  <pageSetup orientation="portrait" r:id="rId1"/>
  <ignoredErrors>
    <ignoredError sqref="D25:J25 K25:L25 D108:N108 M25:N25 O25:Q25 O108:Q10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74"/>
  <sheetViews>
    <sheetView zoomScale="70" zoomScaleNormal="70" workbookViewId="0">
      <pane xSplit="3" ySplit="2" topLeftCell="I51" activePane="bottomRight" state="frozen"/>
      <selection pane="topRight" activeCell="H29" sqref="H29"/>
      <selection pane="bottomLeft" activeCell="H29" sqref="H29"/>
      <selection pane="bottomRight" activeCell="A21" sqref="A21:S21"/>
    </sheetView>
  </sheetViews>
  <sheetFormatPr baseColWidth="10" defaultColWidth="11.42578125" defaultRowHeight="15" x14ac:dyDescent="0.25"/>
  <cols>
    <col min="1" max="1" width="14.7109375" customWidth="1"/>
    <col min="2" max="2" width="19.85546875" customWidth="1"/>
    <col min="3" max="3" width="23.5703125" customWidth="1"/>
    <col min="4" max="19" width="14.5703125" customWidth="1"/>
    <col min="20" max="20" width="16" customWidth="1"/>
    <col min="21" max="21" width="17.140625" customWidth="1"/>
  </cols>
  <sheetData>
    <row r="1" spans="1:21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</row>
    <row r="2" spans="1:21" ht="45" customHeight="1" thickBot="1" x14ac:dyDescent="0.3">
      <c r="A2" s="5" t="s">
        <v>3</v>
      </c>
      <c r="B2" s="8" t="s">
        <v>0</v>
      </c>
      <c r="C2" s="4" t="s">
        <v>1</v>
      </c>
      <c r="D2" s="6">
        <v>44317</v>
      </c>
      <c r="E2" s="6">
        <v>44348</v>
      </c>
      <c r="F2" s="6">
        <v>44378</v>
      </c>
      <c r="G2" s="6">
        <v>44409</v>
      </c>
      <c r="H2" s="6">
        <v>44440</v>
      </c>
      <c r="I2" s="6">
        <v>44470</v>
      </c>
      <c r="J2" s="6">
        <v>44501</v>
      </c>
      <c r="K2" s="6">
        <v>44531</v>
      </c>
      <c r="L2" s="6">
        <v>44562</v>
      </c>
      <c r="M2" s="6">
        <v>44593</v>
      </c>
      <c r="N2" s="6">
        <v>44621</v>
      </c>
      <c r="O2" s="6">
        <v>44652</v>
      </c>
      <c r="P2" s="6">
        <v>44682</v>
      </c>
      <c r="Q2" s="6">
        <v>44713</v>
      </c>
      <c r="R2" s="6">
        <v>44743</v>
      </c>
      <c r="S2" s="47" t="s">
        <v>1424</v>
      </c>
      <c r="T2" s="217" t="s">
        <v>1419</v>
      </c>
      <c r="U2" s="220" t="s">
        <v>1418</v>
      </c>
    </row>
    <row r="3" spans="1:21" ht="16.5" x14ac:dyDescent="0.3">
      <c r="A3" s="28" t="s">
        <v>124</v>
      </c>
      <c r="B3" s="10" t="s">
        <v>49</v>
      </c>
      <c r="C3" s="23" t="s">
        <v>123</v>
      </c>
      <c r="D3" s="7">
        <v>0</v>
      </c>
      <c r="E3" s="7">
        <v>1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7">
        <v>1</v>
      </c>
      <c r="O3" s="7"/>
      <c r="P3" s="7">
        <v>1</v>
      </c>
      <c r="Q3" s="7">
        <v>1</v>
      </c>
      <c r="R3" s="227">
        <v>1</v>
      </c>
      <c r="S3" s="9">
        <f>SUM(D3:N3)</f>
        <v>10</v>
      </c>
      <c r="T3" s="213">
        <f>SUM(P3:R3)</f>
        <v>3</v>
      </c>
      <c r="U3" s="214">
        <f>S3+T3</f>
        <v>13</v>
      </c>
    </row>
    <row r="4" spans="1:21" ht="16.5" x14ac:dyDescent="0.3">
      <c r="A4" s="28" t="s">
        <v>253</v>
      </c>
      <c r="B4" s="10" t="s">
        <v>49</v>
      </c>
      <c r="C4" s="23" t="s">
        <v>252</v>
      </c>
      <c r="D4" s="7">
        <v>0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/>
      <c r="P4" s="7">
        <v>1</v>
      </c>
      <c r="Q4" s="7">
        <v>1</v>
      </c>
      <c r="R4" s="227">
        <v>1</v>
      </c>
      <c r="S4" s="9">
        <f>SUM(D4:N4)</f>
        <v>10</v>
      </c>
      <c r="T4" s="213">
        <f>SUM(P4:R4)</f>
        <v>3</v>
      </c>
      <c r="U4" s="215">
        <f t="shared" ref="U4:U15" si="0">S4+T4</f>
        <v>13</v>
      </c>
    </row>
    <row r="5" spans="1:21" ht="16.5" x14ac:dyDescent="0.3">
      <c r="A5" s="28" t="s">
        <v>139</v>
      </c>
      <c r="B5" s="10" t="s">
        <v>49</v>
      </c>
      <c r="C5" s="23" t="s">
        <v>138</v>
      </c>
      <c r="D5" s="7">
        <v>0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/>
      <c r="P5" s="7">
        <v>1</v>
      </c>
      <c r="Q5" s="7">
        <v>1</v>
      </c>
      <c r="R5" s="227">
        <v>1</v>
      </c>
      <c r="S5" s="9">
        <f>SUM(D5:N5)</f>
        <v>10</v>
      </c>
      <c r="T5" s="213">
        <f>SUM(P5:R5)</f>
        <v>3</v>
      </c>
      <c r="U5" s="215">
        <f t="shared" si="0"/>
        <v>13</v>
      </c>
    </row>
    <row r="6" spans="1:21" ht="16.5" x14ac:dyDescent="0.3">
      <c r="A6" s="223" t="s">
        <v>388</v>
      </c>
      <c r="B6" s="224" t="s">
        <v>49</v>
      </c>
      <c r="C6" s="225" t="s">
        <v>387</v>
      </c>
      <c r="D6" s="158">
        <v>0</v>
      </c>
      <c r="E6" s="158">
        <v>1</v>
      </c>
      <c r="F6" s="158">
        <v>1</v>
      </c>
      <c r="G6" s="158">
        <v>1</v>
      </c>
      <c r="H6" s="158">
        <v>1</v>
      </c>
      <c r="I6" s="158">
        <v>1</v>
      </c>
      <c r="J6" s="158">
        <v>0</v>
      </c>
      <c r="K6" s="158">
        <v>0</v>
      </c>
      <c r="L6" s="158">
        <v>0</v>
      </c>
      <c r="M6" s="158">
        <v>0</v>
      </c>
      <c r="N6" s="158">
        <v>0</v>
      </c>
      <c r="O6" s="158"/>
      <c r="P6" s="158">
        <v>0</v>
      </c>
      <c r="Q6" s="158">
        <v>0</v>
      </c>
      <c r="R6" s="158">
        <v>0</v>
      </c>
      <c r="S6" s="226">
        <f t="shared" ref="S6" si="1">SUM(D6:N6)</f>
        <v>5</v>
      </c>
      <c r="T6" s="213">
        <f t="shared" ref="T6:T8" si="2">SUM(P6:Q6)</f>
        <v>0</v>
      </c>
      <c r="U6" s="215">
        <f t="shared" si="0"/>
        <v>5</v>
      </c>
    </row>
    <row r="7" spans="1:21" ht="16.5" x14ac:dyDescent="0.3">
      <c r="A7" s="28" t="s">
        <v>51</v>
      </c>
      <c r="B7" s="10" t="s">
        <v>49</v>
      </c>
      <c r="C7" s="23" t="s">
        <v>50</v>
      </c>
      <c r="D7" s="7">
        <v>0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/>
      <c r="P7" s="7">
        <v>1</v>
      </c>
      <c r="Q7" s="7">
        <v>1</v>
      </c>
      <c r="R7" s="227">
        <v>1</v>
      </c>
      <c r="S7" s="9">
        <f t="shared" ref="S7:S15" si="3">SUM(D7:N7)</f>
        <v>10</v>
      </c>
      <c r="T7" s="213">
        <f>SUM(P7:R7)</f>
        <v>3</v>
      </c>
      <c r="U7" s="215">
        <f t="shared" si="0"/>
        <v>13</v>
      </c>
    </row>
    <row r="8" spans="1:21" ht="16.5" x14ac:dyDescent="0.3">
      <c r="A8" s="30" t="s">
        <v>374</v>
      </c>
      <c r="B8" s="10" t="s">
        <v>49</v>
      </c>
      <c r="C8" s="23" t="s">
        <v>373</v>
      </c>
      <c r="D8" s="7">
        <v>0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0</v>
      </c>
      <c r="P8" s="7">
        <v>0</v>
      </c>
      <c r="Q8" s="7">
        <v>0</v>
      </c>
      <c r="R8" s="7">
        <v>0</v>
      </c>
      <c r="S8" s="9">
        <f>SUM(D8:R8)</f>
        <v>10</v>
      </c>
      <c r="T8" s="213">
        <f t="shared" si="2"/>
        <v>0</v>
      </c>
      <c r="U8" s="215">
        <f t="shared" si="0"/>
        <v>10</v>
      </c>
    </row>
    <row r="9" spans="1:21" ht="16.5" x14ac:dyDescent="0.3">
      <c r="A9" s="30" t="s">
        <v>251</v>
      </c>
      <c r="B9" s="10" t="s">
        <v>49</v>
      </c>
      <c r="C9" s="23" t="s">
        <v>250</v>
      </c>
      <c r="D9" s="7">
        <v>0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227">
        <v>1</v>
      </c>
      <c r="S9" s="9">
        <f t="shared" si="3"/>
        <v>10</v>
      </c>
      <c r="T9" s="213">
        <f t="shared" ref="T9:T15" si="4">SUM(P9:R9)</f>
        <v>3</v>
      </c>
      <c r="U9" s="215">
        <f t="shared" si="0"/>
        <v>13</v>
      </c>
    </row>
    <row r="10" spans="1:21" ht="16.5" x14ac:dyDescent="0.3">
      <c r="A10" s="30" t="s">
        <v>229</v>
      </c>
      <c r="B10" s="10" t="s">
        <v>49</v>
      </c>
      <c r="C10" s="23" t="s">
        <v>228</v>
      </c>
      <c r="D10" s="7">
        <v>0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/>
      <c r="P10" s="7">
        <v>1</v>
      </c>
      <c r="Q10" s="7">
        <v>1</v>
      </c>
      <c r="R10" s="227">
        <v>1</v>
      </c>
      <c r="S10" s="9">
        <f t="shared" si="3"/>
        <v>10</v>
      </c>
      <c r="T10" s="213">
        <f t="shared" si="4"/>
        <v>3</v>
      </c>
      <c r="U10" s="215">
        <f t="shared" si="0"/>
        <v>13</v>
      </c>
    </row>
    <row r="11" spans="1:21" ht="16.5" x14ac:dyDescent="0.3">
      <c r="A11" s="30" t="s">
        <v>243</v>
      </c>
      <c r="B11" s="10" t="s">
        <v>49</v>
      </c>
      <c r="C11" s="23" t="s">
        <v>242</v>
      </c>
      <c r="D11" s="7">
        <v>0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/>
      <c r="P11" s="7">
        <v>1</v>
      </c>
      <c r="Q11" s="7">
        <v>1</v>
      </c>
      <c r="R11" s="227">
        <v>1</v>
      </c>
      <c r="S11" s="9">
        <f t="shared" si="3"/>
        <v>10</v>
      </c>
      <c r="T11" s="213">
        <f t="shared" si="4"/>
        <v>3</v>
      </c>
      <c r="U11" s="215">
        <f t="shared" si="0"/>
        <v>13</v>
      </c>
    </row>
    <row r="12" spans="1:21" ht="16.5" x14ac:dyDescent="0.3">
      <c r="A12" s="30" t="s">
        <v>304</v>
      </c>
      <c r="B12" s="10" t="s">
        <v>49</v>
      </c>
      <c r="C12" s="26" t="s">
        <v>303</v>
      </c>
      <c r="D12" s="7">
        <v>0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P12" s="7">
        <v>1</v>
      </c>
      <c r="Q12" s="7">
        <v>1</v>
      </c>
      <c r="R12" s="7">
        <v>0</v>
      </c>
      <c r="S12" s="9">
        <f>SUM(D12:N12)</f>
        <v>10</v>
      </c>
      <c r="T12" s="213">
        <f t="shared" si="4"/>
        <v>2</v>
      </c>
      <c r="U12" s="215">
        <f t="shared" si="0"/>
        <v>12</v>
      </c>
    </row>
    <row r="13" spans="1:21" ht="16.5" x14ac:dyDescent="0.3">
      <c r="A13" s="30" t="s">
        <v>296</v>
      </c>
      <c r="B13" s="10" t="s">
        <v>49</v>
      </c>
      <c r="C13" s="38" t="s">
        <v>295</v>
      </c>
      <c r="D13" s="7">
        <v>0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1</v>
      </c>
      <c r="N13" s="7">
        <v>1</v>
      </c>
      <c r="O13" s="7">
        <v>1</v>
      </c>
      <c r="P13" s="7">
        <v>1</v>
      </c>
      <c r="Q13" s="7">
        <v>1</v>
      </c>
      <c r="R13" s="7">
        <v>0</v>
      </c>
      <c r="S13" s="9">
        <f t="shared" si="3"/>
        <v>10</v>
      </c>
      <c r="T13" s="213">
        <f t="shared" si="4"/>
        <v>2</v>
      </c>
      <c r="U13" s="215">
        <f t="shared" si="0"/>
        <v>12</v>
      </c>
    </row>
    <row r="14" spans="1:21" ht="16.5" x14ac:dyDescent="0.3">
      <c r="A14" s="30" t="s">
        <v>163</v>
      </c>
      <c r="B14" s="10" t="s">
        <v>49</v>
      </c>
      <c r="C14" s="26" t="s">
        <v>162</v>
      </c>
      <c r="D14" s="7">
        <v>0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/>
      <c r="P14" s="7">
        <v>1</v>
      </c>
      <c r="Q14" s="7">
        <v>1</v>
      </c>
      <c r="R14" s="227">
        <v>1</v>
      </c>
      <c r="S14" s="9">
        <f t="shared" si="3"/>
        <v>10</v>
      </c>
      <c r="T14" s="213">
        <f t="shared" si="4"/>
        <v>3</v>
      </c>
      <c r="U14" s="215">
        <f t="shared" si="0"/>
        <v>13</v>
      </c>
    </row>
    <row r="15" spans="1:21" ht="17.25" thickBot="1" x14ac:dyDescent="0.35">
      <c r="A15" s="30" t="s">
        <v>322</v>
      </c>
      <c r="B15" s="10" t="s">
        <v>49</v>
      </c>
      <c r="C15" s="26" t="s">
        <v>321</v>
      </c>
      <c r="D15" s="7">
        <v>0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7">
        <v>1</v>
      </c>
      <c r="N15" s="7">
        <v>1</v>
      </c>
      <c r="O15" s="7"/>
      <c r="P15" s="7">
        <v>1</v>
      </c>
      <c r="Q15" s="7">
        <v>1</v>
      </c>
      <c r="R15" s="227">
        <v>1</v>
      </c>
      <c r="S15" s="9">
        <f t="shared" si="3"/>
        <v>10</v>
      </c>
      <c r="T15" s="213">
        <f t="shared" si="4"/>
        <v>3</v>
      </c>
      <c r="U15" s="222">
        <f t="shared" si="0"/>
        <v>13</v>
      </c>
    </row>
    <row r="16" spans="1:21" ht="15.75" thickBot="1" x14ac:dyDescent="0.3">
      <c r="C16" s="13" t="s">
        <v>1378</v>
      </c>
      <c r="D16" s="14">
        <f t="shared" ref="D16:P16" si="5">SUM(D3:D15)</f>
        <v>0</v>
      </c>
      <c r="E16" s="14">
        <f t="shared" si="5"/>
        <v>13</v>
      </c>
      <c r="F16" s="14">
        <f t="shared" si="5"/>
        <v>13</v>
      </c>
      <c r="G16" s="14">
        <f t="shared" si="5"/>
        <v>13</v>
      </c>
      <c r="H16" s="14">
        <f t="shared" si="5"/>
        <v>13</v>
      </c>
      <c r="I16" s="14">
        <f t="shared" si="5"/>
        <v>13</v>
      </c>
      <c r="J16" s="14">
        <f t="shared" si="5"/>
        <v>12</v>
      </c>
      <c r="K16" s="14">
        <f t="shared" si="5"/>
        <v>12</v>
      </c>
      <c r="L16" s="14">
        <f t="shared" si="5"/>
        <v>12</v>
      </c>
      <c r="M16" s="14">
        <f t="shared" si="5"/>
        <v>12</v>
      </c>
      <c r="N16" s="14">
        <f t="shared" si="5"/>
        <v>12</v>
      </c>
      <c r="O16" s="14">
        <f t="shared" si="5"/>
        <v>2</v>
      </c>
      <c r="P16" s="14">
        <f t="shared" si="5"/>
        <v>11</v>
      </c>
      <c r="Q16" s="14">
        <f>SUM(Q3:Q15)</f>
        <v>11</v>
      </c>
      <c r="R16" s="14">
        <f>SUM(R3:R15)</f>
        <v>9</v>
      </c>
      <c r="S16" s="190">
        <f>SUM(S3:S15)</f>
        <v>125</v>
      </c>
      <c r="T16" s="228">
        <f>SUM(T3:T15)</f>
        <v>31</v>
      </c>
      <c r="U16" s="211">
        <f>SUM(U3:U15)</f>
        <v>156</v>
      </c>
    </row>
    <row r="17" spans="1:21" x14ac:dyDescent="0.25">
      <c r="E17" s="55"/>
      <c r="L17" s="56"/>
      <c r="M17" s="56"/>
      <c r="N17" s="56"/>
      <c r="O17" s="56"/>
      <c r="P17" s="56"/>
      <c r="Q17" s="56"/>
      <c r="R17">
        <f>R16*1100000</f>
        <v>9900000</v>
      </c>
      <c r="U17" s="105">
        <f>S16+T16</f>
        <v>156</v>
      </c>
    </row>
    <row r="18" spans="1:21" x14ac:dyDescent="0.25">
      <c r="E18" s="56"/>
      <c r="F18" s="92"/>
      <c r="M18" s="229"/>
      <c r="N18" s="229"/>
    </row>
    <row r="19" spans="1:21" x14ac:dyDescent="0.25">
      <c r="E19" s="55"/>
      <c r="F19" s="93"/>
    </row>
    <row r="20" spans="1:21" ht="15.75" thickBot="1" x14ac:dyDescent="0.3">
      <c r="A20" s="368" t="s">
        <v>1379</v>
      </c>
      <c r="B20" s="368"/>
      <c r="C20" s="368"/>
      <c r="D20" s="368"/>
      <c r="E20" s="368"/>
      <c r="F20" s="368"/>
      <c r="G20" s="368"/>
      <c r="H20" s="368"/>
      <c r="I20" s="368"/>
      <c r="J20" s="368"/>
      <c r="K20" s="368"/>
      <c r="L20" s="368"/>
      <c r="M20" s="368"/>
      <c r="N20" s="368"/>
      <c r="O20" s="368"/>
      <c r="P20" s="368"/>
      <c r="Q20" s="368"/>
      <c r="R20" s="368"/>
      <c r="S20" s="368"/>
    </row>
    <row r="21" spans="1:21" ht="45.75" customHeight="1" thickBot="1" x14ac:dyDescent="0.3">
      <c r="A21" s="5" t="s">
        <v>3</v>
      </c>
      <c r="B21" s="8" t="s">
        <v>0</v>
      </c>
      <c r="C21" s="4" t="s">
        <v>1</v>
      </c>
      <c r="D21" s="6">
        <v>44531</v>
      </c>
      <c r="E21" s="6">
        <v>44562</v>
      </c>
      <c r="F21" s="6">
        <v>44593</v>
      </c>
      <c r="G21" s="6">
        <v>44621</v>
      </c>
      <c r="H21" s="6">
        <v>44652</v>
      </c>
      <c r="I21" s="6">
        <v>44682</v>
      </c>
      <c r="J21" s="6">
        <v>44713</v>
      </c>
      <c r="K21" s="6">
        <v>44743</v>
      </c>
      <c r="L21" s="6">
        <v>44774</v>
      </c>
      <c r="M21" s="6">
        <v>44805</v>
      </c>
      <c r="N21" s="6">
        <v>44835</v>
      </c>
      <c r="O21" s="6">
        <v>44866</v>
      </c>
      <c r="P21" s="6">
        <v>44896</v>
      </c>
      <c r="Q21" s="6">
        <v>44927</v>
      </c>
      <c r="R21" s="6">
        <v>44958</v>
      </c>
      <c r="S21" s="6" t="s">
        <v>1376</v>
      </c>
    </row>
    <row r="22" spans="1:21" ht="16.5" x14ac:dyDescent="0.3">
      <c r="A22" s="30" t="s">
        <v>1281</v>
      </c>
      <c r="B22" s="20" t="s">
        <v>49</v>
      </c>
      <c r="C22" s="23" t="s">
        <v>1280</v>
      </c>
      <c r="D22" s="7">
        <v>1</v>
      </c>
      <c r="E22" s="7"/>
      <c r="F22" s="7"/>
      <c r="G22" s="7"/>
      <c r="H22" s="7"/>
      <c r="I22" s="7">
        <v>1</v>
      </c>
      <c r="J22" s="7">
        <v>1</v>
      </c>
      <c r="K22" s="7"/>
      <c r="L22" s="7"/>
      <c r="M22" s="7"/>
      <c r="N22" s="7"/>
      <c r="O22" s="7"/>
      <c r="P22" s="7"/>
      <c r="Q22" s="7"/>
      <c r="R22" s="7"/>
      <c r="S22" s="9">
        <f>SUM(D22:N22)</f>
        <v>3</v>
      </c>
    </row>
    <row r="23" spans="1:21" ht="16.5" x14ac:dyDescent="0.3">
      <c r="A23" s="30" t="s">
        <v>732</v>
      </c>
      <c r="B23" s="20" t="s">
        <v>49</v>
      </c>
      <c r="C23" s="26" t="s">
        <v>731</v>
      </c>
      <c r="D23" s="7">
        <v>1</v>
      </c>
      <c r="E23" s="7"/>
      <c r="F23" s="7"/>
      <c r="G23" s="7"/>
      <c r="H23" s="7"/>
      <c r="I23" s="227">
        <v>1</v>
      </c>
      <c r="J23" s="7">
        <v>1</v>
      </c>
      <c r="K23" s="7"/>
      <c r="L23" s="7"/>
      <c r="M23" s="7"/>
      <c r="N23" s="7"/>
      <c r="O23" s="7"/>
      <c r="P23" s="7"/>
      <c r="Q23" s="7"/>
      <c r="R23" s="7"/>
      <c r="S23" s="9">
        <f t="shared" ref="S23:S54" si="6">SUM(D23:N23)</f>
        <v>3</v>
      </c>
    </row>
    <row r="24" spans="1:21" ht="16.5" x14ac:dyDescent="0.3">
      <c r="A24" s="30" t="s">
        <v>1277</v>
      </c>
      <c r="B24" s="20" t="s">
        <v>49</v>
      </c>
      <c r="C24" s="23" t="s">
        <v>1276</v>
      </c>
      <c r="D24" s="7">
        <v>1</v>
      </c>
      <c r="E24" s="7"/>
      <c r="F24" s="7"/>
      <c r="G24" s="7"/>
      <c r="H24" s="7"/>
      <c r="I24" s="7">
        <v>1</v>
      </c>
      <c r="J24" s="7">
        <v>1</v>
      </c>
      <c r="K24" s="7"/>
      <c r="L24" s="7"/>
      <c r="M24" s="7"/>
      <c r="N24" s="7"/>
      <c r="O24" s="7"/>
      <c r="P24" s="7"/>
      <c r="Q24" s="7"/>
      <c r="R24" s="7"/>
      <c r="S24" s="9">
        <f t="shared" si="6"/>
        <v>3</v>
      </c>
    </row>
    <row r="25" spans="1:21" ht="16.5" x14ac:dyDescent="0.3">
      <c r="A25" s="30" t="s">
        <v>1273</v>
      </c>
      <c r="B25" s="20" t="s">
        <v>49</v>
      </c>
      <c r="C25" s="23" t="s">
        <v>1272</v>
      </c>
      <c r="D25" s="7">
        <v>1</v>
      </c>
      <c r="E25" s="7"/>
      <c r="F25" s="7"/>
      <c r="G25" s="7"/>
      <c r="H25" s="7"/>
      <c r="I25" s="7">
        <v>1</v>
      </c>
      <c r="J25" s="7">
        <v>1</v>
      </c>
      <c r="K25" s="7">
        <v>1</v>
      </c>
      <c r="L25" s="7"/>
      <c r="M25" s="7"/>
      <c r="N25" s="7"/>
      <c r="O25" s="7"/>
      <c r="P25" s="7"/>
      <c r="Q25" s="7"/>
      <c r="R25" s="7"/>
      <c r="S25" s="9">
        <f t="shared" si="6"/>
        <v>4</v>
      </c>
    </row>
    <row r="26" spans="1:21" ht="16.5" x14ac:dyDescent="0.3">
      <c r="A26" s="30" t="s">
        <v>1366</v>
      </c>
      <c r="B26" s="20" t="s">
        <v>49</v>
      </c>
      <c r="C26" s="23" t="s">
        <v>1365</v>
      </c>
      <c r="D26" s="7">
        <v>1</v>
      </c>
      <c r="E26" s="7"/>
      <c r="F26" s="7"/>
      <c r="G26" s="7"/>
      <c r="H26" s="7"/>
      <c r="I26" s="7">
        <v>1</v>
      </c>
      <c r="J26" s="7">
        <v>1</v>
      </c>
      <c r="K26" s="7">
        <v>1</v>
      </c>
      <c r="L26" s="7"/>
      <c r="M26" s="7"/>
      <c r="N26" s="7"/>
      <c r="O26" s="7"/>
      <c r="P26" s="7"/>
      <c r="Q26" s="7"/>
      <c r="R26" s="7"/>
      <c r="S26" s="9">
        <f t="shared" si="6"/>
        <v>4</v>
      </c>
    </row>
    <row r="27" spans="1:21" ht="16.5" x14ac:dyDescent="0.3">
      <c r="A27" s="30" t="s">
        <v>714</v>
      </c>
      <c r="B27" s="20" t="s">
        <v>49</v>
      </c>
      <c r="C27" s="23" t="s">
        <v>713</v>
      </c>
      <c r="D27" s="7">
        <v>1</v>
      </c>
      <c r="E27" s="7"/>
      <c r="F27" s="7"/>
      <c r="G27" s="7"/>
      <c r="H27" s="7"/>
      <c r="I27" s="7">
        <v>1</v>
      </c>
      <c r="J27" s="7">
        <v>1</v>
      </c>
      <c r="K27" s="7"/>
      <c r="L27" s="7"/>
      <c r="M27" s="7"/>
      <c r="N27" s="7"/>
      <c r="O27" s="7"/>
      <c r="P27" s="7"/>
      <c r="Q27" s="7"/>
      <c r="R27" s="7"/>
      <c r="S27" s="9">
        <f t="shared" si="6"/>
        <v>3</v>
      </c>
    </row>
    <row r="28" spans="1:21" ht="16.5" x14ac:dyDescent="0.3">
      <c r="A28" s="30" t="s">
        <v>712</v>
      </c>
      <c r="B28" s="20" t="s">
        <v>49</v>
      </c>
      <c r="C28" s="23" t="s">
        <v>711</v>
      </c>
      <c r="D28" s="7">
        <v>1</v>
      </c>
      <c r="E28" s="7"/>
      <c r="F28" s="7"/>
      <c r="G28" s="7"/>
      <c r="H28" s="7"/>
      <c r="I28" s="7">
        <v>1</v>
      </c>
      <c r="J28" s="7">
        <v>1</v>
      </c>
      <c r="K28" s="7"/>
      <c r="L28" s="7"/>
      <c r="M28" s="7"/>
      <c r="N28" s="7"/>
      <c r="O28" s="7"/>
      <c r="P28" s="7"/>
      <c r="Q28" s="7"/>
      <c r="R28" s="7"/>
      <c r="S28" s="9">
        <f t="shared" si="6"/>
        <v>3</v>
      </c>
    </row>
    <row r="29" spans="1:21" ht="16.5" x14ac:dyDescent="0.3">
      <c r="A29" s="30" t="s">
        <v>728</v>
      </c>
      <c r="B29" s="20" t="s">
        <v>49</v>
      </c>
      <c r="C29" s="26" t="s">
        <v>727</v>
      </c>
      <c r="D29" s="7">
        <v>1</v>
      </c>
      <c r="E29" s="7"/>
      <c r="F29" s="7"/>
      <c r="G29" s="7"/>
      <c r="H29" s="7"/>
      <c r="I29" s="7">
        <v>1</v>
      </c>
      <c r="J29" s="7">
        <v>1</v>
      </c>
      <c r="K29" s="7"/>
      <c r="L29" s="7"/>
      <c r="M29" s="7"/>
      <c r="N29" s="7"/>
      <c r="O29" s="7"/>
      <c r="P29" s="7"/>
      <c r="Q29" s="7"/>
      <c r="R29" s="7"/>
      <c r="S29" s="9">
        <f t="shared" si="6"/>
        <v>3</v>
      </c>
    </row>
    <row r="30" spans="1:21" ht="16.5" x14ac:dyDescent="0.3">
      <c r="A30" s="30" t="s">
        <v>730</v>
      </c>
      <c r="B30" s="20" t="s">
        <v>49</v>
      </c>
      <c r="C30" s="23" t="s">
        <v>729</v>
      </c>
      <c r="D30" s="7">
        <v>1</v>
      </c>
      <c r="E30" s="7"/>
      <c r="F30" s="7"/>
      <c r="G30" s="7"/>
      <c r="H30" s="7"/>
      <c r="I30" s="7">
        <v>1</v>
      </c>
      <c r="J30" s="7">
        <v>1</v>
      </c>
      <c r="K30" s="7"/>
      <c r="L30" s="7"/>
      <c r="M30" s="7"/>
      <c r="N30" s="7"/>
      <c r="O30" s="7"/>
      <c r="P30" s="7"/>
      <c r="Q30" s="7"/>
      <c r="R30" s="7"/>
      <c r="S30" s="9">
        <f t="shared" si="6"/>
        <v>3</v>
      </c>
    </row>
    <row r="31" spans="1:21" ht="16.5" x14ac:dyDescent="0.3">
      <c r="A31" s="30" t="s">
        <v>700</v>
      </c>
      <c r="B31" s="20" t="s">
        <v>49</v>
      </c>
      <c r="C31" s="23" t="s">
        <v>699</v>
      </c>
      <c r="D31" s="7">
        <v>1</v>
      </c>
      <c r="E31" s="7"/>
      <c r="F31" s="7"/>
      <c r="G31" s="7"/>
      <c r="H31" s="7"/>
      <c r="I31" s="7">
        <v>1</v>
      </c>
      <c r="J31" s="7">
        <v>1</v>
      </c>
      <c r="K31" s="7">
        <v>1</v>
      </c>
      <c r="L31" s="7"/>
      <c r="M31" s="7"/>
      <c r="N31" s="7"/>
      <c r="O31" s="7"/>
      <c r="P31" s="7"/>
      <c r="Q31" s="7"/>
      <c r="R31" s="7"/>
      <c r="S31" s="9">
        <f t="shared" si="6"/>
        <v>4</v>
      </c>
    </row>
    <row r="32" spans="1:21" ht="16.5" x14ac:dyDescent="0.3">
      <c r="A32" s="30" t="s">
        <v>696</v>
      </c>
      <c r="B32" s="20" t="s">
        <v>49</v>
      </c>
      <c r="C32" s="23" t="s">
        <v>695</v>
      </c>
      <c r="D32" s="7">
        <v>1</v>
      </c>
      <c r="E32" s="7"/>
      <c r="F32" s="7"/>
      <c r="G32" s="7"/>
      <c r="H32" s="7"/>
      <c r="I32" s="7">
        <v>1</v>
      </c>
      <c r="J32" s="7">
        <v>1</v>
      </c>
      <c r="K32" s="7">
        <v>1</v>
      </c>
      <c r="L32" s="7"/>
      <c r="M32" s="7"/>
      <c r="N32" s="7"/>
      <c r="O32" s="7"/>
      <c r="P32" s="7"/>
      <c r="Q32" s="7"/>
      <c r="R32" s="7"/>
      <c r="S32" s="9">
        <f t="shared" si="6"/>
        <v>4</v>
      </c>
    </row>
    <row r="33" spans="1:19" ht="16.5" x14ac:dyDescent="0.3">
      <c r="A33" s="30" t="s">
        <v>698</v>
      </c>
      <c r="B33" s="20" t="s">
        <v>49</v>
      </c>
      <c r="C33" s="23" t="s">
        <v>697</v>
      </c>
      <c r="D33" s="7">
        <v>1</v>
      </c>
      <c r="E33" s="7"/>
      <c r="F33" s="7"/>
      <c r="G33" s="7"/>
      <c r="H33" s="7"/>
      <c r="I33" s="7">
        <v>1</v>
      </c>
      <c r="J33" s="7">
        <v>1</v>
      </c>
      <c r="K33" s="7">
        <v>1</v>
      </c>
      <c r="L33" s="7"/>
      <c r="M33" s="7"/>
      <c r="N33" s="7"/>
      <c r="O33" s="7"/>
      <c r="P33" s="7"/>
      <c r="Q33" s="7"/>
      <c r="R33" s="7"/>
      <c r="S33" s="9">
        <f t="shared" si="6"/>
        <v>4</v>
      </c>
    </row>
    <row r="34" spans="1:19" ht="16.5" x14ac:dyDescent="0.3">
      <c r="A34" s="30" t="s">
        <v>689</v>
      </c>
      <c r="B34" s="20" t="s">
        <v>49</v>
      </c>
      <c r="C34" s="23" t="s">
        <v>688</v>
      </c>
      <c r="D34" s="7">
        <v>1</v>
      </c>
      <c r="E34" s="7"/>
      <c r="F34" s="7"/>
      <c r="G34" s="7"/>
      <c r="H34" s="7"/>
      <c r="I34" s="7">
        <v>1</v>
      </c>
      <c r="J34" s="7">
        <v>1</v>
      </c>
      <c r="K34" s="7"/>
      <c r="L34" s="7"/>
      <c r="M34" s="7"/>
      <c r="N34" s="7"/>
      <c r="O34" s="7"/>
      <c r="P34" s="7"/>
      <c r="Q34" s="7"/>
      <c r="R34" s="7"/>
      <c r="S34" s="9">
        <f t="shared" si="6"/>
        <v>3</v>
      </c>
    </row>
    <row r="35" spans="1:19" ht="16.5" x14ac:dyDescent="0.3">
      <c r="A35" s="30" t="s">
        <v>718</v>
      </c>
      <c r="B35" s="20" t="s">
        <v>49</v>
      </c>
      <c r="C35" s="23" t="s">
        <v>717</v>
      </c>
      <c r="D35" s="7">
        <v>1</v>
      </c>
      <c r="E35" s="7"/>
      <c r="F35" s="7"/>
      <c r="G35" s="7"/>
      <c r="H35" s="7"/>
      <c r="I35" s="7">
        <v>1</v>
      </c>
      <c r="J35" s="7">
        <v>1</v>
      </c>
      <c r="K35" s="7">
        <v>1</v>
      </c>
      <c r="L35" s="7"/>
      <c r="M35" s="7"/>
      <c r="N35" s="7"/>
      <c r="O35" s="7"/>
      <c r="P35" s="7"/>
      <c r="Q35" s="7"/>
      <c r="R35" s="7"/>
      <c r="S35" s="9">
        <f t="shared" si="6"/>
        <v>4</v>
      </c>
    </row>
    <row r="36" spans="1:19" ht="16.5" x14ac:dyDescent="0.3">
      <c r="A36" s="30" t="s">
        <v>716</v>
      </c>
      <c r="B36" s="20" t="s">
        <v>49</v>
      </c>
      <c r="C36" s="23" t="s">
        <v>715</v>
      </c>
      <c r="D36" s="7">
        <v>1</v>
      </c>
      <c r="E36" s="7"/>
      <c r="F36" s="7"/>
      <c r="G36" s="7"/>
      <c r="H36" s="7"/>
      <c r="I36" s="7">
        <v>1</v>
      </c>
      <c r="J36" s="7">
        <v>1</v>
      </c>
      <c r="K36" s="7"/>
      <c r="L36" s="7"/>
      <c r="M36" s="7"/>
      <c r="N36" s="7"/>
      <c r="O36" s="7"/>
      <c r="P36" s="7"/>
      <c r="Q36" s="7"/>
      <c r="R36" s="7"/>
      <c r="S36" s="9">
        <f t="shared" si="6"/>
        <v>3</v>
      </c>
    </row>
    <row r="37" spans="1:19" ht="16.5" x14ac:dyDescent="0.3">
      <c r="A37" s="30" t="s">
        <v>704</v>
      </c>
      <c r="B37" s="20" t="s">
        <v>49</v>
      </c>
      <c r="C37" s="23" t="s">
        <v>703</v>
      </c>
      <c r="D37" s="7">
        <v>1</v>
      </c>
      <c r="E37" s="7"/>
      <c r="F37" s="7"/>
      <c r="G37" s="7"/>
      <c r="H37" s="7"/>
      <c r="I37" s="7">
        <v>1</v>
      </c>
      <c r="J37" s="7">
        <v>1</v>
      </c>
      <c r="K37" s="7">
        <v>1</v>
      </c>
      <c r="L37" s="7"/>
      <c r="M37" s="7"/>
      <c r="N37" s="7"/>
      <c r="O37" s="7"/>
      <c r="P37" s="7"/>
      <c r="Q37" s="7"/>
      <c r="R37" s="7"/>
      <c r="S37" s="9">
        <f t="shared" si="6"/>
        <v>4</v>
      </c>
    </row>
    <row r="38" spans="1:19" ht="16.5" x14ac:dyDescent="0.3">
      <c r="A38" s="30" t="s">
        <v>1275</v>
      </c>
      <c r="B38" s="20" t="s">
        <v>49</v>
      </c>
      <c r="C38" s="23" t="s">
        <v>1274</v>
      </c>
      <c r="D38" s="7">
        <v>1</v>
      </c>
      <c r="E38" s="7"/>
      <c r="F38" s="7"/>
      <c r="G38" s="7"/>
      <c r="H38" s="7"/>
      <c r="I38" s="7">
        <v>1</v>
      </c>
      <c r="J38" s="7">
        <v>1</v>
      </c>
      <c r="K38" s="7"/>
      <c r="L38" s="7"/>
      <c r="M38" s="7"/>
      <c r="N38" s="7"/>
      <c r="O38" s="7"/>
      <c r="P38" s="7"/>
      <c r="Q38" s="7"/>
      <c r="R38" s="7"/>
      <c r="S38" s="9">
        <f t="shared" si="6"/>
        <v>3</v>
      </c>
    </row>
    <row r="39" spans="1:19" ht="16.5" x14ac:dyDescent="0.3">
      <c r="A39" s="30" t="s">
        <v>702</v>
      </c>
      <c r="B39" s="20" t="s">
        <v>49</v>
      </c>
      <c r="C39" s="26" t="s">
        <v>701</v>
      </c>
      <c r="D39" s="7">
        <v>1</v>
      </c>
      <c r="E39" s="7"/>
      <c r="F39" s="7"/>
      <c r="G39" s="7"/>
      <c r="H39" s="7"/>
      <c r="I39" s="7">
        <v>1</v>
      </c>
      <c r="J39" s="7">
        <v>1</v>
      </c>
      <c r="K39" s="7"/>
      <c r="L39" s="7"/>
      <c r="M39" s="7"/>
      <c r="N39" s="7"/>
      <c r="O39" s="7"/>
      <c r="P39" s="7"/>
      <c r="Q39" s="7"/>
      <c r="R39" s="7"/>
      <c r="S39" s="9">
        <f t="shared" si="6"/>
        <v>3</v>
      </c>
    </row>
    <row r="40" spans="1:19" ht="16.5" x14ac:dyDescent="0.3">
      <c r="A40" s="30" t="s">
        <v>692</v>
      </c>
      <c r="B40" s="20" t="s">
        <v>49</v>
      </c>
      <c r="C40" s="23" t="s">
        <v>691</v>
      </c>
      <c r="D40" s="7">
        <v>1</v>
      </c>
      <c r="E40" s="7"/>
      <c r="F40" s="7"/>
      <c r="G40" s="7"/>
      <c r="H40" s="7"/>
      <c r="I40" s="7">
        <v>1</v>
      </c>
      <c r="J40" s="7">
        <v>1</v>
      </c>
      <c r="K40" s="7"/>
      <c r="L40" s="7"/>
      <c r="M40" s="7"/>
      <c r="N40" s="7"/>
      <c r="O40" s="7"/>
      <c r="P40" s="7"/>
      <c r="Q40" s="7"/>
      <c r="R40" s="7"/>
      <c r="S40" s="9">
        <f t="shared" si="6"/>
        <v>3</v>
      </c>
    </row>
    <row r="41" spans="1:19" ht="16.5" x14ac:dyDescent="0.3">
      <c r="A41" s="30" t="s">
        <v>694</v>
      </c>
      <c r="B41" s="20" t="s">
        <v>49</v>
      </c>
      <c r="C41" s="23" t="s">
        <v>693</v>
      </c>
      <c r="D41" s="7">
        <v>1</v>
      </c>
      <c r="E41" s="7"/>
      <c r="F41" s="7"/>
      <c r="G41" s="7"/>
      <c r="H41" s="7"/>
      <c r="I41" s="7">
        <v>1</v>
      </c>
      <c r="J41" s="7">
        <v>1</v>
      </c>
      <c r="K41" s="7"/>
      <c r="L41" s="7"/>
      <c r="M41" s="7"/>
      <c r="N41" s="7"/>
      <c r="O41" s="7"/>
      <c r="P41" s="7"/>
      <c r="Q41" s="7"/>
      <c r="R41" s="7"/>
      <c r="S41" s="9">
        <f t="shared" si="6"/>
        <v>3</v>
      </c>
    </row>
    <row r="42" spans="1:19" ht="16.5" x14ac:dyDescent="0.3">
      <c r="A42" s="30" t="s">
        <v>1283</v>
      </c>
      <c r="B42" s="20" t="s">
        <v>49</v>
      </c>
      <c r="C42" s="23" t="s">
        <v>1282</v>
      </c>
      <c r="D42" s="7">
        <v>1</v>
      </c>
      <c r="E42" s="7"/>
      <c r="F42" s="7"/>
      <c r="G42" s="7"/>
      <c r="H42" s="7"/>
      <c r="I42" s="7">
        <v>1</v>
      </c>
      <c r="J42" s="7">
        <v>1</v>
      </c>
      <c r="K42" s="7"/>
      <c r="L42" s="7"/>
      <c r="M42" s="7"/>
      <c r="N42" s="7"/>
      <c r="O42" s="7"/>
      <c r="P42" s="7"/>
      <c r="Q42" s="7"/>
      <c r="R42" s="7"/>
      <c r="S42" s="9">
        <f t="shared" si="6"/>
        <v>3</v>
      </c>
    </row>
    <row r="43" spans="1:19" ht="16.5" x14ac:dyDescent="0.3">
      <c r="A43" s="30" t="s">
        <v>1285</v>
      </c>
      <c r="B43" s="20" t="s">
        <v>49</v>
      </c>
      <c r="C43" s="23" t="s">
        <v>1284</v>
      </c>
      <c r="D43" s="7">
        <v>1</v>
      </c>
      <c r="E43" s="7"/>
      <c r="F43" s="7"/>
      <c r="G43" s="7"/>
      <c r="H43" s="7"/>
      <c r="I43" s="7">
        <v>1</v>
      </c>
      <c r="J43" s="7">
        <v>1</v>
      </c>
      <c r="K43" s="7">
        <v>1</v>
      </c>
      <c r="L43" s="7"/>
      <c r="M43" s="7"/>
      <c r="N43" s="7"/>
      <c r="O43" s="7"/>
      <c r="P43" s="7"/>
      <c r="Q43" s="7"/>
      <c r="R43" s="7"/>
      <c r="S43" s="9">
        <f t="shared" si="6"/>
        <v>4</v>
      </c>
    </row>
    <row r="44" spans="1:19" ht="16.5" x14ac:dyDescent="0.3">
      <c r="A44" s="30" t="s">
        <v>1271</v>
      </c>
      <c r="B44" s="20" t="s">
        <v>49</v>
      </c>
      <c r="C44" s="23" t="s">
        <v>1270</v>
      </c>
      <c r="D44" s="7">
        <v>1</v>
      </c>
      <c r="E44" s="7"/>
      <c r="F44" s="7"/>
      <c r="G44" s="7"/>
      <c r="H44" s="7"/>
      <c r="I44" s="7">
        <v>1</v>
      </c>
      <c r="J44" s="7">
        <v>1</v>
      </c>
      <c r="K44" s="7"/>
      <c r="L44" s="7"/>
      <c r="M44" s="7"/>
      <c r="N44" s="7"/>
      <c r="O44" s="7"/>
      <c r="P44" s="7"/>
      <c r="Q44" s="7"/>
      <c r="R44" s="7"/>
      <c r="S44" s="9">
        <f t="shared" si="6"/>
        <v>3</v>
      </c>
    </row>
    <row r="45" spans="1:19" ht="16.5" x14ac:dyDescent="0.3">
      <c r="A45" s="30" t="s">
        <v>710</v>
      </c>
      <c r="B45" s="20" t="s">
        <v>49</v>
      </c>
      <c r="C45" s="23" t="s">
        <v>709</v>
      </c>
      <c r="D45" s="7">
        <v>1</v>
      </c>
      <c r="E45" s="7"/>
      <c r="F45" s="7"/>
      <c r="G45" s="7"/>
      <c r="H45" s="7"/>
      <c r="I45" s="7">
        <v>1</v>
      </c>
      <c r="J45" s="7">
        <v>1</v>
      </c>
      <c r="K45" s="7">
        <v>1</v>
      </c>
      <c r="L45" s="7"/>
      <c r="M45" s="7"/>
      <c r="N45" s="7"/>
      <c r="O45" s="7"/>
      <c r="P45" s="7"/>
      <c r="Q45" s="7"/>
      <c r="R45" s="7"/>
      <c r="S45" s="9">
        <f t="shared" si="6"/>
        <v>4</v>
      </c>
    </row>
    <row r="46" spans="1:19" ht="16.5" x14ac:dyDescent="0.3">
      <c r="A46" s="30" t="s">
        <v>1279</v>
      </c>
      <c r="B46" s="20" t="s">
        <v>49</v>
      </c>
      <c r="C46" s="23" t="s">
        <v>1278</v>
      </c>
      <c r="D46" s="7">
        <v>1</v>
      </c>
      <c r="E46" s="7"/>
      <c r="F46" s="7"/>
      <c r="G46" s="7"/>
      <c r="H46" s="7"/>
      <c r="I46" s="7">
        <v>1</v>
      </c>
      <c r="J46" s="7">
        <v>1</v>
      </c>
      <c r="K46" s="7"/>
      <c r="L46" s="7"/>
      <c r="M46" s="7"/>
      <c r="N46" s="7"/>
      <c r="O46" s="7"/>
      <c r="P46" s="7"/>
      <c r="Q46" s="7"/>
      <c r="R46" s="7"/>
      <c r="S46" s="9">
        <f t="shared" si="6"/>
        <v>3</v>
      </c>
    </row>
    <row r="47" spans="1:19" ht="16.5" x14ac:dyDescent="0.3">
      <c r="A47" s="30" t="s">
        <v>708</v>
      </c>
      <c r="B47" s="20" t="s">
        <v>49</v>
      </c>
      <c r="C47" s="23" t="s">
        <v>707</v>
      </c>
      <c r="D47" s="7">
        <v>1</v>
      </c>
      <c r="E47" s="7"/>
      <c r="F47" s="7"/>
      <c r="G47" s="7"/>
      <c r="H47" s="7"/>
      <c r="I47" s="7">
        <v>1</v>
      </c>
      <c r="J47" s="7">
        <v>1</v>
      </c>
      <c r="K47" s="7"/>
      <c r="L47" s="7"/>
      <c r="M47" s="7"/>
      <c r="N47" s="7"/>
      <c r="O47" s="7"/>
      <c r="P47" s="7"/>
      <c r="Q47" s="7"/>
      <c r="R47" s="7"/>
      <c r="S47" s="9">
        <f t="shared" si="6"/>
        <v>3</v>
      </c>
    </row>
    <row r="48" spans="1:19" ht="16.5" x14ac:dyDescent="0.3">
      <c r="A48" s="30" t="s">
        <v>722</v>
      </c>
      <c r="B48" s="20" t="s">
        <v>49</v>
      </c>
      <c r="C48" s="26" t="s">
        <v>721</v>
      </c>
      <c r="D48" s="7">
        <v>1</v>
      </c>
      <c r="E48" s="7"/>
      <c r="F48" s="7"/>
      <c r="G48" s="7"/>
      <c r="H48" s="7"/>
      <c r="I48" s="7">
        <v>1</v>
      </c>
      <c r="J48" s="7">
        <v>1</v>
      </c>
      <c r="K48" s="7">
        <v>1</v>
      </c>
      <c r="L48" s="7"/>
      <c r="M48" s="7"/>
      <c r="N48" s="7"/>
      <c r="O48" s="7"/>
      <c r="P48" s="7"/>
      <c r="Q48" s="7"/>
      <c r="R48" s="7"/>
      <c r="S48" s="9">
        <f t="shared" si="6"/>
        <v>4</v>
      </c>
    </row>
    <row r="49" spans="1:19" ht="16.5" x14ac:dyDescent="0.3">
      <c r="A49" s="30" t="s">
        <v>720</v>
      </c>
      <c r="B49" s="20" t="s">
        <v>49</v>
      </c>
      <c r="C49" s="23" t="s">
        <v>719</v>
      </c>
      <c r="D49" s="7">
        <v>1</v>
      </c>
      <c r="E49" s="7"/>
      <c r="F49" s="7"/>
      <c r="G49" s="7"/>
      <c r="H49" s="7"/>
      <c r="I49" s="7">
        <v>1</v>
      </c>
      <c r="J49" s="7">
        <v>1</v>
      </c>
      <c r="K49" s="7"/>
      <c r="L49" s="7"/>
      <c r="M49" s="7"/>
      <c r="N49" s="7"/>
      <c r="O49" s="7"/>
      <c r="P49" s="7"/>
      <c r="Q49" s="7"/>
      <c r="R49" s="7"/>
      <c r="S49" s="9">
        <f t="shared" si="6"/>
        <v>3</v>
      </c>
    </row>
    <row r="50" spans="1:19" ht="16.5" x14ac:dyDescent="0.3">
      <c r="A50" s="30" t="s">
        <v>1287</v>
      </c>
      <c r="B50" s="20" t="s">
        <v>49</v>
      </c>
      <c r="C50" s="23" t="s">
        <v>1286</v>
      </c>
      <c r="D50" s="7">
        <v>1</v>
      </c>
      <c r="E50" s="7"/>
      <c r="F50" s="7"/>
      <c r="G50" s="7"/>
      <c r="H50" s="7"/>
      <c r="I50" s="7">
        <v>1</v>
      </c>
      <c r="J50" s="7">
        <v>1</v>
      </c>
      <c r="K50" s="7"/>
      <c r="L50" s="7"/>
      <c r="M50" s="7"/>
      <c r="N50" s="7"/>
      <c r="O50" s="7"/>
      <c r="P50" s="7"/>
      <c r="Q50" s="7"/>
      <c r="R50" s="7"/>
      <c r="S50" s="9">
        <f t="shared" si="6"/>
        <v>3</v>
      </c>
    </row>
    <row r="51" spans="1:19" ht="16.5" x14ac:dyDescent="0.3">
      <c r="A51" s="30" t="s">
        <v>706</v>
      </c>
      <c r="B51" s="20" t="s">
        <v>49</v>
      </c>
      <c r="C51" s="23" t="s">
        <v>705</v>
      </c>
      <c r="D51" s="7">
        <v>1</v>
      </c>
      <c r="E51" s="7"/>
      <c r="F51" s="7"/>
      <c r="G51" s="7"/>
      <c r="H51" s="7"/>
      <c r="I51" s="7">
        <v>1</v>
      </c>
      <c r="J51" s="7">
        <v>1</v>
      </c>
      <c r="K51" s="7"/>
      <c r="L51" s="7"/>
      <c r="M51" s="7"/>
      <c r="N51" s="7"/>
      <c r="O51" s="7"/>
      <c r="P51" s="7"/>
      <c r="Q51" s="7"/>
      <c r="R51" s="7"/>
      <c r="S51" s="9">
        <f t="shared" si="6"/>
        <v>3</v>
      </c>
    </row>
    <row r="52" spans="1:19" ht="16.5" x14ac:dyDescent="0.3">
      <c r="A52" s="30" t="s">
        <v>724</v>
      </c>
      <c r="B52" s="20" t="s">
        <v>49</v>
      </c>
      <c r="C52" s="23" t="s">
        <v>723</v>
      </c>
      <c r="D52" s="7">
        <v>1</v>
      </c>
      <c r="E52" s="7"/>
      <c r="F52" s="7"/>
      <c r="G52" s="7"/>
      <c r="H52" s="7"/>
      <c r="I52" s="7">
        <v>1</v>
      </c>
      <c r="J52" s="7">
        <v>1</v>
      </c>
      <c r="K52" s="7">
        <v>1</v>
      </c>
      <c r="L52" s="7"/>
      <c r="M52" s="7"/>
      <c r="N52" s="7"/>
      <c r="O52" s="7"/>
      <c r="P52" s="7"/>
      <c r="Q52" s="7"/>
      <c r="R52" s="7"/>
      <c r="S52" s="9">
        <f t="shared" si="6"/>
        <v>4</v>
      </c>
    </row>
    <row r="53" spans="1:19" ht="16.5" x14ac:dyDescent="0.3">
      <c r="A53" s="30" t="s">
        <v>726</v>
      </c>
      <c r="B53" s="20" t="s">
        <v>49</v>
      </c>
      <c r="C53" s="23" t="s">
        <v>725</v>
      </c>
      <c r="D53" s="7">
        <v>1</v>
      </c>
      <c r="E53" s="7"/>
      <c r="F53" s="7"/>
      <c r="G53" s="7"/>
      <c r="H53" s="7"/>
      <c r="I53" s="7">
        <v>1</v>
      </c>
      <c r="J53" s="7">
        <v>1</v>
      </c>
      <c r="K53" s="7"/>
      <c r="L53" s="7"/>
      <c r="M53" s="7"/>
      <c r="N53" s="7"/>
      <c r="O53" s="7"/>
      <c r="P53" s="7"/>
      <c r="Q53" s="7"/>
      <c r="R53" s="7"/>
      <c r="S53" s="9">
        <f t="shared" si="6"/>
        <v>3</v>
      </c>
    </row>
    <row r="54" spans="1:19" ht="17.25" thickBot="1" x14ac:dyDescent="0.35">
      <c r="A54" s="115" t="s">
        <v>1384</v>
      </c>
      <c r="B54" s="116" t="s">
        <v>49</v>
      </c>
      <c r="C54" s="113" t="s">
        <v>1385</v>
      </c>
      <c r="D54" s="11">
        <v>1</v>
      </c>
      <c r="E54" s="11"/>
      <c r="F54" s="11"/>
      <c r="G54" s="11"/>
      <c r="H54" s="11"/>
      <c r="I54" s="11">
        <v>0</v>
      </c>
      <c r="J54" s="11">
        <v>0</v>
      </c>
      <c r="K54" s="11"/>
      <c r="L54" s="11"/>
      <c r="M54" s="11"/>
      <c r="N54" s="11"/>
      <c r="O54" s="11"/>
      <c r="P54" s="11"/>
      <c r="Q54" s="11"/>
      <c r="R54" s="11"/>
      <c r="S54" s="114">
        <f t="shared" si="6"/>
        <v>1</v>
      </c>
    </row>
    <row r="55" spans="1:19" ht="15.75" thickBot="1" x14ac:dyDescent="0.3">
      <c r="C55" s="13" t="s">
        <v>1378</v>
      </c>
      <c r="D55" s="14">
        <f>SUM(D22:D54)</f>
        <v>33</v>
      </c>
      <c r="E55" s="14">
        <f t="shared" ref="E55:N55" si="7">SUM(E22:E53)</f>
        <v>0</v>
      </c>
      <c r="F55" s="14">
        <f t="shared" si="7"/>
        <v>0</v>
      </c>
      <c r="G55" s="14">
        <f t="shared" si="7"/>
        <v>0</v>
      </c>
      <c r="H55" s="14">
        <f t="shared" si="7"/>
        <v>0</v>
      </c>
      <c r="I55" s="14">
        <f t="shared" si="7"/>
        <v>32</v>
      </c>
      <c r="J55" s="14">
        <f t="shared" si="7"/>
        <v>32</v>
      </c>
      <c r="K55" s="14">
        <f t="shared" si="7"/>
        <v>11</v>
      </c>
      <c r="L55" s="14">
        <f t="shared" si="7"/>
        <v>0</v>
      </c>
      <c r="M55" s="14">
        <f t="shared" si="7"/>
        <v>0</v>
      </c>
      <c r="N55" s="14">
        <f t="shared" si="7"/>
        <v>0</v>
      </c>
      <c r="O55" s="191"/>
      <c r="P55" s="191"/>
      <c r="Q55" s="191"/>
      <c r="R55" s="191"/>
      <c r="S55" s="95">
        <f>SUM(D55:N55)</f>
        <v>108</v>
      </c>
    </row>
    <row r="56" spans="1:19" x14ac:dyDescent="0.25">
      <c r="K56">
        <f>K55*1100000</f>
        <v>12100000</v>
      </c>
    </row>
    <row r="58" spans="1:19" x14ac:dyDescent="0.25">
      <c r="A58" s="369" t="s">
        <v>1380</v>
      </c>
      <c r="B58" s="369"/>
      <c r="C58" s="369"/>
    </row>
    <row r="59" spans="1:19" x14ac:dyDescent="0.25">
      <c r="A59" s="161">
        <v>44287</v>
      </c>
      <c r="B59" s="97"/>
      <c r="C59" s="97"/>
    </row>
    <row r="60" spans="1:19" x14ac:dyDescent="0.25">
      <c r="A60" s="161">
        <v>44317</v>
      </c>
      <c r="B60" s="3" t="s">
        <v>1381</v>
      </c>
      <c r="C60" s="370">
        <v>189000000</v>
      </c>
    </row>
    <row r="61" spans="1:19" x14ac:dyDescent="0.25">
      <c r="A61" s="161">
        <v>44348</v>
      </c>
      <c r="B61" s="3" t="s">
        <v>1381</v>
      </c>
      <c r="C61" s="371"/>
    </row>
    <row r="62" spans="1:19" x14ac:dyDescent="0.25">
      <c r="A62" s="161">
        <v>44378</v>
      </c>
      <c r="B62" s="3" t="s">
        <v>1381</v>
      </c>
      <c r="C62" s="371"/>
    </row>
    <row r="63" spans="1:19" x14ac:dyDescent="0.25">
      <c r="A63" s="161">
        <v>44409</v>
      </c>
      <c r="B63" s="3" t="s">
        <v>1381</v>
      </c>
      <c r="C63" s="371"/>
    </row>
    <row r="64" spans="1:19" x14ac:dyDescent="0.25">
      <c r="A64" s="161">
        <v>44440</v>
      </c>
      <c r="B64" s="3" t="s">
        <v>1381</v>
      </c>
      <c r="C64" s="371"/>
    </row>
    <row r="65" spans="1:3" x14ac:dyDescent="0.25">
      <c r="A65" s="161">
        <v>44470</v>
      </c>
      <c r="B65" s="3" t="s">
        <v>1381</v>
      </c>
      <c r="C65" s="372"/>
    </row>
    <row r="66" spans="1:3" x14ac:dyDescent="0.25">
      <c r="A66" s="161">
        <v>44501</v>
      </c>
      <c r="B66" s="3" t="s">
        <v>1381</v>
      </c>
      <c r="C66" s="162">
        <v>31500000</v>
      </c>
    </row>
    <row r="67" spans="1:3" x14ac:dyDescent="0.25">
      <c r="A67" s="161">
        <v>44531</v>
      </c>
      <c r="B67" s="3" t="s">
        <v>1381</v>
      </c>
      <c r="C67" s="162">
        <v>31500000</v>
      </c>
    </row>
    <row r="68" spans="1:3" x14ac:dyDescent="0.25">
      <c r="A68" s="161">
        <v>44562</v>
      </c>
      <c r="B68" s="3" t="s">
        <v>1381</v>
      </c>
      <c r="C68" s="162">
        <v>31500000</v>
      </c>
    </row>
    <row r="69" spans="1:3" x14ac:dyDescent="0.25">
      <c r="A69" s="161">
        <v>44593</v>
      </c>
      <c r="B69" s="3" t="s">
        <v>1381</v>
      </c>
      <c r="C69" s="162">
        <v>31500000</v>
      </c>
    </row>
    <row r="70" spans="1:3" x14ac:dyDescent="0.25">
      <c r="A70" s="161">
        <v>44621</v>
      </c>
      <c r="B70" s="3" t="s">
        <v>1381</v>
      </c>
      <c r="C70" s="162">
        <v>31500000</v>
      </c>
    </row>
    <row r="71" spans="1:3" x14ac:dyDescent="0.25">
      <c r="A71" s="161">
        <v>44652</v>
      </c>
      <c r="B71" s="3" t="s">
        <v>1381</v>
      </c>
      <c r="C71" s="162">
        <v>31500000</v>
      </c>
    </row>
    <row r="72" spans="1:3" x14ac:dyDescent="0.25">
      <c r="A72" s="161">
        <v>44682</v>
      </c>
      <c r="B72" s="3" t="s">
        <v>1381</v>
      </c>
      <c r="C72" s="162">
        <f>31500000+14000000</f>
        <v>45500000</v>
      </c>
    </row>
    <row r="73" spans="1:3" x14ac:dyDescent="0.25">
      <c r="A73" s="161">
        <v>44713</v>
      </c>
      <c r="B73" s="3" t="s">
        <v>1381</v>
      </c>
      <c r="C73" s="162">
        <v>45500000</v>
      </c>
    </row>
    <row r="74" spans="1:3" x14ac:dyDescent="0.25">
      <c r="A74" s="161">
        <v>44743</v>
      </c>
      <c r="B74" s="3" t="s">
        <v>1381</v>
      </c>
      <c r="C74" s="162">
        <v>45500000</v>
      </c>
    </row>
  </sheetData>
  <autoFilter ref="B2:S15" xr:uid="{00000000-0009-0000-0000-000006000000}"/>
  <mergeCells count="4">
    <mergeCell ref="A20:S20"/>
    <mergeCell ref="A58:C58"/>
    <mergeCell ref="C60:C65"/>
    <mergeCell ref="A1:U1"/>
  </mergeCells>
  <conditionalFormatting sqref="A3:A15">
    <cfRule type="duplicateValues" dxfId="60" priority="2"/>
  </conditionalFormatting>
  <conditionalFormatting sqref="A22:A54">
    <cfRule type="duplicateValues" dxfId="59" priority="1"/>
  </conditionalFormatting>
  <pageMargins left="0.7" right="0.7" top="0.75" bottom="0.75" header="0.3" footer="0.3"/>
  <pageSetup orientation="portrait" r:id="rId1"/>
  <ignoredErrors>
    <ignoredError sqref="D16:N16 D55:N55 S12:S13 O16:R16 D56:J56 L56:N56" formulaRange="1"/>
    <ignoredError sqref="S10:S11 S8 T7 T10:T12" formula="1"/>
    <ignoredError sqref="S9 T6 T8:T9 T13" formula="1" formulaRange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103"/>
  <sheetViews>
    <sheetView zoomScale="70" zoomScaleNormal="70" workbookViewId="0">
      <pane xSplit="3" ySplit="2" topLeftCell="D65" activePane="bottomRight" state="frozen"/>
      <selection pane="topRight" activeCell="H29" sqref="H29"/>
      <selection pane="bottomLeft" activeCell="H29" sqref="H29"/>
      <selection pane="bottomRight" activeCell="A82" sqref="A82:XFD82"/>
    </sheetView>
  </sheetViews>
  <sheetFormatPr baseColWidth="10" defaultColWidth="11.42578125" defaultRowHeight="15" x14ac:dyDescent="0.25"/>
  <cols>
    <col min="1" max="1" width="14.7109375" customWidth="1"/>
    <col min="2" max="2" width="23.28515625" customWidth="1"/>
    <col min="3" max="3" width="39" customWidth="1"/>
    <col min="4" max="19" width="14.5703125" customWidth="1"/>
    <col min="20" max="20" width="14.28515625" customWidth="1"/>
    <col min="21" max="21" width="16.7109375" customWidth="1"/>
    <col min="22" max="22" width="25.28515625" customWidth="1"/>
  </cols>
  <sheetData>
    <row r="1" spans="1:21" ht="15.75" thickBot="1" x14ac:dyDescent="0.3">
      <c r="A1" s="374" t="s">
        <v>1375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203"/>
    </row>
    <row r="2" spans="1:21" ht="45" customHeight="1" thickBot="1" x14ac:dyDescent="0.3">
      <c r="A2" s="44" t="s">
        <v>3</v>
      </c>
      <c r="B2" s="8" t="s">
        <v>0</v>
      </c>
      <c r="C2" s="45" t="s">
        <v>1</v>
      </c>
      <c r="D2" s="46">
        <v>44317</v>
      </c>
      <c r="E2" s="46">
        <v>44348</v>
      </c>
      <c r="F2" s="46">
        <v>44378</v>
      </c>
      <c r="G2" s="46">
        <v>44409</v>
      </c>
      <c r="H2" s="46">
        <v>44440</v>
      </c>
      <c r="I2" s="46">
        <v>44470</v>
      </c>
      <c r="J2" s="46">
        <v>44501</v>
      </c>
      <c r="K2" s="46">
        <v>44531</v>
      </c>
      <c r="L2" s="46">
        <v>44562</v>
      </c>
      <c r="M2" s="46">
        <v>44593</v>
      </c>
      <c r="N2" s="46">
        <v>44621</v>
      </c>
      <c r="O2" s="46">
        <v>44652</v>
      </c>
      <c r="P2" s="46">
        <v>44682</v>
      </c>
      <c r="Q2" s="46">
        <v>44713</v>
      </c>
      <c r="R2" s="46">
        <v>44743</v>
      </c>
      <c r="S2" s="47" t="s">
        <v>1424</v>
      </c>
      <c r="T2" s="210" t="s">
        <v>1419</v>
      </c>
      <c r="U2" s="204" t="s">
        <v>1418</v>
      </c>
    </row>
    <row r="3" spans="1:21" ht="16.5" x14ac:dyDescent="0.3">
      <c r="A3" s="31" t="s">
        <v>117</v>
      </c>
      <c r="B3" s="22" t="s">
        <v>105</v>
      </c>
      <c r="C3" s="43" t="s">
        <v>116</v>
      </c>
      <c r="D3" s="10">
        <v>1</v>
      </c>
      <c r="E3" s="10">
        <v>1</v>
      </c>
      <c r="F3" s="10">
        <v>1</v>
      </c>
      <c r="G3" s="10">
        <v>1</v>
      </c>
      <c r="H3" s="10">
        <v>1</v>
      </c>
      <c r="I3" s="10">
        <v>1</v>
      </c>
      <c r="J3" s="10">
        <v>1</v>
      </c>
      <c r="K3" s="10">
        <v>1</v>
      </c>
      <c r="L3" s="10">
        <v>1</v>
      </c>
      <c r="M3" s="10">
        <v>1</v>
      </c>
      <c r="N3" s="10">
        <v>1</v>
      </c>
      <c r="O3" s="85">
        <v>1</v>
      </c>
      <c r="P3" s="318">
        <v>1</v>
      </c>
      <c r="Q3" s="240"/>
      <c r="R3" s="240"/>
      <c r="S3" s="205">
        <f>SUM(D3:N3)</f>
        <v>11</v>
      </c>
      <c r="T3" s="213">
        <f>SUM(O3:R3)</f>
        <v>2</v>
      </c>
      <c r="U3" s="214">
        <f>S3+T3</f>
        <v>13</v>
      </c>
    </row>
    <row r="4" spans="1:21" ht="16.5" x14ac:dyDescent="0.3">
      <c r="A4" s="30" t="s">
        <v>122</v>
      </c>
      <c r="B4" s="20" t="s">
        <v>105</v>
      </c>
      <c r="C4" s="23" t="s">
        <v>121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48">
        <v>1</v>
      </c>
      <c r="N4" s="48">
        <v>1</v>
      </c>
      <c r="O4" s="48">
        <v>1</v>
      </c>
      <c r="P4" s="48"/>
      <c r="Q4" s="242"/>
      <c r="R4" s="241"/>
      <c r="S4" s="206">
        <f>SUM(D4:M4)</f>
        <v>10</v>
      </c>
      <c r="T4" s="289">
        <f>SUM(N4:R4)</f>
        <v>2</v>
      </c>
      <c r="U4" s="215">
        <f t="shared" ref="U4:U23" si="0">S4+T4</f>
        <v>12</v>
      </c>
    </row>
    <row r="5" spans="1:21" ht="16.5" x14ac:dyDescent="0.3">
      <c r="A5" s="30" t="s">
        <v>255</v>
      </c>
      <c r="B5" s="20" t="s">
        <v>105</v>
      </c>
      <c r="C5" s="26" t="s">
        <v>254</v>
      </c>
      <c r="D5" s="7">
        <v>0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48">
        <v>1</v>
      </c>
      <c r="N5" s="48">
        <v>1</v>
      </c>
      <c r="O5" s="48">
        <v>1</v>
      </c>
      <c r="P5" s="48">
        <v>1</v>
      </c>
      <c r="Q5" s="242"/>
      <c r="R5" s="313">
        <v>1</v>
      </c>
      <c r="S5" s="206">
        <f>SUM(D5:N5)</f>
        <v>10</v>
      </c>
      <c r="T5" s="289">
        <f>SUM(O5:R5)</f>
        <v>3</v>
      </c>
      <c r="U5" s="215">
        <f t="shared" si="0"/>
        <v>13</v>
      </c>
    </row>
    <row r="6" spans="1:21" ht="16.5" x14ac:dyDescent="0.3">
      <c r="A6" s="30" t="s">
        <v>130</v>
      </c>
      <c r="B6" s="20" t="s">
        <v>105</v>
      </c>
      <c r="C6" s="23" t="s">
        <v>1386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48">
        <v>1</v>
      </c>
      <c r="N6" s="48">
        <v>1</v>
      </c>
      <c r="O6" s="48">
        <v>1</v>
      </c>
      <c r="P6" s="319">
        <v>1</v>
      </c>
      <c r="Q6" s="242"/>
      <c r="R6" s="241"/>
      <c r="S6" s="206">
        <f>SUM(D6:M6)</f>
        <v>10</v>
      </c>
      <c r="T6" s="289">
        <f>SUM(N6:R6)</f>
        <v>3</v>
      </c>
      <c r="U6" s="215">
        <f t="shared" si="0"/>
        <v>13</v>
      </c>
    </row>
    <row r="7" spans="1:21" ht="16.5" x14ac:dyDescent="0.3">
      <c r="A7" s="30" t="s">
        <v>276</v>
      </c>
      <c r="B7" s="20" t="s">
        <v>105</v>
      </c>
      <c r="C7" s="23" t="s">
        <v>275</v>
      </c>
      <c r="D7" s="7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48">
        <v>1</v>
      </c>
      <c r="N7" s="48">
        <v>1</v>
      </c>
      <c r="O7" s="48">
        <v>0</v>
      </c>
      <c r="P7" s="48"/>
      <c r="Q7" s="242"/>
      <c r="R7" s="241"/>
      <c r="S7" s="206">
        <f>SUM(D7:M7)</f>
        <v>10</v>
      </c>
      <c r="T7" s="289">
        <f>SUM(N7:R7)</f>
        <v>1</v>
      </c>
      <c r="U7" s="215">
        <f t="shared" si="0"/>
        <v>11</v>
      </c>
    </row>
    <row r="8" spans="1:21" ht="16.5" x14ac:dyDescent="0.3">
      <c r="A8" s="30" t="s">
        <v>261</v>
      </c>
      <c r="B8" s="20" t="s">
        <v>105</v>
      </c>
      <c r="C8" s="23" t="s">
        <v>260</v>
      </c>
      <c r="D8" s="7">
        <v>0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48">
        <v>1</v>
      </c>
      <c r="N8" s="48">
        <v>1</v>
      </c>
      <c r="O8" s="48">
        <v>1</v>
      </c>
      <c r="P8" s="48">
        <v>1</v>
      </c>
      <c r="Q8" s="319">
        <v>1</v>
      </c>
      <c r="R8" s="241"/>
      <c r="S8" s="206">
        <f>SUM(D8:N8)</f>
        <v>10</v>
      </c>
      <c r="T8" s="289">
        <f>SUM(O8:R8)</f>
        <v>3</v>
      </c>
      <c r="U8" s="215">
        <f t="shared" si="0"/>
        <v>13</v>
      </c>
    </row>
    <row r="9" spans="1:21" ht="16.5" x14ac:dyDescent="0.3">
      <c r="A9" s="30" t="s">
        <v>141</v>
      </c>
      <c r="B9" s="20" t="s">
        <v>105</v>
      </c>
      <c r="C9" s="26" t="s">
        <v>140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48">
        <v>1</v>
      </c>
      <c r="N9" s="48">
        <v>1</v>
      </c>
      <c r="O9" s="48">
        <v>0</v>
      </c>
      <c r="P9" s="48">
        <v>1</v>
      </c>
      <c r="Q9" s="242"/>
      <c r="R9" s="313">
        <v>1</v>
      </c>
      <c r="S9" s="207">
        <f>SUM(D9:O9)</f>
        <v>11</v>
      </c>
      <c r="T9" s="289">
        <f>SUM(P9:R9)</f>
        <v>2</v>
      </c>
      <c r="U9" s="215">
        <f t="shared" si="0"/>
        <v>13</v>
      </c>
    </row>
    <row r="10" spans="1:21" ht="16.5" x14ac:dyDescent="0.3">
      <c r="A10" s="30" t="s">
        <v>302</v>
      </c>
      <c r="B10" s="20" t="s">
        <v>105</v>
      </c>
      <c r="C10" s="23" t="s">
        <v>301</v>
      </c>
      <c r="D10" s="7">
        <v>0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48">
        <v>1</v>
      </c>
      <c r="N10" s="48">
        <v>1</v>
      </c>
      <c r="O10" s="48">
        <v>1</v>
      </c>
      <c r="P10" s="48">
        <v>1</v>
      </c>
      <c r="Q10" s="242"/>
      <c r="R10" s="241"/>
      <c r="S10" s="206">
        <f>SUM(D10:N10)</f>
        <v>10</v>
      </c>
      <c r="T10" s="289">
        <f>SUM(O10:R10)</f>
        <v>2</v>
      </c>
      <c r="U10" s="215">
        <f t="shared" si="0"/>
        <v>12</v>
      </c>
    </row>
    <row r="11" spans="1:21" ht="16.5" x14ac:dyDescent="0.3">
      <c r="A11" s="30" t="s">
        <v>294</v>
      </c>
      <c r="B11" s="21" t="s">
        <v>105</v>
      </c>
      <c r="C11" s="25" t="s">
        <v>293</v>
      </c>
      <c r="D11" s="7">
        <v>1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0</v>
      </c>
      <c r="M11" s="48">
        <v>0</v>
      </c>
      <c r="N11" s="319">
        <v>1</v>
      </c>
      <c r="O11" s="48">
        <v>0</v>
      </c>
      <c r="P11" s="48">
        <v>1</v>
      </c>
      <c r="R11" s="241">
        <v>1</v>
      </c>
      <c r="S11" s="206">
        <f>SUM(D11:Q11)</f>
        <v>10</v>
      </c>
      <c r="T11" s="289">
        <f>SUM(R11)</f>
        <v>1</v>
      </c>
      <c r="U11" s="215">
        <f t="shared" si="0"/>
        <v>11</v>
      </c>
    </row>
    <row r="12" spans="1:21" ht="16.5" x14ac:dyDescent="0.3">
      <c r="A12" s="30" t="s">
        <v>167</v>
      </c>
      <c r="B12" s="20" t="s">
        <v>105</v>
      </c>
      <c r="C12" s="23" t="s">
        <v>367</v>
      </c>
      <c r="D12" s="7">
        <v>0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48">
        <v>1</v>
      </c>
      <c r="N12" s="48">
        <v>1</v>
      </c>
      <c r="O12" s="48">
        <v>1</v>
      </c>
      <c r="P12" s="48">
        <v>1</v>
      </c>
      <c r="Q12" s="319">
        <v>1</v>
      </c>
      <c r="R12" s="241"/>
      <c r="S12" s="206">
        <f>SUM(D12:N12)</f>
        <v>10</v>
      </c>
      <c r="T12" s="289">
        <f>SUM(O12:R12)</f>
        <v>3</v>
      </c>
      <c r="U12" s="215">
        <f t="shared" si="0"/>
        <v>13</v>
      </c>
    </row>
    <row r="13" spans="1:21" ht="16.5" x14ac:dyDescent="0.3">
      <c r="A13" s="30" t="s">
        <v>337</v>
      </c>
      <c r="B13" s="20" t="s">
        <v>105</v>
      </c>
      <c r="C13" s="23" t="s">
        <v>336</v>
      </c>
      <c r="D13" s="7">
        <v>0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48">
        <v>0</v>
      </c>
      <c r="N13" s="48">
        <v>0</v>
      </c>
      <c r="O13" s="48">
        <v>0</v>
      </c>
      <c r="P13" s="48"/>
      <c r="Q13" s="242"/>
      <c r="R13" s="241">
        <v>1</v>
      </c>
      <c r="S13" s="206">
        <f>SUM(D13:R13)</f>
        <v>9</v>
      </c>
      <c r="T13" s="317"/>
      <c r="U13" s="215">
        <f t="shared" si="0"/>
        <v>9</v>
      </c>
    </row>
    <row r="14" spans="1:21" ht="16.5" x14ac:dyDescent="0.3">
      <c r="A14" s="30" t="s">
        <v>206</v>
      </c>
      <c r="B14" s="20" t="s">
        <v>105</v>
      </c>
      <c r="C14" s="25" t="s">
        <v>205</v>
      </c>
      <c r="D14" s="7">
        <v>0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48">
        <v>1</v>
      </c>
      <c r="N14" s="48">
        <v>1</v>
      </c>
      <c r="O14" s="48">
        <v>1</v>
      </c>
      <c r="P14" s="48"/>
      <c r="Q14" s="242"/>
      <c r="R14" s="241"/>
      <c r="S14" s="206">
        <f>SUM(D14:N14)</f>
        <v>10</v>
      </c>
      <c r="T14" s="289">
        <f>SUM(O14:R14)</f>
        <v>1</v>
      </c>
      <c r="U14" s="215">
        <f>S14+T14</f>
        <v>11</v>
      </c>
    </row>
    <row r="15" spans="1:21" ht="16.5" x14ac:dyDescent="0.3">
      <c r="A15" s="30" t="s">
        <v>298</v>
      </c>
      <c r="B15" s="20" t="s">
        <v>105</v>
      </c>
      <c r="C15" s="23" t="s">
        <v>297</v>
      </c>
      <c r="D15" s="7">
        <v>0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48">
        <v>1</v>
      </c>
      <c r="N15" s="48">
        <v>1</v>
      </c>
      <c r="O15" s="48">
        <v>1</v>
      </c>
      <c r="P15" s="319">
        <v>1</v>
      </c>
      <c r="Q15" s="242"/>
      <c r="R15" s="241"/>
      <c r="S15" s="206">
        <f>SUM(D15:N15)</f>
        <v>10</v>
      </c>
      <c r="T15" s="289">
        <f>SUM(O15:R15)</f>
        <v>2</v>
      </c>
      <c r="U15" s="215">
        <f>S15+T15</f>
        <v>12</v>
      </c>
    </row>
    <row r="16" spans="1:21" ht="16.5" x14ac:dyDescent="0.3">
      <c r="A16" s="30" t="s">
        <v>110</v>
      </c>
      <c r="B16" s="20" t="s">
        <v>105</v>
      </c>
      <c r="C16" s="23" t="s">
        <v>109</v>
      </c>
      <c r="D16" s="7">
        <v>0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48">
        <v>1</v>
      </c>
      <c r="N16" s="48">
        <v>1</v>
      </c>
      <c r="O16" s="48">
        <v>1</v>
      </c>
      <c r="P16" s="48">
        <v>1</v>
      </c>
      <c r="Q16" s="242"/>
      <c r="R16" s="241"/>
      <c r="S16" s="206">
        <f>SUM(D16:N16)</f>
        <v>10</v>
      </c>
      <c r="T16" s="289">
        <f>SUM(O16:P16)</f>
        <v>2</v>
      </c>
      <c r="U16" s="215">
        <f t="shared" si="0"/>
        <v>12</v>
      </c>
    </row>
    <row r="17" spans="1:21" s="12" customFormat="1" ht="16.5" x14ac:dyDescent="0.3">
      <c r="A17" s="30" t="s">
        <v>179</v>
      </c>
      <c r="B17" s="20" t="s">
        <v>105</v>
      </c>
      <c r="C17" s="23" t="s">
        <v>178</v>
      </c>
      <c r="D17" s="7">
        <v>0</v>
      </c>
      <c r="E17" s="48">
        <v>1</v>
      </c>
      <c r="F17" s="7">
        <v>1</v>
      </c>
      <c r="G17" s="48">
        <v>1</v>
      </c>
      <c r="H17" s="48">
        <v>1</v>
      </c>
      <c r="I17" s="7">
        <v>1</v>
      </c>
      <c r="J17" s="48">
        <v>1</v>
      </c>
      <c r="K17" s="48">
        <v>1</v>
      </c>
      <c r="L17" s="48">
        <v>1</v>
      </c>
      <c r="M17" s="48">
        <v>1</v>
      </c>
      <c r="N17" s="48">
        <v>1</v>
      </c>
      <c r="O17" s="48">
        <v>1</v>
      </c>
      <c r="P17" s="48"/>
      <c r="Q17" s="242"/>
      <c r="R17" s="242"/>
      <c r="S17" s="206">
        <f>SUM(D17:N17)</f>
        <v>10</v>
      </c>
      <c r="T17" s="289">
        <f>SUM(O17:R17)</f>
        <v>1</v>
      </c>
      <c r="U17" s="215">
        <f t="shared" si="0"/>
        <v>11</v>
      </c>
    </row>
    <row r="18" spans="1:21" ht="16.5" x14ac:dyDescent="0.3">
      <c r="A18" s="30" t="s">
        <v>257</v>
      </c>
      <c r="B18" s="20" t="s">
        <v>105</v>
      </c>
      <c r="C18" s="23" t="s">
        <v>256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11">
        <v>1</v>
      </c>
      <c r="L18" s="11">
        <v>1</v>
      </c>
      <c r="M18" s="48">
        <v>1</v>
      </c>
      <c r="N18" s="48">
        <v>1</v>
      </c>
      <c r="O18" s="48">
        <v>1</v>
      </c>
      <c r="P18" s="48"/>
      <c r="Q18" s="242"/>
      <c r="R18" s="241"/>
      <c r="S18" s="206">
        <f>SUM(D18:M18)</f>
        <v>10</v>
      </c>
      <c r="T18" s="289">
        <f>SUM(N18:R18)</f>
        <v>2</v>
      </c>
      <c r="U18" s="215">
        <f t="shared" si="0"/>
        <v>12</v>
      </c>
    </row>
    <row r="19" spans="1:21" ht="16.5" x14ac:dyDescent="0.3">
      <c r="A19" s="30" t="s">
        <v>107</v>
      </c>
      <c r="B19" s="20" t="s">
        <v>105</v>
      </c>
      <c r="C19" s="23" t="s">
        <v>106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  <c r="J19" s="7">
        <v>1</v>
      </c>
      <c r="K19" s="7">
        <v>1</v>
      </c>
      <c r="L19" s="7">
        <v>1</v>
      </c>
      <c r="M19" s="48">
        <v>1</v>
      </c>
      <c r="N19" s="48">
        <v>1</v>
      </c>
      <c r="O19" s="48">
        <v>1</v>
      </c>
      <c r="P19" s="48">
        <v>0</v>
      </c>
      <c r="Q19" s="242"/>
      <c r="R19" s="241"/>
      <c r="S19" s="207">
        <f>SUM(D19:N19)</f>
        <v>11</v>
      </c>
      <c r="T19" s="289">
        <f>SUM(O19:P19)</f>
        <v>1</v>
      </c>
      <c r="U19" s="215">
        <f>S19+T19</f>
        <v>12</v>
      </c>
    </row>
    <row r="20" spans="1:21" ht="16.5" x14ac:dyDescent="0.3">
      <c r="A20" s="30" t="s">
        <v>159</v>
      </c>
      <c r="B20" s="20" t="s">
        <v>105</v>
      </c>
      <c r="C20" s="26" t="s">
        <v>158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48">
        <v>1</v>
      </c>
      <c r="N20" s="48">
        <v>1</v>
      </c>
      <c r="O20" s="48">
        <v>0</v>
      </c>
      <c r="P20" s="48"/>
      <c r="Q20" s="242"/>
      <c r="R20" s="313">
        <v>1</v>
      </c>
      <c r="S20" s="206">
        <f>SUM(D20:M20)</f>
        <v>10</v>
      </c>
      <c r="T20" s="289">
        <f>SUM(N20:R20)</f>
        <v>2</v>
      </c>
      <c r="U20" s="215">
        <f t="shared" si="0"/>
        <v>12</v>
      </c>
    </row>
    <row r="21" spans="1:21" ht="16.5" x14ac:dyDescent="0.3">
      <c r="A21" s="30" t="s">
        <v>231</v>
      </c>
      <c r="B21" s="20" t="s">
        <v>105</v>
      </c>
      <c r="C21" s="26" t="s">
        <v>230</v>
      </c>
      <c r="D21" s="7">
        <v>0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>
        <v>1</v>
      </c>
      <c r="L21" s="7">
        <v>1</v>
      </c>
      <c r="M21" s="48">
        <v>1</v>
      </c>
      <c r="N21" s="48">
        <v>1</v>
      </c>
      <c r="O21" s="48">
        <v>1</v>
      </c>
      <c r="P21" s="48"/>
      <c r="Q21" s="242"/>
      <c r="R21" s="241"/>
      <c r="S21" s="206">
        <f>SUM(D21:N21)</f>
        <v>10</v>
      </c>
      <c r="T21" s="289">
        <f>SUM(O21:P21)</f>
        <v>1</v>
      </c>
      <c r="U21" s="215">
        <f t="shared" si="0"/>
        <v>11</v>
      </c>
    </row>
    <row r="22" spans="1:21" ht="16.5" x14ac:dyDescent="0.3">
      <c r="A22" s="153" t="s">
        <v>316</v>
      </c>
      <c r="B22" s="155" t="s">
        <v>105</v>
      </c>
      <c r="C22" s="156" t="s">
        <v>315</v>
      </c>
      <c r="D22" s="86">
        <v>0</v>
      </c>
      <c r="E22" s="86">
        <v>1</v>
      </c>
      <c r="F22" s="86">
        <v>1</v>
      </c>
      <c r="G22" s="86">
        <v>1</v>
      </c>
      <c r="H22" s="86">
        <v>1</v>
      </c>
      <c r="I22" s="86">
        <v>1</v>
      </c>
      <c r="J22" s="86">
        <v>1</v>
      </c>
      <c r="K22" s="86">
        <v>1</v>
      </c>
      <c r="L22" s="86">
        <v>1</v>
      </c>
      <c r="M22" s="158">
        <v>0</v>
      </c>
      <c r="N22" s="158">
        <v>0</v>
      </c>
      <c r="O22" s="158">
        <v>0</v>
      </c>
      <c r="P22" s="158"/>
      <c r="Q22" s="287"/>
      <c r="R22" s="243"/>
      <c r="S22" s="208">
        <f>SUM(D22:O22)</f>
        <v>8</v>
      </c>
      <c r="T22" s="244"/>
      <c r="U22" s="215">
        <f t="shared" si="0"/>
        <v>8</v>
      </c>
    </row>
    <row r="23" spans="1:21" ht="17.25" thickBot="1" x14ac:dyDescent="0.35">
      <c r="A23" s="30" t="s">
        <v>300</v>
      </c>
      <c r="B23" s="20" t="s">
        <v>105</v>
      </c>
      <c r="C23" s="26" t="s">
        <v>299</v>
      </c>
      <c r="D23" s="7">
        <v>0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  <c r="J23" s="48">
        <v>1</v>
      </c>
      <c r="K23" s="7">
        <v>1</v>
      </c>
      <c r="L23" s="7">
        <v>1</v>
      </c>
      <c r="M23" s="48">
        <v>1</v>
      </c>
      <c r="N23" s="48">
        <v>1</v>
      </c>
      <c r="O23" s="48">
        <v>1</v>
      </c>
      <c r="P23" s="319">
        <v>1</v>
      </c>
      <c r="Q23" s="288"/>
      <c r="R23" s="7"/>
      <c r="S23" s="209">
        <f>SUM(D23:N23)</f>
        <v>10</v>
      </c>
      <c r="T23" s="289">
        <f>SUM(O23:P23)</f>
        <v>2</v>
      </c>
      <c r="U23" s="216">
        <f t="shared" si="0"/>
        <v>12</v>
      </c>
    </row>
    <row r="24" spans="1:21" ht="15.75" thickBot="1" x14ac:dyDescent="0.3">
      <c r="C24" s="13" t="s">
        <v>1378</v>
      </c>
      <c r="D24" s="14">
        <f t="shared" ref="D24:L24" si="1">SUM(D3:D23)</f>
        <v>9</v>
      </c>
      <c r="E24" s="14">
        <f>SUM(E3:E23)</f>
        <v>21</v>
      </c>
      <c r="F24" s="14">
        <f t="shared" si="1"/>
        <v>21</v>
      </c>
      <c r="G24" s="14">
        <f t="shared" si="1"/>
        <v>21</v>
      </c>
      <c r="H24" s="14">
        <f t="shared" si="1"/>
        <v>21</v>
      </c>
      <c r="I24" s="14">
        <f t="shared" si="1"/>
        <v>21</v>
      </c>
      <c r="J24" s="14">
        <f t="shared" si="1"/>
        <v>21</v>
      </c>
      <c r="K24" s="14">
        <f t="shared" si="1"/>
        <v>21</v>
      </c>
      <c r="L24" s="14">
        <f t="shared" si="1"/>
        <v>20</v>
      </c>
      <c r="M24" s="14">
        <f>SUM(M3:M23)</f>
        <v>18</v>
      </c>
      <c r="N24" s="14">
        <f>SUM(N3:N23)</f>
        <v>19</v>
      </c>
      <c r="O24" s="14">
        <f>SUM(O3:O23)</f>
        <v>15</v>
      </c>
      <c r="P24" s="94">
        <f>SUM(P3:P23)</f>
        <v>11</v>
      </c>
      <c r="Q24" s="14">
        <f t="shared" ref="Q24:R24" si="2">SUM(Q3:Q23)</f>
        <v>2</v>
      </c>
      <c r="R24" s="14">
        <f t="shared" si="2"/>
        <v>5</v>
      </c>
      <c r="S24" s="190">
        <f>SUM(S3:S23)</f>
        <v>210</v>
      </c>
      <c r="T24" s="95">
        <f>SUM(T3:T23)</f>
        <v>36</v>
      </c>
      <c r="U24" s="211">
        <f>SUM(U3:U23)</f>
        <v>246</v>
      </c>
    </row>
    <row r="25" spans="1:21" x14ac:dyDescent="0.25">
      <c r="E25" s="18"/>
      <c r="T25" s="2"/>
      <c r="U25" s="105">
        <f>SUM(D24:R24)</f>
        <v>246</v>
      </c>
    </row>
    <row r="27" spans="1:21" ht="15.75" thickBot="1" x14ac:dyDescent="0.3">
      <c r="A27" s="368" t="s">
        <v>1379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8"/>
    </row>
    <row r="28" spans="1:21" ht="30.75" thickBot="1" x14ac:dyDescent="0.3">
      <c r="A28" s="5" t="s">
        <v>3</v>
      </c>
      <c r="B28" s="8" t="s">
        <v>0</v>
      </c>
      <c r="C28" s="4" t="s">
        <v>1</v>
      </c>
      <c r="D28" s="6">
        <v>44531</v>
      </c>
      <c r="E28" s="6">
        <v>44562</v>
      </c>
      <c r="F28" s="6">
        <v>44593</v>
      </c>
      <c r="G28" s="6">
        <v>44621</v>
      </c>
      <c r="H28" s="6">
        <v>44652</v>
      </c>
      <c r="I28" s="6">
        <v>44682</v>
      </c>
      <c r="J28" s="6">
        <v>44713</v>
      </c>
      <c r="K28" s="6">
        <v>44743</v>
      </c>
      <c r="L28" s="6">
        <v>44774</v>
      </c>
      <c r="M28" s="6">
        <v>44805</v>
      </c>
      <c r="N28" s="6">
        <v>44835</v>
      </c>
      <c r="O28" s="6">
        <v>44866</v>
      </c>
      <c r="P28" s="6">
        <v>44896</v>
      </c>
      <c r="Q28" s="6">
        <v>44927</v>
      </c>
      <c r="R28" s="6">
        <v>44958</v>
      </c>
      <c r="S28" s="6" t="s">
        <v>1376</v>
      </c>
    </row>
    <row r="29" spans="1:21" ht="16.5" x14ac:dyDescent="0.3">
      <c r="A29" s="30" t="s">
        <v>734</v>
      </c>
      <c r="B29" s="20" t="s">
        <v>105</v>
      </c>
      <c r="C29" s="23" t="s">
        <v>733</v>
      </c>
      <c r="D29" s="7">
        <v>1</v>
      </c>
      <c r="E29" s="7">
        <v>0</v>
      </c>
      <c r="F29" s="7">
        <v>0</v>
      </c>
      <c r="G29" s="7">
        <v>0</v>
      </c>
      <c r="H29" s="7">
        <v>1</v>
      </c>
      <c r="I29" s="7">
        <v>1</v>
      </c>
      <c r="J29" s="7"/>
      <c r="K29" s="7"/>
      <c r="L29" s="7"/>
      <c r="M29" s="7"/>
      <c r="N29" s="7"/>
      <c r="O29" s="7"/>
      <c r="P29" s="7"/>
      <c r="Q29" s="7"/>
      <c r="R29" s="7"/>
      <c r="S29" s="9">
        <f>SUM(D29:P29)</f>
        <v>3</v>
      </c>
    </row>
    <row r="30" spans="1:21" ht="16.5" x14ac:dyDescent="0.3">
      <c r="A30" s="30" t="s">
        <v>750</v>
      </c>
      <c r="B30" s="20" t="s">
        <v>105</v>
      </c>
      <c r="C30" s="26" t="s">
        <v>749</v>
      </c>
      <c r="D30" s="7">
        <v>1</v>
      </c>
      <c r="E30" s="7">
        <v>0</v>
      </c>
      <c r="F30" s="7">
        <v>0</v>
      </c>
      <c r="G30" s="7">
        <v>0</v>
      </c>
      <c r="H30" s="7">
        <v>1</v>
      </c>
      <c r="I30" s="7">
        <v>1</v>
      </c>
      <c r="J30" s="7"/>
      <c r="K30" s="7"/>
      <c r="L30" s="7"/>
      <c r="M30" s="7"/>
      <c r="N30" s="7"/>
      <c r="O30" s="7"/>
      <c r="P30" s="7"/>
      <c r="Q30" s="7"/>
      <c r="R30" s="7"/>
      <c r="S30" s="9">
        <f t="shared" ref="S30:S82" si="3">SUM(D30:P30)</f>
        <v>3</v>
      </c>
    </row>
    <row r="31" spans="1:21" ht="16.5" x14ac:dyDescent="0.3">
      <c r="A31" s="30" t="s">
        <v>1319</v>
      </c>
      <c r="B31" s="20" t="s">
        <v>105</v>
      </c>
      <c r="C31" s="23" t="s">
        <v>1318</v>
      </c>
      <c r="D31" s="7">
        <v>1</v>
      </c>
      <c r="E31" s="7">
        <v>0</v>
      </c>
      <c r="F31" s="7">
        <v>0</v>
      </c>
      <c r="G31" s="7">
        <v>0</v>
      </c>
      <c r="H31" s="7">
        <v>1</v>
      </c>
      <c r="I31" s="7">
        <v>1</v>
      </c>
      <c r="J31" s="7"/>
      <c r="K31" s="7"/>
      <c r="L31" s="7"/>
      <c r="M31" s="7"/>
      <c r="N31" s="7"/>
      <c r="O31" s="7"/>
      <c r="P31" s="7"/>
      <c r="Q31" s="7"/>
      <c r="R31" s="7"/>
      <c r="S31" s="9">
        <f t="shared" si="3"/>
        <v>3</v>
      </c>
    </row>
    <row r="32" spans="1:21" ht="16.5" x14ac:dyDescent="0.3">
      <c r="A32" s="30" t="s">
        <v>1299</v>
      </c>
      <c r="B32" s="20" t="s">
        <v>105</v>
      </c>
      <c r="C32" s="23" t="s">
        <v>1298</v>
      </c>
      <c r="D32" s="7">
        <v>1</v>
      </c>
      <c r="E32" s="7">
        <v>0</v>
      </c>
      <c r="F32" s="7">
        <v>0</v>
      </c>
      <c r="G32" s="7">
        <v>0</v>
      </c>
      <c r="H32" s="7">
        <v>1</v>
      </c>
      <c r="I32" s="7">
        <v>1</v>
      </c>
      <c r="J32" s="7"/>
      <c r="K32" s="7"/>
      <c r="L32" s="7"/>
      <c r="M32" s="7"/>
      <c r="N32" s="7"/>
      <c r="O32" s="7"/>
      <c r="P32" s="7"/>
      <c r="Q32" s="7"/>
      <c r="R32" s="7"/>
      <c r="S32" s="9">
        <f t="shared" si="3"/>
        <v>3</v>
      </c>
    </row>
    <row r="33" spans="1:19" ht="16.5" x14ac:dyDescent="0.3">
      <c r="A33" s="30" t="s">
        <v>736</v>
      </c>
      <c r="B33" s="20" t="s">
        <v>105</v>
      </c>
      <c r="C33" s="23" t="s">
        <v>735</v>
      </c>
      <c r="D33" s="7">
        <v>1</v>
      </c>
      <c r="E33" s="7">
        <v>0</v>
      </c>
      <c r="F33" s="7">
        <v>0</v>
      </c>
      <c r="G33" s="7">
        <v>0</v>
      </c>
      <c r="H33" s="7">
        <v>1</v>
      </c>
      <c r="I33" s="7">
        <v>1</v>
      </c>
      <c r="J33" s="320">
        <v>1</v>
      </c>
      <c r="K33" s="7"/>
      <c r="L33" s="7"/>
      <c r="M33" s="7"/>
      <c r="N33" s="7"/>
      <c r="O33" s="7"/>
      <c r="P33" s="7"/>
      <c r="Q33" s="7"/>
      <c r="R33" s="7"/>
      <c r="S33" s="9">
        <f t="shared" si="3"/>
        <v>4</v>
      </c>
    </row>
    <row r="34" spans="1:19" ht="16.5" x14ac:dyDescent="0.3">
      <c r="A34" s="30" t="s">
        <v>1297</v>
      </c>
      <c r="B34" s="20" t="s">
        <v>105</v>
      </c>
      <c r="C34" s="23" t="s">
        <v>1296</v>
      </c>
      <c r="D34" s="7">
        <v>1</v>
      </c>
      <c r="E34" s="7">
        <v>0</v>
      </c>
      <c r="F34" s="7">
        <v>0</v>
      </c>
      <c r="G34" s="7">
        <v>0</v>
      </c>
      <c r="H34" s="7">
        <v>1</v>
      </c>
      <c r="I34" s="7">
        <v>1</v>
      </c>
      <c r="J34" s="7"/>
      <c r="K34" s="7"/>
      <c r="L34" s="7"/>
      <c r="M34" s="7"/>
      <c r="N34" s="7"/>
      <c r="O34" s="7"/>
      <c r="P34" s="7"/>
      <c r="Q34" s="7"/>
      <c r="R34" s="7"/>
      <c r="S34" s="9">
        <f t="shared" si="3"/>
        <v>3</v>
      </c>
    </row>
    <row r="35" spans="1:19" ht="16.5" x14ac:dyDescent="0.3">
      <c r="A35" s="30" t="s">
        <v>740</v>
      </c>
      <c r="B35" s="20" t="s">
        <v>105</v>
      </c>
      <c r="C35" s="23" t="s">
        <v>739</v>
      </c>
      <c r="D35" s="7">
        <v>1</v>
      </c>
      <c r="E35" s="7">
        <v>0</v>
      </c>
      <c r="F35" s="7">
        <v>0</v>
      </c>
      <c r="G35" s="7">
        <v>0</v>
      </c>
      <c r="H35" s="7">
        <v>1</v>
      </c>
      <c r="I35" s="7">
        <v>1</v>
      </c>
      <c r="J35" s="7"/>
      <c r="K35" s="7"/>
      <c r="L35" s="7"/>
      <c r="M35" s="7"/>
      <c r="N35" s="7"/>
      <c r="O35" s="7"/>
      <c r="P35" s="7"/>
      <c r="Q35" s="7"/>
      <c r="R35" s="7"/>
      <c r="S35" s="9">
        <f t="shared" si="3"/>
        <v>3</v>
      </c>
    </row>
    <row r="36" spans="1:19" ht="16.5" x14ac:dyDescent="0.3">
      <c r="A36" s="30" t="s">
        <v>1289</v>
      </c>
      <c r="B36" s="20" t="s">
        <v>105</v>
      </c>
      <c r="C36" s="26" t="s">
        <v>1288</v>
      </c>
      <c r="D36" s="7">
        <v>1</v>
      </c>
      <c r="E36" s="7">
        <v>0</v>
      </c>
      <c r="F36" s="7">
        <v>0</v>
      </c>
      <c r="G36" s="7">
        <v>0</v>
      </c>
      <c r="H36" s="7">
        <v>1</v>
      </c>
      <c r="I36" s="7">
        <v>1</v>
      </c>
      <c r="J36" s="7"/>
      <c r="K36" s="7"/>
      <c r="L36" s="7"/>
      <c r="M36" s="7"/>
      <c r="N36" s="7"/>
      <c r="O36" s="7"/>
      <c r="P36" s="7"/>
      <c r="Q36" s="7"/>
      <c r="R36" s="7"/>
      <c r="S36" s="9">
        <f t="shared" si="3"/>
        <v>3</v>
      </c>
    </row>
    <row r="37" spans="1:19" ht="16.5" x14ac:dyDescent="0.3">
      <c r="A37" s="30" t="s">
        <v>1315</v>
      </c>
      <c r="B37" s="20" t="s">
        <v>105</v>
      </c>
      <c r="C37" s="23" t="s">
        <v>1314</v>
      </c>
      <c r="D37" s="7">
        <v>1</v>
      </c>
      <c r="E37" s="7">
        <v>0</v>
      </c>
      <c r="F37" s="7">
        <v>0</v>
      </c>
      <c r="G37" s="7">
        <v>0</v>
      </c>
      <c r="H37" s="7">
        <v>1</v>
      </c>
      <c r="I37" s="7">
        <v>1</v>
      </c>
      <c r="J37" s="7"/>
      <c r="K37" s="7"/>
      <c r="L37" s="7"/>
      <c r="M37" s="7"/>
      <c r="N37" s="7"/>
      <c r="O37" s="7"/>
      <c r="P37" s="7"/>
      <c r="Q37" s="7"/>
      <c r="R37" s="7"/>
      <c r="S37" s="9">
        <f t="shared" si="3"/>
        <v>3</v>
      </c>
    </row>
    <row r="38" spans="1:19" ht="16.5" x14ac:dyDescent="0.3">
      <c r="A38" s="30" t="s">
        <v>742</v>
      </c>
      <c r="B38" s="20" t="s">
        <v>105</v>
      </c>
      <c r="C38" s="23" t="s">
        <v>741</v>
      </c>
      <c r="D38" s="7">
        <v>1</v>
      </c>
      <c r="E38" s="7">
        <v>0</v>
      </c>
      <c r="F38" s="7">
        <v>0</v>
      </c>
      <c r="G38" s="7">
        <v>0</v>
      </c>
      <c r="H38" s="7">
        <v>1</v>
      </c>
      <c r="I38" s="7">
        <v>1</v>
      </c>
      <c r="J38" s="320">
        <v>1</v>
      </c>
      <c r="K38" s="7"/>
      <c r="L38" s="7"/>
      <c r="M38" s="7"/>
      <c r="N38" s="7"/>
      <c r="O38" s="7"/>
      <c r="P38" s="7"/>
      <c r="Q38" s="7"/>
      <c r="R38" s="7"/>
      <c r="S38" s="9">
        <f t="shared" si="3"/>
        <v>4</v>
      </c>
    </row>
    <row r="39" spans="1:19" ht="16.5" x14ac:dyDescent="0.3">
      <c r="A39" s="30" t="s">
        <v>746</v>
      </c>
      <c r="B39" s="20" t="s">
        <v>105</v>
      </c>
      <c r="C39" s="23" t="s">
        <v>745</v>
      </c>
      <c r="D39" s="7">
        <v>1</v>
      </c>
      <c r="E39" s="7">
        <v>0</v>
      </c>
      <c r="F39" s="7">
        <v>0</v>
      </c>
      <c r="G39" s="7">
        <v>0</v>
      </c>
      <c r="H39" s="7">
        <v>1</v>
      </c>
      <c r="I39" s="7">
        <v>1</v>
      </c>
      <c r="J39" s="7"/>
      <c r="K39" s="7"/>
      <c r="L39" s="7"/>
      <c r="M39" s="7"/>
      <c r="N39" s="7"/>
      <c r="O39" s="7"/>
      <c r="P39" s="7"/>
      <c r="Q39" s="7"/>
      <c r="R39" s="7"/>
      <c r="S39" s="9">
        <f t="shared" si="3"/>
        <v>3</v>
      </c>
    </row>
    <row r="40" spans="1:19" ht="16.5" x14ac:dyDescent="0.3">
      <c r="A40" s="30" t="s">
        <v>752</v>
      </c>
      <c r="B40" s="20" t="s">
        <v>105</v>
      </c>
      <c r="C40" s="23" t="s">
        <v>751</v>
      </c>
      <c r="D40" s="7">
        <v>1</v>
      </c>
      <c r="E40" s="7">
        <v>0</v>
      </c>
      <c r="F40" s="7">
        <v>0</v>
      </c>
      <c r="G40" s="7">
        <v>0</v>
      </c>
      <c r="H40" s="7">
        <v>1</v>
      </c>
      <c r="I40" s="7">
        <v>1</v>
      </c>
      <c r="J40" s="7"/>
      <c r="K40" s="7"/>
      <c r="L40" s="7"/>
      <c r="M40" s="7"/>
      <c r="N40" s="7"/>
      <c r="O40" s="7"/>
      <c r="P40" s="7"/>
      <c r="Q40" s="7"/>
      <c r="R40" s="7"/>
      <c r="S40" s="9">
        <f t="shared" si="3"/>
        <v>3</v>
      </c>
    </row>
    <row r="41" spans="1:19" ht="16.5" x14ac:dyDescent="0.3">
      <c r="A41" s="30" t="s">
        <v>784</v>
      </c>
      <c r="B41" s="20" t="s">
        <v>105</v>
      </c>
      <c r="C41" s="23" t="s">
        <v>783</v>
      </c>
      <c r="D41" s="7">
        <v>1</v>
      </c>
      <c r="E41" s="7">
        <v>0</v>
      </c>
      <c r="F41" s="7">
        <v>0</v>
      </c>
      <c r="G41" s="7">
        <v>0</v>
      </c>
      <c r="H41" s="7">
        <v>1</v>
      </c>
      <c r="I41" s="7">
        <v>1</v>
      </c>
      <c r="J41" s="7"/>
      <c r="K41" s="7"/>
      <c r="L41" s="7"/>
      <c r="M41" s="7"/>
      <c r="N41" s="7"/>
      <c r="O41" s="7"/>
      <c r="P41" s="7"/>
      <c r="Q41" s="7"/>
      <c r="R41" s="7"/>
      <c r="S41" s="9">
        <f t="shared" si="3"/>
        <v>3</v>
      </c>
    </row>
    <row r="42" spans="1:19" ht="16.5" x14ac:dyDescent="0.3">
      <c r="A42" s="30" t="s">
        <v>780</v>
      </c>
      <c r="B42" s="20" t="s">
        <v>105</v>
      </c>
      <c r="C42" s="23" t="s">
        <v>779</v>
      </c>
      <c r="D42" s="7">
        <v>1</v>
      </c>
      <c r="E42" s="7">
        <v>0</v>
      </c>
      <c r="F42" s="7">
        <v>0</v>
      </c>
      <c r="G42" s="7">
        <v>0</v>
      </c>
      <c r="H42" s="7">
        <v>1</v>
      </c>
      <c r="I42" s="7">
        <v>1</v>
      </c>
      <c r="J42" s="7"/>
      <c r="K42" s="7"/>
      <c r="L42" s="7"/>
      <c r="M42" s="7"/>
      <c r="N42" s="7"/>
      <c r="O42" s="7"/>
      <c r="P42" s="7"/>
      <c r="Q42" s="7"/>
      <c r="R42" s="7"/>
      <c r="S42" s="9">
        <f t="shared" si="3"/>
        <v>3</v>
      </c>
    </row>
    <row r="43" spans="1:19" ht="16.5" x14ac:dyDescent="0.3">
      <c r="A43" s="30" t="s">
        <v>744</v>
      </c>
      <c r="B43" s="20" t="s">
        <v>105</v>
      </c>
      <c r="C43" s="23" t="s">
        <v>743</v>
      </c>
      <c r="D43" s="7">
        <v>1</v>
      </c>
      <c r="E43" s="7">
        <v>0</v>
      </c>
      <c r="F43" s="7">
        <v>0</v>
      </c>
      <c r="G43" s="7">
        <v>0</v>
      </c>
      <c r="H43" s="7">
        <v>1</v>
      </c>
      <c r="I43" s="7">
        <v>1</v>
      </c>
      <c r="J43" s="7"/>
      <c r="K43" s="7"/>
      <c r="L43" s="7"/>
      <c r="M43" s="7"/>
      <c r="N43" s="7"/>
      <c r="O43" s="7"/>
      <c r="P43" s="7"/>
      <c r="Q43" s="7"/>
      <c r="R43" s="7"/>
      <c r="S43" s="9">
        <f>SUM(D43:P43)</f>
        <v>3</v>
      </c>
    </row>
    <row r="44" spans="1:19" ht="16.5" x14ac:dyDescent="0.3">
      <c r="A44" s="30" t="s">
        <v>748</v>
      </c>
      <c r="B44" s="20" t="s">
        <v>105</v>
      </c>
      <c r="C44" s="23" t="s">
        <v>747</v>
      </c>
      <c r="D44" s="7">
        <v>1</v>
      </c>
      <c r="E44" s="7">
        <v>0</v>
      </c>
      <c r="F44" s="7">
        <v>0</v>
      </c>
      <c r="G44" s="7">
        <v>0</v>
      </c>
      <c r="H44" s="7">
        <v>1</v>
      </c>
      <c r="I44" s="7">
        <v>1</v>
      </c>
      <c r="J44" s="7"/>
      <c r="K44" s="7"/>
      <c r="L44" s="7"/>
      <c r="M44" s="7"/>
      <c r="N44" s="7"/>
      <c r="O44" s="7"/>
      <c r="P44" s="7"/>
      <c r="Q44" s="7"/>
      <c r="R44" s="7"/>
      <c r="S44" s="9">
        <f t="shared" si="3"/>
        <v>3</v>
      </c>
    </row>
    <row r="45" spans="1:19" ht="16.5" x14ac:dyDescent="0.3">
      <c r="A45" s="30" t="s">
        <v>760</v>
      </c>
      <c r="B45" s="20" t="s">
        <v>105</v>
      </c>
      <c r="C45" s="23" t="s">
        <v>759</v>
      </c>
      <c r="D45" s="7">
        <v>1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1</v>
      </c>
      <c r="K45" s="7"/>
      <c r="L45" s="7"/>
      <c r="M45" s="7"/>
      <c r="N45" s="7"/>
      <c r="O45" s="7"/>
      <c r="P45" s="7"/>
      <c r="Q45" s="7"/>
      <c r="R45" s="7"/>
      <c r="S45" s="9">
        <f t="shared" si="3"/>
        <v>2</v>
      </c>
    </row>
    <row r="46" spans="1:19" ht="16.5" x14ac:dyDescent="0.3">
      <c r="A46" s="30" t="s">
        <v>762</v>
      </c>
      <c r="B46" s="20" t="s">
        <v>105</v>
      </c>
      <c r="C46" s="26" t="s">
        <v>761</v>
      </c>
      <c r="D46" s="7">
        <v>1</v>
      </c>
      <c r="E46" s="7">
        <v>0</v>
      </c>
      <c r="F46" s="7">
        <v>0</v>
      </c>
      <c r="G46" s="7">
        <v>0</v>
      </c>
      <c r="H46" s="7">
        <v>1</v>
      </c>
      <c r="I46" s="7">
        <v>1</v>
      </c>
      <c r="J46" s="320">
        <v>1</v>
      </c>
      <c r="K46" s="7"/>
      <c r="L46" s="7"/>
      <c r="M46" s="7"/>
      <c r="N46" s="7"/>
      <c r="O46" s="7"/>
      <c r="P46" s="7"/>
      <c r="Q46" s="7"/>
      <c r="R46" s="7"/>
      <c r="S46" s="9">
        <f t="shared" si="3"/>
        <v>4</v>
      </c>
    </row>
    <row r="47" spans="1:19" ht="16.5" x14ac:dyDescent="0.3">
      <c r="A47" s="30" t="s">
        <v>766</v>
      </c>
      <c r="B47" s="20" t="s">
        <v>105</v>
      </c>
      <c r="C47" s="23" t="s">
        <v>765</v>
      </c>
      <c r="D47" s="7">
        <v>1</v>
      </c>
      <c r="E47" s="7">
        <v>0</v>
      </c>
      <c r="F47" s="7">
        <v>0</v>
      </c>
      <c r="G47" s="7">
        <v>0</v>
      </c>
      <c r="H47" s="7">
        <v>1</v>
      </c>
      <c r="I47" s="7">
        <v>1</v>
      </c>
      <c r="J47" s="320">
        <v>1</v>
      </c>
      <c r="K47" s="7"/>
      <c r="L47" s="7"/>
      <c r="M47" s="7"/>
      <c r="N47" s="7"/>
      <c r="O47" s="7"/>
      <c r="P47" s="7"/>
      <c r="Q47" s="7"/>
      <c r="R47" s="7"/>
      <c r="S47" s="9">
        <f t="shared" si="3"/>
        <v>4</v>
      </c>
    </row>
    <row r="48" spans="1:19" ht="16.5" x14ac:dyDescent="0.3">
      <c r="A48" s="30" t="s">
        <v>758</v>
      </c>
      <c r="B48" s="20" t="s">
        <v>105</v>
      </c>
      <c r="C48" s="23" t="s">
        <v>757</v>
      </c>
      <c r="D48" s="7">
        <v>1</v>
      </c>
      <c r="E48" s="7">
        <v>0</v>
      </c>
      <c r="F48" s="7">
        <v>0</v>
      </c>
      <c r="G48" s="7">
        <v>0</v>
      </c>
      <c r="H48" s="7">
        <v>1</v>
      </c>
      <c r="I48" s="7">
        <v>1</v>
      </c>
      <c r="J48" s="320">
        <v>1</v>
      </c>
      <c r="K48" s="7"/>
      <c r="L48" s="7"/>
      <c r="M48" s="7"/>
      <c r="N48" s="7"/>
      <c r="O48" s="7"/>
      <c r="P48" s="7"/>
      <c r="Q48" s="7"/>
      <c r="R48" s="7"/>
      <c r="S48" s="9">
        <f t="shared" si="3"/>
        <v>4</v>
      </c>
    </row>
    <row r="49" spans="1:19" ht="16.5" x14ac:dyDescent="0.3">
      <c r="A49" s="30" t="s">
        <v>776</v>
      </c>
      <c r="B49" s="20" t="s">
        <v>105</v>
      </c>
      <c r="C49" s="23" t="s">
        <v>775</v>
      </c>
      <c r="D49" s="7">
        <v>1</v>
      </c>
      <c r="E49" s="7">
        <v>0</v>
      </c>
      <c r="F49" s="7">
        <v>0</v>
      </c>
      <c r="G49" s="7">
        <v>0</v>
      </c>
      <c r="H49" s="7">
        <v>1</v>
      </c>
      <c r="I49" s="7">
        <v>1</v>
      </c>
      <c r="J49" s="7"/>
      <c r="K49" s="7"/>
      <c r="L49" s="7"/>
      <c r="M49" s="7"/>
      <c r="N49" s="7"/>
      <c r="O49" s="7"/>
      <c r="P49" s="7"/>
      <c r="Q49" s="7"/>
      <c r="R49" s="7"/>
      <c r="S49" s="9">
        <f t="shared" si="3"/>
        <v>3</v>
      </c>
    </row>
    <row r="50" spans="1:19" ht="16.5" x14ac:dyDescent="0.3">
      <c r="A50" s="30" t="s">
        <v>1293</v>
      </c>
      <c r="B50" s="20" t="s">
        <v>105</v>
      </c>
      <c r="C50" s="23" t="s">
        <v>1292</v>
      </c>
      <c r="D50" s="7">
        <v>1</v>
      </c>
      <c r="E50" s="7">
        <v>0</v>
      </c>
      <c r="F50" s="7">
        <v>0</v>
      </c>
      <c r="G50" s="7">
        <v>0</v>
      </c>
      <c r="H50" s="7">
        <v>1</v>
      </c>
      <c r="I50" s="7">
        <v>1</v>
      </c>
      <c r="J50" s="7"/>
      <c r="K50" s="7"/>
      <c r="L50" s="7"/>
      <c r="M50" s="7"/>
      <c r="N50" s="7"/>
      <c r="O50" s="7"/>
      <c r="P50" s="7"/>
      <c r="Q50" s="7"/>
      <c r="R50" s="7"/>
      <c r="S50" s="9">
        <f t="shared" si="3"/>
        <v>3</v>
      </c>
    </row>
    <row r="51" spans="1:19" ht="16.5" x14ac:dyDescent="0.3">
      <c r="A51" s="30" t="s">
        <v>772</v>
      </c>
      <c r="B51" s="20" t="s">
        <v>105</v>
      </c>
      <c r="C51" s="23" t="s">
        <v>771</v>
      </c>
      <c r="D51" s="7">
        <v>1</v>
      </c>
      <c r="E51" s="7">
        <v>0</v>
      </c>
      <c r="F51" s="7">
        <v>0</v>
      </c>
      <c r="G51" s="7">
        <v>0</v>
      </c>
      <c r="H51" s="7">
        <v>0</v>
      </c>
      <c r="I51" s="7">
        <v>1</v>
      </c>
      <c r="J51" s="7">
        <v>1</v>
      </c>
      <c r="K51" s="7"/>
      <c r="L51" s="7"/>
      <c r="M51" s="7"/>
      <c r="N51" s="7"/>
      <c r="O51" s="7"/>
      <c r="P51" s="7"/>
      <c r="Q51" s="7"/>
      <c r="R51" s="7"/>
      <c r="S51" s="9">
        <f t="shared" si="3"/>
        <v>3</v>
      </c>
    </row>
    <row r="52" spans="1:19" ht="16.5" x14ac:dyDescent="0.3">
      <c r="A52" s="30" t="s">
        <v>788</v>
      </c>
      <c r="B52" s="20" t="s">
        <v>105</v>
      </c>
      <c r="C52" s="23" t="s">
        <v>787</v>
      </c>
      <c r="D52" s="7">
        <v>1</v>
      </c>
      <c r="E52" s="7">
        <v>0</v>
      </c>
      <c r="F52" s="7">
        <v>0</v>
      </c>
      <c r="G52" s="7">
        <v>0</v>
      </c>
      <c r="H52" s="7">
        <v>0</v>
      </c>
      <c r="I52" s="7">
        <v>1</v>
      </c>
      <c r="J52" s="7">
        <v>1</v>
      </c>
      <c r="K52" s="7"/>
      <c r="L52" s="7"/>
      <c r="M52" s="7"/>
      <c r="N52" s="7"/>
      <c r="O52" s="7"/>
      <c r="P52" s="7"/>
      <c r="Q52" s="7"/>
      <c r="R52" s="7"/>
      <c r="S52" s="9">
        <f t="shared" si="3"/>
        <v>3</v>
      </c>
    </row>
    <row r="53" spans="1:19" ht="16.5" x14ac:dyDescent="0.3">
      <c r="A53" s="30" t="s">
        <v>754</v>
      </c>
      <c r="B53" s="20" t="s">
        <v>105</v>
      </c>
      <c r="C53" s="23" t="s">
        <v>753</v>
      </c>
      <c r="D53" s="7">
        <v>1</v>
      </c>
      <c r="E53" s="7">
        <v>0</v>
      </c>
      <c r="F53" s="7">
        <v>0</v>
      </c>
      <c r="G53" s="7">
        <v>0</v>
      </c>
      <c r="H53" s="7">
        <v>1</v>
      </c>
      <c r="I53" s="7">
        <v>1</v>
      </c>
      <c r="J53" s="7"/>
      <c r="K53" s="7"/>
      <c r="L53" s="7"/>
      <c r="M53" s="7"/>
      <c r="N53" s="7"/>
      <c r="O53" s="7"/>
      <c r="P53" s="7"/>
      <c r="Q53" s="7"/>
      <c r="R53" s="7"/>
      <c r="S53" s="9">
        <f t="shared" si="3"/>
        <v>3</v>
      </c>
    </row>
    <row r="54" spans="1:19" ht="16.5" x14ac:dyDescent="0.3">
      <c r="A54" s="30" t="s">
        <v>778</v>
      </c>
      <c r="B54" s="20" t="s">
        <v>105</v>
      </c>
      <c r="C54" s="23" t="s">
        <v>777</v>
      </c>
      <c r="D54" s="7">
        <v>1</v>
      </c>
      <c r="E54" s="7">
        <v>0</v>
      </c>
      <c r="F54" s="7">
        <v>0</v>
      </c>
      <c r="G54" s="7">
        <v>0</v>
      </c>
      <c r="H54" s="7">
        <v>1</v>
      </c>
      <c r="I54" s="7">
        <v>1</v>
      </c>
      <c r="J54" s="320">
        <v>1</v>
      </c>
      <c r="K54" s="7"/>
      <c r="L54" s="7"/>
      <c r="M54" s="7"/>
      <c r="N54" s="7"/>
      <c r="O54" s="7"/>
      <c r="P54" s="7"/>
      <c r="Q54" s="7"/>
      <c r="R54" s="7"/>
      <c r="S54" s="9">
        <f t="shared" si="3"/>
        <v>4</v>
      </c>
    </row>
    <row r="55" spans="1:19" ht="16.5" x14ac:dyDescent="0.3">
      <c r="A55" s="30" t="s">
        <v>774</v>
      </c>
      <c r="B55" s="20" t="s">
        <v>105</v>
      </c>
      <c r="C55" s="26" t="s">
        <v>773</v>
      </c>
      <c r="D55" s="7">
        <v>1</v>
      </c>
      <c r="E55" s="7">
        <v>0</v>
      </c>
      <c r="F55" s="7">
        <v>0</v>
      </c>
      <c r="G55" s="7">
        <v>0</v>
      </c>
      <c r="H55" s="11">
        <v>0</v>
      </c>
      <c r="I55" s="7">
        <v>1</v>
      </c>
      <c r="J55" s="7">
        <v>1</v>
      </c>
      <c r="K55" s="7"/>
      <c r="L55" s="7"/>
      <c r="M55" s="7"/>
      <c r="N55" s="7"/>
      <c r="O55" s="7"/>
      <c r="P55" s="7"/>
      <c r="Q55" s="7"/>
      <c r="R55" s="7"/>
      <c r="S55" s="9">
        <f t="shared" si="3"/>
        <v>3</v>
      </c>
    </row>
    <row r="56" spans="1:19" ht="16.5" x14ac:dyDescent="0.3">
      <c r="A56" s="30" t="s">
        <v>1295</v>
      </c>
      <c r="B56" s="20" t="s">
        <v>105</v>
      </c>
      <c r="C56" s="23" t="s">
        <v>1294</v>
      </c>
      <c r="D56" s="7">
        <v>1</v>
      </c>
      <c r="E56" s="7">
        <v>0</v>
      </c>
      <c r="F56" s="7">
        <v>0</v>
      </c>
      <c r="G56" s="7">
        <v>0</v>
      </c>
      <c r="H56" s="7">
        <v>1</v>
      </c>
      <c r="I56" s="7">
        <v>1</v>
      </c>
      <c r="J56" s="7"/>
      <c r="K56" s="7"/>
      <c r="L56" s="7"/>
      <c r="M56" s="7"/>
      <c r="N56" s="7"/>
      <c r="O56" s="7"/>
      <c r="P56" s="7"/>
      <c r="Q56" s="7"/>
      <c r="R56" s="7"/>
      <c r="S56" s="9">
        <f>SUM(D56:P56)</f>
        <v>3</v>
      </c>
    </row>
    <row r="57" spans="1:19" ht="16.5" x14ac:dyDescent="0.3">
      <c r="A57" s="30" t="s">
        <v>756</v>
      </c>
      <c r="B57" s="20" t="s">
        <v>105</v>
      </c>
      <c r="C57" s="23" t="s">
        <v>755</v>
      </c>
      <c r="D57" s="7">
        <v>1</v>
      </c>
      <c r="E57" s="7">
        <v>0</v>
      </c>
      <c r="F57" s="7">
        <v>0</v>
      </c>
      <c r="G57" s="7">
        <v>0</v>
      </c>
      <c r="H57" s="7">
        <v>1</v>
      </c>
      <c r="I57" s="7">
        <v>1</v>
      </c>
      <c r="J57" s="7"/>
      <c r="K57" s="7"/>
      <c r="L57" s="7"/>
      <c r="M57" s="7"/>
      <c r="N57" s="7"/>
      <c r="O57" s="7"/>
      <c r="P57" s="7"/>
      <c r="Q57" s="7"/>
      <c r="R57" s="7"/>
      <c r="S57" s="9">
        <f t="shared" si="3"/>
        <v>3</v>
      </c>
    </row>
    <row r="58" spans="1:19" ht="16.5" x14ac:dyDescent="0.3">
      <c r="A58" s="30" t="s">
        <v>1291</v>
      </c>
      <c r="B58" s="20" t="s">
        <v>105</v>
      </c>
      <c r="C58" s="23" t="s">
        <v>1290</v>
      </c>
      <c r="D58" s="7">
        <v>1</v>
      </c>
      <c r="E58" s="7">
        <v>0</v>
      </c>
      <c r="F58" s="7">
        <v>0</v>
      </c>
      <c r="G58" s="7">
        <v>0</v>
      </c>
      <c r="H58" s="7">
        <v>1</v>
      </c>
      <c r="I58" s="7">
        <v>1</v>
      </c>
      <c r="J58" s="7"/>
      <c r="K58" s="7"/>
      <c r="L58" s="7"/>
      <c r="M58" s="7"/>
      <c r="N58" s="7"/>
      <c r="O58" s="7"/>
      <c r="P58" s="7"/>
      <c r="Q58" s="7"/>
      <c r="R58" s="7"/>
      <c r="S58" s="9">
        <f t="shared" si="3"/>
        <v>3</v>
      </c>
    </row>
    <row r="59" spans="1:19" ht="16.5" x14ac:dyDescent="0.3">
      <c r="A59" s="30" t="s">
        <v>768</v>
      </c>
      <c r="B59" s="20" t="s">
        <v>105</v>
      </c>
      <c r="C59" s="23" t="s">
        <v>767</v>
      </c>
      <c r="D59" s="7">
        <v>1</v>
      </c>
      <c r="E59" s="7">
        <v>0</v>
      </c>
      <c r="F59" s="7">
        <v>0</v>
      </c>
      <c r="G59" s="7">
        <v>0</v>
      </c>
      <c r="H59" s="11">
        <v>0</v>
      </c>
      <c r="I59" s="7">
        <v>0</v>
      </c>
      <c r="J59" s="7">
        <v>1</v>
      </c>
      <c r="K59" s="7"/>
      <c r="L59" s="7"/>
      <c r="M59" s="7"/>
      <c r="N59" s="7"/>
      <c r="O59" s="7"/>
      <c r="P59" s="7"/>
      <c r="Q59" s="7"/>
      <c r="R59" s="7"/>
      <c r="S59" s="9">
        <f t="shared" si="3"/>
        <v>2</v>
      </c>
    </row>
    <row r="60" spans="1:19" ht="16.5" x14ac:dyDescent="0.3">
      <c r="A60" s="30" t="s">
        <v>764</v>
      </c>
      <c r="B60" s="20" t="s">
        <v>105</v>
      </c>
      <c r="C60" s="23" t="s">
        <v>763</v>
      </c>
      <c r="D60" s="7">
        <v>1</v>
      </c>
      <c r="E60" s="7">
        <v>0</v>
      </c>
      <c r="F60" s="7">
        <v>0</v>
      </c>
      <c r="G60" s="7">
        <v>0</v>
      </c>
      <c r="H60" s="7">
        <v>1</v>
      </c>
      <c r="I60" s="7">
        <v>1</v>
      </c>
      <c r="J60" s="7"/>
      <c r="K60" s="7"/>
      <c r="L60" s="7"/>
      <c r="M60" s="7"/>
      <c r="N60" s="7"/>
      <c r="O60" s="7"/>
      <c r="P60" s="7"/>
      <c r="Q60" s="7"/>
      <c r="R60" s="7"/>
      <c r="S60" s="9">
        <f t="shared" si="3"/>
        <v>3</v>
      </c>
    </row>
    <row r="61" spans="1:19" ht="16.5" x14ac:dyDescent="0.3">
      <c r="A61" s="30" t="s">
        <v>770</v>
      </c>
      <c r="B61" s="20" t="s">
        <v>105</v>
      </c>
      <c r="C61" s="23" t="s">
        <v>769</v>
      </c>
      <c r="D61" s="7">
        <v>1</v>
      </c>
      <c r="E61" s="7">
        <v>0</v>
      </c>
      <c r="F61" s="7">
        <v>0</v>
      </c>
      <c r="G61" s="7">
        <v>0</v>
      </c>
      <c r="H61" s="7">
        <v>1</v>
      </c>
      <c r="I61" s="7">
        <v>1</v>
      </c>
      <c r="J61" s="7"/>
      <c r="K61" s="7"/>
      <c r="L61" s="7"/>
      <c r="M61" s="7"/>
      <c r="N61" s="7"/>
      <c r="O61" s="7"/>
      <c r="P61" s="7"/>
      <c r="Q61" s="7"/>
      <c r="R61" s="7"/>
      <c r="S61" s="9">
        <f t="shared" si="3"/>
        <v>3</v>
      </c>
    </row>
    <row r="62" spans="1:19" ht="16.5" x14ac:dyDescent="0.3">
      <c r="A62" s="30" t="s">
        <v>800</v>
      </c>
      <c r="B62" s="20" t="s">
        <v>105</v>
      </c>
      <c r="C62" s="23" t="s">
        <v>799</v>
      </c>
      <c r="D62" s="7">
        <v>1</v>
      </c>
      <c r="E62" s="7">
        <v>0</v>
      </c>
      <c r="F62" s="7">
        <v>0</v>
      </c>
      <c r="G62" s="7">
        <v>0</v>
      </c>
      <c r="H62" s="7">
        <v>1</v>
      </c>
      <c r="I62" s="7">
        <v>1</v>
      </c>
      <c r="J62" s="7"/>
      <c r="K62" s="7"/>
      <c r="L62" s="7"/>
      <c r="M62" s="7"/>
      <c r="N62" s="7"/>
      <c r="O62" s="7"/>
      <c r="P62" s="7"/>
      <c r="Q62" s="7"/>
      <c r="R62" s="7"/>
      <c r="S62" s="9">
        <f t="shared" si="3"/>
        <v>3</v>
      </c>
    </row>
    <row r="63" spans="1:19" ht="16.5" x14ac:dyDescent="0.3">
      <c r="A63" s="30" t="s">
        <v>794</v>
      </c>
      <c r="B63" s="20" t="s">
        <v>105</v>
      </c>
      <c r="C63" s="23" t="s">
        <v>793</v>
      </c>
      <c r="D63" s="7">
        <v>1</v>
      </c>
      <c r="E63" s="7">
        <v>0</v>
      </c>
      <c r="F63" s="7">
        <v>0</v>
      </c>
      <c r="G63" s="7">
        <v>0</v>
      </c>
      <c r="H63" s="7">
        <v>1</v>
      </c>
      <c r="I63" s="7">
        <v>1</v>
      </c>
      <c r="J63" s="320">
        <v>1</v>
      </c>
      <c r="K63" s="320">
        <v>1</v>
      </c>
      <c r="L63" s="7"/>
      <c r="M63" s="7"/>
      <c r="N63" s="7"/>
      <c r="O63" s="7"/>
      <c r="P63" s="7"/>
      <c r="Q63" s="7"/>
      <c r="R63" s="7"/>
      <c r="S63" s="9">
        <f t="shared" si="3"/>
        <v>5</v>
      </c>
    </row>
    <row r="64" spans="1:19" ht="16.5" x14ac:dyDescent="0.3">
      <c r="A64" s="30" t="s">
        <v>790</v>
      </c>
      <c r="B64" s="20" t="s">
        <v>105</v>
      </c>
      <c r="C64" s="23" t="s">
        <v>789</v>
      </c>
      <c r="D64" s="7">
        <v>1</v>
      </c>
      <c r="E64" s="7">
        <v>0</v>
      </c>
      <c r="F64" s="7">
        <v>0</v>
      </c>
      <c r="G64" s="7">
        <v>0</v>
      </c>
      <c r="H64" s="7">
        <v>0</v>
      </c>
      <c r="I64" s="7">
        <v>1</v>
      </c>
      <c r="J64" s="7"/>
      <c r="K64" s="7"/>
      <c r="L64" s="7"/>
      <c r="M64" s="7"/>
      <c r="N64" s="7"/>
      <c r="O64" s="7"/>
      <c r="P64" s="7"/>
      <c r="Q64" s="7"/>
      <c r="R64" s="7"/>
      <c r="S64" s="9">
        <f t="shared" si="3"/>
        <v>2</v>
      </c>
    </row>
    <row r="65" spans="1:19" ht="16.5" x14ac:dyDescent="0.3">
      <c r="A65" s="30" t="s">
        <v>1311</v>
      </c>
      <c r="B65" s="20" t="s">
        <v>105</v>
      </c>
      <c r="C65" s="23" t="s">
        <v>1310</v>
      </c>
      <c r="D65" s="7">
        <v>1</v>
      </c>
      <c r="E65" s="7">
        <v>0</v>
      </c>
      <c r="F65" s="7">
        <v>0</v>
      </c>
      <c r="G65" s="7">
        <v>0</v>
      </c>
      <c r="H65" s="7">
        <v>1</v>
      </c>
      <c r="I65" s="7">
        <v>1</v>
      </c>
      <c r="J65" s="7"/>
      <c r="K65" s="7"/>
      <c r="L65" s="7"/>
      <c r="M65" s="7"/>
      <c r="N65" s="7"/>
      <c r="O65" s="7"/>
      <c r="P65" s="7"/>
      <c r="Q65" s="7"/>
      <c r="R65" s="7"/>
      <c r="S65" s="9">
        <f t="shared" si="3"/>
        <v>3</v>
      </c>
    </row>
    <row r="66" spans="1:19" ht="16.5" x14ac:dyDescent="0.3">
      <c r="A66" s="30" t="s">
        <v>798</v>
      </c>
      <c r="B66" s="20" t="s">
        <v>105</v>
      </c>
      <c r="C66" s="23" t="s">
        <v>797</v>
      </c>
      <c r="D66" s="7">
        <v>1</v>
      </c>
      <c r="E66" s="7">
        <v>0</v>
      </c>
      <c r="F66" s="7">
        <v>0</v>
      </c>
      <c r="G66" s="7">
        <v>0</v>
      </c>
      <c r="H66" s="48">
        <v>1</v>
      </c>
      <c r="I66" s="7">
        <v>1</v>
      </c>
      <c r="J66" s="7"/>
      <c r="K66" s="7"/>
      <c r="L66" s="7"/>
      <c r="M66" s="7"/>
      <c r="N66" s="7"/>
      <c r="O66" s="7"/>
      <c r="P66" s="7"/>
      <c r="Q66" s="7"/>
      <c r="R66" s="7"/>
      <c r="S66" s="9">
        <f t="shared" si="3"/>
        <v>3</v>
      </c>
    </row>
    <row r="67" spans="1:19" ht="16.5" x14ac:dyDescent="0.3">
      <c r="A67" s="30" t="s">
        <v>792</v>
      </c>
      <c r="B67" s="20" t="s">
        <v>105</v>
      </c>
      <c r="C67" s="23" t="s">
        <v>791</v>
      </c>
      <c r="D67" s="7">
        <v>1</v>
      </c>
      <c r="E67" s="7">
        <v>0</v>
      </c>
      <c r="F67" s="7">
        <v>0</v>
      </c>
      <c r="G67" s="7">
        <v>0</v>
      </c>
      <c r="H67" s="48">
        <v>1</v>
      </c>
      <c r="I67" s="7">
        <v>1</v>
      </c>
      <c r="J67" s="320">
        <v>1</v>
      </c>
      <c r="K67" s="7"/>
      <c r="L67" s="7"/>
      <c r="M67" s="7"/>
      <c r="N67" s="7"/>
      <c r="O67" s="7"/>
      <c r="P67" s="7"/>
      <c r="Q67" s="7"/>
      <c r="R67" s="7"/>
      <c r="S67" s="9">
        <f t="shared" si="3"/>
        <v>4</v>
      </c>
    </row>
    <row r="68" spans="1:19" ht="16.5" x14ac:dyDescent="0.3">
      <c r="A68" s="30" t="s">
        <v>801</v>
      </c>
      <c r="B68" s="20" t="s">
        <v>105</v>
      </c>
      <c r="C68" s="23" t="s">
        <v>260</v>
      </c>
      <c r="D68" s="7">
        <v>1</v>
      </c>
      <c r="E68" s="7">
        <v>0</v>
      </c>
      <c r="F68" s="7">
        <v>0</v>
      </c>
      <c r="G68" s="7">
        <v>0</v>
      </c>
      <c r="H68" s="48">
        <v>1</v>
      </c>
      <c r="I68" s="7">
        <v>1</v>
      </c>
      <c r="J68" s="320">
        <v>1</v>
      </c>
      <c r="K68" s="7"/>
      <c r="L68" s="7"/>
      <c r="M68" s="7"/>
      <c r="N68" s="7"/>
      <c r="O68" s="7"/>
      <c r="P68" s="7"/>
      <c r="Q68" s="7"/>
      <c r="R68" s="7"/>
      <c r="S68" s="9">
        <f t="shared" si="3"/>
        <v>4</v>
      </c>
    </row>
    <row r="69" spans="1:19" ht="16.5" x14ac:dyDescent="0.3">
      <c r="A69" s="30" t="s">
        <v>1303</v>
      </c>
      <c r="B69" s="20" t="s">
        <v>105</v>
      </c>
      <c r="C69" s="26" t="s">
        <v>1302</v>
      </c>
      <c r="D69" s="7">
        <v>1</v>
      </c>
      <c r="E69" s="7">
        <v>0</v>
      </c>
      <c r="F69" s="7">
        <v>0</v>
      </c>
      <c r="G69" s="7">
        <v>0</v>
      </c>
      <c r="H69" s="48">
        <v>1</v>
      </c>
      <c r="I69" s="7">
        <v>1</v>
      </c>
      <c r="J69" s="320">
        <v>1</v>
      </c>
      <c r="K69" s="7"/>
      <c r="L69" s="7"/>
      <c r="M69" s="7"/>
      <c r="N69" s="7"/>
      <c r="O69" s="7"/>
      <c r="P69" s="7"/>
      <c r="Q69" s="7"/>
      <c r="R69" s="7"/>
      <c r="S69" s="9">
        <f t="shared" si="3"/>
        <v>4</v>
      </c>
    </row>
    <row r="70" spans="1:19" ht="16.5" x14ac:dyDescent="0.3">
      <c r="A70" s="30" t="s">
        <v>1305</v>
      </c>
      <c r="B70" s="20" t="s">
        <v>105</v>
      </c>
      <c r="C70" s="23" t="s">
        <v>1304</v>
      </c>
      <c r="D70" s="7">
        <v>1</v>
      </c>
      <c r="E70" s="7">
        <v>0</v>
      </c>
      <c r="F70" s="7">
        <v>0</v>
      </c>
      <c r="G70" s="7">
        <v>0</v>
      </c>
      <c r="H70" s="48">
        <v>0</v>
      </c>
      <c r="I70" s="7">
        <v>1</v>
      </c>
      <c r="J70" s="7">
        <v>1</v>
      </c>
      <c r="K70" s="7"/>
      <c r="L70" s="7"/>
      <c r="M70" s="7"/>
      <c r="N70" s="7"/>
      <c r="O70" s="7"/>
      <c r="P70" s="7"/>
      <c r="Q70" s="7"/>
      <c r="R70" s="7"/>
      <c r="S70" s="9">
        <f>SUM(D70:P70)</f>
        <v>3</v>
      </c>
    </row>
    <row r="71" spans="1:19" ht="16.5" x14ac:dyDescent="0.3">
      <c r="A71" s="30" t="s">
        <v>1323</v>
      </c>
      <c r="B71" s="20" t="s">
        <v>105</v>
      </c>
      <c r="C71" s="23" t="s">
        <v>1322</v>
      </c>
      <c r="D71" s="7">
        <v>1</v>
      </c>
      <c r="E71" s="7">
        <v>0</v>
      </c>
      <c r="F71" s="7">
        <v>0</v>
      </c>
      <c r="G71" s="7">
        <v>0</v>
      </c>
      <c r="H71" s="48">
        <v>1</v>
      </c>
      <c r="I71" s="7">
        <v>1</v>
      </c>
      <c r="J71" s="7"/>
      <c r="K71" s="7"/>
      <c r="L71" s="7"/>
      <c r="M71" s="7"/>
      <c r="N71" s="7"/>
      <c r="O71" s="7"/>
      <c r="P71" s="7"/>
      <c r="Q71" s="7"/>
      <c r="R71" s="7"/>
      <c r="S71" s="9">
        <f t="shared" si="3"/>
        <v>3</v>
      </c>
    </row>
    <row r="72" spans="1:19" ht="16.5" x14ac:dyDescent="0.3">
      <c r="A72" s="30" t="s">
        <v>1317</v>
      </c>
      <c r="B72" s="20" t="s">
        <v>105</v>
      </c>
      <c r="C72" s="23" t="s">
        <v>1316</v>
      </c>
      <c r="D72" s="7">
        <v>1</v>
      </c>
      <c r="E72" s="7">
        <v>0</v>
      </c>
      <c r="F72" s="7">
        <v>0</v>
      </c>
      <c r="G72" s="7">
        <v>0</v>
      </c>
      <c r="H72" s="48">
        <v>1</v>
      </c>
      <c r="I72" s="7">
        <v>1</v>
      </c>
      <c r="J72" s="7"/>
      <c r="K72" s="7"/>
      <c r="L72" s="7"/>
      <c r="M72" s="7"/>
      <c r="N72" s="7"/>
      <c r="O72" s="7"/>
      <c r="P72" s="7"/>
      <c r="Q72" s="7"/>
      <c r="R72" s="7"/>
      <c r="S72" s="9">
        <f t="shared" si="3"/>
        <v>3</v>
      </c>
    </row>
    <row r="73" spans="1:19" ht="16.5" x14ac:dyDescent="0.3">
      <c r="A73" s="30" t="s">
        <v>1313</v>
      </c>
      <c r="B73" s="20" t="s">
        <v>105</v>
      </c>
      <c r="C73" s="23" t="s">
        <v>1312</v>
      </c>
      <c r="D73" s="7">
        <v>1</v>
      </c>
      <c r="E73" s="7">
        <v>0</v>
      </c>
      <c r="F73" s="7">
        <v>0</v>
      </c>
      <c r="G73" s="7">
        <v>0</v>
      </c>
      <c r="H73" s="48">
        <v>0</v>
      </c>
      <c r="I73" s="7">
        <v>0</v>
      </c>
      <c r="J73" s="7">
        <v>1</v>
      </c>
      <c r="K73" s="7"/>
      <c r="L73" s="7"/>
      <c r="M73" s="7"/>
      <c r="N73" s="7"/>
      <c r="O73" s="7"/>
      <c r="P73" s="7"/>
      <c r="Q73" s="7"/>
      <c r="R73" s="7"/>
      <c r="S73" s="9">
        <f t="shared" si="3"/>
        <v>2</v>
      </c>
    </row>
    <row r="74" spans="1:19" ht="16.5" x14ac:dyDescent="0.3">
      <c r="A74" s="30" t="s">
        <v>1309</v>
      </c>
      <c r="B74" s="20" t="s">
        <v>105</v>
      </c>
      <c r="C74" s="23" t="s">
        <v>1308</v>
      </c>
      <c r="D74" s="7">
        <v>1</v>
      </c>
      <c r="E74" s="7">
        <v>0</v>
      </c>
      <c r="F74" s="7">
        <v>0</v>
      </c>
      <c r="G74" s="7">
        <v>0</v>
      </c>
      <c r="H74" s="48">
        <v>1</v>
      </c>
      <c r="I74" s="7">
        <v>1</v>
      </c>
      <c r="J74" s="7"/>
      <c r="K74" s="7"/>
      <c r="L74" s="7"/>
      <c r="M74" s="7"/>
      <c r="N74" s="7"/>
      <c r="O74" s="7"/>
      <c r="P74" s="7"/>
      <c r="Q74" s="7"/>
      <c r="R74" s="7"/>
      <c r="S74" s="9">
        <f t="shared" si="3"/>
        <v>3</v>
      </c>
    </row>
    <row r="75" spans="1:19" ht="16.5" x14ac:dyDescent="0.3">
      <c r="A75" s="30" t="s">
        <v>1307</v>
      </c>
      <c r="B75" s="20" t="s">
        <v>105</v>
      </c>
      <c r="C75" s="23" t="s">
        <v>1306</v>
      </c>
      <c r="D75" s="7">
        <v>1</v>
      </c>
      <c r="E75" s="7">
        <v>0</v>
      </c>
      <c r="F75" s="7">
        <v>0</v>
      </c>
      <c r="G75" s="7">
        <v>0</v>
      </c>
      <c r="H75" s="48">
        <v>0</v>
      </c>
      <c r="I75" s="7">
        <v>1</v>
      </c>
      <c r="J75" s="7">
        <v>1</v>
      </c>
      <c r="K75" s="7"/>
      <c r="L75" s="7"/>
      <c r="M75" s="7"/>
      <c r="N75" s="7"/>
      <c r="O75" s="7"/>
      <c r="P75" s="7"/>
      <c r="Q75" s="7"/>
      <c r="R75" s="7"/>
      <c r="S75" s="9">
        <f t="shared" si="3"/>
        <v>3</v>
      </c>
    </row>
    <row r="76" spans="1:19" ht="16.5" x14ac:dyDescent="0.3">
      <c r="A76" s="30" t="s">
        <v>1321</v>
      </c>
      <c r="B76" s="20" t="s">
        <v>105</v>
      </c>
      <c r="C76" s="23" t="s">
        <v>1320</v>
      </c>
      <c r="D76" s="7">
        <v>1</v>
      </c>
      <c r="E76" s="7">
        <v>0</v>
      </c>
      <c r="F76" s="7">
        <v>0</v>
      </c>
      <c r="G76" s="7">
        <v>0</v>
      </c>
      <c r="H76" s="48">
        <v>0</v>
      </c>
      <c r="I76" s="7">
        <v>0</v>
      </c>
      <c r="J76" s="7">
        <v>1</v>
      </c>
      <c r="K76" s="7"/>
      <c r="L76" s="7"/>
      <c r="M76" s="7"/>
      <c r="N76" s="7"/>
      <c r="O76" s="7"/>
      <c r="P76" s="7"/>
      <c r="Q76" s="7"/>
      <c r="R76" s="7"/>
      <c r="S76" s="9">
        <f t="shared" si="3"/>
        <v>2</v>
      </c>
    </row>
    <row r="77" spans="1:19" ht="16.5" x14ac:dyDescent="0.3">
      <c r="A77" s="30" t="s">
        <v>796</v>
      </c>
      <c r="B77" s="20" t="s">
        <v>105</v>
      </c>
      <c r="C77" s="23" t="s">
        <v>795</v>
      </c>
      <c r="D77" s="7">
        <v>1</v>
      </c>
      <c r="E77" s="7">
        <v>0</v>
      </c>
      <c r="F77" s="7">
        <v>0</v>
      </c>
      <c r="G77" s="7">
        <v>0</v>
      </c>
      <c r="H77" s="48">
        <v>0</v>
      </c>
      <c r="I77" s="7">
        <v>0</v>
      </c>
      <c r="J77" s="7">
        <v>1</v>
      </c>
      <c r="K77" s="7"/>
      <c r="L77" s="7"/>
      <c r="M77" s="7"/>
      <c r="N77" s="7"/>
      <c r="O77" s="7"/>
      <c r="P77" s="7"/>
      <c r="Q77" s="7"/>
      <c r="R77" s="7"/>
      <c r="S77" s="9">
        <f t="shared" si="3"/>
        <v>2</v>
      </c>
    </row>
    <row r="78" spans="1:19" ht="16.5" x14ac:dyDescent="0.3">
      <c r="A78" s="30" t="s">
        <v>786</v>
      </c>
      <c r="B78" s="20" t="s">
        <v>105</v>
      </c>
      <c r="C78" s="23" t="s">
        <v>785</v>
      </c>
      <c r="D78" s="7">
        <v>1</v>
      </c>
      <c r="E78" s="7">
        <v>0</v>
      </c>
      <c r="F78" s="7">
        <v>0</v>
      </c>
      <c r="G78" s="7">
        <v>0</v>
      </c>
      <c r="H78" s="48">
        <v>1</v>
      </c>
      <c r="I78" s="7">
        <v>1</v>
      </c>
      <c r="J78" s="7"/>
      <c r="K78" s="7"/>
      <c r="L78" s="7"/>
      <c r="M78" s="7"/>
      <c r="N78" s="7"/>
      <c r="O78" s="7"/>
      <c r="P78" s="7"/>
      <c r="Q78" s="7"/>
      <c r="R78" s="7"/>
      <c r="S78" s="9">
        <f t="shared" si="3"/>
        <v>3</v>
      </c>
    </row>
    <row r="79" spans="1:19" ht="16.5" x14ac:dyDescent="0.3">
      <c r="A79" s="30" t="s">
        <v>1301</v>
      </c>
      <c r="B79" s="20" t="s">
        <v>105</v>
      </c>
      <c r="C79" s="23" t="s">
        <v>1300</v>
      </c>
      <c r="D79" s="7">
        <v>1</v>
      </c>
      <c r="E79" s="7">
        <v>0</v>
      </c>
      <c r="F79" s="7">
        <v>0</v>
      </c>
      <c r="G79" s="7">
        <v>0</v>
      </c>
      <c r="H79" s="7">
        <v>1</v>
      </c>
      <c r="I79" s="7">
        <v>1</v>
      </c>
      <c r="J79" s="7"/>
      <c r="K79" s="7"/>
      <c r="L79" s="7"/>
      <c r="M79" s="7"/>
      <c r="N79" s="7"/>
      <c r="O79" s="7"/>
      <c r="P79" s="7"/>
      <c r="Q79" s="7"/>
      <c r="R79" s="7"/>
      <c r="S79" s="9">
        <f t="shared" si="3"/>
        <v>3</v>
      </c>
    </row>
    <row r="80" spans="1:19" ht="16.5" x14ac:dyDescent="0.3">
      <c r="A80" s="30" t="s">
        <v>738</v>
      </c>
      <c r="B80" s="20" t="s">
        <v>105</v>
      </c>
      <c r="C80" s="26" t="s">
        <v>737</v>
      </c>
      <c r="D80" s="7">
        <v>1</v>
      </c>
      <c r="E80" s="7">
        <v>0</v>
      </c>
      <c r="F80" s="7">
        <v>0</v>
      </c>
      <c r="G80" s="7">
        <v>0</v>
      </c>
      <c r="H80" s="7">
        <v>1</v>
      </c>
      <c r="I80" s="7">
        <v>1</v>
      </c>
      <c r="J80" s="7"/>
      <c r="K80" s="7"/>
      <c r="L80" s="7"/>
      <c r="M80" s="7"/>
      <c r="N80" s="7"/>
      <c r="O80" s="7"/>
      <c r="P80" s="7"/>
      <c r="Q80" s="7"/>
      <c r="R80" s="7"/>
      <c r="S80" s="9">
        <f t="shared" si="3"/>
        <v>3</v>
      </c>
    </row>
    <row r="81" spans="1:19" ht="16.5" x14ac:dyDescent="0.3">
      <c r="A81" s="30" t="s">
        <v>782</v>
      </c>
      <c r="B81" s="20" t="s">
        <v>105</v>
      </c>
      <c r="C81" s="23" t="s">
        <v>781</v>
      </c>
      <c r="D81" s="7">
        <v>1</v>
      </c>
      <c r="E81" s="7">
        <v>0</v>
      </c>
      <c r="F81" s="7">
        <v>0</v>
      </c>
      <c r="G81" s="7">
        <v>0</v>
      </c>
      <c r="H81" s="7">
        <v>1</v>
      </c>
      <c r="I81" s="7">
        <v>1</v>
      </c>
      <c r="J81" s="7"/>
      <c r="K81" s="7"/>
      <c r="L81" s="7"/>
      <c r="M81" s="7"/>
      <c r="N81" s="7"/>
      <c r="O81" s="7"/>
      <c r="P81" s="7"/>
      <c r="Q81" s="7"/>
      <c r="R81" s="7"/>
      <c r="S81" s="9">
        <f t="shared" si="3"/>
        <v>3</v>
      </c>
    </row>
    <row r="82" spans="1:19" ht="17.25" thickBot="1" x14ac:dyDescent="0.35">
      <c r="A82" s="35"/>
      <c r="B82" s="20" t="s">
        <v>105</v>
      </c>
      <c r="C82" s="106"/>
      <c r="D82" s="86">
        <v>1</v>
      </c>
      <c r="E82" s="86">
        <v>0</v>
      </c>
      <c r="F82" s="86">
        <v>0</v>
      </c>
      <c r="G82" s="86">
        <v>0</v>
      </c>
      <c r="H82" s="86">
        <v>0</v>
      </c>
      <c r="I82" s="86">
        <v>0</v>
      </c>
      <c r="J82" s="86">
        <v>0</v>
      </c>
      <c r="K82" s="86">
        <v>0</v>
      </c>
      <c r="L82" s="86">
        <v>0</v>
      </c>
      <c r="M82" s="86">
        <v>0</v>
      </c>
      <c r="N82" s="86">
        <v>0</v>
      </c>
      <c r="O82" s="189">
        <v>0</v>
      </c>
      <c r="P82" s="86">
        <v>0</v>
      </c>
      <c r="Q82" s="189">
        <v>0</v>
      </c>
      <c r="R82" s="86">
        <v>0</v>
      </c>
      <c r="S82" s="9">
        <f t="shared" si="3"/>
        <v>1</v>
      </c>
    </row>
    <row r="83" spans="1:19" ht="15.75" thickBot="1" x14ac:dyDescent="0.3">
      <c r="C83" s="13" t="s">
        <v>1378</v>
      </c>
      <c r="D83" s="14">
        <f>SUM(D29:D82)</f>
        <v>54</v>
      </c>
      <c r="E83" s="14">
        <f t="shared" ref="E83:R83" si="4">SUM(E29:E81)</f>
        <v>0</v>
      </c>
      <c r="F83" s="14">
        <f t="shared" si="4"/>
        <v>0</v>
      </c>
      <c r="G83" s="14">
        <f t="shared" si="4"/>
        <v>0</v>
      </c>
      <c r="H83" s="14">
        <f t="shared" si="4"/>
        <v>42</v>
      </c>
      <c r="I83" s="14">
        <f>SUM(I29:I81)</f>
        <v>48</v>
      </c>
      <c r="J83" s="14">
        <f t="shared" si="4"/>
        <v>20</v>
      </c>
      <c r="K83" s="14">
        <f t="shared" si="4"/>
        <v>1</v>
      </c>
      <c r="L83" s="14">
        <f t="shared" si="4"/>
        <v>0</v>
      </c>
      <c r="M83" s="14">
        <f t="shared" si="4"/>
        <v>0</v>
      </c>
      <c r="N83" s="14">
        <f t="shared" si="4"/>
        <v>0</v>
      </c>
      <c r="O83" s="14">
        <f t="shared" si="4"/>
        <v>0</v>
      </c>
      <c r="P83" s="14">
        <f t="shared" si="4"/>
        <v>0</v>
      </c>
      <c r="Q83" s="14">
        <f t="shared" si="4"/>
        <v>0</v>
      </c>
      <c r="R83" s="14">
        <f t="shared" si="4"/>
        <v>0</v>
      </c>
      <c r="S83" s="95">
        <f>SUM(D83:P83)</f>
        <v>165</v>
      </c>
    </row>
    <row r="86" spans="1:19" x14ac:dyDescent="0.25">
      <c r="A86" s="369" t="s">
        <v>1380</v>
      </c>
      <c r="B86" s="369"/>
      <c r="C86" s="369"/>
      <c r="M86" s="132">
        <f>17*1100000</f>
        <v>18700000</v>
      </c>
    </row>
    <row r="87" spans="1:19" x14ac:dyDescent="0.25">
      <c r="A87" s="161">
        <v>44287</v>
      </c>
      <c r="B87" s="97"/>
      <c r="C87" s="97"/>
    </row>
    <row r="88" spans="1:19" x14ac:dyDescent="0.25">
      <c r="A88" s="161">
        <v>44317</v>
      </c>
      <c r="B88" s="3" t="s">
        <v>1381</v>
      </c>
      <c r="C88" s="370">
        <v>189000000</v>
      </c>
    </row>
    <row r="89" spans="1:19" x14ac:dyDescent="0.25">
      <c r="A89" s="161">
        <v>44348</v>
      </c>
      <c r="B89" s="3" t="s">
        <v>1381</v>
      </c>
      <c r="C89" s="371"/>
    </row>
    <row r="90" spans="1:19" x14ac:dyDescent="0.25">
      <c r="A90" s="161">
        <v>44378</v>
      </c>
      <c r="B90" s="3" t="s">
        <v>1381</v>
      </c>
      <c r="C90" s="371"/>
    </row>
    <row r="91" spans="1:19" x14ac:dyDescent="0.25">
      <c r="A91" s="161">
        <v>44409</v>
      </c>
      <c r="B91" s="3" t="s">
        <v>1381</v>
      </c>
      <c r="C91" s="371"/>
    </row>
    <row r="92" spans="1:19" x14ac:dyDescent="0.25">
      <c r="A92" s="161">
        <v>44440</v>
      </c>
      <c r="B92" s="3" t="s">
        <v>1381</v>
      </c>
      <c r="C92" s="371"/>
    </row>
    <row r="93" spans="1:19" x14ac:dyDescent="0.25">
      <c r="A93" s="161">
        <v>44470</v>
      </c>
      <c r="B93" s="3" t="s">
        <v>1381</v>
      </c>
      <c r="C93" s="372"/>
    </row>
    <row r="94" spans="1:19" x14ac:dyDescent="0.25">
      <c r="A94" s="161">
        <v>44501</v>
      </c>
      <c r="B94" s="3" t="s">
        <v>1381</v>
      </c>
      <c r="C94" s="162">
        <v>31500000</v>
      </c>
    </row>
    <row r="95" spans="1:19" x14ac:dyDescent="0.25">
      <c r="A95" s="161">
        <v>44531</v>
      </c>
      <c r="B95" s="3" t="s">
        <v>1381</v>
      </c>
      <c r="C95" s="162">
        <v>31500000</v>
      </c>
    </row>
    <row r="96" spans="1:19" x14ac:dyDescent="0.25">
      <c r="A96" s="161">
        <v>44562</v>
      </c>
      <c r="B96" s="3" t="s">
        <v>1381</v>
      </c>
      <c r="C96" s="162">
        <v>31500000</v>
      </c>
    </row>
    <row r="97" spans="1:4" x14ac:dyDescent="0.25">
      <c r="A97" s="161">
        <v>44593</v>
      </c>
      <c r="B97" s="3" t="s">
        <v>1381</v>
      </c>
      <c r="C97" s="162">
        <v>31500000</v>
      </c>
      <c r="D97" s="2" t="s">
        <v>1387</v>
      </c>
    </row>
    <row r="98" spans="1:4" x14ac:dyDescent="0.25">
      <c r="A98" s="161">
        <v>44621</v>
      </c>
      <c r="B98" s="3" t="s">
        <v>1381</v>
      </c>
      <c r="C98" s="162">
        <v>31500000</v>
      </c>
    </row>
    <row r="99" spans="1:4" x14ac:dyDescent="0.25">
      <c r="A99" s="161">
        <v>44652</v>
      </c>
      <c r="B99" s="3" t="s">
        <v>1381</v>
      </c>
      <c r="C99" s="162">
        <v>31500000</v>
      </c>
    </row>
    <row r="100" spans="1:4" x14ac:dyDescent="0.25">
      <c r="A100" s="161">
        <v>44682</v>
      </c>
      <c r="B100" s="3" t="s">
        <v>1381</v>
      </c>
      <c r="C100" s="162">
        <f>31500000+14000000</f>
        <v>45500000</v>
      </c>
    </row>
    <row r="101" spans="1:4" x14ac:dyDescent="0.25">
      <c r="A101" s="161">
        <v>44713</v>
      </c>
      <c r="B101" s="3" t="s">
        <v>1381</v>
      </c>
      <c r="C101" s="162">
        <v>45500000</v>
      </c>
    </row>
    <row r="102" spans="1:4" x14ac:dyDescent="0.25">
      <c r="A102" s="161">
        <v>44743</v>
      </c>
      <c r="B102" s="3" t="s">
        <v>1381</v>
      </c>
      <c r="C102" s="162">
        <v>45500000</v>
      </c>
    </row>
    <row r="103" spans="1:4" x14ac:dyDescent="0.25">
      <c r="A103" s="161">
        <v>44774</v>
      </c>
      <c r="B103" s="3" t="s">
        <v>1381</v>
      </c>
      <c r="C103" s="162">
        <v>45500000</v>
      </c>
    </row>
  </sheetData>
  <autoFilter ref="B2:S23" xr:uid="{00000000-0009-0000-0000-000007000000}"/>
  <mergeCells count="4">
    <mergeCell ref="A27:S27"/>
    <mergeCell ref="A86:C86"/>
    <mergeCell ref="C88:C93"/>
    <mergeCell ref="A1:T1"/>
  </mergeCells>
  <conditionalFormatting sqref="A3:A23">
    <cfRule type="duplicateValues" dxfId="58" priority="2"/>
  </conditionalFormatting>
  <conditionalFormatting sqref="A29:A82">
    <cfRule type="duplicateValues" dxfId="57" priority="1"/>
  </conditionalFormatting>
  <pageMargins left="0.7" right="0.7" top="0.75" bottom="0.75" header="0.3" footer="0.3"/>
  <pageSetup orientation="portrait" r:id="rId1"/>
  <ignoredErrors>
    <ignoredError sqref="D24:E24 F24:M24 D83:I83 P24 S3 S6:S7 S17 O83:P83 Q83:R83 S82 J83:N83 S23 T6 T13 T7:T8 T12 T14:T15 Q24:R24 O24 N24 T10 S15 T3" formulaRange="1"/>
    <ignoredError sqref="S18:S19 S16 S4:S5 S8:S9 S10:S12 S14 S20:S21 S22 T16:T18 T22:T23 T19 T4:T5 T20:T21 T9" formula="1" formulaRange="1"/>
    <ignoredError sqref="S13 T1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96"/>
  <sheetViews>
    <sheetView zoomScale="70" zoomScaleNormal="70" workbookViewId="0">
      <pane xSplit="3" ySplit="2" topLeftCell="J87" activePane="bottomRight" state="frozen"/>
      <selection pane="topRight" activeCell="D1" sqref="D1"/>
      <selection pane="bottomLeft" activeCell="A2" sqref="A2"/>
      <selection pane="bottomRight" activeCell="C98" sqref="C98"/>
    </sheetView>
  </sheetViews>
  <sheetFormatPr baseColWidth="10" defaultColWidth="11.42578125" defaultRowHeight="15" x14ac:dyDescent="0.25"/>
  <cols>
    <col min="1" max="1" width="18.85546875" customWidth="1"/>
    <col min="2" max="2" width="19.85546875" customWidth="1"/>
    <col min="3" max="3" width="35.28515625" customWidth="1"/>
    <col min="4" max="19" width="14.5703125" customWidth="1"/>
    <col min="20" max="21" width="16.42578125" customWidth="1"/>
    <col min="22" max="22" width="18.28515625" customWidth="1"/>
  </cols>
  <sheetData>
    <row r="1" spans="1:22" ht="15.75" thickBot="1" x14ac:dyDescent="0.3">
      <c r="A1" s="368" t="s">
        <v>1375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</row>
    <row r="2" spans="1:22" ht="45" customHeight="1" thickBot="1" x14ac:dyDescent="0.3">
      <c r="A2" s="44" t="s">
        <v>3</v>
      </c>
      <c r="B2" s="8" t="s">
        <v>0</v>
      </c>
      <c r="C2" s="45" t="s">
        <v>1</v>
      </c>
      <c r="D2" s="46">
        <v>44317</v>
      </c>
      <c r="E2" s="46">
        <v>44348</v>
      </c>
      <c r="F2" s="46">
        <v>44378</v>
      </c>
      <c r="G2" s="46">
        <v>44409</v>
      </c>
      <c r="H2" s="46">
        <v>44440</v>
      </c>
      <c r="I2" s="46">
        <v>44470</v>
      </c>
      <c r="J2" s="46">
        <v>44501</v>
      </c>
      <c r="K2" s="46">
        <v>44531</v>
      </c>
      <c r="L2" s="46">
        <v>44562</v>
      </c>
      <c r="M2" s="46">
        <v>44593</v>
      </c>
      <c r="N2" s="46">
        <v>44621</v>
      </c>
      <c r="O2" s="46">
        <v>44652</v>
      </c>
      <c r="P2" s="233">
        <v>44682</v>
      </c>
      <c r="Q2" s="46">
        <v>44713</v>
      </c>
      <c r="R2" s="46">
        <v>44743</v>
      </c>
      <c r="S2" s="46">
        <v>44774</v>
      </c>
      <c r="T2" s="232" t="s">
        <v>1424</v>
      </c>
      <c r="U2" s="233" t="s">
        <v>1419</v>
      </c>
      <c r="V2" s="165" t="s">
        <v>1418</v>
      </c>
    </row>
    <row r="3" spans="1:22" ht="16.5" x14ac:dyDescent="0.3">
      <c r="A3" s="322" t="s">
        <v>63</v>
      </c>
      <c r="B3" s="131" t="s">
        <v>32</v>
      </c>
      <c r="C3" s="83" t="s">
        <v>62</v>
      </c>
      <c r="D3" s="10">
        <v>0</v>
      </c>
      <c r="E3" s="10">
        <v>0</v>
      </c>
      <c r="F3" s="10">
        <v>1</v>
      </c>
      <c r="G3" s="10">
        <v>1</v>
      </c>
      <c r="H3" s="10">
        <v>1</v>
      </c>
      <c r="I3" s="10">
        <v>1</v>
      </c>
      <c r="J3" s="10">
        <v>1</v>
      </c>
      <c r="K3" s="10">
        <v>1</v>
      </c>
      <c r="L3" s="10">
        <v>1</v>
      </c>
      <c r="M3" s="10">
        <v>1</v>
      </c>
      <c r="N3" s="10">
        <v>1</v>
      </c>
      <c r="O3" s="10">
        <v>1</v>
      </c>
      <c r="P3" s="10">
        <v>1</v>
      </c>
      <c r="Q3" s="10">
        <v>1</v>
      </c>
      <c r="R3" s="10">
        <v>1</v>
      </c>
      <c r="S3" s="10">
        <v>1</v>
      </c>
      <c r="T3" s="231">
        <f t="shared" ref="T3:T11" si="0">SUM(D3:O3)</f>
        <v>10</v>
      </c>
      <c r="U3" s="236">
        <f>SUM(P3:S3)</f>
        <v>4</v>
      </c>
      <c r="V3" s="231">
        <f>T3+U3</f>
        <v>14</v>
      </c>
    </row>
    <row r="4" spans="1:22" ht="16.5" x14ac:dyDescent="0.3">
      <c r="A4" s="28" t="s">
        <v>34</v>
      </c>
      <c r="B4" s="19" t="s">
        <v>32</v>
      </c>
      <c r="C4" s="23" t="s">
        <v>33</v>
      </c>
      <c r="D4" s="7">
        <v>0</v>
      </c>
      <c r="E4" s="7">
        <v>0</v>
      </c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>
        <v>1</v>
      </c>
      <c r="P4" s="7">
        <v>1</v>
      </c>
      <c r="Q4" s="10">
        <v>1</v>
      </c>
      <c r="R4" s="10">
        <v>1</v>
      </c>
      <c r="S4" s="10">
        <v>1</v>
      </c>
      <c r="T4" s="231">
        <f t="shared" si="0"/>
        <v>10</v>
      </c>
      <c r="U4" s="236">
        <f t="shared" ref="U4:U20" si="1">SUM(P4:S4)</f>
        <v>4</v>
      </c>
      <c r="V4" s="231">
        <f t="shared" ref="V4:V22" si="2">T4+U4</f>
        <v>14</v>
      </c>
    </row>
    <row r="5" spans="1:22" ht="16.5" x14ac:dyDescent="0.3">
      <c r="A5" s="28" t="s">
        <v>37</v>
      </c>
      <c r="B5" s="19" t="s">
        <v>32</v>
      </c>
      <c r="C5" s="23" t="s">
        <v>36</v>
      </c>
      <c r="D5" s="7">
        <v>0</v>
      </c>
      <c r="E5" s="7">
        <v>0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10">
        <v>1</v>
      </c>
      <c r="R5" s="10">
        <v>1</v>
      </c>
      <c r="S5" s="10">
        <v>1</v>
      </c>
      <c r="T5" s="231">
        <f t="shared" si="0"/>
        <v>10</v>
      </c>
      <c r="U5" s="236">
        <f t="shared" si="1"/>
        <v>4</v>
      </c>
      <c r="V5" s="231">
        <f t="shared" si="2"/>
        <v>14</v>
      </c>
    </row>
    <row r="6" spans="1:22" ht="16.5" x14ac:dyDescent="0.3">
      <c r="A6" s="28" t="s">
        <v>65</v>
      </c>
      <c r="B6" s="19" t="s">
        <v>32</v>
      </c>
      <c r="C6" s="23" t="s">
        <v>64</v>
      </c>
      <c r="D6" s="7">
        <v>0</v>
      </c>
      <c r="E6" s="7">
        <v>0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10">
        <v>1</v>
      </c>
      <c r="R6" s="10">
        <v>1</v>
      </c>
      <c r="S6" s="10">
        <v>1</v>
      </c>
      <c r="T6" s="231">
        <f t="shared" si="0"/>
        <v>10</v>
      </c>
      <c r="U6" s="236">
        <f t="shared" si="1"/>
        <v>4</v>
      </c>
      <c r="V6" s="231">
        <f t="shared" si="2"/>
        <v>14</v>
      </c>
    </row>
    <row r="7" spans="1:22" ht="16.5" x14ac:dyDescent="0.3">
      <c r="A7" s="28" t="s">
        <v>46</v>
      </c>
      <c r="B7" s="19" t="s">
        <v>32</v>
      </c>
      <c r="C7" s="23" t="s">
        <v>45</v>
      </c>
      <c r="D7" s="7">
        <v>0</v>
      </c>
      <c r="E7" s="7">
        <v>0</v>
      </c>
      <c r="F7" s="7">
        <v>1</v>
      </c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7">
        <v>1</v>
      </c>
      <c r="Q7" s="10">
        <v>1</v>
      </c>
      <c r="R7" s="10">
        <v>1</v>
      </c>
      <c r="S7" s="10">
        <v>1</v>
      </c>
      <c r="T7" s="231">
        <f t="shared" si="0"/>
        <v>10</v>
      </c>
      <c r="U7" s="236">
        <f t="shared" si="1"/>
        <v>4</v>
      </c>
      <c r="V7" s="231">
        <f t="shared" si="2"/>
        <v>14</v>
      </c>
    </row>
    <row r="8" spans="1:22" ht="16.5" x14ac:dyDescent="0.3">
      <c r="A8" s="28" t="s">
        <v>41</v>
      </c>
      <c r="B8" s="19" t="s">
        <v>32</v>
      </c>
      <c r="C8" s="23" t="s">
        <v>40</v>
      </c>
      <c r="D8" s="7">
        <v>0</v>
      </c>
      <c r="E8" s="7">
        <v>0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10">
        <v>1</v>
      </c>
      <c r="R8" s="10">
        <v>1</v>
      </c>
      <c r="S8" s="10">
        <v>1</v>
      </c>
      <c r="T8" s="231">
        <f t="shared" si="0"/>
        <v>10</v>
      </c>
      <c r="U8" s="236">
        <f t="shared" si="1"/>
        <v>4</v>
      </c>
      <c r="V8" s="231">
        <f t="shared" si="2"/>
        <v>14</v>
      </c>
    </row>
    <row r="9" spans="1:22" ht="16.5" x14ac:dyDescent="0.3">
      <c r="A9" s="28" t="s">
        <v>201</v>
      </c>
      <c r="B9" s="19" t="s">
        <v>32</v>
      </c>
      <c r="C9" s="23" t="s">
        <v>200</v>
      </c>
      <c r="D9" s="7">
        <v>0</v>
      </c>
      <c r="E9" s="7">
        <v>0</v>
      </c>
      <c r="F9" s="7">
        <v>1</v>
      </c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10">
        <v>1</v>
      </c>
      <c r="R9" s="10">
        <v>0</v>
      </c>
      <c r="S9" s="10">
        <v>0</v>
      </c>
      <c r="T9" s="231">
        <f t="shared" si="0"/>
        <v>10</v>
      </c>
      <c r="U9" s="236">
        <f>SUM(P9:S9)</f>
        <v>2</v>
      </c>
      <c r="V9" s="231">
        <f t="shared" si="2"/>
        <v>12</v>
      </c>
    </row>
    <row r="10" spans="1:22" ht="16.5" x14ac:dyDescent="0.3">
      <c r="A10" s="28" t="s">
        <v>54</v>
      </c>
      <c r="B10" s="19" t="s">
        <v>32</v>
      </c>
      <c r="C10" s="23" t="s">
        <v>53</v>
      </c>
      <c r="D10" s="7">
        <v>0</v>
      </c>
      <c r="E10" s="7">
        <v>0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10">
        <v>1</v>
      </c>
      <c r="R10" s="10">
        <v>1</v>
      </c>
      <c r="S10" s="10">
        <v>1</v>
      </c>
      <c r="T10" s="231">
        <f t="shared" si="0"/>
        <v>10</v>
      </c>
      <c r="U10" s="236">
        <f t="shared" si="1"/>
        <v>4</v>
      </c>
      <c r="V10" s="231">
        <f t="shared" si="2"/>
        <v>14</v>
      </c>
    </row>
    <row r="11" spans="1:22" ht="16.5" x14ac:dyDescent="0.3">
      <c r="A11" s="28" t="s">
        <v>48</v>
      </c>
      <c r="B11" s="19" t="s">
        <v>32</v>
      </c>
      <c r="C11" s="23" t="s">
        <v>47</v>
      </c>
      <c r="D11" s="7">
        <v>0</v>
      </c>
      <c r="E11" s="7">
        <v>0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P11" s="7">
        <v>1</v>
      </c>
      <c r="Q11" s="10">
        <v>1</v>
      </c>
      <c r="R11" s="10">
        <v>1</v>
      </c>
      <c r="S11" s="10">
        <v>1</v>
      </c>
      <c r="T11" s="231">
        <f t="shared" si="0"/>
        <v>10</v>
      </c>
      <c r="U11" s="236">
        <f t="shared" si="1"/>
        <v>4</v>
      </c>
      <c r="V11" s="231">
        <f t="shared" si="2"/>
        <v>14</v>
      </c>
    </row>
    <row r="12" spans="1:22" ht="16.5" x14ac:dyDescent="0.3">
      <c r="A12" s="28" t="s">
        <v>186</v>
      </c>
      <c r="B12" s="19" t="s">
        <v>32</v>
      </c>
      <c r="C12" s="23" t="s">
        <v>185</v>
      </c>
      <c r="D12" s="7">
        <v>0</v>
      </c>
      <c r="E12" s="7">
        <v>0</v>
      </c>
      <c r="F12" s="7">
        <v>0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7">
        <v>1</v>
      </c>
      <c r="R12" s="7">
        <v>1</v>
      </c>
      <c r="S12" s="7">
        <v>1</v>
      </c>
      <c r="T12" s="9">
        <f>SUM(D12:P12)</f>
        <v>10</v>
      </c>
      <c r="U12" s="236">
        <f>SUM(Q12:S12)</f>
        <v>3</v>
      </c>
      <c r="V12" s="231">
        <f t="shared" si="2"/>
        <v>13</v>
      </c>
    </row>
    <row r="13" spans="1:22" ht="16.5" x14ac:dyDescent="0.3">
      <c r="A13" s="28" t="s">
        <v>60</v>
      </c>
      <c r="B13" s="19" t="s">
        <v>32</v>
      </c>
      <c r="C13" s="23" t="s">
        <v>59</v>
      </c>
      <c r="D13" s="7">
        <v>0</v>
      </c>
      <c r="E13" s="7">
        <v>0</v>
      </c>
      <c r="F13" s="7">
        <v>1</v>
      </c>
      <c r="G13" s="7">
        <v>1</v>
      </c>
      <c r="H13" s="7">
        <v>1</v>
      </c>
      <c r="I13" s="7">
        <v>1</v>
      </c>
      <c r="J13" s="7">
        <v>1</v>
      </c>
      <c r="K13" s="7">
        <v>1</v>
      </c>
      <c r="L13" s="7">
        <v>1</v>
      </c>
      <c r="M13" s="7">
        <v>1</v>
      </c>
      <c r="N13" s="7">
        <v>1</v>
      </c>
      <c r="O13" s="7">
        <v>1</v>
      </c>
      <c r="P13" s="7">
        <v>1</v>
      </c>
      <c r="Q13" s="7">
        <v>1</v>
      </c>
      <c r="R13" s="7">
        <v>1</v>
      </c>
      <c r="S13" s="7">
        <v>0</v>
      </c>
      <c r="T13" s="9">
        <f>SUM(D13:O13)</f>
        <v>10</v>
      </c>
      <c r="U13" s="236">
        <f t="shared" si="1"/>
        <v>3</v>
      </c>
      <c r="V13" s="231">
        <f t="shared" si="2"/>
        <v>13</v>
      </c>
    </row>
    <row r="14" spans="1:22" ht="16.5" x14ac:dyDescent="0.3">
      <c r="A14" s="30" t="s">
        <v>197</v>
      </c>
      <c r="B14" s="20" t="s">
        <v>32</v>
      </c>
      <c r="C14" s="23" t="s">
        <v>196</v>
      </c>
      <c r="D14" s="7">
        <v>0</v>
      </c>
      <c r="E14" s="7">
        <v>0</v>
      </c>
      <c r="F14" s="7">
        <v>0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0</v>
      </c>
      <c r="O14" s="7">
        <v>1</v>
      </c>
      <c r="P14" s="7">
        <v>1</v>
      </c>
      <c r="Q14" s="7">
        <v>1</v>
      </c>
      <c r="R14" s="7">
        <v>1</v>
      </c>
      <c r="S14" s="7">
        <v>1</v>
      </c>
      <c r="T14" s="9">
        <f>SUM(D14:Q14)</f>
        <v>10</v>
      </c>
      <c r="U14" s="236">
        <f>SUM(R14:S14)</f>
        <v>2</v>
      </c>
      <c r="V14" s="231">
        <f t="shared" si="2"/>
        <v>12</v>
      </c>
    </row>
    <row r="15" spans="1:22" ht="16.5" x14ac:dyDescent="0.3">
      <c r="A15" s="30" t="s">
        <v>222</v>
      </c>
      <c r="B15" s="20" t="s">
        <v>32</v>
      </c>
      <c r="C15" s="24" t="s">
        <v>221</v>
      </c>
      <c r="D15" s="7">
        <v>0</v>
      </c>
      <c r="E15" s="7">
        <v>0</v>
      </c>
      <c r="F15" s="7">
        <v>1</v>
      </c>
      <c r="G15" s="7">
        <v>1</v>
      </c>
      <c r="H15" s="7">
        <v>1</v>
      </c>
      <c r="I15" s="7">
        <v>1</v>
      </c>
      <c r="J15" s="7">
        <v>1</v>
      </c>
      <c r="K15" s="7">
        <v>1</v>
      </c>
      <c r="L15" s="7">
        <v>1</v>
      </c>
      <c r="M15" s="7">
        <v>1</v>
      </c>
      <c r="N15" s="7">
        <v>1</v>
      </c>
      <c r="O15" s="7">
        <v>1</v>
      </c>
      <c r="P15" s="7">
        <v>1</v>
      </c>
      <c r="Q15" s="7">
        <v>1</v>
      </c>
      <c r="R15" s="7">
        <v>1</v>
      </c>
      <c r="S15" s="7">
        <v>0</v>
      </c>
      <c r="T15" s="9">
        <f>SUM(D15:O15)</f>
        <v>10</v>
      </c>
      <c r="U15" s="236">
        <f t="shared" si="1"/>
        <v>3</v>
      </c>
      <c r="V15" s="231">
        <f t="shared" si="2"/>
        <v>13</v>
      </c>
    </row>
    <row r="16" spans="1:22" ht="16.5" x14ac:dyDescent="0.3">
      <c r="A16" s="30" t="s">
        <v>165</v>
      </c>
      <c r="B16" s="20" t="s">
        <v>32</v>
      </c>
      <c r="C16" s="23" t="s">
        <v>164</v>
      </c>
      <c r="D16" s="7">
        <v>0</v>
      </c>
      <c r="E16" s="7">
        <v>0</v>
      </c>
      <c r="F16" s="7">
        <v>1</v>
      </c>
      <c r="G16" s="7">
        <v>1</v>
      </c>
      <c r="H16" s="7">
        <v>1</v>
      </c>
      <c r="I16" s="7">
        <v>1</v>
      </c>
      <c r="J16" s="7">
        <v>1</v>
      </c>
      <c r="K16" s="7">
        <v>1</v>
      </c>
      <c r="L16" s="7">
        <v>1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>
        <v>1</v>
      </c>
      <c r="S16" s="7">
        <v>1</v>
      </c>
      <c r="T16" s="9">
        <f>SUM(D16:O16)</f>
        <v>10</v>
      </c>
      <c r="U16" s="236">
        <f t="shared" si="1"/>
        <v>4</v>
      </c>
      <c r="V16" s="231">
        <f t="shared" si="2"/>
        <v>14</v>
      </c>
    </row>
    <row r="17" spans="1:22" s="12" customFormat="1" ht="16.5" x14ac:dyDescent="0.3">
      <c r="A17" s="30" t="s">
        <v>77</v>
      </c>
      <c r="B17" s="20" t="s">
        <v>32</v>
      </c>
      <c r="C17" s="23" t="s">
        <v>76</v>
      </c>
      <c r="D17" s="48">
        <v>0</v>
      </c>
      <c r="E17" s="48">
        <v>0</v>
      </c>
      <c r="F17" s="48">
        <v>0</v>
      </c>
      <c r="G17" s="48">
        <v>1</v>
      </c>
      <c r="H17" s="48">
        <v>1</v>
      </c>
      <c r="I17" s="48">
        <v>1</v>
      </c>
      <c r="J17" s="48">
        <v>1</v>
      </c>
      <c r="K17" s="48">
        <v>1</v>
      </c>
      <c r="L17" s="48">
        <v>1</v>
      </c>
      <c r="M17" s="48">
        <v>1</v>
      </c>
      <c r="N17" s="48">
        <v>1</v>
      </c>
      <c r="O17" s="48">
        <v>1</v>
      </c>
      <c r="P17" s="48">
        <v>1</v>
      </c>
      <c r="Q17" s="48">
        <v>1</v>
      </c>
      <c r="R17" s="48">
        <v>1</v>
      </c>
      <c r="S17" s="48">
        <v>1</v>
      </c>
      <c r="T17" s="9">
        <f>SUM(D17:P17)</f>
        <v>10</v>
      </c>
      <c r="U17" s="236">
        <f>SUM(Q17:S17)</f>
        <v>3</v>
      </c>
      <c r="V17" s="231">
        <f>T17+U17</f>
        <v>13</v>
      </c>
    </row>
    <row r="18" spans="1:22" ht="16.5" x14ac:dyDescent="0.3">
      <c r="A18" s="30" t="s">
        <v>153</v>
      </c>
      <c r="B18" s="20" t="s">
        <v>32</v>
      </c>
      <c r="C18" s="23" t="s">
        <v>152</v>
      </c>
      <c r="D18" s="7">
        <v>0</v>
      </c>
      <c r="E18" s="7">
        <v>0</v>
      </c>
      <c r="F18" s="7">
        <v>1</v>
      </c>
      <c r="G18" s="7">
        <v>1</v>
      </c>
      <c r="H18" s="7">
        <v>1</v>
      </c>
      <c r="I18" s="7">
        <v>1</v>
      </c>
      <c r="J18" s="7">
        <v>1</v>
      </c>
      <c r="K18" s="7">
        <v>1</v>
      </c>
      <c r="L18" s="7">
        <v>1</v>
      </c>
      <c r="M18" s="7">
        <v>1</v>
      </c>
      <c r="N18" s="7">
        <v>1</v>
      </c>
      <c r="O18" s="7">
        <v>1</v>
      </c>
      <c r="P18" s="7">
        <v>1</v>
      </c>
      <c r="Q18" s="7">
        <v>1</v>
      </c>
      <c r="R18" s="7">
        <v>1</v>
      </c>
      <c r="S18" s="7">
        <v>1</v>
      </c>
      <c r="T18" s="9">
        <f>SUM(D18:O18)</f>
        <v>10</v>
      </c>
      <c r="U18" s="236">
        <f t="shared" si="1"/>
        <v>4</v>
      </c>
      <c r="V18" s="231">
        <f t="shared" si="2"/>
        <v>14</v>
      </c>
    </row>
    <row r="19" spans="1:22" ht="16.5" x14ac:dyDescent="0.3">
      <c r="A19" s="30" t="s">
        <v>324</v>
      </c>
      <c r="B19" s="20" t="s">
        <v>32</v>
      </c>
      <c r="C19" s="23" t="s">
        <v>323</v>
      </c>
      <c r="D19" s="7">
        <v>0</v>
      </c>
      <c r="E19" s="7">
        <v>0</v>
      </c>
      <c r="F19" s="7">
        <v>0</v>
      </c>
      <c r="G19" s="7">
        <v>1</v>
      </c>
      <c r="H19" s="7">
        <v>1</v>
      </c>
      <c r="I19" s="7">
        <v>1</v>
      </c>
      <c r="J19" s="7">
        <v>1</v>
      </c>
      <c r="K19" s="7">
        <v>0</v>
      </c>
      <c r="L19" s="7">
        <v>1</v>
      </c>
      <c r="M19" s="7">
        <v>1</v>
      </c>
      <c r="N19" s="7">
        <v>0</v>
      </c>
      <c r="O19" s="7">
        <v>1</v>
      </c>
      <c r="P19" s="7">
        <v>0</v>
      </c>
      <c r="Q19" s="7">
        <v>1</v>
      </c>
      <c r="R19" s="7">
        <v>1</v>
      </c>
      <c r="S19" s="7">
        <v>1</v>
      </c>
      <c r="T19" s="9">
        <f>SUM(D19:S19)</f>
        <v>10</v>
      </c>
      <c r="U19" s="236">
        <v>0</v>
      </c>
      <c r="V19" s="231">
        <f>T19+U19</f>
        <v>10</v>
      </c>
    </row>
    <row r="20" spans="1:22" ht="16.5" x14ac:dyDescent="0.3">
      <c r="A20" s="30" t="s">
        <v>353</v>
      </c>
      <c r="B20" s="20" t="s">
        <v>32</v>
      </c>
      <c r="C20" s="23" t="s">
        <v>352</v>
      </c>
      <c r="D20" s="7">
        <v>0</v>
      </c>
      <c r="E20" s="7">
        <v>0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>
        <v>1</v>
      </c>
      <c r="S20" s="7">
        <v>0</v>
      </c>
      <c r="T20" s="9">
        <f>SUM(D20:O20)</f>
        <v>10</v>
      </c>
      <c r="U20" s="236">
        <f t="shared" si="1"/>
        <v>3</v>
      </c>
      <c r="V20" s="231">
        <f t="shared" si="2"/>
        <v>13</v>
      </c>
    </row>
    <row r="21" spans="1:22" ht="16.5" x14ac:dyDescent="0.3">
      <c r="A21" s="30" t="s">
        <v>400</v>
      </c>
      <c r="B21" s="20" t="s">
        <v>32</v>
      </c>
      <c r="C21" s="23" t="s">
        <v>399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1</v>
      </c>
      <c r="J21" s="7">
        <v>1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1</v>
      </c>
      <c r="Q21" s="7">
        <v>1</v>
      </c>
      <c r="R21" s="7">
        <v>1</v>
      </c>
      <c r="S21" s="7">
        <v>1</v>
      </c>
      <c r="T21" s="9">
        <f>SUM(D21:S21)</f>
        <v>6</v>
      </c>
      <c r="U21" s="236">
        <v>0</v>
      </c>
      <c r="V21" s="231">
        <f t="shared" si="2"/>
        <v>6</v>
      </c>
    </row>
    <row r="22" spans="1:22" ht="17.25" thickBot="1" x14ac:dyDescent="0.35">
      <c r="A22" s="30" t="s">
        <v>240</v>
      </c>
      <c r="B22" s="20" t="s">
        <v>32</v>
      </c>
      <c r="C22" s="23" t="s">
        <v>239</v>
      </c>
      <c r="D22" s="7">
        <v>0</v>
      </c>
      <c r="E22" s="7">
        <v>0</v>
      </c>
      <c r="F22" s="7">
        <v>0</v>
      </c>
      <c r="G22" s="7">
        <v>0</v>
      </c>
      <c r="H22" s="7">
        <v>1</v>
      </c>
      <c r="I22" s="7">
        <v>1</v>
      </c>
      <c r="J22" s="7">
        <v>1</v>
      </c>
      <c r="K22" s="7">
        <v>0</v>
      </c>
      <c r="L22" s="7">
        <v>0</v>
      </c>
      <c r="M22" s="7">
        <v>0</v>
      </c>
      <c r="N22" s="7">
        <v>1</v>
      </c>
      <c r="O22" s="7">
        <v>1</v>
      </c>
      <c r="P22" s="7">
        <v>1</v>
      </c>
      <c r="Q22" s="7">
        <v>1</v>
      </c>
      <c r="R22" s="7">
        <v>1</v>
      </c>
      <c r="S22" s="7">
        <v>1</v>
      </c>
      <c r="T22" s="9">
        <f>SUM(D22:S22)</f>
        <v>9</v>
      </c>
      <c r="U22" s="236">
        <v>0</v>
      </c>
      <c r="V22" s="237">
        <f t="shared" si="2"/>
        <v>9</v>
      </c>
    </row>
    <row r="23" spans="1:22" ht="15.75" thickBot="1" x14ac:dyDescent="0.3">
      <c r="C23" s="13" t="s">
        <v>1378</v>
      </c>
      <c r="D23" s="14">
        <f t="shared" ref="D23:N23" si="3">SUM(D3:D22)</f>
        <v>0</v>
      </c>
      <c r="E23" s="14">
        <f t="shared" si="3"/>
        <v>0</v>
      </c>
      <c r="F23" s="14">
        <f t="shared" si="3"/>
        <v>14</v>
      </c>
      <c r="G23" s="14">
        <f t="shared" si="3"/>
        <v>18</v>
      </c>
      <c r="H23" s="14">
        <f t="shared" si="3"/>
        <v>19</v>
      </c>
      <c r="I23" s="14">
        <f t="shared" si="3"/>
        <v>20</v>
      </c>
      <c r="J23" s="14">
        <f t="shared" si="3"/>
        <v>20</v>
      </c>
      <c r="K23" s="14">
        <f>SUM(K3:K22)</f>
        <v>17</v>
      </c>
      <c r="L23" s="14">
        <f t="shared" si="3"/>
        <v>18</v>
      </c>
      <c r="M23" s="14">
        <f t="shared" si="3"/>
        <v>18</v>
      </c>
      <c r="N23" s="14">
        <f t="shared" si="3"/>
        <v>17</v>
      </c>
      <c r="O23" s="14">
        <f t="shared" ref="O23:V23" si="4">SUM(O3:O22)</f>
        <v>19</v>
      </c>
      <c r="P23" s="14">
        <f t="shared" si="4"/>
        <v>19</v>
      </c>
      <c r="Q23" s="14">
        <f t="shared" si="4"/>
        <v>20</v>
      </c>
      <c r="R23" s="14">
        <f t="shared" si="4"/>
        <v>19</v>
      </c>
      <c r="S23" s="14">
        <f t="shared" si="4"/>
        <v>16</v>
      </c>
      <c r="T23" s="190">
        <f t="shared" si="4"/>
        <v>195</v>
      </c>
      <c r="U23" s="212">
        <f t="shared" si="4"/>
        <v>59</v>
      </c>
      <c r="V23" s="211">
        <f t="shared" si="4"/>
        <v>254</v>
      </c>
    </row>
    <row r="24" spans="1:22" x14ac:dyDescent="0.25">
      <c r="U24" s="239"/>
      <c r="V24" s="229">
        <f>SUM(D23:S23)</f>
        <v>254</v>
      </c>
    </row>
    <row r="26" spans="1:22" ht="15.75" thickBot="1" x14ac:dyDescent="0.3">
      <c r="A26" s="368" t="s">
        <v>1379</v>
      </c>
      <c r="B26" s="368"/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68"/>
      <c r="O26" s="368"/>
      <c r="P26" s="368"/>
      <c r="Q26" s="368"/>
      <c r="R26" s="368"/>
      <c r="S26" s="368"/>
      <c r="T26" s="368"/>
    </row>
    <row r="27" spans="1:22" ht="39" customHeight="1" thickBot="1" x14ac:dyDescent="0.3">
      <c r="A27" s="5" t="s">
        <v>3</v>
      </c>
      <c r="B27" s="8" t="s">
        <v>0</v>
      </c>
      <c r="C27" s="4" t="s">
        <v>1</v>
      </c>
      <c r="D27" s="6">
        <v>44531</v>
      </c>
      <c r="E27" s="6">
        <v>44562</v>
      </c>
      <c r="F27" s="6">
        <v>44593</v>
      </c>
      <c r="G27" s="6">
        <v>44621</v>
      </c>
      <c r="H27" s="6">
        <v>44652</v>
      </c>
      <c r="I27" s="6">
        <v>44682</v>
      </c>
      <c r="J27" s="6">
        <v>44713</v>
      </c>
      <c r="K27" s="6">
        <v>44743</v>
      </c>
      <c r="L27" s="6">
        <v>44774</v>
      </c>
      <c r="M27" s="6">
        <v>44805</v>
      </c>
      <c r="N27" s="6">
        <v>44835</v>
      </c>
      <c r="O27" s="6">
        <v>44866</v>
      </c>
      <c r="P27" s="6">
        <v>44896</v>
      </c>
      <c r="Q27" s="6">
        <v>44927</v>
      </c>
      <c r="R27" s="6">
        <v>44958</v>
      </c>
      <c r="S27" s="6">
        <v>44986</v>
      </c>
      <c r="T27" s="6" t="s">
        <v>1376</v>
      </c>
    </row>
    <row r="28" spans="1:22" ht="16.5" x14ac:dyDescent="0.3">
      <c r="A28" s="30" t="s">
        <v>803</v>
      </c>
      <c r="B28" s="20" t="s">
        <v>32</v>
      </c>
      <c r="C28" s="23" t="s">
        <v>802</v>
      </c>
      <c r="D28" s="7">
        <v>1</v>
      </c>
      <c r="E28" s="7">
        <v>0</v>
      </c>
      <c r="F28" s="7">
        <v>0</v>
      </c>
      <c r="G28" s="7">
        <v>0</v>
      </c>
      <c r="H28" s="7">
        <v>0</v>
      </c>
      <c r="I28" s="7">
        <v>1</v>
      </c>
      <c r="J28" s="7"/>
      <c r="K28" s="7"/>
      <c r="L28" s="7">
        <v>1</v>
      </c>
      <c r="M28" s="7"/>
      <c r="N28" s="7"/>
      <c r="O28" s="7"/>
      <c r="P28" s="7"/>
      <c r="Q28" s="7"/>
      <c r="R28" s="7"/>
      <c r="S28" s="7"/>
      <c r="T28" s="9">
        <f t="shared" ref="T28:T59" si="5">SUM(D28:N28)</f>
        <v>3</v>
      </c>
    </row>
    <row r="29" spans="1:22" ht="16.5" x14ac:dyDescent="0.3">
      <c r="A29" s="30" t="s">
        <v>805</v>
      </c>
      <c r="B29" s="20" t="s">
        <v>32</v>
      </c>
      <c r="C29" s="23" t="s">
        <v>804</v>
      </c>
      <c r="D29" s="7">
        <v>1</v>
      </c>
      <c r="E29" s="7">
        <v>0</v>
      </c>
      <c r="F29" s="7">
        <v>0</v>
      </c>
      <c r="G29" s="7">
        <v>0</v>
      </c>
      <c r="H29" s="7">
        <v>0</v>
      </c>
      <c r="I29" s="7">
        <v>1</v>
      </c>
      <c r="J29" s="7"/>
      <c r="K29" s="7">
        <v>1</v>
      </c>
      <c r="L29" s="7"/>
      <c r="M29" s="7"/>
      <c r="N29" s="7"/>
      <c r="O29" s="7"/>
      <c r="P29" s="7"/>
      <c r="Q29" s="7"/>
      <c r="R29" s="7"/>
      <c r="S29" s="7"/>
      <c r="T29" s="9">
        <f t="shared" si="5"/>
        <v>3</v>
      </c>
    </row>
    <row r="30" spans="1:22" ht="16.5" x14ac:dyDescent="0.3">
      <c r="A30" s="30" t="s">
        <v>807</v>
      </c>
      <c r="B30" s="20" t="s">
        <v>32</v>
      </c>
      <c r="C30" s="23" t="s">
        <v>806</v>
      </c>
      <c r="D30" s="7">
        <v>1</v>
      </c>
      <c r="E30" s="7">
        <v>0</v>
      </c>
      <c r="F30" s="7">
        <v>0</v>
      </c>
      <c r="G30" s="7">
        <v>0</v>
      </c>
      <c r="H30" s="7">
        <v>0</v>
      </c>
      <c r="I30" s="7">
        <v>1</v>
      </c>
      <c r="J30" s="7"/>
      <c r="K30" s="7"/>
      <c r="L30" s="7">
        <v>1</v>
      </c>
      <c r="M30" s="7"/>
      <c r="N30" s="7"/>
      <c r="O30" s="7"/>
      <c r="P30" s="7"/>
      <c r="Q30" s="7"/>
      <c r="R30" s="7"/>
      <c r="S30" s="7"/>
      <c r="T30" s="9">
        <f t="shared" si="5"/>
        <v>3</v>
      </c>
    </row>
    <row r="31" spans="1:22" ht="16.5" x14ac:dyDescent="0.3">
      <c r="A31" s="30" t="s">
        <v>809</v>
      </c>
      <c r="B31" s="20" t="s">
        <v>32</v>
      </c>
      <c r="C31" s="23" t="s">
        <v>808</v>
      </c>
      <c r="D31" s="7">
        <v>1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1</v>
      </c>
      <c r="K31" s="7"/>
      <c r="L31" s="7">
        <v>1</v>
      </c>
      <c r="M31" s="7"/>
      <c r="N31" s="7"/>
      <c r="O31" s="7"/>
      <c r="P31" s="7"/>
      <c r="Q31" s="7"/>
      <c r="R31" s="7"/>
      <c r="S31" s="7"/>
      <c r="T31" s="9">
        <f t="shared" si="5"/>
        <v>3</v>
      </c>
    </row>
    <row r="32" spans="1:22" ht="16.5" x14ac:dyDescent="0.3">
      <c r="A32" s="30" t="s">
        <v>811</v>
      </c>
      <c r="B32" s="20" t="s">
        <v>32</v>
      </c>
      <c r="C32" s="23" t="s">
        <v>810</v>
      </c>
      <c r="D32" s="7">
        <v>1</v>
      </c>
      <c r="E32" s="7">
        <v>0</v>
      </c>
      <c r="F32" s="7">
        <v>0</v>
      </c>
      <c r="G32" s="7">
        <v>0</v>
      </c>
      <c r="H32" s="7">
        <v>0</v>
      </c>
      <c r="I32" s="7">
        <v>1</v>
      </c>
      <c r="J32" s="7">
        <v>1</v>
      </c>
      <c r="K32" s="7"/>
      <c r="L32" s="7">
        <v>1</v>
      </c>
      <c r="M32" s="7"/>
      <c r="N32" s="7"/>
      <c r="O32" s="7"/>
      <c r="P32" s="7"/>
      <c r="Q32" s="7"/>
      <c r="R32" s="7"/>
      <c r="S32" s="7"/>
      <c r="T32" s="9">
        <f t="shared" si="5"/>
        <v>4</v>
      </c>
    </row>
    <row r="33" spans="1:20" ht="16.5" x14ac:dyDescent="0.3">
      <c r="A33" s="30" t="s">
        <v>813</v>
      </c>
      <c r="B33" s="20" t="s">
        <v>32</v>
      </c>
      <c r="C33" s="23" t="s">
        <v>812</v>
      </c>
      <c r="D33" s="7">
        <v>1</v>
      </c>
      <c r="E33" s="7">
        <v>0</v>
      </c>
      <c r="F33" s="7">
        <v>0</v>
      </c>
      <c r="G33" s="7">
        <v>0</v>
      </c>
      <c r="H33" s="7">
        <v>0</v>
      </c>
      <c r="I33" s="7">
        <v>1</v>
      </c>
      <c r="J33" s="7"/>
      <c r="K33" s="7"/>
      <c r="L33" s="7">
        <v>1</v>
      </c>
      <c r="M33" s="7"/>
      <c r="N33" s="7"/>
      <c r="O33" s="7"/>
      <c r="P33" s="7"/>
      <c r="Q33" s="7"/>
      <c r="R33" s="7"/>
      <c r="S33" s="7"/>
      <c r="T33" s="9">
        <f t="shared" si="5"/>
        <v>3</v>
      </c>
    </row>
    <row r="34" spans="1:20" ht="16.5" x14ac:dyDescent="0.3">
      <c r="A34" s="30" t="s">
        <v>815</v>
      </c>
      <c r="B34" s="20" t="s">
        <v>32</v>
      </c>
      <c r="C34" s="26" t="s">
        <v>814</v>
      </c>
      <c r="D34" s="7">
        <v>1</v>
      </c>
      <c r="E34" s="7">
        <v>0</v>
      </c>
      <c r="F34" s="7">
        <v>0</v>
      </c>
      <c r="G34" s="7">
        <v>0</v>
      </c>
      <c r="H34" s="7">
        <v>0</v>
      </c>
      <c r="I34" s="7">
        <v>1</v>
      </c>
      <c r="J34" s="7">
        <v>1</v>
      </c>
      <c r="K34" s="7"/>
      <c r="L34" s="7"/>
      <c r="M34" s="7"/>
      <c r="N34" s="7"/>
      <c r="O34" s="7"/>
      <c r="P34" s="7"/>
      <c r="Q34" s="7"/>
      <c r="R34" s="7"/>
      <c r="S34" s="7"/>
      <c r="T34" s="9">
        <f t="shared" si="5"/>
        <v>3</v>
      </c>
    </row>
    <row r="35" spans="1:20" ht="16.5" x14ac:dyDescent="0.3">
      <c r="A35" s="30" t="s">
        <v>817</v>
      </c>
      <c r="B35" s="20" t="s">
        <v>32</v>
      </c>
      <c r="C35" s="23" t="s">
        <v>816</v>
      </c>
      <c r="D35" s="7">
        <v>1</v>
      </c>
      <c r="E35" s="7">
        <v>0</v>
      </c>
      <c r="F35" s="7">
        <v>0</v>
      </c>
      <c r="G35" s="7">
        <v>0</v>
      </c>
      <c r="H35" s="7">
        <v>0</v>
      </c>
      <c r="I35" s="7">
        <v>1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9">
        <f t="shared" si="5"/>
        <v>2</v>
      </c>
    </row>
    <row r="36" spans="1:20" ht="16.5" x14ac:dyDescent="0.3">
      <c r="A36" s="30" t="s">
        <v>819</v>
      </c>
      <c r="B36" s="20" t="s">
        <v>32</v>
      </c>
      <c r="C36" s="23" t="s">
        <v>818</v>
      </c>
      <c r="D36" s="7">
        <v>1</v>
      </c>
      <c r="E36" s="7">
        <v>0</v>
      </c>
      <c r="F36" s="7">
        <v>0</v>
      </c>
      <c r="G36" s="7">
        <v>0</v>
      </c>
      <c r="H36" s="7">
        <v>0</v>
      </c>
      <c r="I36" s="7">
        <v>1</v>
      </c>
      <c r="J36" s="7">
        <v>1</v>
      </c>
      <c r="K36" s="7"/>
      <c r="L36" s="7"/>
      <c r="M36" s="7"/>
      <c r="N36" s="7"/>
      <c r="O36" s="7"/>
      <c r="P36" s="7"/>
      <c r="Q36" s="7"/>
      <c r="R36" s="7"/>
      <c r="S36" s="7"/>
      <c r="T36" s="9">
        <f t="shared" si="5"/>
        <v>3</v>
      </c>
    </row>
    <row r="37" spans="1:20" ht="16.5" x14ac:dyDescent="0.3">
      <c r="A37" s="30" t="s">
        <v>821</v>
      </c>
      <c r="B37" s="20" t="s">
        <v>32</v>
      </c>
      <c r="C37" s="23" t="s">
        <v>820</v>
      </c>
      <c r="D37" s="7">
        <v>1</v>
      </c>
      <c r="E37" s="7">
        <v>0</v>
      </c>
      <c r="F37" s="7">
        <v>0</v>
      </c>
      <c r="G37" s="7">
        <v>0</v>
      </c>
      <c r="H37" s="7">
        <v>0</v>
      </c>
      <c r="I37" s="7">
        <v>1</v>
      </c>
      <c r="J37" s="7">
        <v>1</v>
      </c>
      <c r="K37" s="7"/>
      <c r="L37" s="7">
        <v>1</v>
      </c>
      <c r="M37" s="7"/>
      <c r="N37" s="7"/>
      <c r="O37" s="7"/>
      <c r="P37" s="7"/>
      <c r="Q37" s="7"/>
      <c r="R37" s="7"/>
      <c r="S37" s="7"/>
      <c r="T37" s="9">
        <f t="shared" si="5"/>
        <v>4</v>
      </c>
    </row>
    <row r="38" spans="1:20" ht="16.5" x14ac:dyDescent="0.3">
      <c r="A38" s="30" t="s">
        <v>823</v>
      </c>
      <c r="B38" s="20" t="s">
        <v>32</v>
      </c>
      <c r="C38" s="23" t="s">
        <v>822</v>
      </c>
      <c r="D38" s="7">
        <v>1</v>
      </c>
      <c r="E38" s="7">
        <v>0</v>
      </c>
      <c r="F38" s="7">
        <v>0</v>
      </c>
      <c r="G38" s="7">
        <v>0</v>
      </c>
      <c r="H38" s="7">
        <v>0</v>
      </c>
      <c r="I38" s="7">
        <v>1</v>
      </c>
      <c r="J38" s="7"/>
      <c r="K38" s="7"/>
      <c r="L38" s="7">
        <v>1</v>
      </c>
      <c r="M38" s="7"/>
      <c r="N38" s="7"/>
      <c r="O38" s="7"/>
      <c r="P38" s="7"/>
      <c r="Q38" s="7"/>
      <c r="R38" s="7"/>
      <c r="S38" s="7"/>
      <c r="T38" s="9">
        <f t="shared" si="5"/>
        <v>3</v>
      </c>
    </row>
    <row r="39" spans="1:20" ht="16.5" x14ac:dyDescent="0.3">
      <c r="A39" s="30" t="s">
        <v>421</v>
      </c>
      <c r="B39" s="20" t="s">
        <v>32</v>
      </c>
      <c r="C39" s="23" t="s">
        <v>420</v>
      </c>
      <c r="D39" s="7">
        <v>1</v>
      </c>
      <c r="E39" s="7">
        <v>0</v>
      </c>
      <c r="F39" s="7">
        <v>0</v>
      </c>
      <c r="G39" s="7">
        <v>0</v>
      </c>
      <c r="H39" s="7">
        <v>0</v>
      </c>
      <c r="I39" s="7">
        <v>1</v>
      </c>
      <c r="J39" s="7">
        <v>1</v>
      </c>
      <c r="K39" s="7">
        <v>1</v>
      </c>
      <c r="L39" s="7">
        <v>1</v>
      </c>
      <c r="M39" s="7"/>
      <c r="N39" s="7"/>
      <c r="O39" s="7"/>
      <c r="P39" s="7"/>
      <c r="Q39" s="7"/>
      <c r="R39" s="7"/>
      <c r="S39" s="7"/>
      <c r="T39" s="9">
        <f t="shared" si="5"/>
        <v>5</v>
      </c>
    </row>
    <row r="40" spans="1:20" ht="16.5" x14ac:dyDescent="0.3">
      <c r="A40" s="30" t="s">
        <v>1325</v>
      </c>
      <c r="B40" s="20" t="s">
        <v>32</v>
      </c>
      <c r="C40" s="23" t="s">
        <v>1324</v>
      </c>
      <c r="D40" s="7">
        <v>1</v>
      </c>
      <c r="E40" s="7">
        <v>0</v>
      </c>
      <c r="F40" s="7">
        <v>0</v>
      </c>
      <c r="G40" s="7">
        <v>0</v>
      </c>
      <c r="H40" s="7">
        <v>0</v>
      </c>
      <c r="I40" s="7">
        <v>1</v>
      </c>
      <c r="J40" s="7"/>
      <c r="K40" s="7">
        <v>1</v>
      </c>
      <c r="L40" s="7">
        <v>1</v>
      </c>
      <c r="M40" s="7"/>
      <c r="N40" s="7"/>
      <c r="O40" s="7"/>
      <c r="P40" s="7"/>
      <c r="Q40" s="7"/>
      <c r="R40" s="7"/>
      <c r="S40" s="7"/>
      <c r="T40" s="9">
        <f t="shared" si="5"/>
        <v>4</v>
      </c>
    </row>
    <row r="41" spans="1:20" ht="16.5" x14ac:dyDescent="0.3">
      <c r="A41" s="30" t="s">
        <v>825</v>
      </c>
      <c r="B41" s="20" t="s">
        <v>32</v>
      </c>
      <c r="C41" s="23" t="s">
        <v>824</v>
      </c>
      <c r="D41" s="7">
        <v>1</v>
      </c>
      <c r="E41" s="7">
        <v>0</v>
      </c>
      <c r="F41" s="7">
        <v>0</v>
      </c>
      <c r="G41" s="7">
        <v>0</v>
      </c>
      <c r="H41" s="7">
        <v>0</v>
      </c>
      <c r="I41" s="7">
        <v>1</v>
      </c>
      <c r="J41" s="7"/>
      <c r="K41" s="7">
        <v>1</v>
      </c>
      <c r="L41" s="7">
        <v>1</v>
      </c>
      <c r="M41" s="7"/>
      <c r="N41" s="7"/>
      <c r="O41" s="7"/>
      <c r="P41" s="7"/>
      <c r="Q41" s="7"/>
      <c r="R41" s="7"/>
      <c r="S41" s="7"/>
      <c r="T41" s="9">
        <f t="shared" si="5"/>
        <v>4</v>
      </c>
    </row>
    <row r="42" spans="1:20" ht="16.5" x14ac:dyDescent="0.3">
      <c r="A42" s="30" t="s">
        <v>827</v>
      </c>
      <c r="B42" s="20" t="s">
        <v>32</v>
      </c>
      <c r="C42" s="23" t="s">
        <v>826</v>
      </c>
      <c r="D42" s="7">
        <v>1</v>
      </c>
      <c r="E42" s="7">
        <v>0</v>
      </c>
      <c r="F42" s="7">
        <v>0</v>
      </c>
      <c r="G42" s="7">
        <v>0</v>
      </c>
      <c r="H42" s="7">
        <v>0</v>
      </c>
      <c r="I42" s="7">
        <v>1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9">
        <f t="shared" si="5"/>
        <v>2</v>
      </c>
    </row>
    <row r="43" spans="1:20" ht="16.5" x14ac:dyDescent="0.3">
      <c r="A43" s="30" t="s">
        <v>830</v>
      </c>
      <c r="B43" s="20" t="s">
        <v>32</v>
      </c>
      <c r="C43" s="26" t="s">
        <v>829</v>
      </c>
      <c r="D43" s="7">
        <v>1</v>
      </c>
      <c r="E43" s="7">
        <v>0</v>
      </c>
      <c r="F43" s="7">
        <v>0</v>
      </c>
      <c r="G43" s="7">
        <v>0</v>
      </c>
      <c r="H43" s="7">
        <v>0</v>
      </c>
      <c r="I43" s="7">
        <v>1</v>
      </c>
      <c r="J43" s="7"/>
      <c r="K43" s="7"/>
      <c r="L43" s="7"/>
      <c r="M43" s="7"/>
      <c r="N43" s="7"/>
      <c r="O43" s="7"/>
      <c r="P43" s="7"/>
      <c r="Q43" s="7"/>
      <c r="R43" s="7"/>
      <c r="S43" s="7"/>
      <c r="T43" s="9">
        <f t="shared" si="5"/>
        <v>2</v>
      </c>
    </row>
    <row r="44" spans="1:20" ht="16.5" x14ac:dyDescent="0.3">
      <c r="A44" s="30" t="s">
        <v>832</v>
      </c>
      <c r="B44" s="20" t="s">
        <v>32</v>
      </c>
      <c r="C44" s="23" t="s">
        <v>831</v>
      </c>
      <c r="D44" s="7">
        <v>1</v>
      </c>
      <c r="E44" s="7">
        <v>0</v>
      </c>
      <c r="F44" s="7">
        <v>0</v>
      </c>
      <c r="G44" s="7">
        <v>0</v>
      </c>
      <c r="H44" s="7">
        <v>0</v>
      </c>
      <c r="I44" s="7">
        <v>1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9">
        <f t="shared" si="5"/>
        <v>2</v>
      </c>
    </row>
    <row r="45" spans="1:20" ht="16.5" x14ac:dyDescent="0.3">
      <c r="A45" s="30" t="s">
        <v>1327</v>
      </c>
      <c r="B45" s="20" t="s">
        <v>32</v>
      </c>
      <c r="C45" s="23" t="s">
        <v>1326</v>
      </c>
      <c r="D45" s="7">
        <v>1</v>
      </c>
      <c r="E45" s="7">
        <v>0</v>
      </c>
      <c r="F45" s="7">
        <v>0</v>
      </c>
      <c r="G45" s="7">
        <v>0</v>
      </c>
      <c r="H45" s="7">
        <v>0</v>
      </c>
      <c r="I45" s="7">
        <v>1</v>
      </c>
      <c r="J45" s="7">
        <v>1</v>
      </c>
      <c r="K45" s="7"/>
      <c r="L45" s="7">
        <v>1</v>
      </c>
      <c r="M45" s="7"/>
      <c r="N45" s="7"/>
      <c r="O45" s="7"/>
      <c r="P45" s="7"/>
      <c r="Q45" s="7"/>
      <c r="R45" s="7"/>
      <c r="S45" s="7"/>
      <c r="T45" s="9">
        <f t="shared" si="5"/>
        <v>4</v>
      </c>
    </row>
    <row r="46" spans="1:20" ht="16.5" x14ac:dyDescent="0.3">
      <c r="A46" s="30" t="s">
        <v>834</v>
      </c>
      <c r="B46" s="20" t="s">
        <v>32</v>
      </c>
      <c r="C46" s="23" t="s">
        <v>833</v>
      </c>
      <c r="D46" s="7">
        <v>1</v>
      </c>
      <c r="E46" s="7">
        <v>0</v>
      </c>
      <c r="F46" s="7">
        <v>0</v>
      </c>
      <c r="G46" s="7">
        <v>0</v>
      </c>
      <c r="H46" s="7">
        <v>0</v>
      </c>
      <c r="I46" s="7">
        <v>1</v>
      </c>
      <c r="J46" s="7"/>
      <c r="K46" s="7">
        <v>1</v>
      </c>
      <c r="L46" s="7">
        <v>1</v>
      </c>
      <c r="M46" s="7"/>
      <c r="N46" s="7"/>
      <c r="O46" s="7"/>
      <c r="P46" s="7"/>
      <c r="Q46" s="7"/>
      <c r="R46" s="7"/>
      <c r="S46" s="7"/>
      <c r="T46" s="9">
        <f t="shared" si="5"/>
        <v>4</v>
      </c>
    </row>
    <row r="47" spans="1:20" ht="16.5" x14ac:dyDescent="0.3">
      <c r="A47" s="30" t="s">
        <v>1329</v>
      </c>
      <c r="B47" s="20" t="s">
        <v>32</v>
      </c>
      <c r="C47" s="23" t="s">
        <v>1328</v>
      </c>
      <c r="D47" s="7">
        <v>1</v>
      </c>
      <c r="E47" s="7">
        <v>0</v>
      </c>
      <c r="F47" s="7">
        <v>0</v>
      </c>
      <c r="G47" s="7">
        <v>0</v>
      </c>
      <c r="H47" s="7">
        <v>0</v>
      </c>
      <c r="I47" s="7">
        <v>1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9">
        <f t="shared" si="5"/>
        <v>2</v>
      </c>
    </row>
    <row r="48" spans="1:20" ht="16.5" x14ac:dyDescent="0.3">
      <c r="A48" s="30" t="s">
        <v>836</v>
      </c>
      <c r="B48" s="20" t="s">
        <v>32</v>
      </c>
      <c r="C48" s="23" t="s">
        <v>835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1</v>
      </c>
      <c r="J48" s="7"/>
      <c r="K48" s="7">
        <v>1</v>
      </c>
      <c r="L48" s="7">
        <v>1</v>
      </c>
      <c r="M48" s="7"/>
      <c r="N48" s="7"/>
      <c r="O48" s="7"/>
      <c r="P48" s="7"/>
      <c r="Q48" s="7"/>
      <c r="R48" s="7"/>
      <c r="S48" s="7"/>
      <c r="T48" s="9">
        <f t="shared" si="5"/>
        <v>4</v>
      </c>
    </row>
    <row r="49" spans="1:20" ht="16.5" x14ac:dyDescent="0.3">
      <c r="A49" s="30" t="s">
        <v>838</v>
      </c>
      <c r="B49" s="20" t="s">
        <v>32</v>
      </c>
      <c r="C49" s="23" t="s">
        <v>837</v>
      </c>
      <c r="D49" s="7">
        <v>1</v>
      </c>
      <c r="E49" s="7">
        <v>0</v>
      </c>
      <c r="F49" s="7">
        <v>0</v>
      </c>
      <c r="G49" s="7">
        <v>0</v>
      </c>
      <c r="H49" s="7">
        <v>0</v>
      </c>
      <c r="I49" s="7">
        <v>1</v>
      </c>
      <c r="J49" s="7"/>
      <c r="K49" s="7">
        <v>1</v>
      </c>
      <c r="L49" s="7">
        <v>1</v>
      </c>
      <c r="M49" s="7"/>
      <c r="N49" s="7"/>
      <c r="O49" s="7"/>
      <c r="P49" s="7"/>
      <c r="Q49" s="7"/>
      <c r="R49" s="7"/>
      <c r="S49" s="7"/>
      <c r="T49" s="9">
        <f t="shared" si="5"/>
        <v>4</v>
      </c>
    </row>
    <row r="50" spans="1:20" ht="16.5" x14ac:dyDescent="0.3">
      <c r="A50" s="30" t="s">
        <v>840</v>
      </c>
      <c r="B50" s="20" t="s">
        <v>32</v>
      </c>
      <c r="C50" s="23" t="s">
        <v>839</v>
      </c>
      <c r="D50" s="7">
        <v>1</v>
      </c>
      <c r="E50" s="7">
        <v>0</v>
      </c>
      <c r="F50" s="7">
        <v>0</v>
      </c>
      <c r="G50" s="7">
        <v>0</v>
      </c>
      <c r="H50" s="7">
        <v>0</v>
      </c>
      <c r="I50" s="7">
        <v>1</v>
      </c>
      <c r="J50" s="7">
        <v>1</v>
      </c>
      <c r="K50" s="7"/>
      <c r="L50" s="7">
        <v>1</v>
      </c>
      <c r="M50" s="7"/>
      <c r="N50" s="7"/>
      <c r="O50" s="7"/>
      <c r="P50" s="7"/>
      <c r="Q50" s="7"/>
      <c r="R50" s="7"/>
      <c r="S50" s="7"/>
      <c r="T50" s="9">
        <f t="shared" si="5"/>
        <v>4</v>
      </c>
    </row>
    <row r="51" spans="1:20" ht="16.5" x14ac:dyDescent="0.3">
      <c r="A51" s="30" t="s">
        <v>842</v>
      </c>
      <c r="B51" s="20" t="s">
        <v>32</v>
      </c>
      <c r="C51" s="23" t="s">
        <v>841</v>
      </c>
      <c r="D51" s="7">
        <v>1</v>
      </c>
      <c r="E51" s="7">
        <v>0</v>
      </c>
      <c r="F51" s="7">
        <v>0</v>
      </c>
      <c r="G51" s="7">
        <v>0</v>
      </c>
      <c r="H51" s="7">
        <v>0</v>
      </c>
      <c r="I51" s="7">
        <v>1</v>
      </c>
      <c r="J51" s="7">
        <v>1</v>
      </c>
      <c r="K51" s="7"/>
      <c r="L51" s="7"/>
      <c r="M51" s="7"/>
      <c r="N51" s="7"/>
      <c r="O51" s="7"/>
      <c r="P51" s="7"/>
      <c r="Q51" s="7"/>
      <c r="R51" s="7"/>
      <c r="S51" s="7"/>
      <c r="T51" s="9">
        <f t="shared" si="5"/>
        <v>3</v>
      </c>
    </row>
    <row r="52" spans="1:20" ht="16.5" x14ac:dyDescent="0.3">
      <c r="A52" s="30" t="s">
        <v>844</v>
      </c>
      <c r="B52" s="20" t="s">
        <v>32</v>
      </c>
      <c r="C52" s="23" t="s">
        <v>843</v>
      </c>
      <c r="D52" s="7">
        <v>1</v>
      </c>
      <c r="E52" s="7">
        <v>0</v>
      </c>
      <c r="F52" s="7">
        <v>0</v>
      </c>
      <c r="G52" s="7">
        <v>0</v>
      </c>
      <c r="H52" s="7">
        <v>0</v>
      </c>
      <c r="I52" s="7">
        <v>1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9">
        <f t="shared" si="5"/>
        <v>2</v>
      </c>
    </row>
    <row r="53" spans="1:20" ht="16.5" x14ac:dyDescent="0.3">
      <c r="A53" s="30" t="s">
        <v>846</v>
      </c>
      <c r="B53" s="20" t="s">
        <v>32</v>
      </c>
      <c r="C53" s="23" t="s">
        <v>845</v>
      </c>
      <c r="D53" s="7">
        <v>1</v>
      </c>
      <c r="E53" s="7">
        <v>0</v>
      </c>
      <c r="F53" s="7">
        <v>0</v>
      </c>
      <c r="G53" s="7">
        <v>0</v>
      </c>
      <c r="H53" s="7">
        <v>0</v>
      </c>
      <c r="I53" s="7">
        <v>1</v>
      </c>
      <c r="J53" s="7"/>
      <c r="K53" s="7">
        <v>1</v>
      </c>
      <c r="L53" s="7">
        <v>1</v>
      </c>
      <c r="M53" s="7"/>
      <c r="N53" s="7"/>
      <c r="O53" s="7"/>
      <c r="P53" s="7"/>
      <c r="Q53" s="7"/>
      <c r="R53" s="7"/>
      <c r="S53" s="7"/>
      <c r="T53" s="9">
        <f t="shared" si="5"/>
        <v>4</v>
      </c>
    </row>
    <row r="54" spans="1:20" ht="16.5" x14ac:dyDescent="0.3">
      <c r="A54" s="30" t="s">
        <v>848</v>
      </c>
      <c r="B54" s="20" t="s">
        <v>32</v>
      </c>
      <c r="C54" s="23" t="s">
        <v>847</v>
      </c>
      <c r="D54" s="7">
        <v>1</v>
      </c>
      <c r="E54" s="7">
        <v>0</v>
      </c>
      <c r="F54" s="7">
        <v>0</v>
      </c>
      <c r="G54" s="7">
        <v>0</v>
      </c>
      <c r="H54" s="7">
        <v>0</v>
      </c>
      <c r="I54" s="7">
        <v>1</v>
      </c>
      <c r="J54" s="7"/>
      <c r="K54" s="7">
        <v>1</v>
      </c>
      <c r="L54" s="7">
        <v>1</v>
      </c>
      <c r="M54" s="7"/>
      <c r="N54" s="7"/>
      <c r="O54" s="7"/>
      <c r="P54" s="7"/>
      <c r="Q54" s="7"/>
      <c r="R54" s="7"/>
      <c r="S54" s="7"/>
      <c r="T54" s="9">
        <f t="shared" si="5"/>
        <v>4</v>
      </c>
    </row>
    <row r="55" spans="1:20" ht="16.5" x14ac:dyDescent="0.3">
      <c r="A55" s="30" t="s">
        <v>850</v>
      </c>
      <c r="B55" s="20" t="s">
        <v>32</v>
      </c>
      <c r="C55" s="23" t="s">
        <v>849</v>
      </c>
      <c r="D55" s="7">
        <v>1</v>
      </c>
      <c r="E55" s="7">
        <v>0</v>
      </c>
      <c r="F55" s="7">
        <v>0</v>
      </c>
      <c r="G55" s="7">
        <v>0</v>
      </c>
      <c r="H55" s="7">
        <v>0</v>
      </c>
      <c r="I55" s="7">
        <v>1</v>
      </c>
      <c r="J55" s="7"/>
      <c r="K55" s="7">
        <v>1</v>
      </c>
      <c r="L55" s="7">
        <v>1</v>
      </c>
      <c r="M55" s="7"/>
      <c r="N55" s="7"/>
      <c r="O55" s="7"/>
      <c r="P55" s="7"/>
      <c r="Q55" s="7"/>
      <c r="R55" s="7"/>
      <c r="S55" s="7"/>
      <c r="T55" s="9">
        <f t="shared" si="5"/>
        <v>4</v>
      </c>
    </row>
    <row r="56" spans="1:20" ht="16.5" x14ac:dyDescent="0.3">
      <c r="A56" s="30" t="s">
        <v>1331</v>
      </c>
      <c r="B56" s="20" t="s">
        <v>32</v>
      </c>
      <c r="C56" s="23" t="s">
        <v>1330</v>
      </c>
      <c r="D56" s="7">
        <v>1</v>
      </c>
      <c r="E56" s="7">
        <v>0</v>
      </c>
      <c r="F56" s="7">
        <v>0</v>
      </c>
      <c r="G56" s="7">
        <v>0</v>
      </c>
      <c r="H56" s="7">
        <v>0</v>
      </c>
      <c r="I56" s="7">
        <v>1</v>
      </c>
      <c r="J56" s="7"/>
      <c r="K56" s="7">
        <v>1</v>
      </c>
      <c r="L56" s="7">
        <v>1</v>
      </c>
      <c r="M56" s="7"/>
      <c r="N56" s="7"/>
      <c r="O56" s="7"/>
      <c r="P56" s="7"/>
      <c r="Q56" s="7"/>
      <c r="R56" s="7"/>
      <c r="S56" s="7"/>
      <c r="T56" s="9">
        <f t="shared" si="5"/>
        <v>4</v>
      </c>
    </row>
    <row r="57" spans="1:20" ht="16.5" x14ac:dyDescent="0.3">
      <c r="A57" s="30" t="s">
        <v>852</v>
      </c>
      <c r="B57" s="20" t="s">
        <v>32</v>
      </c>
      <c r="C57" s="23" t="s">
        <v>851</v>
      </c>
      <c r="D57" s="7">
        <v>1</v>
      </c>
      <c r="E57" s="7">
        <v>0</v>
      </c>
      <c r="F57" s="7">
        <v>0</v>
      </c>
      <c r="G57" s="7">
        <v>0</v>
      </c>
      <c r="H57" s="7">
        <v>0</v>
      </c>
      <c r="I57" s="7">
        <v>1</v>
      </c>
      <c r="J57" s="7"/>
      <c r="K57" s="7">
        <v>1</v>
      </c>
      <c r="L57" s="7">
        <v>1</v>
      </c>
      <c r="M57" s="7"/>
      <c r="N57" s="7"/>
      <c r="O57" s="7"/>
      <c r="P57" s="7"/>
      <c r="Q57" s="7"/>
      <c r="R57" s="7"/>
      <c r="S57" s="7"/>
      <c r="T57" s="9">
        <f t="shared" si="5"/>
        <v>4</v>
      </c>
    </row>
    <row r="58" spans="1:20" ht="16.5" x14ac:dyDescent="0.3">
      <c r="A58" s="30" t="s">
        <v>854</v>
      </c>
      <c r="B58" s="20" t="s">
        <v>32</v>
      </c>
      <c r="C58" s="26" t="s">
        <v>853</v>
      </c>
      <c r="D58" s="7">
        <v>1</v>
      </c>
      <c r="E58" s="7">
        <v>0</v>
      </c>
      <c r="F58" s="7">
        <v>0</v>
      </c>
      <c r="G58" s="7">
        <v>0</v>
      </c>
      <c r="H58" s="7">
        <v>0</v>
      </c>
      <c r="I58" s="7">
        <v>1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9">
        <f t="shared" si="5"/>
        <v>2</v>
      </c>
    </row>
    <row r="59" spans="1:20" ht="16.5" x14ac:dyDescent="0.3">
      <c r="A59" s="30" t="s">
        <v>856</v>
      </c>
      <c r="B59" s="20" t="s">
        <v>32</v>
      </c>
      <c r="C59" s="23" t="s">
        <v>855</v>
      </c>
      <c r="D59" s="7">
        <v>1</v>
      </c>
      <c r="E59" s="7">
        <v>0</v>
      </c>
      <c r="F59" s="7">
        <v>0</v>
      </c>
      <c r="G59" s="7">
        <v>0</v>
      </c>
      <c r="H59" s="7">
        <v>0</v>
      </c>
      <c r="I59" s="7">
        <v>1</v>
      </c>
      <c r="J59" s="7">
        <v>1</v>
      </c>
      <c r="K59" s="7"/>
      <c r="L59" s="7"/>
      <c r="M59" s="7"/>
      <c r="N59" s="7"/>
      <c r="O59" s="7"/>
      <c r="P59" s="7"/>
      <c r="Q59" s="7"/>
      <c r="R59" s="7"/>
      <c r="S59" s="7"/>
      <c r="T59" s="9">
        <f t="shared" si="5"/>
        <v>3</v>
      </c>
    </row>
    <row r="60" spans="1:20" ht="16.5" x14ac:dyDescent="0.3">
      <c r="A60" s="30" t="s">
        <v>858</v>
      </c>
      <c r="B60" s="20" t="s">
        <v>32</v>
      </c>
      <c r="C60" s="26" t="s">
        <v>857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1</v>
      </c>
      <c r="J60" s="7"/>
      <c r="K60" s="7">
        <v>1</v>
      </c>
      <c r="L60" s="7">
        <v>1</v>
      </c>
      <c r="M60" s="7"/>
      <c r="N60" s="7"/>
      <c r="O60" s="7"/>
      <c r="P60" s="7"/>
      <c r="Q60" s="7"/>
      <c r="R60" s="7"/>
      <c r="S60" s="7"/>
      <c r="T60" s="9">
        <f t="shared" ref="T60:T76" si="6">SUM(D60:N60)</f>
        <v>3</v>
      </c>
    </row>
    <row r="61" spans="1:20" ht="16.5" x14ac:dyDescent="0.3">
      <c r="A61" s="30" t="s">
        <v>1333</v>
      </c>
      <c r="B61" s="20" t="s">
        <v>32</v>
      </c>
      <c r="C61" s="23" t="s">
        <v>1332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1</v>
      </c>
      <c r="J61" s="7">
        <v>1</v>
      </c>
      <c r="K61" s="7">
        <v>1</v>
      </c>
      <c r="L61" s="7">
        <v>1</v>
      </c>
      <c r="M61" s="7"/>
      <c r="N61" s="7"/>
      <c r="O61" s="7"/>
      <c r="P61" s="7"/>
      <c r="Q61" s="7"/>
      <c r="R61" s="7"/>
      <c r="S61" s="7"/>
      <c r="T61" s="9">
        <f t="shared" si="6"/>
        <v>4</v>
      </c>
    </row>
    <row r="62" spans="1:20" ht="16.5" x14ac:dyDescent="0.3">
      <c r="A62" s="30" t="s">
        <v>861</v>
      </c>
      <c r="B62" s="20" t="s">
        <v>32</v>
      </c>
      <c r="C62" s="23" t="s">
        <v>860</v>
      </c>
      <c r="D62" s="7">
        <v>1</v>
      </c>
      <c r="E62" s="7">
        <v>0</v>
      </c>
      <c r="F62" s="7">
        <v>0</v>
      </c>
      <c r="G62" s="7">
        <v>0</v>
      </c>
      <c r="H62" s="7">
        <v>0</v>
      </c>
      <c r="I62" s="7">
        <v>1</v>
      </c>
      <c r="J62" s="7"/>
      <c r="K62" s="7"/>
      <c r="L62" s="7">
        <v>1</v>
      </c>
      <c r="M62" s="7"/>
      <c r="N62" s="7"/>
      <c r="O62" s="7"/>
      <c r="P62" s="7"/>
      <c r="Q62" s="7"/>
      <c r="R62" s="7"/>
      <c r="S62" s="7"/>
      <c r="T62" s="9">
        <f t="shared" si="6"/>
        <v>3</v>
      </c>
    </row>
    <row r="63" spans="1:20" ht="16.5" x14ac:dyDescent="0.3">
      <c r="A63" s="30" t="s">
        <v>1335</v>
      </c>
      <c r="B63" s="20" t="s">
        <v>32</v>
      </c>
      <c r="C63" s="23" t="s">
        <v>1334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1</v>
      </c>
      <c r="J63" s="7">
        <v>1</v>
      </c>
      <c r="K63" s="7">
        <v>1</v>
      </c>
      <c r="L63" s="7">
        <v>1</v>
      </c>
      <c r="M63" s="7"/>
      <c r="N63" s="7"/>
      <c r="O63" s="7"/>
      <c r="P63" s="7"/>
      <c r="Q63" s="7"/>
      <c r="R63" s="7"/>
      <c r="S63" s="7"/>
      <c r="T63" s="9">
        <f t="shared" si="6"/>
        <v>4</v>
      </c>
    </row>
    <row r="64" spans="1:20" ht="16.5" x14ac:dyDescent="0.3">
      <c r="A64" s="30" t="s">
        <v>863</v>
      </c>
      <c r="B64" s="20" t="s">
        <v>32</v>
      </c>
      <c r="C64" s="23" t="s">
        <v>862</v>
      </c>
      <c r="D64" s="7">
        <v>1</v>
      </c>
      <c r="E64" s="7">
        <v>0</v>
      </c>
      <c r="F64" s="7">
        <v>0</v>
      </c>
      <c r="G64" s="7">
        <v>0</v>
      </c>
      <c r="H64" s="7">
        <v>0</v>
      </c>
      <c r="I64" s="7">
        <v>1</v>
      </c>
      <c r="J64" s="7"/>
      <c r="K64" s="7">
        <v>1</v>
      </c>
      <c r="L64" s="7"/>
      <c r="M64" s="7"/>
      <c r="N64" s="7"/>
      <c r="O64" s="7"/>
      <c r="P64" s="7"/>
      <c r="Q64" s="7"/>
      <c r="R64" s="7"/>
      <c r="S64" s="7"/>
      <c r="T64" s="9">
        <f t="shared" si="6"/>
        <v>3</v>
      </c>
    </row>
    <row r="65" spans="1:20" ht="16.5" x14ac:dyDescent="0.3">
      <c r="A65" s="30" t="s">
        <v>865</v>
      </c>
      <c r="B65" s="20" t="s">
        <v>32</v>
      </c>
      <c r="C65" s="23" t="s">
        <v>864</v>
      </c>
      <c r="D65" s="7">
        <v>1</v>
      </c>
      <c r="E65" s="7">
        <v>0</v>
      </c>
      <c r="F65" s="7">
        <v>0</v>
      </c>
      <c r="G65" s="7">
        <v>0</v>
      </c>
      <c r="H65" s="7">
        <v>0</v>
      </c>
      <c r="I65" s="7">
        <v>1</v>
      </c>
      <c r="J65" s="7">
        <v>1</v>
      </c>
      <c r="K65" s="7"/>
      <c r="L65" s="7">
        <v>1</v>
      </c>
      <c r="M65" s="7"/>
      <c r="N65" s="7"/>
      <c r="O65" s="7"/>
      <c r="P65" s="7"/>
      <c r="Q65" s="7"/>
      <c r="R65" s="7"/>
      <c r="S65" s="7"/>
      <c r="T65" s="9">
        <f t="shared" si="6"/>
        <v>4</v>
      </c>
    </row>
    <row r="66" spans="1:20" ht="16.5" x14ac:dyDescent="0.3">
      <c r="A66" s="30" t="s">
        <v>419</v>
      </c>
      <c r="B66" s="20" t="s">
        <v>32</v>
      </c>
      <c r="C66" s="23" t="s">
        <v>417</v>
      </c>
      <c r="D66" s="7">
        <v>1</v>
      </c>
      <c r="E66" s="7">
        <v>0</v>
      </c>
      <c r="F66" s="7">
        <v>0</v>
      </c>
      <c r="G66" s="7">
        <v>0</v>
      </c>
      <c r="H66" s="7">
        <v>0</v>
      </c>
      <c r="I66" s="7">
        <v>1</v>
      </c>
      <c r="J66" s="7">
        <v>1</v>
      </c>
      <c r="K66" s="7">
        <v>1</v>
      </c>
      <c r="L66" s="7">
        <v>1</v>
      </c>
      <c r="M66" s="7"/>
      <c r="N66" s="7"/>
      <c r="O66" s="7"/>
      <c r="P66" s="7"/>
      <c r="Q66" s="7"/>
      <c r="R66" s="7"/>
      <c r="S66" s="7"/>
      <c r="T66" s="9">
        <f t="shared" si="6"/>
        <v>5</v>
      </c>
    </row>
    <row r="67" spans="1:20" ht="16.5" x14ac:dyDescent="0.3">
      <c r="A67" s="30" t="s">
        <v>1337</v>
      </c>
      <c r="B67" s="20" t="s">
        <v>32</v>
      </c>
      <c r="C67" s="23" t="s">
        <v>1336</v>
      </c>
      <c r="D67" s="7">
        <v>1</v>
      </c>
      <c r="E67" s="7">
        <v>0</v>
      </c>
      <c r="F67" s="7">
        <v>0</v>
      </c>
      <c r="G67" s="7">
        <v>0</v>
      </c>
      <c r="H67" s="7">
        <v>0</v>
      </c>
      <c r="I67" s="7">
        <v>1</v>
      </c>
      <c r="J67" s="7"/>
      <c r="K67" s="7"/>
      <c r="L67" s="7">
        <v>1</v>
      </c>
      <c r="M67" s="7"/>
      <c r="N67" s="7"/>
      <c r="O67" s="7"/>
      <c r="P67" s="7"/>
      <c r="Q67" s="7"/>
      <c r="R67" s="7"/>
      <c r="S67" s="7"/>
      <c r="T67" s="9">
        <f t="shared" si="6"/>
        <v>3</v>
      </c>
    </row>
    <row r="68" spans="1:20" ht="16.5" x14ac:dyDescent="0.3">
      <c r="A68" s="30" t="s">
        <v>423</v>
      </c>
      <c r="B68" s="20" t="s">
        <v>32</v>
      </c>
      <c r="C68" s="23" t="s">
        <v>422</v>
      </c>
      <c r="D68" s="7">
        <v>1</v>
      </c>
      <c r="E68" s="7">
        <v>0</v>
      </c>
      <c r="F68" s="7">
        <v>0</v>
      </c>
      <c r="G68" s="7">
        <v>0</v>
      </c>
      <c r="H68" s="7">
        <v>0</v>
      </c>
      <c r="I68" s="7">
        <v>1</v>
      </c>
      <c r="J68" s="7">
        <v>1</v>
      </c>
      <c r="K68" s="7">
        <v>1</v>
      </c>
      <c r="L68" s="7">
        <v>1</v>
      </c>
      <c r="M68" s="7"/>
      <c r="N68" s="7"/>
      <c r="O68" s="7"/>
      <c r="P68" s="7"/>
      <c r="Q68" s="7"/>
      <c r="R68" s="7"/>
      <c r="S68" s="7"/>
      <c r="T68" s="9">
        <f t="shared" si="6"/>
        <v>5</v>
      </c>
    </row>
    <row r="69" spans="1:20" ht="16.5" x14ac:dyDescent="0.3">
      <c r="A69" s="30" t="s">
        <v>1340</v>
      </c>
      <c r="B69" s="20" t="s">
        <v>32</v>
      </c>
      <c r="C69" s="23" t="s">
        <v>1339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1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9">
        <f t="shared" si="6"/>
        <v>1</v>
      </c>
    </row>
    <row r="70" spans="1:20" ht="16.5" x14ac:dyDescent="0.3">
      <c r="A70" s="30" t="s">
        <v>867</v>
      </c>
      <c r="B70" s="20" t="s">
        <v>32</v>
      </c>
      <c r="C70" s="23" t="s">
        <v>866</v>
      </c>
      <c r="D70" s="7">
        <v>1</v>
      </c>
      <c r="E70" s="7">
        <v>0</v>
      </c>
      <c r="F70" s="7">
        <v>0</v>
      </c>
      <c r="G70" s="7">
        <v>0</v>
      </c>
      <c r="H70" s="7">
        <v>0</v>
      </c>
      <c r="I70" s="7">
        <v>1</v>
      </c>
      <c r="J70" s="7">
        <v>1</v>
      </c>
      <c r="K70" s="7"/>
      <c r="L70" s="7">
        <v>1</v>
      </c>
      <c r="M70" s="7"/>
      <c r="N70" s="7"/>
      <c r="O70" s="7"/>
      <c r="P70" s="7"/>
      <c r="Q70" s="7"/>
      <c r="R70" s="7"/>
      <c r="S70" s="7"/>
      <c r="T70" s="9">
        <f t="shared" si="6"/>
        <v>4</v>
      </c>
    </row>
    <row r="71" spans="1:20" ht="16.5" x14ac:dyDescent="0.3">
      <c r="A71" s="30" t="s">
        <v>869</v>
      </c>
      <c r="B71" s="20" t="s">
        <v>32</v>
      </c>
      <c r="C71" s="26" t="s">
        <v>868</v>
      </c>
      <c r="D71" s="7">
        <v>1</v>
      </c>
      <c r="E71" s="7">
        <v>0</v>
      </c>
      <c r="F71" s="7">
        <v>0</v>
      </c>
      <c r="G71" s="7">
        <v>0</v>
      </c>
      <c r="H71" s="7">
        <v>0</v>
      </c>
      <c r="I71" s="7">
        <v>1</v>
      </c>
      <c r="J71" s="7"/>
      <c r="K71" s="7">
        <v>1</v>
      </c>
      <c r="L71" s="7">
        <v>1</v>
      </c>
      <c r="M71" s="7"/>
      <c r="N71" s="7"/>
      <c r="O71" s="7"/>
      <c r="P71" s="7"/>
      <c r="Q71" s="7"/>
      <c r="R71" s="7"/>
      <c r="S71" s="7"/>
      <c r="T71" s="9">
        <f t="shared" si="6"/>
        <v>4</v>
      </c>
    </row>
    <row r="72" spans="1:20" ht="16.5" x14ac:dyDescent="0.3">
      <c r="A72" s="30" t="s">
        <v>871</v>
      </c>
      <c r="B72" s="20" t="s">
        <v>32</v>
      </c>
      <c r="C72" s="23" t="s">
        <v>870</v>
      </c>
      <c r="D72" s="7">
        <v>1</v>
      </c>
      <c r="E72" s="7">
        <v>0</v>
      </c>
      <c r="F72" s="7">
        <v>0</v>
      </c>
      <c r="G72" s="7">
        <v>0</v>
      </c>
      <c r="H72" s="7">
        <v>0</v>
      </c>
      <c r="I72" s="7">
        <v>1</v>
      </c>
      <c r="J72" s="7">
        <v>1</v>
      </c>
      <c r="K72" s="7"/>
      <c r="L72" s="7">
        <v>1</v>
      </c>
      <c r="M72" s="7"/>
      <c r="N72" s="7"/>
      <c r="O72" s="7"/>
      <c r="P72" s="7"/>
      <c r="Q72" s="7"/>
      <c r="R72" s="7"/>
      <c r="S72" s="7"/>
      <c r="T72" s="9">
        <f t="shared" si="6"/>
        <v>4</v>
      </c>
    </row>
    <row r="73" spans="1:20" ht="16.5" x14ac:dyDescent="0.3">
      <c r="A73" s="30" t="s">
        <v>1342</v>
      </c>
      <c r="B73" s="20" t="s">
        <v>32</v>
      </c>
      <c r="C73" s="23" t="s">
        <v>1341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1</v>
      </c>
      <c r="K73" s="7"/>
      <c r="L73" s="7"/>
      <c r="M73" s="7"/>
      <c r="N73" s="7"/>
      <c r="O73" s="7"/>
      <c r="P73" s="7"/>
      <c r="Q73" s="7"/>
      <c r="R73" s="7"/>
      <c r="S73" s="7"/>
      <c r="T73" s="9">
        <f t="shared" si="6"/>
        <v>1</v>
      </c>
    </row>
    <row r="74" spans="1:20" ht="16.5" x14ac:dyDescent="0.3">
      <c r="A74" s="30" t="s">
        <v>1368</v>
      </c>
      <c r="B74" s="20" t="s">
        <v>32</v>
      </c>
      <c r="C74" s="23" t="s">
        <v>1367</v>
      </c>
      <c r="D74" s="7">
        <v>1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1</v>
      </c>
      <c r="K74" s="7"/>
      <c r="L74" s="7">
        <v>1</v>
      </c>
      <c r="M74" s="7"/>
      <c r="N74" s="7"/>
      <c r="O74" s="7"/>
      <c r="P74" s="7"/>
      <c r="Q74" s="7"/>
      <c r="R74" s="7"/>
      <c r="S74" s="7"/>
      <c r="T74" s="9">
        <f t="shared" si="6"/>
        <v>3</v>
      </c>
    </row>
    <row r="75" spans="1:20" ht="17.25" thickBot="1" x14ac:dyDescent="0.35">
      <c r="A75" s="30" t="s">
        <v>1374</v>
      </c>
      <c r="B75" s="20" t="s">
        <v>32</v>
      </c>
      <c r="C75" s="23" t="s">
        <v>1373</v>
      </c>
      <c r="D75" s="7">
        <v>1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1</v>
      </c>
      <c r="K75" s="7"/>
      <c r="L75" s="7"/>
      <c r="M75" s="7"/>
      <c r="N75" s="7"/>
      <c r="O75" s="7"/>
      <c r="P75" s="7"/>
      <c r="Q75" s="7"/>
      <c r="R75" s="7"/>
      <c r="S75" s="7"/>
      <c r="T75" s="9">
        <f t="shared" si="6"/>
        <v>2</v>
      </c>
    </row>
    <row r="76" spans="1:20" ht="15.75" thickBot="1" x14ac:dyDescent="0.3">
      <c r="C76" s="13" t="s">
        <v>1378</v>
      </c>
      <c r="D76" s="14">
        <f t="shared" ref="D76:N76" si="7">SUM(D28:D75)</f>
        <v>43</v>
      </c>
      <c r="E76" s="14">
        <f t="shared" si="7"/>
        <v>0</v>
      </c>
      <c r="F76" s="14">
        <f t="shared" si="7"/>
        <v>0</v>
      </c>
      <c r="G76" s="14">
        <f t="shared" si="7"/>
        <v>0</v>
      </c>
      <c r="H76" s="14">
        <f t="shared" si="7"/>
        <v>0</v>
      </c>
      <c r="I76" s="14">
        <f t="shared" si="7"/>
        <v>44</v>
      </c>
      <c r="J76" s="14">
        <f t="shared" si="7"/>
        <v>20</v>
      </c>
      <c r="K76" s="14">
        <f t="shared" si="7"/>
        <v>19</v>
      </c>
      <c r="L76" s="14">
        <f t="shared" si="7"/>
        <v>32</v>
      </c>
      <c r="M76" s="14">
        <f t="shared" si="7"/>
        <v>0</v>
      </c>
      <c r="N76" s="14">
        <f t="shared" si="7"/>
        <v>0</v>
      </c>
      <c r="O76" s="191"/>
      <c r="P76" s="191"/>
      <c r="Q76" s="191"/>
      <c r="R76" s="191"/>
      <c r="S76" s="191"/>
      <c r="T76" s="95">
        <f t="shared" si="6"/>
        <v>158</v>
      </c>
    </row>
    <row r="77" spans="1:20" x14ac:dyDescent="0.25">
      <c r="D77" s="238" t="s">
        <v>1387</v>
      </c>
    </row>
    <row r="79" spans="1:20" x14ac:dyDescent="0.25">
      <c r="A79" s="369" t="s">
        <v>1380</v>
      </c>
      <c r="B79" s="369"/>
      <c r="C79" s="369"/>
    </row>
    <row r="80" spans="1:20" x14ac:dyDescent="0.25">
      <c r="A80" s="161">
        <v>44287</v>
      </c>
      <c r="B80" s="3" t="s">
        <v>1381</v>
      </c>
      <c r="C80" s="370">
        <v>189000000</v>
      </c>
    </row>
    <row r="81" spans="1:14" x14ac:dyDescent="0.25">
      <c r="A81" s="161">
        <v>44317</v>
      </c>
      <c r="B81" s="3" t="s">
        <v>1381</v>
      </c>
      <c r="C81" s="371"/>
    </row>
    <row r="82" spans="1:14" x14ac:dyDescent="0.25">
      <c r="A82" s="161">
        <v>44348</v>
      </c>
      <c r="B82" s="3" t="s">
        <v>1381</v>
      </c>
      <c r="C82" s="371"/>
    </row>
    <row r="83" spans="1:14" x14ac:dyDescent="0.25">
      <c r="A83" s="161">
        <v>44378</v>
      </c>
      <c r="B83" s="3" t="s">
        <v>1381</v>
      </c>
      <c r="C83" s="371"/>
    </row>
    <row r="84" spans="1:14" x14ac:dyDescent="0.25">
      <c r="A84" s="161">
        <v>44409</v>
      </c>
      <c r="B84" s="3" t="s">
        <v>1381</v>
      </c>
      <c r="C84" s="371"/>
    </row>
    <row r="85" spans="1:14" x14ac:dyDescent="0.25">
      <c r="A85" s="161">
        <v>44440</v>
      </c>
      <c r="B85" s="3" t="s">
        <v>1381</v>
      </c>
      <c r="C85" s="372"/>
    </row>
    <row r="86" spans="1:14" x14ac:dyDescent="0.25">
      <c r="A86" s="161">
        <v>44470</v>
      </c>
      <c r="B86" s="3" t="s">
        <v>1381</v>
      </c>
      <c r="C86" s="162">
        <v>31500000</v>
      </c>
    </row>
    <row r="87" spans="1:14" x14ac:dyDescent="0.25">
      <c r="A87" s="161">
        <v>44501</v>
      </c>
      <c r="B87" s="3" t="s">
        <v>1381</v>
      </c>
      <c r="C87" s="162">
        <v>31500000</v>
      </c>
    </row>
    <row r="88" spans="1:14" x14ac:dyDescent="0.25">
      <c r="A88" s="161">
        <v>44531</v>
      </c>
      <c r="B88" s="3" t="s">
        <v>1381</v>
      </c>
      <c r="C88" s="162">
        <v>31500000</v>
      </c>
      <c r="N88" t="s">
        <v>1444</v>
      </c>
    </row>
    <row r="89" spans="1:14" x14ac:dyDescent="0.25">
      <c r="A89" s="161">
        <v>44562</v>
      </c>
      <c r="B89" s="3" t="s">
        <v>1381</v>
      </c>
      <c r="C89" s="162">
        <v>31500000</v>
      </c>
    </row>
    <row r="90" spans="1:14" x14ac:dyDescent="0.25">
      <c r="A90" s="161">
        <v>44593</v>
      </c>
      <c r="B90" s="3" t="s">
        <v>1381</v>
      </c>
      <c r="C90" s="162">
        <v>31500000</v>
      </c>
    </row>
    <row r="91" spans="1:14" x14ac:dyDescent="0.25">
      <c r="A91" s="161">
        <v>44621</v>
      </c>
      <c r="B91" s="3" t="s">
        <v>1381</v>
      </c>
      <c r="C91" s="162">
        <v>31500000</v>
      </c>
    </row>
    <row r="92" spans="1:14" x14ac:dyDescent="0.25">
      <c r="A92" s="161">
        <v>44652</v>
      </c>
      <c r="B92" s="3" t="s">
        <v>1381</v>
      </c>
      <c r="C92" s="162">
        <v>31500000</v>
      </c>
    </row>
    <row r="93" spans="1:14" x14ac:dyDescent="0.25">
      <c r="A93" s="161">
        <v>44682</v>
      </c>
      <c r="B93" s="3" t="s">
        <v>1381</v>
      </c>
      <c r="C93" s="162">
        <f>C92+14000000</f>
        <v>45500000</v>
      </c>
    </row>
    <row r="94" spans="1:14" x14ac:dyDescent="0.25">
      <c r="A94" s="161">
        <v>44713</v>
      </c>
      <c r="B94" s="3" t="s">
        <v>1381</v>
      </c>
      <c r="C94" s="162">
        <v>45500000</v>
      </c>
    </row>
    <row r="95" spans="1:14" x14ac:dyDescent="0.25">
      <c r="A95" s="161">
        <v>44743</v>
      </c>
      <c r="B95" s="3" t="s">
        <v>1381</v>
      </c>
      <c r="C95" s="162">
        <v>45500000</v>
      </c>
    </row>
    <row r="96" spans="1:14" x14ac:dyDescent="0.25">
      <c r="A96" s="161">
        <v>44774</v>
      </c>
      <c r="B96" s="3" t="s">
        <v>1381</v>
      </c>
      <c r="C96" s="162">
        <v>45500000</v>
      </c>
    </row>
  </sheetData>
  <autoFilter ref="A27:T27" xr:uid="{00000000-0009-0000-0000-000008000000}">
    <sortState xmlns:xlrd2="http://schemas.microsoft.com/office/spreadsheetml/2017/richdata2" ref="A28:R76">
      <sortCondition ref="A27"/>
    </sortState>
  </autoFilter>
  <mergeCells count="4">
    <mergeCell ref="A26:T26"/>
    <mergeCell ref="A79:C79"/>
    <mergeCell ref="C80:C85"/>
    <mergeCell ref="A1:V1"/>
  </mergeCells>
  <conditionalFormatting sqref="A3:A22">
    <cfRule type="duplicateValues" dxfId="56" priority="2"/>
  </conditionalFormatting>
  <conditionalFormatting sqref="A28:A75">
    <cfRule type="duplicateValues" dxfId="55" priority="1"/>
  </conditionalFormatting>
  <pageMargins left="0.7" right="0.7" top="0.75" bottom="0.75" header="0.3" footer="0.3"/>
  <pageSetup orientation="portrait" r:id="rId1"/>
  <ignoredErrors>
    <ignoredError sqref="D23:K23 L23:P23 D76:N76 Q23:S23 U9:U11 U4:U8 U3 T3 T4:T8 T9:T11" formulaRange="1"/>
    <ignoredError sqref="U20 U18 T15:T16 T17 T18:T20 T12:T14 U15:U16 U17 U12:U14" formula="1" formulaRange="1"/>
    <ignoredError sqref="U19 T21:U21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2060"/>
  </sheetPr>
  <dimension ref="A1:H56"/>
  <sheetViews>
    <sheetView zoomScale="80" zoomScaleNormal="80" workbookViewId="0">
      <selection sqref="A1:E19"/>
    </sheetView>
  </sheetViews>
  <sheetFormatPr baseColWidth="10" defaultColWidth="11.42578125" defaultRowHeight="15" x14ac:dyDescent="0.25"/>
  <cols>
    <col min="1" max="1" width="28.28515625" bestFit="1" customWidth="1"/>
    <col min="2" max="2" width="12.42578125" bestFit="1" customWidth="1"/>
    <col min="3" max="3" width="19.28515625" bestFit="1" customWidth="1"/>
    <col min="4" max="4" width="18.42578125" bestFit="1" customWidth="1"/>
    <col min="5" max="5" width="19.28515625" bestFit="1" customWidth="1"/>
    <col min="6" max="6" width="20.85546875" customWidth="1"/>
    <col min="8" max="8" width="26.28515625" customWidth="1"/>
  </cols>
  <sheetData>
    <row r="1" spans="1:5" x14ac:dyDescent="0.25">
      <c r="A1" s="183" t="s">
        <v>1388</v>
      </c>
    </row>
    <row r="2" spans="1:5" ht="45" x14ac:dyDescent="0.25">
      <c r="A2" s="180" t="s">
        <v>1389</v>
      </c>
      <c r="B2" s="56" t="s">
        <v>1390</v>
      </c>
      <c r="C2" s="56" t="s">
        <v>1391</v>
      </c>
      <c r="D2" s="1" t="s">
        <v>1392</v>
      </c>
      <c r="E2" s="359" t="s">
        <v>1422</v>
      </c>
    </row>
    <row r="3" spans="1:5" x14ac:dyDescent="0.25">
      <c r="A3" s="82" t="s">
        <v>32</v>
      </c>
      <c r="B3" s="173">
        <v>0.29937573574235937</v>
      </c>
      <c r="C3" s="182">
        <v>2561623264.6900001</v>
      </c>
      <c r="D3">
        <v>48</v>
      </c>
      <c r="E3" s="182">
        <v>5985815735.3099995</v>
      </c>
    </row>
    <row r="4" spans="1:5" hidden="1" x14ac:dyDescent="0.25">
      <c r="A4" s="181" t="s">
        <v>418</v>
      </c>
      <c r="B4" s="173">
        <v>0.29937573574235937</v>
      </c>
      <c r="C4" s="182">
        <v>2561623264.6900001</v>
      </c>
      <c r="D4">
        <v>48</v>
      </c>
      <c r="E4" s="182">
        <v>5985815735.3099995</v>
      </c>
    </row>
    <row r="5" spans="1:5" x14ac:dyDescent="0.25">
      <c r="A5" s="82" t="s">
        <v>16</v>
      </c>
      <c r="B5" s="173">
        <v>0.11689105128644314</v>
      </c>
      <c r="C5" s="182">
        <v>1275456998.5999999</v>
      </c>
      <c r="D5">
        <v>57</v>
      </c>
      <c r="E5" s="182">
        <v>9492967001.3999996</v>
      </c>
    </row>
    <row r="6" spans="1:5" hidden="1" x14ac:dyDescent="0.25">
      <c r="A6" s="181" t="s">
        <v>418</v>
      </c>
      <c r="B6" s="173">
        <v>0.11689105128644314</v>
      </c>
      <c r="C6" s="182">
        <v>1275456998.5999999</v>
      </c>
      <c r="D6">
        <v>57</v>
      </c>
      <c r="E6" s="182">
        <v>9492967001.3999996</v>
      </c>
    </row>
    <row r="7" spans="1:5" x14ac:dyDescent="0.25">
      <c r="A7" s="82" t="s">
        <v>89</v>
      </c>
      <c r="B7" s="173">
        <v>6.8138480025313655E-2</v>
      </c>
      <c r="C7" s="182">
        <v>909561365.31999993</v>
      </c>
      <c r="D7">
        <v>69</v>
      </c>
      <c r="E7" s="182">
        <v>12358710634.68</v>
      </c>
    </row>
    <row r="8" spans="1:5" hidden="1" x14ac:dyDescent="0.25">
      <c r="A8" s="181" t="s">
        <v>418</v>
      </c>
      <c r="B8" s="173">
        <v>6.8138480025313655E-2</v>
      </c>
      <c r="C8" s="182">
        <v>909561365.31999993</v>
      </c>
      <c r="D8">
        <v>69</v>
      </c>
      <c r="E8" s="182">
        <v>12358710634.68</v>
      </c>
    </row>
    <row r="9" spans="1:5" x14ac:dyDescent="0.25">
      <c r="A9" s="82" t="s">
        <v>23</v>
      </c>
      <c r="B9" s="173">
        <v>8.2724243197958749E-2</v>
      </c>
      <c r="C9" s="182">
        <v>1150025717.73</v>
      </c>
      <c r="D9">
        <v>78</v>
      </c>
      <c r="E9" s="182">
        <v>13212338008.270002</v>
      </c>
    </row>
    <row r="10" spans="1:5" hidden="1" x14ac:dyDescent="0.25">
      <c r="A10" s="181" t="s">
        <v>418</v>
      </c>
      <c r="B10" s="173">
        <v>8.2724243197958749E-2</v>
      </c>
      <c r="C10" s="182">
        <v>1150025717.73</v>
      </c>
      <c r="D10">
        <v>78</v>
      </c>
      <c r="E10" s="182">
        <v>13212338008.270002</v>
      </c>
    </row>
    <row r="11" spans="1:5" x14ac:dyDescent="0.25">
      <c r="A11" s="82" t="s">
        <v>55</v>
      </c>
      <c r="B11" s="173">
        <v>0.15135796639706867</v>
      </c>
      <c r="C11" s="182">
        <v>1925926971.4000001</v>
      </c>
      <c r="D11">
        <v>68</v>
      </c>
      <c r="E11" s="182">
        <v>10542495028.6</v>
      </c>
    </row>
    <row r="12" spans="1:5" hidden="1" x14ac:dyDescent="0.25">
      <c r="A12" s="181" t="s">
        <v>418</v>
      </c>
      <c r="B12" s="173">
        <v>0.15135796639706867</v>
      </c>
      <c r="C12" s="182">
        <v>1925926971.4000001</v>
      </c>
      <c r="D12">
        <v>68</v>
      </c>
      <c r="E12" s="182">
        <v>10542495028.6</v>
      </c>
    </row>
    <row r="13" spans="1:5" x14ac:dyDescent="0.25">
      <c r="A13" s="82" t="s">
        <v>105</v>
      </c>
      <c r="B13" s="173">
        <v>0.1289730929655086</v>
      </c>
      <c r="C13" s="182">
        <v>1298385221</v>
      </c>
      <c r="D13">
        <v>53</v>
      </c>
      <c r="E13" s="182">
        <v>8756613779</v>
      </c>
    </row>
    <row r="14" spans="1:5" hidden="1" x14ac:dyDescent="0.25">
      <c r="A14" s="181" t="s">
        <v>418</v>
      </c>
      <c r="B14" s="173">
        <v>0.1289730929655086</v>
      </c>
      <c r="C14" s="182">
        <v>1298385221</v>
      </c>
      <c r="D14">
        <v>53</v>
      </c>
      <c r="E14" s="182">
        <v>8756613779</v>
      </c>
    </row>
    <row r="15" spans="1:5" x14ac:dyDescent="0.25">
      <c r="A15" s="82" t="s">
        <v>28</v>
      </c>
      <c r="B15" s="173">
        <v>0.10315100708699701</v>
      </c>
      <c r="C15" s="182">
        <v>1300567730.47</v>
      </c>
      <c r="D15">
        <v>73</v>
      </c>
      <c r="E15" s="182">
        <v>11539702269.530001</v>
      </c>
    </row>
    <row r="16" spans="1:5" hidden="1" x14ac:dyDescent="0.25">
      <c r="A16" s="181" t="s">
        <v>418</v>
      </c>
      <c r="B16" s="173">
        <v>0.10315100708699701</v>
      </c>
      <c r="C16" s="182">
        <v>1300567730.47</v>
      </c>
      <c r="D16">
        <v>73</v>
      </c>
      <c r="E16" s="182">
        <v>11539702269.530001</v>
      </c>
    </row>
    <row r="17" spans="1:8" x14ac:dyDescent="0.25">
      <c r="A17" s="82" t="s">
        <v>49</v>
      </c>
      <c r="B17" s="173">
        <v>9.6334632478570117E-2</v>
      </c>
      <c r="C17" s="182">
        <v>578547972.10000002</v>
      </c>
      <c r="D17">
        <v>32</v>
      </c>
      <c r="E17" s="182">
        <v>5490452027.8999996</v>
      </c>
    </row>
    <row r="18" spans="1:8" hidden="1" x14ac:dyDescent="0.25">
      <c r="A18" s="181" t="s">
        <v>418</v>
      </c>
      <c r="B18" s="173">
        <v>9.6334632478570117E-2</v>
      </c>
      <c r="C18" s="182">
        <v>578547972.10000002</v>
      </c>
      <c r="D18">
        <v>32</v>
      </c>
      <c r="E18">
        <v>5490452027.8999996</v>
      </c>
    </row>
    <row r="19" spans="1:8" x14ac:dyDescent="0.25">
      <c r="A19" s="199" t="s">
        <v>1393</v>
      </c>
      <c r="B19" s="200">
        <v>0.12537137809411214</v>
      </c>
      <c r="C19" s="201">
        <v>11000095241.309999</v>
      </c>
      <c r="D19" s="202">
        <v>478</v>
      </c>
      <c r="E19" s="201">
        <v>77379094484.689987</v>
      </c>
    </row>
    <row r="21" spans="1:8" x14ac:dyDescent="0.25">
      <c r="A21" s="183" t="s">
        <v>1394</v>
      </c>
    </row>
    <row r="22" spans="1:8" ht="45" x14ac:dyDescent="0.25">
      <c r="A22" s="180" t="s">
        <v>1389</v>
      </c>
      <c r="B22" s="56" t="s">
        <v>1390</v>
      </c>
      <c r="C22" s="56" t="s">
        <v>1391</v>
      </c>
      <c r="D22" s="1" t="s">
        <v>1392</v>
      </c>
      <c r="E22" s="56" t="s">
        <v>1422</v>
      </c>
      <c r="F22" s="167" t="s">
        <v>1395</v>
      </c>
    </row>
    <row r="23" spans="1:8" x14ac:dyDescent="0.25">
      <c r="A23" s="82" t="s">
        <v>32</v>
      </c>
      <c r="B23" s="173">
        <v>0.85092229044653966</v>
      </c>
      <c r="C23" s="182">
        <v>3174228623</v>
      </c>
      <c r="D23">
        <v>20</v>
      </c>
      <c r="E23" s="182">
        <v>471687377</v>
      </c>
      <c r="F23" s="163">
        <v>0</v>
      </c>
      <c r="H23" s="285"/>
    </row>
    <row r="24" spans="1:8" hidden="1" x14ac:dyDescent="0.25">
      <c r="A24" s="181" t="s">
        <v>18</v>
      </c>
      <c r="B24" s="173">
        <v>0.85092229044653966</v>
      </c>
      <c r="C24" s="182">
        <v>3174228623</v>
      </c>
      <c r="D24">
        <v>20</v>
      </c>
      <c r="E24" s="182">
        <v>471687377</v>
      </c>
      <c r="F24" s="163"/>
    </row>
    <row r="25" spans="1:8" x14ac:dyDescent="0.25">
      <c r="A25" s="82" t="s">
        <v>16</v>
      </c>
      <c r="B25" s="173">
        <v>0.52753233510557296</v>
      </c>
      <c r="C25" s="182">
        <v>1758933975.6700001</v>
      </c>
      <c r="D25">
        <v>18</v>
      </c>
      <c r="E25" s="182">
        <v>1479278022.3299999</v>
      </c>
      <c r="F25" s="163">
        <v>1</v>
      </c>
    </row>
    <row r="26" spans="1:8" hidden="1" x14ac:dyDescent="0.25">
      <c r="A26" s="181" t="s">
        <v>18</v>
      </c>
      <c r="B26" s="173">
        <v>0.52753233510557296</v>
      </c>
      <c r="C26" s="182">
        <v>1758933975.6700001</v>
      </c>
      <c r="D26">
        <v>18</v>
      </c>
      <c r="E26" s="182">
        <v>1479278022.3299999</v>
      </c>
      <c r="F26" s="163"/>
    </row>
    <row r="27" spans="1:8" x14ac:dyDescent="0.25">
      <c r="A27" s="82" t="s">
        <v>89</v>
      </c>
      <c r="B27" s="173">
        <v>0.45215100255509372</v>
      </c>
      <c r="C27" s="182">
        <v>2681359243.6999998</v>
      </c>
      <c r="D27">
        <v>31</v>
      </c>
      <c r="E27" s="182">
        <v>3256806756.3000002</v>
      </c>
      <c r="F27" s="163">
        <v>0</v>
      </c>
    </row>
    <row r="28" spans="1:8" hidden="1" x14ac:dyDescent="0.25">
      <c r="A28" s="181" t="s">
        <v>18</v>
      </c>
      <c r="B28" s="173">
        <v>0.45215100255509372</v>
      </c>
      <c r="C28" s="182">
        <v>2681359243.6999998</v>
      </c>
      <c r="D28">
        <v>31</v>
      </c>
      <c r="E28" s="182">
        <v>3256806756.3000002</v>
      </c>
      <c r="F28" s="163"/>
    </row>
    <row r="29" spans="1:8" x14ac:dyDescent="0.25">
      <c r="A29" s="82" t="s">
        <v>23</v>
      </c>
      <c r="B29" s="173">
        <v>0.69606246815223716</v>
      </c>
      <c r="C29" s="182">
        <v>2939833449.0900002</v>
      </c>
      <c r="D29">
        <v>22</v>
      </c>
      <c r="E29" s="182">
        <v>1264964298.9100001</v>
      </c>
      <c r="F29" s="163">
        <v>0</v>
      </c>
    </row>
    <row r="30" spans="1:8" hidden="1" x14ac:dyDescent="0.25">
      <c r="A30" s="181" t="s">
        <v>18</v>
      </c>
      <c r="B30" s="173">
        <v>0.69606246815223716</v>
      </c>
      <c r="C30" s="182">
        <v>2939833449.0900002</v>
      </c>
      <c r="D30">
        <v>22</v>
      </c>
      <c r="E30" s="182">
        <v>1264964298.9100001</v>
      </c>
      <c r="F30" s="163"/>
    </row>
    <row r="31" spans="1:8" x14ac:dyDescent="0.25">
      <c r="A31" s="82" t="s">
        <v>55</v>
      </c>
      <c r="B31" s="173">
        <v>0.80869759538793085</v>
      </c>
      <c r="C31" s="182">
        <v>3876309599.7800002</v>
      </c>
      <c r="D31">
        <v>27</v>
      </c>
      <c r="E31" s="182">
        <v>968229400.22000003</v>
      </c>
      <c r="F31">
        <v>0</v>
      </c>
    </row>
    <row r="32" spans="1:8" hidden="1" x14ac:dyDescent="0.25">
      <c r="A32" s="181" t="s">
        <v>18</v>
      </c>
      <c r="B32" s="173">
        <v>0.80869759538793085</v>
      </c>
      <c r="C32" s="182">
        <v>3876309599.7800002</v>
      </c>
      <c r="D32">
        <v>27</v>
      </c>
      <c r="E32" s="182">
        <v>968229400.22000003</v>
      </c>
      <c r="F32" s="164"/>
    </row>
    <row r="33" spans="1:6" x14ac:dyDescent="0.25">
      <c r="A33" s="82" t="s">
        <v>105</v>
      </c>
      <c r="B33" s="173">
        <v>0.70675024098594796</v>
      </c>
      <c r="C33" s="182">
        <v>2721937908.8600001</v>
      </c>
      <c r="D33">
        <v>21</v>
      </c>
      <c r="E33" s="182">
        <v>1148907091.1400001</v>
      </c>
      <c r="F33">
        <v>0</v>
      </c>
    </row>
    <row r="34" spans="1:6" hidden="1" x14ac:dyDescent="0.25">
      <c r="A34" s="181" t="s">
        <v>18</v>
      </c>
      <c r="B34" s="173">
        <v>0.70675024098594796</v>
      </c>
      <c r="C34" s="182">
        <v>2721937908.8600001</v>
      </c>
      <c r="D34">
        <v>21</v>
      </c>
      <c r="E34" s="182">
        <v>1148907091.1400001</v>
      </c>
    </row>
    <row r="35" spans="1:6" x14ac:dyDescent="0.25">
      <c r="A35" s="82" t="s">
        <v>28</v>
      </c>
      <c r="B35" s="173">
        <v>0.66653469368352303</v>
      </c>
      <c r="C35" s="182">
        <v>3145761489.5</v>
      </c>
      <c r="D35">
        <v>26</v>
      </c>
      <c r="E35" s="182">
        <v>1597026510.5</v>
      </c>
      <c r="F35">
        <v>0</v>
      </c>
    </row>
    <row r="36" spans="1:6" hidden="1" x14ac:dyDescent="0.25">
      <c r="A36" s="181" t="s">
        <v>18</v>
      </c>
      <c r="B36" s="173">
        <v>0.66653469368352303</v>
      </c>
      <c r="C36" s="182">
        <v>3145761489.5</v>
      </c>
      <c r="D36">
        <v>26</v>
      </c>
      <c r="E36" s="182">
        <v>1597026510.5</v>
      </c>
    </row>
    <row r="37" spans="1:6" x14ac:dyDescent="0.25">
      <c r="A37" s="82" t="s">
        <v>49</v>
      </c>
      <c r="B37" s="173">
        <v>0.68152354507802204</v>
      </c>
      <c r="C37" s="182">
        <v>1695126100.6700001</v>
      </c>
      <c r="D37">
        <v>13</v>
      </c>
      <c r="E37" s="182">
        <v>785523771.32999992</v>
      </c>
      <c r="F37">
        <v>0</v>
      </c>
    </row>
    <row r="38" spans="1:6" hidden="1" x14ac:dyDescent="0.25">
      <c r="A38" s="181" t="s">
        <v>18</v>
      </c>
      <c r="B38" s="173">
        <v>0.68152354507802204</v>
      </c>
      <c r="C38" s="182">
        <v>1695126100.6700001</v>
      </c>
      <c r="D38">
        <v>13</v>
      </c>
      <c r="E38">
        <v>785523771.32999992</v>
      </c>
    </row>
    <row r="39" spans="1:6" x14ac:dyDescent="0.25">
      <c r="A39" s="199" t="s">
        <v>1393</v>
      </c>
      <c r="B39" s="200">
        <v>0.6669122554907484</v>
      </c>
      <c r="C39" s="201">
        <v>21993490390.269997</v>
      </c>
      <c r="D39" s="202">
        <v>178</v>
      </c>
      <c r="E39" s="201">
        <v>10972423227.729998</v>
      </c>
      <c r="F39" s="202">
        <f>SUM(F23:F38)</f>
        <v>1</v>
      </c>
    </row>
    <row r="42" spans="1:6" x14ac:dyDescent="0.25">
      <c r="A42" s="184" t="s">
        <v>1443</v>
      </c>
      <c r="B42" s="81">
        <f>Pacífico!S29+'Eje Cafetero'!S30+'Caribe I'!Q21+'Caribe II'!Q34+Central!R25+Santanderes!S16+Llanos!S24+Amazonía!T23</f>
        <v>1592</v>
      </c>
    </row>
    <row r="43" spans="1:6" x14ac:dyDescent="0.25">
      <c r="A43" s="184" t="s">
        <v>1441</v>
      </c>
      <c r="B43" s="81">
        <f>Pacífico!S106+'Eje Cafetero'!S103+'Caribe I'!Q84+'Caribe II'!Q108+Central!R108+Santanderes!S55+Llanos!S83+Amazonía!T76</f>
        <v>1232</v>
      </c>
      <c r="C43" s="81"/>
    </row>
    <row r="44" spans="1:6" x14ac:dyDescent="0.25">
      <c r="A44" s="184" t="s">
        <v>1442</v>
      </c>
      <c r="B44" s="81">
        <f>Pacífico!T29+'Eje Cafetero'!T30+'Caribe I'!R21+Santanderes!T16+Llanos!T24+Amazonía!U23</f>
        <v>225</v>
      </c>
    </row>
    <row r="45" spans="1:6" ht="15.75" thickBot="1" x14ac:dyDescent="0.3"/>
    <row r="46" spans="1:6" x14ac:dyDescent="0.25">
      <c r="A46" s="375" t="s">
        <v>1432</v>
      </c>
      <c r="B46" s="377" t="s">
        <v>1433</v>
      </c>
      <c r="C46" s="378"/>
      <c r="D46" s="377" t="s">
        <v>1434</v>
      </c>
      <c r="E46" s="378"/>
    </row>
    <row r="47" spans="1:6" ht="15.75" thickBot="1" x14ac:dyDescent="0.3">
      <c r="A47" s="376"/>
      <c r="B47" s="326" t="s">
        <v>1435</v>
      </c>
      <c r="C47" s="327" t="s">
        <v>1436</v>
      </c>
      <c r="D47" s="326" t="s">
        <v>1435</v>
      </c>
      <c r="E47" s="327" t="s">
        <v>1436</v>
      </c>
      <c r="F47" s="18" t="s">
        <v>1437</v>
      </c>
    </row>
    <row r="48" spans="1:6" x14ac:dyDescent="0.25">
      <c r="A48" s="328" t="s">
        <v>32</v>
      </c>
      <c r="B48" s="329">
        <f>Amazonía!T23</f>
        <v>195</v>
      </c>
      <c r="C48" s="330">
        <f>Amazonía!U23</f>
        <v>59</v>
      </c>
      <c r="D48" s="329">
        <f>Amazonía!T76</f>
        <v>158</v>
      </c>
      <c r="E48" s="196">
        <v>0</v>
      </c>
      <c r="F48" s="229">
        <f>SUM(B48:E48)</f>
        <v>412</v>
      </c>
    </row>
    <row r="49" spans="1:6" x14ac:dyDescent="0.25">
      <c r="A49" s="331" t="s">
        <v>16</v>
      </c>
      <c r="B49" s="332">
        <f>'Caribe I'!Q21</f>
        <v>140</v>
      </c>
      <c r="C49" s="333">
        <f>'Caribe I'!R21</f>
        <v>15</v>
      </c>
      <c r="D49" s="332">
        <f>'Caribe I'!Q84</f>
        <v>139</v>
      </c>
      <c r="E49" s="58">
        <v>0</v>
      </c>
      <c r="F49" s="229">
        <f t="shared" ref="F49:F55" si="0">SUM(B49:E49)</f>
        <v>294</v>
      </c>
    </row>
    <row r="50" spans="1:6" x14ac:dyDescent="0.25">
      <c r="A50" s="331" t="s">
        <v>89</v>
      </c>
      <c r="B50" s="332">
        <f>'Caribe II'!Q34</f>
        <v>224</v>
      </c>
      <c r="C50" s="58">
        <v>0</v>
      </c>
      <c r="D50" s="332">
        <f>'Caribe II'!Q108</f>
        <v>130</v>
      </c>
      <c r="E50" s="58">
        <v>0</v>
      </c>
      <c r="F50" s="229">
        <f t="shared" si="0"/>
        <v>354</v>
      </c>
    </row>
    <row r="51" spans="1:6" x14ac:dyDescent="0.25">
      <c r="A51" s="331" t="s">
        <v>23</v>
      </c>
      <c r="B51" s="332">
        <f>Central!R25</f>
        <v>185</v>
      </c>
      <c r="C51" s="58">
        <v>0</v>
      </c>
      <c r="D51" s="332">
        <f>Central!R108</f>
        <v>137</v>
      </c>
      <c r="E51" s="58">
        <v>0</v>
      </c>
      <c r="F51" s="229">
        <f t="shared" si="0"/>
        <v>322</v>
      </c>
    </row>
    <row r="52" spans="1:6" x14ac:dyDescent="0.25">
      <c r="A52" s="331" t="s">
        <v>55</v>
      </c>
      <c r="B52" s="332">
        <f>'Eje Cafetero'!S30</f>
        <v>262</v>
      </c>
      <c r="C52" s="333">
        <f>'Eje Cafetero'!T30</f>
        <v>65</v>
      </c>
      <c r="D52" s="332">
        <f>'Eje Cafetero'!S103</f>
        <v>202</v>
      </c>
      <c r="E52" s="58">
        <v>0</v>
      </c>
      <c r="F52" s="229">
        <f t="shared" si="0"/>
        <v>529</v>
      </c>
    </row>
    <row r="53" spans="1:6" x14ac:dyDescent="0.25">
      <c r="A53" s="331" t="s">
        <v>105</v>
      </c>
      <c r="B53" s="332">
        <f>Llanos!S24</f>
        <v>210</v>
      </c>
      <c r="C53" s="333">
        <f>Llanos!T24</f>
        <v>36</v>
      </c>
      <c r="D53" s="332">
        <f>Llanos!S83</f>
        <v>165</v>
      </c>
      <c r="E53" s="58">
        <v>0</v>
      </c>
      <c r="F53" s="229">
        <f t="shared" si="0"/>
        <v>411</v>
      </c>
    </row>
    <row r="54" spans="1:6" x14ac:dyDescent="0.25">
      <c r="A54" s="331" t="s">
        <v>28</v>
      </c>
      <c r="B54" s="332">
        <f>Pacífico!S29</f>
        <v>251</v>
      </c>
      <c r="C54" s="333">
        <f>Pacífico!T29</f>
        <v>19</v>
      </c>
      <c r="D54" s="332">
        <f>Pacífico!S106</f>
        <v>193</v>
      </c>
      <c r="E54" s="58">
        <v>0</v>
      </c>
      <c r="F54" s="229">
        <f t="shared" si="0"/>
        <v>463</v>
      </c>
    </row>
    <row r="55" spans="1:6" ht="15.75" thickBot="1" x14ac:dyDescent="0.3">
      <c r="A55" s="334" t="s">
        <v>49</v>
      </c>
      <c r="B55" s="335">
        <f>Santanderes!S16</f>
        <v>125</v>
      </c>
      <c r="C55" s="60">
        <f>Santanderes!T16</f>
        <v>31</v>
      </c>
      <c r="D55" s="335">
        <f>Santanderes!S55</f>
        <v>108</v>
      </c>
      <c r="E55" s="60">
        <v>0</v>
      </c>
      <c r="F55" s="229">
        <f t="shared" si="0"/>
        <v>264</v>
      </c>
    </row>
    <row r="56" spans="1:6" x14ac:dyDescent="0.25">
      <c r="B56" s="105">
        <f>SUM(B48:B55)</f>
        <v>1592</v>
      </c>
      <c r="C56" s="105">
        <f>SUM(C48:C55)</f>
        <v>225</v>
      </c>
      <c r="D56" s="105">
        <f>SUM(D48:D55)</f>
        <v>1232</v>
      </c>
      <c r="E56" s="18">
        <f>SUM(E48:E55)</f>
        <v>0</v>
      </c>
    </row>
  </sheetData>
  <mergeCells count="3">
    <mergeCell ref="A46:A47"/>
    <mergeCell ref="B46:C46"/>
    <mergeCell ref="D46:E46"/>
  </mergeCells>
  <pageMargins left="0.7" right="0.7" top="0.75" bottom="0.75" header="0.3" footer="0.3"/>
  <pageSetup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G40"/>
  <sheetViews>
    <sheetView topLeftCell="A23" workbookViewId="0">
      <selection activeCell="B1" sqref="B1:G40"/>
    </sheetView>
  </sheetViews>
  <sheetFormatPr baseColWidth="10" defaultColWidth="11.42578125" defaultRowHeight="15" x14ac:dyDescent="0.25"/>
  <cols>
    <col min="2" max="2" width="26.28515625" customWidth="1"/>
    <col min="3" max="3" width="11.5703125" customWidth="1"/>
    <col min="4" max="4" width="19.140625" customWidth="1"/>
    <col min="5" max="5" width="18.42578125" customWidth="1"/>
    <col min="6" max="6" width="18.28515625" customWidth="1"/>
    <col min="7" max="7" width="15.140625" customWidth="1"/>
  </cols>
  <sheetData>
    <row r="1" spans="2:7" x14ac:dyDescent="0.25">
      <c r="B1" s="99" t="s">
        <v>1400</v>
      </c>
      <c r="C1" s="100" t="s">
        <v>1401</v>
      </c>
      <c r="D1" s="100" t="s">
        <v>1402</v>
      </c>
      <c r="E1" s="100" t="s">
        <v>1403</v>
      </c>
      <c r="F1" s="100" t="s">
        <v>1404</v>
      </c>
      <c r="G1" s="323" t="s">
        <v>1430</v>
      </c>
    </row>
    <row r="2" spans="2:7" x14ac:dyDescent="0.25">
      <c r="B2" s="101" t="s">
        <v>1405</v>
      </c>
      <c r="C2" s="9">
        <f>SUM(C3:C4)</f>
        <v>68</v>
      </c>
      <c r="D2" s="102">
        <f>SUM(D3:D4)</f>
        <v>12193355000</v>
      </c>
      <c r="E2" s="102">
        <f>SUM(E3:E4)</f>
        <v>5735851887.6900005</v>
      </c>
      <c r="F2" s="102">
        <f>SUM(F3:F4)</f>
        <v>6457503112.3099995</v>
      </c>
      <c r="G2" s="325"/>
    </row>
    <row r="3" spans="2:7" x14ac:dyDescent="0.25">
      <c r="B3" s="97" t="s">
        <v>1428</v>
      </c>
      <c r="C3" s="3">
        <v>20</v>
      </c>
      <c r="D3" s="98">
        <v>3645916000</v>
      </c>
      <c r="E3" s="98">
        <f>GETPIVOTDATA("Suma de RECURSOS EJECUTADOS EN PAGOS",Resumen!$A$22,"REGIONAL","AMAZONIA")</f>
        <v>3174228623</v>
      </c>
      <c r="F3" s="98">
        <f>GETPIVOTDATA("Suma de SALDO SIN EJECUTAR",Resumen!$A$22,"REGIONAL","AMAZONIA")</f>
        <v>471687377</v>
      </c>
      <c r="G3" s="324">
        <f>E3/D3</f>
        <v>0.87062582434702285</v>
      </c>
    </row>
    <row r="4" spans="2:7" x14ac:dyDescent="0.25">
      <c r="B4" s="97" t="s">
        <v>1429</v>
      </c>
      <c r="C4" s="3">
        <f>GETPIVOTDATA("Cuenta de ALIANZA",Resumen!$A$2,"REGIONAL","AMAZONIA")</f>
        <v>48</v>
      </c>
      <c r="D4" s="98">
        <f>E4+F4</f>
        <v>8547439000</v>
      </c>
      <c r="E4" s="98">
        <f>GETPIVOTDATA("Suma de RECURSOS EJECUTADOS EN PAGOS",Resumen!$A$2,"REGIONAL","AMAZONIA")</f>
        <v>2561623264.6900001</v>
      </c>
      <c r="F4" s="98">
        <f>GETPIVOTDATA("Suma de SALDO SIN EJECUTAR",Resumen!$A$2,"REGIONAL","AMAZONIA")</f>
        <v>5985815735.3099995</v>
      </c>
      <c r="G4" s="324">
        <f>E4/D4</f>
        <v>0.29969482843808537</v>
      </c>
    </row>
    <row r="5" spans="2:7" x14ac:dyDescent="0.25">
      <c r="C5" s="2"/>
      <c r="D5" s="96"/>
      <c r="E5" s="96"/>
      <c r="F5" s="96"/>
    </row>
    <row r="6" spans="2:7" x14ac:dyDescent="0.25">
      <c r="B6" s="99" t="s">
        <v>1406</v>
      </c>
      <c r="C6" s="100" t="s">
        <v>1401</v>
      </c>
      <c r="D6" s="100" t="s">
        <v>1402</v>
      </c>
      <c r="E6" s="100" t="s">
        <v>1403</v>
      </c>
      <c r="F6" s="100" t="s">
        <v>1404</v>
      </c>
      <c r="G6" s="100" t="s">
        <v>1430</v>
      </c>
    </row>
    <row r="7" spans="2:7" x14ac:dyDescent="0.25">
      <c r="B7" s="101" t="s">
        <v>1405</v>
      </c>
      <c r="C7" s="9">
        <f>SUM(C8:C10)</f>
        <v>75</v>
      </c>
      <c r="D7" s="102">
        <f>SUM(D8:D10)</f>
        <v>14006635998</v>
      </c>
      <c r="E7" s="102">
        <f>SUM(E8:E10)</f>
        <v>3034390974.27</v>
      </c>
      <c r="F7" s="102">
        <f>D7-E7</f>
        <v>10972245023.73</v>
      </c>
      <c r="G7" s="97"/>
    </row>
    <row r="8" spans="2:7" x14ac:dyDescent="0.25">
      <c r="B8" s="97" t="s">
        <v>1428</v>
      </c>
      <c r="C8" s="3">
        <v>17</v>
      </c>
      <c r="D8" s="98">
        <v>3078211998</v>
      </c>
      <c r="E8" s="98">
        <f>GETPIVOTDATA("Suma de RECURSOS EJECUTADOS EN PAGOS",Resumen!$A$22,"REGIONAL","CARIBE 1")</f>
        <v>1758933975.6700001</v>
      </c>
      <c r="F8" s="98">
        <f>D8-E8</f>
        <v>1319278022.3299999</v>
      </c>
      <c r="G8" s="324">
        <f>E8/D8</f>
        <v>0.57141417706539654</v>
      </c>
    </row>
    <row r="9" spans="2:7" x14ac:dyDescent="0.25">
      <c r="B9" s="97" t="s">
        <v>1431</v>
      </c>
      <c r="C9" s="3">
        <v>1</v>
      </c>
      <c r="D9" s="98">
        <v>160000000</v>
      </c>
      <c r="E9" s="98">
        <v>0</v>
      </c>
      <c r="F9" s="98">
        <v>160000000</v>
      </c>
      <c r="G9" s="97"/>
    </row>
    <row r="10" spans="2:7" x14ac:dyDescent="0.25">
      <c r="B10" s="97" t="s">
        <v>1429</v>
      </c>
      <c r="C10" s="3">
        <f>GETPIVOTDATA("Cuenta de ALIANZA",Resumen!$A$2,"REGIONAL","CARIBE 1")</f>
        <v>57</v>
      </c>
      <c r="D10" s="98">
        <f>E10+F10</f>
        <v>10768424000</v>
      </c>
      <c r="E10" s="98">
        <f>GETPIVOTDATA("Suma de RECURSOS EJECUTADOS EN PAGOS",Resumen!$A$2,"REGIONAL","CARIBE 1")</f>
        <v>1275456998.5999999</v>
      </c>
      <c r="F10" s="98">
        <f>GETPIVOTDATA("Suma de SALDO SIN EJECUTAR",Resumen!$A$2,"REGIONAL","CARIBE 1")</f>
        <v>9492967001.3999996</v>
      </c>
      <c r="G10" s="324">
        <f>E10/D10</f>
        <v>0.11844416588722731</v>
      </c>
    </row>
    <row r="11" spans="2:7" x14ac:dyDescent="0.25">
      <c r="C11" s="2"/>
      <c r="D11" s="96"/>
      <c r="E11" s="96"/>
      <c r="F11" s="96"/>
    </row>
    <row r="12" spans="2:7" x14ac:dyDescent="0.25">
      <c r="B12" s="99" t="s">
        <v>1407</v>
      </c>
      <c r="C12" s="100" t="s">
        <v>1401</v>
      </c>
      <c r="D12" s="100" t="s">
        <v>1402</v>
      </c>
      <c r="E12" s="100" t="s">
        <v>1403</v>
      </c>
      <c r="F12" s="100" t="s">
        <v>1404</v>
      </c>
      <c r="G12" s="100" t="s">
        <v>1430</v>
      </c>
    </row>
    <row r="13" spans="2:7" x14ac:dyDescent="0.25">
      <c r="B13" s="101" t="s">
        <v>1405</v>
      </c>
      <c r="C13" s="9">
        <f>SUM(C14:C15)</f>
        <v>100</v>
      </c>
      <c r="D13" s="102">
        <f>SUM(D14:D15)</f>
        <v>19206438000</v>
      </c>
      <c r="E13" s="102">
        <f>SUM(E14:E15)</f>
        <v>3590920609.0199995</v>
      </c>
      <c r="F13" s="102">
        <f>SUM(F14:F15)</f>
        <v>15615517390.98</v>
      </c>
      <c r="G13" s="325"/>
    </row>
    <row r="14" spans="2:7" ht="15" customHeight="1" x14ac:dyDescent="0.25">
      <c r="B14" s="97" t="s">
        <v>1428</v>
      </c>
      <c r="C14" s="3">
        <v>31</v>
      </c>
      <c r="D14" s="98">
        <v>5938166000</v>
      </c>
      <c r="E14" s="98">
        <f>GETPIVOTDATA("Suma de RECURSOS EJECUTADOS EN PAGOS",Resumen!$A$22,"REGIONAL","CARIBE 2")</f>
        <v>2681359243.6999998</v>
      </c>
      <c r="F14" s="98">
        <f>D14-E14</f>
        <v>3256806756.3000002</v>
      </c>
      <c r="G14" s="324">
        <f>E14/D14</f>
        <v>0.4515466970273313</v>
      </c>
    </row>
    <row r="15" spans="2:7" ht="15" customHeight="1" x14ac:dyDescent="0.25">
      <c r="B15" s="97" t="s">
        <v>1429</v>
      </c>
      <c r="C15" s="3">
        <f>GETPIVOTDATA("Cuenta de ALIANZA",Resumen!$A$2,"REGIONAL","CARIBE 2")</f>
        <v>69</v>
      </c>
      <c r="D15" s="98">
        <f>E15+F15</f>
        <v>13268272000</v>
      </c>
      <c r="E15" s="98">
        <f>GETPIVOTDATA("Suma de RECURSOS EJECUTADOS EN PAGOS",Resumen!$A$2,"REGIONAL","CARIBE 2")</f>
        <v>909561365.31999993</v>
      </c>
      <c r="F15" s="98">
        <f>GETPIVOTDATA("Suma de SALDO SIN EJECUTAR",Resumen!$A$2,"REGIONAL","CARIBE 2")</f>
        <v>12358710634.68</v>
      </c>
      <c r="G15" s="324">
        <f>E15/D15</f>
        <v>6.8551606819637095E-2</v>
      </c>
    </row>
    <row r="16" spans="2:7" x14ac:dyDescent="0.25">
      <c r="C16" s="2"/>
      <c r="D16" s="96"/>
      <c r="E16" s="96"/>
      <c r="F16" s="96"/>
    </row>
    <row r="17" spans="2:7" x14ac:dyDescent="0.25">
      <c r="B17" s="99" t="s">
        <v>1408</v>
      </c>
      <c r="C17" s="100" t="s">
        <v>1401</v>
      </c>
      <c r="D17" s="100" t="s">
        <v>1402</v>
      </c>
      <c r="E17" s="100" t="s">
        <v>1403</v>
      </c>
      <c r="F17" s="100" t="s">
        <v>1404</v>
      </c>
      <c r="G17" s="100" t="s">
        <v>1430</v>
      </c>
    </row>
    <row r="18" spans="2:7" x14ac:dyDescent="0.25">
      <c r="B18" s="101" t="s">
        <v>1405</v>
      </c>
      <c r="C18" s="9">
        <f>SUM(C19:C20)</f>
        <v>100</v>
      </c>
      <c r="D18" s="102">
        <v>4204797748</v>
      </c>
      <c r="E18" s="102">
        <f>GETPIVOTDATA("Suma de RECURSOS EJECUTADOS EN PAGOS",Resumen!$A$22,"REGIONAL","CENTRAL")</f>
        <v>2939833449.0900002</v>
      </c>
      <c r="F18" s="102">
        <f>SUM(F19:F20)</f>
        <v>14477302307.180002</v>
      </c>
      <c r="G18" s="325"/>
    </row>
    <row r="19" spans="2:7" x14ac:dyDescent="0.25">
      <c r="B19" s="97" t="s">
        <v>1428</v>
      </c>
      <c r="C19" s="3">
        <v>22</v>
      </c>
      <c r="D19" s="98">
        <v>4204797748</v>
      </c>
      <c r="E19" s="98">
        <f>GETPIVOTDATA("Suma de RECURSOS EJECUTADOS EN PAGOS",Resumen!$A$22,"REGIONAL","CENTRAL")</f>
        <v>2939833449.0900002</v>
      </c>
      <c r="F19" s="98">
        <f>D19-E19</f>
        <v>1264964298.9099998</v>
      </c>
      <c r="G19" s="324">
        <f>E19/D19</f>
        <v>0.69916167798756157</v>
      </c>
    </row>
    <row r="20" spans="2:7" x14ac:dyDescent="0.25">
      <c r="B20" s="97" t="s">
        <v>1429</v>
      </c>
      <c r="C20" s="3">
        <f>GETPIVOTDATA("Cuenta de ALIANZA",Resumen!$A$2,"REGIONAL","CENTRAL")</f>
        <v>78</v>
      </c>
      <c r="D20" s="98">
        <f>E20+F20</f>
        <v>14362363726.000002</v>
      </c>
      <c r="E20" s="98">
        <f>GETPIVOTDATA("Suma de RECURSOS EJECUTADOS EN PAGOS",Resumen!$A$2,"REGIONAL","CENTRAL")</f>
        <v>1150025717.73</v>
      </c>
      <c r="F20" s="98">
        <f>GETPIVOTDATA("Suma de SALDO SIN EJECUTAR",Resumen!$A$2,"REGIONAL","CENTRAL")</f>
        <v>13212338008.270002</v>
      </c>
      <c r="G20" s="324">
        <f>E20/D20</f>
        <v>8.0072176117370109E-2</v>
      </c>
    </row>
    <row r="21" spans="2:7" x14ac:dyDescent="0.25">
      <c r="C21" s="2"/>
      <c r="D21" s="96"/>
      <c r="E21" s="96"/>
      <c r="F21" s="96"/>
    </row>
    <row r="22" spans="2:7" x14ac:dyDescent="0.25">
      <c r="B22" s="99" t="s">
        <v>1409</v>
      </c>
      <c r="C22" s="100" t="s">
        <v>1401</v>
      </c>
      <c r="D22" s="100" t="s">
        <v>1402</v>
      </c>
      <c r="E22" s="100" t="s">
        <v>1403</v>
      </c>
      <c r="F22" s="100" t="s">
        <v>1404</v>
      </c>
      <c r="G22" s="100" t="s">
        <v>1430</v>
      </c>
    </row>
    <row r="23" spans="2:7" x14ac:dyDescent="0.25">
      <c r="B23" s="101" t="s">
        <v>1405</v>
      </c>
      <c r="C23" s="9">
        <f>SUM(C24:C25)</f>
        <v>95</v>
      </c>
      <c r="D23" s="102">
        <f>SUM(D24:D25)</f>
        <v>17312961000</v>
      </c>
      <c r="E23" s="102">
        <f>SUM(E24:E25)</f>
        <v>5802236571.1800003</v>
      </c>
      <c r="F23" s="102">
        <f>SUM(F24:F25)</f>
        <v>11510724428.82</v>
      </c>
      <c r="G23" s="325"/>
    </row>
    <row r="24" spans="2:7" x14ac:dyDescent="0.25">
      <c r="B24" s="97" t="s">
        <v>1428</v>
      </c>
      <c r="C24" s="3">
        <v>27</v>
      </c>
      <c r="D24" s="98">
        <v>4844539000</v>
      </c>
      <c r="E24" s="98">
        <f>GETPIVOTDATA("Suma de RECURSOS EJECUTADOS EN PAGOS",Resumen!$A$22,"REGIONAL","EJE CAFETERO Y ANTIOQUIA")</f>
        <v>3876309599.7800002</v>
      </c>
      <c r="F24" s="98">
        <f>D24-E24</f>
        <v>968229400.21999979</v>
      </c>
      <c r="G24" s="324">
        <f>E24/D24</f>
        <v>0.80014003391860411</v>
      </c>
    </row>
    <row r="25" spans="2:7" x14ac:dyDescent="0.25">
      <c r="B25" s="97" t="s">
        <v>1429</v>
      </c>
      <c r="C25" s="3">
        <f>GETPIVOTDATA("Cuenta de ALIANZA",Resumen!$A$2,"REGIONAL","EJE CAFETERO Y ANTIOQUIA")</f>
        <v>68</v>
      </c>
      <c r="D25" s="98">
        <f>E25+F25</f>
        <v>12468422000</v>
      </c>
      <c r="E25" s="98">
        <f>GETPIVOTDATA("Suma de RECURSOS EJECUTADOS EN PAGOS",Resumen!$A$2,"REGIONAL","EJE CAFETERO Y ANTIOQUIA")</f>
        <v>1925926971.4000001</v>
      </c>
      <c r="F25" s="98">
        <f>GETPIVOTDATA("Suma de SALDO SIN EJECUTAR",Resumen!$A$2,"REGIONAL","EJE CAFETERO Y ANTIOQUIA")</f>
        <v>10542495028.6</v>
      </c>
      <c r="G25" s="324">
        <f>E25/D25</f>
        <v>0.15446437178658215</v>
      </c>
    </row>
    <row r="26" spans="2:7" x14ac:dyDescent="0.25">
      <c r="C26" s="2"/>
      <c r="D26" s="96"/>
      <c r="E26" s="96"/>
      <c r="F26" s="96"/>
    </row>
    <row r="27" spans="2:7" x14ac:dyDescent="0.25">
      <c r="B27" s="99" t="s">
        <v>1410</v>
      </c>
      <c r="C27" s="100" t="s">
        <v>1401</v>
      </c>
      <c r="D27" s="100" t="s">
        <v>1402</v>
      </c>
      <c r="E27" s="100" t="s">
        <v>1403</v>
      </c>
      <c r="F27" s="100" t="s">
        <v>1404</v>
      </c>
      <c r="G27" s="100" t="s">
        <v>1430</v>
      </c>
    </row>
    <row r="28" spans="2:7" x14ac:dyDescent="0.25">
      <c r="B28" s="101" t="s">
        <v>1405</v>
      </c>
      <c r="C28" s="9">
        <f>SUM(C29:C30)</f>
        <v>74</v>
      </c>
      <c r="D28" s="102">
        <f>SUM(D29:D30)</f>
        <v>13925844000</v>
      </c>
      <c r="E28" s="102">
        <f>SUM(E29:E30)</f>
        <v>4020323129.8600001</v>
      </c>
      <c r="F28" s="102">
        <f>D28-E28</f>
        <v>9905520870.1399994</v>
      </c>
      <c r="G28" s="325"/>
    </row>
    <row r="29" spans="2:7" x14ac:dyDescent="0.25">
      <c r="B29" s="97" t="s">
        <v>1428</v>
      </c>
      <c r="C29" s="3">
        <v>21</v>
      </c>
      <c r="D29" s="98">
        <v>3870845000</v>
      </c>
      <c r="E29" s="98">
        <f>GETPIVOTDATA("Suma de RECURSOS EJECUTADOS EN PAGOS",Resumen!$A$22,"REGIONAL","LLANOS Y ORINOQUIA")</f>
        <v>2721937908.8600001</v>
      </c>
      <c r="F29" s="98">
        <f>D29-E29</f>
        <v>1148907091.1399999</v>
      </c>
      <c r="G29" s="324">
        <f>E29/D29</f>
        <v>0.70318959009208593</v>
      </c>
    </row>
    <row r="30" spans="2:7" x14ac:dyDescent="0.25">
      <c r="B30" s="97" t="s">
        <v>1429</v>
      </c>
      <c r="C30" s="3">
        <f>GETPIVOTDATA("Cuenta de ALIANZA",Resumen!$A$2,"REGIONAL","LLANOS Y ORINOQUIA")</f>
        <v>53</v>
      </c>
      <c r="D30" s="98">
        <f>E30+F30</f>
        <v>10054999000</v>
      </c>
      <c r="E30" s="98">
        <f>GETPIVOTDATA("Suma de RECURSOS EJECUTADOS EN PAGOS",Resumen!$A$2,"REGIONAL","LLANOS Y ORINOQUIA")</f>
        <v>1298385221</v>
      </c>
      <c r="F30" s="98">
        <f>GETPIVOTDATA("Suma de SALDO SIN EJECUTAR",Resumen!$A$2,"REGIONAL","LLANOS Y ORINOQUIA")</f>
        <v>8756613779</v>
      </c>
      <c r="G30" s="324">
        <f>E30/D30</f>
        <v>0.1291283292022207</v>
      </c>
    </row>
    <row r="31" spans="2:7" x14ac:dyDescent="0.25">
      <c r="C31" s="2"/>
      <c r="D31" s="96"/>
      <c r="E31" s="96"/>
      <c r="F31" s="96"/>
    </row>
    <row r="32" spans="2:7" x14ac:dyDescent="0.25">
      <c r="B32" s="99" t="s">
        <v>1411</v>
      </c>
      <c r="C32" s="100" t="s">
        <v>1401</v>
      </c>
      <c r="D32" s="100" t="s">
        <v>1402</v>
      </c>
      <c r="E32" s="100" t="s">
        <v>1403</v>
      </c>
      <c r="F32" s="100" t="s">
        <v>1404</v>
      </c>
      <c r="G32" s="100" t="s">
        <v>1430</v>
      </c>
    </row>
    <row r="33" spans="2:7" x14ac:dyDescent="0.25">
      <c r="B33" s="101" t="s">
        <v>1405</v>
      </c>
      <c r="C33" s="9">
        <f>SUM(C34:C35)</f>
        <v>99</v>
      </c>
      <c r="D33" s="102">
        <f>SUM(D34:D35)</f>
        <v>17583058000</v>
      </c>
      <c r="E33" s="102">
        <f>SUM(E34:E35)</f>
        <v>4446329219.9700003</v>
      </c>
      <c r="F33" s="102">
        <f>SUM(F34:F35)</f>
        <v>13136728780.030001</v>
      </c>
      <c r="G33" s="325"/>
    </row>
    <row r="34" spans="2:7" x14ac:dyDescent="0.25">
      <c r="B34" s="97" t="s">
        <v>1428</v>
      </c>
      <c r="C34" s="3">
        <v>26</v>
      </c>
      <c r="D34" s="98">
        <f>E34+F34</f>
        <v>4742788000</v>
      </c>
      <c r="E34" s="98">
        <f>GETPIVOTDATA("Suma de RECURSOS EJECUTADOS EN PAGOS",Resumen!$A$22,"REGIONAL","PACIFICO")</f>
        <v>3145761489.5</v>
      </c>
      <c r="F34" s="98">
        <f>GETPIVOTDATA("Suma de SALDO SIN EJECUTAR",Resumen!$A$22,"REGIONAL","PACIFICO")</f>
        <v>1597026510.5</v>
      </c>
      <c r="G34" s="324">
        <f>E34/D34</f>
        <v>0.66327263404984582</v>
      </c>
    </row>
    <row r="35" spans="2:7" x14ac:dyDescent="0.25">
      <c r="B35" s="97" t="s">
        <v>1429</v>
      </c>
      <c r="C35" s="3">
        <f>GETPIVOTDATA("Cuenta de ALIANZA",Resumen!$A$2,"REGIONAL","PACIFICO")</f>
        <v>73</v>
      </c>
      <c r="D35" s="98">
        <f>E35+F35</f>
        <v>12840270000</v>
      </c>
      <c r="E35" s="98">
        <f>GETPIVOTDATA("Suma de RECURSOS EJECUTADOS EN PAGOS",Resumen!$A$2,"REGIONAL","PACIFICO")</f>
        <v>1300567730.47</v>
      </c>
      <c r="F35" s="98">
        <f>GETPIVOTDATA("Suma de SALDO SIN EJECUTAR",Resumen!$A$2,"REGIONAL","PACIFICO")</f>
        <v>11539702269.530001</v>
      </c>
      <c r="G35" s="324">
        <f>E35/D35</f>
        <v>0.10128819179581115</v>
      </c>
    </row>
    <row r="36" spans="2:7" x14ac:dyDescent="0.25">
      <c r="C36" s="2"/>
      <c r="D36" s="96"/>
      <c r="E36" s="96"/>
      <c r="F36" s="96"/>
    </row>
    <row r="37" spans="2:7" x14ac:dyDescent="0.25">
      <c r="B37" s="99" t="s">
        <v>1412</v>
      </c>
      <c r="C37" s="100" t="s">
        <v>1401</v>
      </c>
      <c r="D37" s="100" t="s">
        <v>1402</v>
      </c>
      <c r="E37" s="100" t="s">
        <v>1403</v>
      </c>
      <c r="F37" s="100" t="s">
        <v>1404</v>
      </c>
      <c r="G37" s="100" t="s">
        <v>1430</v>
      </c>
    </row>
    <row r="38" spans="2:7" x14ac:dyDescent="0.25">
      <c r="B38" s="101" t="s">
        <v>1405</v>
      </c>
      <c r="C38" s="9">
        <f>SUM(C39:C40)</f>
        <v>45</v>
      </c>
      <c r="D38" s="102">
        <f>SUM(D39:D40)</f>
        <v>8549649872</v>
      </c>
      <c r="E38" s="102">
        <f>SUM(E39:E40)</f>
        <v>2273674072.77</v>
      </c>
      <c r="F38" s="102">
        <f>SUM(F39:F40)</f>
        <v>6275975799.2299995</v>
      </c>
      <c r="G38" s="325"/>
    </row>
    <row r="39" spans="2:7" x14ac:dyDescent="0.25">
      <c r="B39" s="97" t="s">
        <v>1428</v>
      </c>
      <c r="C39" s="3">
        <v>13</v>
      </c>
      <c r="D39" s="98">
        <f>E39+F39</f>
        <v>2480649872</v>
      </c>
      <c r="E39" s="98">
        <f>GETPIVOTDATA("Suma de RECURSOS EJECUTADOS EN PAGOS",Resumen!$A$22,"REGIONAL","SANTANDERES")</f>
        <v>1695126100.6700001</v>
      </c>
      <c r="F39" s="98">
        <f>GETPIVOTDATA("Suma de SALDO SIN EJECUTAR",Resumen!$A$22,"REGIONAL","SANTANDERES")</f>
        <v>785523771.32999992</v>
      </c>
      <c r="G39" s="324">
        <f>E39/D39</f>
        <v>0.68333952316427515</v>
      </c>
    </row>
    <row r="40" spans="2:7" x14ac:dyDescent="0.25">
      <c r="B40" s="97" t="s">
        <v>1429</v>
      </c>
      <c r="C40" s="3">
        <f>GETPIVOTDATA("Cuenta de ALIANZA",Resumen!$A$2,"REGIONAL","SANTANDERES")</f>
        <v>32</v>
      </c>
      <c r="D40" s="98">
        <f>E40+F40</f>
        <v>6069000000</v>
      </c>
      <c r="E40" s="98">
        <f>GETPIVOTDATA("Suma de RECURSOS EJECUTADOS EN PAGOS",Resumen!$A$2,"REGIONAL","SANTANDERES")</f>
        <v>578547972.10000002</v>
      </c>
      <c r="F40" s="98">
        <f>GETPIVOTDATA("Suma de SALDO SIN EJECUTAR",Resumen!$A$2,"REGIONAL","SANTANDERES")</f>
        <v>5490452027.8999996</v>
      </c>
      <c r="G40" s="324">
        <f>E40/D40</f>
        <v>9.5328385582468284E-2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filterMode="1"/>
  <dimension ref="A1:G179"/>
  <sheetViews>
    <sheetView zoomScale="120" zoomScaleNormal="120" workbookViewId="0">
      <pane ySplit="1" topLeftCell="A2" activePane="bottomLeft" state="frozen"/>
      <selection pane="bottomLeft" activeCell="B148" sqref="B148"/>
    </sheetView>
  </sheetViews>
  <sheetFormatPr baseColWidth="10" defaultColWidth="11.42578125" defaultRowHeight="15" x14ac:dyDescent="0.25"/>
  <cols>
    <col min="1" max="1" width="31.85546875" customWidth="1"/>
    <col min="2" max="2" width="43.140625" customWidth="1"/>
    <col min="3" max="3" width="10.7109375" customWidth="1"/>
    <col min="4" max="4" width="16.85546875" customWidth="1"/>
    <col min="5" max="5" width="16.7109375" customWidth="1"/>
    <col min="6" max="6" width="15.28515625" customWidth="1"/>
    <col min="7" max="7" width="16.140625" customWidth="1"/>
  </cols>
  <sheetData>
    <row r="1" spans="1:7" ht="48" customHeight="1" thickBot="1" x14ac:dyDescent="0.3">
      <c r="A1" s="90" t="s">
        <v>0</v>
      </c>
      <c r="B1" s="91" t="s">
        <v>1</v>
      </c>
      <c r="C1" s="126" t="s">
        <v>10</v>
      </c>
      <c r="D1" s="126" t="s">
        <v>11</v>
      </c>
      <c r="E1" s="126" t="s">
        <v>1396</v>
      </c>
      <c r="F1" s="126" t="s">
        <v>1397</v>
      </c>
      <c r="G1" s="120">
        <v>10</v>
      </c>
    </row>
    <row r="2" spans="1:7" ht="16.5" hidden="1" x14ac:dyDescent="0.3">
      <c r="A2" s="131" t="s">
        <v>16</v>
      </c>
      <c r="B2" s="121" t="s">
        <v>38</v>
      </c>
      <c r="C2" s="17">
        <v>0.71147000000000005</v>
      </c>
      <c r="D2" s="3">
        <v>6</v>
      </c>
      <c r="E2" s="3">
        <f t="shared" ref="E2:E33" si="0">$G$1-D2</f>
        <v>4</v>
      </c>
      <c r="F2" s="119">
        <v>44593</v>
      </c>
    </row>
    <row r="3" spans="1:7" ht="16.5" hidden="1" x14ac:dyDescent="0.3">
      <c r="A3" s="20" t="s">
        <v>105</v>
      </c>
      <c r="B3" s="106" t="s">
        <v>106</v>
      </c>
      <c r="C3" s="17">
        <v>0.42171452307692309</v>
      </c>
      <c r="D3" s="3">
        <v>7</v>
      </c>
      <c r="E3" s="3">
        <f t="shared" si="0"/>
        <v>3</v>
      </c>
      <c r="F3" s="119">
        <v>44593</v>
      </c>
    </row>
    <row r="4" spans="1:7" ht="16.5" hidden="1" x14ac:dyDescent="0.3">
      <c r="A4" s="20" t="s">
        <v>105</v>
      </c>
      <c r="B4" s="106" t="s">
        <v>129</v>
      </c>
      <c r="C4" s="17">
        <v>0.40142810000000001</v>
      </c>
      <c r="D4" s="3">
        <v>7</v>
      </c>
      <c r="E4" s="3">
        <f t="shared" si="0"/>
        <v>3</v>
      </c>
      <c r="F4" s="119">
        <v>44593</v>
      </c>
    </row>
    <row r="5" spans="1:7" ht="16.5" hidden="1" x14ac:dyDescent="0.3">
      <c r="A5" s="20" t="s">
        <v>105</v>
      </c>
      <c r="B5" s="106" t="s">
        <v>121</v>
      </c>
      <c r="C5" s="17">
        <v>0.35020180164561859</v>
      </c>
      <c r="D5" s="3">
        <v>7</v>
      </c>
      <c r="E5" s="3">
        <f t="shared" si="0"/>
        <v>3</v>
      </c>
      <c r="F5" s="119">
        <v>44593</v>
      </c>
    </row>
    <row r="6" spans="1:7" ht="16.5" hidden="1" x14ac:dyDescent="0.3">
      <c r="A6" s="20" t="s">
        <v>105</v>
      </c>
      <c r="B6" s="117" t="s">
        <v>116</v>
      </c>
      <c r="C6" s="17">
        <v>0.32332749994999999</v>
      </c>
      <c r="D6" s="3">
        <v>7</v>
      </c>
      <c r="E6" s="3">
        <f t="shared" si="0"/>
        <v>3</v>
      </c>
      <c r="F6" s="119">
        <v>44593</v>
      </c>
    </row>
    <row r="7" spans="1:7" ht="16.5" hidden="1" x14ac:dyDescent="0.3">
      <c r="A7" s="20" t="s">
        <v>105</v>
      </c>
      <c r="B7" s="117" t="s">
        <v>158</v>
      </c>
      <c r="C7" s="17">
        <v>0.30114259844717917</v>
      </c>
      <c r="D7" s="3">
        <v>7</v>
      </c>
      <c r="E7" s="3">
        <f t="shared" si="0"/>
        <v>3</v>
      </c>
      <c r="F7" s="119">
        <v>44593</v>
      </c>
    </row>
    <row r="8" spans="1:7" ht="16.5" hidden="1" x14ac:dyDescent="0.3">
      <c r="A8" s="20" t="s">
        <v>105</v>
      </c>
      <c r="B8" s="117" t="s">
        <v>140</v>
      </c>
      <c r="C8" s="17">
        <v>0.19527833</v>
      </c>
      <c r="D8" s="3">
        <v>7</v>
      </c>
      <c r="E8" s="3">
        <f t="shared" si="0"/>
        <v>3</v>
      </c>
      <c r="F8" s="119">
        <v>44593</v>
      </c>
      <c r="G8" s="132"/>
    </row>
    <row r="9" spans="1:7" ht="16.5" hidden="1" x14ac:dyDescent="0.3">
      <c r="A9" s="20" t="s">
        <v>105</v>
      </c>
      <c r="B9" s="106" t="s">
        <v>256</v>
      </c>
      <c r="C9" s="17">
        <v>0.18648641209636085</v>
      </c>
      <c r="D9" s="3">
        <v>7</v>
      </c>
      <c r="E9" s="3">
        <f t="shared" si="0"/>
        <v>3</v>
      </c>
      <c r="F9" s="119">
        <v>44593</v>
      </c>
      <c r="G9" s="132"/>
    </row>
    <row r="10" spans="1:7" ht="16.5" hidden="1" x14ac:dyDescent="0.3">
      <c r="A10" s="20" t="s">
        <v>105</v>
      </c>
      <c r="B10" s="106" t="s">
        <v>275</v>
      </c>
      <c r="C10" s="17">
        <v>0.18501984122914081</v>
      </c>
      <c r="D10" s="3">
        <v>7</v>
      </c>
      <c r="E10" s="3">
        <f t="shared" si="0"/>
        <v>3</v>
      </c>
      <c r="F10" s="119">
        <v>44593</v>
      </c>
      <c r="G10" s="132"/>
    </row>
    <row r="11" spans="1:7" ht="16.5" hidden="1" x14ac:dyDescent="0.3">
      <c r="A11" s="21" t="s">
        <v>105</v>
      </c>
      <c r="B11" s="118" t="s">
        <v>293</v>
      </c>
      <c r="C11" s="17">
        <v>0.14099248</v>
      </c>
      <c r="D11" s="3">
        <v>7</v>
      </c>
      <c r="E11" s="3">
        <f t="shared" si="0"/>
        <v>3</v>
      </c>
      <c r="F11" s="119">
        <v>44593</v>
      </c>
    </row>
    <row r="12" spans="1:7" ht="16.5" hidden="1" x14ac:dyDescent="0.3">
      <c r="A12" s="19" t="s">
        <v>49</v>
      </c>
      <c r="B12" s="106" t="s">
        <v>50</v>
      </c>
      <c r="C12" s="17">
        <v>0.52662529417647064</v>
      </c>
      <c r="D12" s="3">
        <v>7</v>
      </c>
      <c r="E12" s="3">
        <f t="shared" si="0"/>
        <v>3</v>
      </c>
      <c r="F12" s="119">
        <v>44621</v>
      </c>
    </row>
    <row r="13" spans="1:7" ht="16.5" hidden="1" x14ac:dyDescent="0.3">
      <c r="A13" s="20" t="s">
        <v>16</v>
      </c>
      <c r="B13" s="106" t="s">
        <v>82</v>
      </c>
      <c r="C13" s="17">
        <v>0.38053015508731491</v>
      </c>
      <c r="D13" s="3">
        <v>5</v>
      </c>
      <c r="E13" s="3">
        <f t="shared" si="0"/>
        <v>5</v>
      </c>
      <c r="F13" s="119">
        <v>44621</v>
      </c>
    </row>
    <row r="14" spans="1:7" ht="16.5" hidden="1" x14ac:dyDescent="0.3">
      <c r="A14" s="20" t="s">
        <v>16</v>
      </c>
      <c r="B14" s="122" t="s">
        <v>103</v>
      </c>
      <c r="C14" s="17">
        <v>0.37587301207158808</v>
      </c>
      <c r="D14" s="3">
        <v>5</v>
      </c>
      <c r="E14" s="3">
        <f t="shared" si="0"/>
        <v>5</v>
      </c>
      <c r="F14" s="119">
        <v>44621</v>
      </c>
    </row>
    <row r="15" spans="1:7" ht="16.5" hidden="1" x14ac:dyDescent="0.3">
      <c r="A15" s="20" t="s">
        <v>105</v>
      </c>
      <c r="B15" s="106" t="s">
        <v>367</v>
      </c>
      <c r="C15" s="17">
        <v>0.31887794949025516</v>
      </c>
      <c r="D15" s="3">
        <v>6</v>
      </c>
      <c r="E15" s="3">
        <f t="shared" si="0"/>
        <v>4</v>
      </c>
      <c r="F15" s="119">
        <v>44621</v>
      </c>
    </row>
    <row r="16" spans="1:7" ht="16.5" hidden="1" x14ac:dyDescent="0.3">
      <c r="A16" s="20" t="s">
        <v>105</v>
      </c>
      <c r="B16" s="106" t="s">
        <v>109</v>
      </c>
      <c r="C16" s="17">
        <v>0.30657142857142855</v>
      </c>
      <c r="D16" s="3">
        <v>6</v>
      </c>
      <c r="E16" s="3">
        <f t="shared" si="0"/>
        <v>4</v>
      </c>
      <c r="F16" s="119">
        <v>44621</v>
      </c>
    </row>
    <row r="17" spans="1:6" ht="16.5" hidden="1" x14ac:dyDescent="0.3">
      <c r="A17" s="20" t="s">
        <v>16</v>
      </c>
      <c r="B17" s="106" t="s">
        <v>244</v>
      </c>
      <c r="C17" s="17">
        <v>0.24816749083745418</v>
      </c>
      <c r="D17" s="3">
        <v>5</v>
      </c>
      <c r="E17" s="3">
        <f t="shared" si="0"/>
        <v>5</v>
      </c>
      <c r="F17" s="119">
        <v>44621</v>
      </c>
    </row>
    <row r="18" spans="1:6" ht="16.5" hidden="1" x14ac:dyDescent="0.3">
      <c r="A18" s="20" t="s">
        <v>49</v>
      </c>
      <c r="B18" s="117" t="s">
        <v>162</v>
      </c>
      <c r="C18" s="17">
        <v>0.24371887188718871</v>
      </c>
      <c r="D18" s="3">
        <v>7</v>
      </c>
      <c r="E18" s="3">
        <f t="shared" si="0"/>
        <v>3</v>
      </c>
      <c r="F18" s="119">
        <v>44621</v>
      </c>
    </row>
    <row r="19" spans="1:6" ht="16.5" hidden="1" x14ac:dyDescent="0.3">
      <c r="A19" s="20" t="s">
        <v>49</v>
      </c>
      <c r="B19" s="106" t="s">
        <v>123</v>
      </c>
      <c r="C19" s="17">
        <v>0.23588000000000001</v>
      </c>
      <c r="D19" s="3">
        <v>7</v>
      </c>
      <c r="E19" s="3">
        <f t="shared" si="0"/>
        <v>3</v>
      </c>
      <c r="F19" s="119">
        <v>44621</v>
      </c>
    </row>
    <row r="20" spans="1:6" ht="16.5" hidden="1" x14ac:dyDescent="0.3">
      <c r="A20" s="20" t="s">
        <v>49</v>
      </c>
      <c r="B20" s="106" t="s">
        <v>242</v>
      </c>
      <c r="C20" s="17">
        <v>0.22706512681967442</v>
      </c>
      <c r="D20" s="3">
        <v>7</v>
      </c>
      <c r="E20" s="3">
        <f t="shared" si="0"/>
        <v>3</v>
      </c>
      <c r="F20" s="119">
        <v>44621</v>
      </c>
    </row>
    <row r="21" spans="1:6" ht="16.5" hidden="1" x14ac:dyDescent="0.3">
      <c r="A21" s="20" t="s">
        <v>16</v>
      </c>
      <c r="B21" s="106" t="s">
        <v>192</v>
      </c>
      <c r="C21" s="17">
        <v>0.22516625112583125</v>
      </c>
      <c r="D21" s="3">
        <v>5</v>
      </c>
      <c r="E21" s="3">
        <f t="shared" si="0"/>
        <v>5</v>
      </c>
      <c r="F21" s="119">
        <v>44621</v>
      </c>
    </row>
    <row r="22" spans="1:6" ht="16.5" hidden="1" x14ac:dyDescent="0.3">
      <c r="A22" s="20" t="s">
        <v>105</v>
      </c>
      <c r="B22" s="106" t="s">
        <v>205</v>
      </c>
      <c r="C22" s="17">
        <v>0.22371428571428573</v>
      </c>
      <c r="D22" s="3">
        <v>6</v>
      </c>
      <c r="E22" s="3">
        <f t="shared" si="0"/>
        <v>4</v>
      </c>
      <c r="F22" s="119">
        <v>44621</v>
      </c>
    </row>
    <row r="23" spans="1:6" ht="16.5" hidden="1" x14ac:dyDescent="0.3">
      <c r="A23" s="20" t="s">
        <v>105</v>
      </c>
      <c r="B23" s="106" t="s">
        <v>260</v>
      </c>
      <c r="C23" s="17">
        <v>0.22212329698909672</v>
      </c>
      <c r="D23" s="3">
        <v>6</v>
      </c>
      <c r="E23" s="3">
        <f t="shared" si="0"/>
        <v>4</v>
      </c>
      <c r="F23" s="119">
        <v>44621</v>
      </c>
    </row>
    <row r="24" spans="1:6" ht="16.5" hidden="1" x14ac:dyDescent="0.3">
      <c r="A24" s="20" t="s">
        <v>105</v>
      </c>
      <c r="B24" s="117" t="s">
        <v>254</v>
      </c>
      <c r="C24" s="17">
        <v>0.22205665999999999</v>
      </c>
      <c r="D24" s="3">
        <v>6</v>
      </c>
      <c r="E24" s="3">
        <f t="shared" si="0"/>
        <v>4</v>
      </c>
      <c r="F24" s="119">
        <v>44621</v>
      </c>
    </row>
    <row r="25" spans="1:6" ht="16.5" hidden="1" x14ac:dyDescent="0.3">
      <c r="A25" s="20" t="s">
        <v>16</v>
      </c>
      <c r="B25" s="106" t="s">
        <v>198</v>
      </c>
      <c r="C25" s="17">
        <v>0.21216625106083126</v>
      </c>
      <c r="D25" s="3">
        <v>5</v>
      </c>
      <c r="E25" s="3">
        <f t="shared" si="0"/>
        <v>5</v>
      </c>
      <c r="F25" s="119">
        <v>44621</v>
      </c>
    </row>
    <row r="26" spans="1:6" ht="16.5" hidden="1" x14ac:dyDescent="0.3">
      <c r="A26" s="20" t="s">
        <v>49</v>
      </c>
      <c r="B26" s="106" t="s">
        <v>228</v>
      </c>
      <c r="C26" s="17">
        <v>0.19850000000000001</v>
      </c>
      <c r="D26" s="3">
        <v>7</v>
      </c>
      <c r="E26" s="3">
        <f t="shared" si="0"/>
        <v>3</v>
      </c>
      <c r="F26" s="119">
        <v>44621</v>
      </c>
    </row>
    <row r="27" spans="1:6" ht="16.5" hidden="1" x14ac:dyDescent="0.3">
      <c r="A27" s="20" t="s">
        <v>105</v>
      </c>
      <c r="B27" s="106" t="s">
        <v>178</v>
      </c>
      <c r="C27" s="17">
        <v>0.19282525391963243</v>
      </c>
      <c r="D27" s="3">
        <v>6</v>
      </c>
      <c r="E27" s="3">
        <f t="shared" si="0"/>
        <v>4</v>
      </c>
      <c r="F27" s="119">
        <v>44621</v>
      </c>
    </row>
    <row r="28" spans="1:6" ht="16.5" hidden="1" x14ac:dyDescent="0.3">
      <c r="A28" s="20" t="s">
        <v>16</v>
      </c>
      <c r="B28" s="117" t="s">
        <v>187</v>
      </c>
      <c r="C28" s="17">
        <v>0.17908788681031496</v>
      </c>
      <c r="D28" s="3">
        <v>5</v>
      </c>
      <c r="E28" s="3">
        <f t="shared" si="0"/>
        <v>5</v>
      </c>
      <c r="F28" s="119">
        <v>44621</v>
      </c>
    </row>
    <row r="29" spans="1:6" ht="16.5" hidden="1" x14ac:dyDescent="0.3">
      <c r="A29" s="20" t="s">
        <v>105</v>
      </c>
      <c r="B29" s="106" t="s">
        <v>297</v>
      </c>
      <c r="C29" s="17">
        <v>0.17703844164799173</v>
      </c>
      <c r="D29" s="3">
        <v>6</v>
      </c>
      <c r="E29" s="3">
        <f t="shared" si="0"/>
        <v>4</v>
      </c>
      <c r="F29" s="119">
        <v>44621</v>
      </c>
    </row>
    <row r="30" spans="1:6" ht="16.5" hidden="1" x14ac:dyDescent="0.3">
      <c r="A30" s="19" t="s">
        <v>49</v>
      </c>
      <c r="B30" s="106" t="s">
        <v>252</v>
      </c>
      <c r="C30" s="17">
        <v>0.14749999999999999</v>
      </c>
      <c r="D30" s="3">
        <v>7</v>
      </c>
      <c r="E30" s="3">
        <f t="shared" si="0"/>
        <v>3</v>
      </c>
      <c r="F30" s="119">
        <v>44621</v>
      </c>
    </row>
    <row r="31" spans="1:6" ht="16.5" hidden="1" x14ac:dyDescent="0.3">
      <c r="A31" s="19" t="s">
        <v>49</v>
      </c>
      <c r="B31" s="106" t="s">
        <v>138</v>
      </c>
      <c r="C31" s="17">
        <v>0.14702857142857143</v>
      </c>
      <c r="D31" s="3">
        <v>7</v>
      </c>
      <c r="E31" s="3">
        <f t="shared" si="0"/>
        <v>3</v>
      </c>
      <c r="F31" s="119">
        <v>44621</v>
      </c>
    </row>
    <row r="32" spans="1:6" ht="16.5" hidden="1" x14ac:dyDescent="0.3">
      <c r="A32" s="20" t="s">
        <v>105</v>
      </c>
      <c r="B32" s="106" t="s">
        <v>301</v>
      </c>
      <c r="C32" s="17">
        <v>0.145667045</v>
      </c>
      <c r="D32" s="3">
        <v>6</v>
      </c>
      <c r="E32" s="3">
        <f t="shared" si="0"/>
        <v>4</v>
      </c>
      <c r="F32" s="119">
        <v>44621</v>
      </c>
    </row>
    <row r="33" spans="1:6" ht="16.5" hidden="1" x14ac:dyDescent="0.3">
      <c r="A33" s="20" t="s">
        <v>105</v>
      </c>
      <c r="B33" s="117" t="s">
        <v>230</v>
      </c>
      <c r="C33" s="17">
        <v>0.13097474745454543</v>
      </c>
      <c r="D33" s="3">
        <v>6</v>
      </c>
      <c r="E33" s="3">
        <f t="shared" si="0"/>
        <v>4</v>
      </c>
      <c r="F33" s="119">
        <v>44621</v>
      </c>
    </row>
    <row r="34" spans="1:6" ht="16.5" hidden="1" x14ac:dyDescent="0.3">
      <c r="A34" s="20" t="s">
        <v>105</v>
      </c>
      <c r="B34" s="106" t="s">
        <v>336</v>
      </c>
      <c r="C34" s="17">
        <v>0.10728154844645339</v>
      </c>
      <c r="D34" s="3">
        <v>6</v>
      </c>
      <c r="E34" s="3">
        <f t="shared" ref="E34:E65" si="1">$G$1-D34</f>
        <v>4</v>
      </c>
      <c r="F34" s="119">
        <v>44621</v>
      </c>
    </row>
    <row r="35" spans="1:6" ht="16.5" hidden="1" x14ac:dyDescent="0.3">
      <c r="A35" s="20" t="s">
        <v>49</v>
      </c>
      <c r="B35" s="117" t="s">
        <v>303</v>
      </c>
      <c r="C35" s="17">
        <v>0.10701967235617252</v>
      </c>
      <c r="D35" s="3">
        <v>7</v>
      </c>
      <c r="E35" s="3">
        <f t="shared" si="1"/>
        <v>3</v>
      </c>
      <c r="F35" s="119">
        <v>44621</v>
      </c>
    </row>
    <row r="36" spans="1:6" ht="16.5" hidden="1" x14ac:dyDescent="0.3">
      <c r="A36" s="20" t="s">
        <v>49</v>
      </c>
      <c r="B36" s="106" t="s">
        <v>250</v>
      </c>
      <c r="C36" s="17">
        <v>9.8500000000000004E-2</v>
      </c>
      <c r="D36" s="3">
        <v>7</v>
      </c>
      <c r="E36" s="3">
        <f t="shared" si="1"/>
        <v>3</v>
      </c>
      <c r="F36" s="119">
        <v>44621</v>
      </c>
    </row>
    <row r="37" spans="1:6" ht="16.5" hidden="1" x14ac:dyDescent="0.3">
      <c r="A37" s="20" t="s">
        <v>49</v>
      </c>
      <c r="B37" s="123" t="s">
        <v>295</v>
      </c>
      <c r="C37" s="17">
        <v>6.5287692964793462E-2</v>
      </c>
      <c r="D37" s="3">
        <v>7</v>
      </c>
      <c r="E37" s="3">
        <f t="shared" si="1"/>
        <v>3</v>
      </c>
      <c r="F37" s="119">
        <v>44621</v>
      </c>
    </row>
    <row r="38" spans="1:6" ht="16.5" hidden="1" x14ac:dyDescent="0.3">
      <c r="A38" s="21" t="s">
        <v>105</v>
      </c>
      <c r="B38" s="124" t="s">
        <v>315</v>
      </c>
      <c r="C38" s="17">
        <v>6.227833E-2</v>
      </c>
      <c r="D38" s="3">
        <v>6</v>
      </c>
      <c r="E38" s="3">
        <f t="shared" si="1"/>
        <v>4</v>
      </c>
      <c r="F38" s="119">
        <v>44621</v>
      </c>
    </row>
    <row r="39" spans="1:6" ht="16.5" hidden="1" x14ac:dyDescent="0.3">
      <c r="A39" s="20" t="s">
        <v>49</v>
      </c>
      <c r="B39" s="106" t="s">
        <v>373</v>
      </c>
      <c r="C39" s="17">
        <v>6.2162319177365942E-2</v>
      </c>
      <c r="D39" s="3">
        <v>7</v>
      </c>
      <c r="E39" s="3">
        <f t="shared" si="1"/>
        <v>3</v>
      </c>
      <c r="F39" s="119">
        <v>44621</v>
      </c>
    </row>
    <row r="40" spans="1:6" ht="16.5" hidden="1" x14ac:dyDescent="0.3">
      <c r="A40" s="20" t="s">
        <v>49</v>
      </c>
      <c r="B40" s="117" t="s">
        <v>321</v>
      </c>
      <c r="C40" s="17">
        <v>5.3568567766741432E-2</v>
      </c>
      <c r="D40" s="3">
        <v>7</v>
      </c>
      <c r="E40" s="3">
        <f t="shared" si="1"/>
        <v>3</v>
      </c>
      <c r="F40" s="119">
        <v>44621</v>
      </c>
    </row>
    <row r="41" spans="1:6" ht="16.5" hidden="1" x14ac:dyDescent="0.3">
      <c r="A41" s="19" t="s">
        <v>16</v>
      </c>
      <c r="B41" s="106" t="s">
        <v>397</v>
      </c>
      <c r="C41" s="17">
        <v>5.8758998765023043E-3</v>
      </c>
      <c r="D41" s="3">
        <v>5</v>
      </c>
      <c r="E41" s="3">
        <f t="shared" si="1"/>
        <v>5</v>
      </c>
      <c r="F41" s="119">
        <v>44621</v>
      </c>
    </row>
    <row r="42" spans="1:6" ht="16.5" hidden="1" x14ac:dyDescent="0.3">
      <c r="A42" s="20" t="s">
        <v>16</v>
      </c>
      <c r="B42" s="106" t="s">
        <v>403</v>
      </c>
      <c r="C42" s="17">
        <v>0</v>
      </c>
      <c r="D42" s="3">
        <v>5</v>
      </c>
      <c r="E42" s="3">
        <f t="shared" si="1"/>
        <v>5</v>
      </c>
      <c r="F42" s="119">
        <v>44621</v>
      </c>
    </row>
    <row r="43" spans="1:6" ht="16.5" hidden="1" x14ac:dyDescent="0.3">
      <c r="A43" s="20" t="s">
        <v>16</v>
      </c>
      <c r="B43" s="106" t="s">
        <v>413</v>
      </c>
      <c r="C43" s="17">
        <v>0</v>
      </c>
      <c r="D43" s="3">
        <v>5</v>
      </c>
      <c r="E43" s="3">
        <f t="shared" si="1"/>
        <v>5</v>
      </c>
      <c r="F43" s="119">
        <v>44621</v>
      </c>
    </row>
    <row r="44" spans="1:6" ht="16.5" hidden="1" x14ac:dyDescent="0.3">
      <c r="A44" s="20" t="s">
        <v>16</v>
      </c>
      <c r="B44" s="106" t="s">
        <v>415</v>
      </c>
      <c r="C44" s="17">
        <v>0</v>
      </c>
      <c r="D44" s="3">
        <v>5</v>
      </c>
      <c r="E44" s="3">
        <f t="shared" si="1"/>
        <v>5</v>
      </c>
      <c r="F44" s="119">
        <v>44621</v>
      </c>
    </row>
    <row r="45" spans="1:6" ht="16.5" hidden="1" x14ac:dyDescent="0.3">
      <c r="A45" s="20" t="s">
        <v>16</v>
      </c>
      <c r="B45" s="106" t="s">
        <v>401</v>
      </c>
      <c r="C45" s="17">
        <v>0</v>
      </c>
      <c r="D45" s="3">
        <v>5</v>
      </c>
      <c r="E45" s="3">
        <f t="shared" si="1"/>
        <v>5</v>
      </c>
      <c r="F45" s="119">
        <v>44621</v>
      </c>
    </row>
    <row r="46" spans="1:6" ht="16.5" hidden="1" x14ac:dyDescent="0.3">
      <c r="A46" s="20" t="s">
        <v>23</v>
      </c>
      <c r="B46" s="106" t="s">
        <v>101</v>
      </c>
      <c r="C46" s="17">
        <v>0.75261725303163507</v>
      </c>
      <c r="D46" s="3">
        <v>4</v>
      </c>
      <c r="E46" s="3">
        <f t="shared" si="1"/>
        <v>6</v>
      </c>
      <c r="F46" s="119">
        <v>44652</v>
      </c>
    </row>
    <row r="47" spans="1:6" ht="16.5" hidden="1" x14ac:dyDescent="0.3">
      <c r="A47" s="20" t="s">
        <v>23</v>
      </c>
      <c r="B47" s="106" t="s">
        <v>42</v>
      </c>
      <c r="C47" s="17">
        <v>0.74160922884840608</v>
      </c>
      <c r="D47" s="3">
        <v>3</v>
      </c>
      <c r="E47" s="3">
        <f t="shared" si="1"/>
        <v>7</v>
      </c>
      <c r="F47" s="119">
        <v>44652</v>
      </c>
    </row>
    <row r="48" spans="1:6" ht="16.5" x14ac:dyDescent="0.3">
      <c r="A48" s="19" t="s">
        <v>32</v>
      </c>
      <c r="B48" s="106" t="s">
        <v>53</v>
      </c>
      <c r="C48" s="17">
        <v>0.61017248603788687</v>
      </c>
      <c r="D48" s="3">
        <v>5</v>
      </c>
      <c r="E48" s="3">
        <f t="shared" si="1"/>
        <v>5</v>
      </c>
      <c r="F48" s="119">
        <v>44652</v>
      </c>
    </row>
    <row r="49" spans="1:6" ht="16.5" hidden="1" x14ac:dyDescent="0.3">
      <c r="A49" s="20" t="s">
        <v>23</v>
      </c>
      <c r="B49" s="106" t="s">
        <v>93</v>
      </c>
      <c r="C49" s="17">
        <v>0.57853644609338284</v>
      </c>
      <c r="D49" s="3">
        <v>4</v>
      </c>
      <c r="E49" s="3">
        <f t="shared" si="1"/>
        <v>6</v>
      </c>
      <c r="F49" s="119">
        <v>44652</v>
      </c>
    </row>
    <row r="50" spans="1:6" ht="16.5" x14ac:dyDescent="0.3">
      <c r="A50" s="19" t="s">
        <v>32</v>
      </c>
      <c r="B50" s="106" t="s">
        <v>59</v>
      </c>
      <c r="C50" s="17">
        <v>0.51262017896350309</v>
      </c>
      <c r="D50" s="3">
        <v>5</v>
      </c>
      <c r="E50" s="3">
        <f t="shared" si="1"/>
        <v>5</v>
      </c>
      <c r="F50" s="119">
        <v>44652</v>
      </c>
    </row>
    <row r="51" spans="1:6" ht="16.5" x14ac:dyDescent="0.3">
      <c r="A51" s="19" t="s">
        <v>32</v>
      </c>
      <c r="B51" s="106" t="s">
        <v>36</v>
      </c>
      <c r="C51" s="17">
        <v>0.48767812570719049</v>
      </c>
      <c r="D51" s="3">
        <v>5</v>
      </c>
      <c r="E51" s="3">
        <f t="shared" si="1"/>
        <v>5</v>
      </c>
      <c r="F51" s="119">
        <v>44652</v>
      </c>
    </row>
    <row r="52" spans="1:6" ht="16.5" x14ac:dyDescent="0.3">
      <c r="A52" s="19" t="s">
        <v>32</v>
      </c>
      <c r="B52" s="106" t="s">
        <v>40</v>
      </c>
      <c r="C52" s="17">
        <v>0.45748883000000001</v>
      </c>
      <c r="D52" s="3">
        <v>5</v>
      </c>
      <c r="E52" s="3">
        <f t="shared" si="1"/>
        <v>5</v>
      </c>
      <c r="F52" s="119">
        <v>44652</v>
      </c>
    </row>
    <row r="53" spans="1:6" ht="16.5" x14ac:dyDescent="0.3">
      <c r="A53" s="19" t="s">
        <v>32</v>
      </c>
      <c r="B53" s="106" t="s">
        <v>33</v>
      </c>
      <c r="C53" s="17">
        <v>0.45498498999999998</v>
      </c>
      <c r="D53" s="3">
        <v>5</v>
      </c>
      <c r="E53" s="3">
        <f t="shared" si="1"/>
        <v>5</v>
      </c>
      <c r="F53" s="119">
        <v>44652</v>
      </c>
    </row>
    <row r="54" spans="1:6" ht="16.5" x14ac:dyDescent="0.3">
      <c r="A54" s="19" t="s">
        <v>32</v>
      </c>
      <c r="B54" s="106" t="s">
        <v>62</v>
      </c>
      <c r="C54" s="17">
        <v>0.45397323847076976</v>
      </c>
      <c r="D54" s="3">
        <v>5</v>
      </c>
      <c r="E54" s="3">
        <f t="shared" si="1"/>
        <v>5</v>
      </c>
      <c r="F54" s="119">
        <v>44652</v>
      </c>
    </row>
    <row r="55" spans="1:6" ht="16.5" x14ac:dyDescent="0.3">
      <c r="A55" s="19" t="s">
        <v>32</v>
      </c>
      <c r="B55" s="106" t="s">
        <v>45</v>
      </c>
      <c r="C55" s="17">
        <v>0.43316456722062691</v>
      </c>
      <c r="D55" s="3">
        <v>5</v>
      </c>
      <c r="E55" s="3">
        <f t="shared" si="1"/>
        <v>5</v>
      </c>
      <c r="F55" s="119">
        <v>44652</v>
      </c>
    </row>
    <row r="56" spans="1:6" ht="16.5" hidden="1" x14ac:dyDescent="0.3">
      <c r="A56" s="20" t="s">
        <v>55</v>
      </c>
      <c r="B56" s="106" t="s">
        <v>69</v>
      </c>
      <c r="C56" s="17">
        <v>0.42270954400935029</v>
      </c>
      <c r="D56" s="3">
        <v>4</v>
      </c>
      <c r="E56" s="3">
        <f t="shared" si="1"/>
        <v>6</v>
      </c>
      <c r="F56" s="119">
        <v>44652</v>
      </c>
    </row>
    <row r="57" spans="1:6" ht="16.5" hidden="1" x14ac:dyDescent="0.3">
      <c r="A57" s="20" t="s">
        <v>23</v>
      </c>
      <c r="B57" s="106" t="s">
        <v>66</v>
      </c>
      <c r="C57" s="17">
        <v>0.41267455953766508</v>
      </c>
      <c r="D57" s="3">
        <v>4</v>
      </c>
      <c r="E57" s="3">
        <f t="shared" si="1"/>
        <v>6</v>
      </c>
      <c r="F57" s="119">
        <v>44652</v>
      </c>
    </row>
    <row r="58" spans="1:6" ht="16.5" hidden="1" x14ac:dyDescent="0.3">
      <c r="A58" s="20" t="s">
        <v>23</v>
      </c>
      <c r="B58" s="106" t="s">
        <v>136</v>
      </c>
      <c r="C58" s="17">
        <v>0.40860300099430535</v>
      </c>
      <c r="D58" s="3">
        <v>4</v>
      </c>
      <c r="E58" s="3">
        <f t="shared" si="1"/>
        <v>6</v>
      </c>
      <c r="F58" s="119">
        <v>44652</v>
      </c>
    </row>
    <row r="59" spans="1:6" ht="16.5" x14ac:dyDescent="0.3">
      <c r="A59" s="19" t="s">
        <v>32</v>
      </c>
      <c r="B59" s="106" t="s">
        <v>64</v>
      </c>
      <c r="C59" s="17">
        <v>0.40464265999999999</v>
      </c>
      <c r="D59" s="3">
        <v>5</v>
      </c>
      <c r="E59" s="3">
        <f t="shared" si="1"/>
        <v>5</v>
      </c>
      <c r="F59" s="119">
        <v>44652</v>
      </c>
    </row>
    <row r="60" spans="1:6" ht="16.5" x14ac:dyDescent="0.3">
      <c r="A60" s="19" t="s">
        <v>32</v>
      </c>
      <c r="B60" s="106" t="s">
        <v>47</v>
      </c>
      <c r="C60" s="17">
        <v>0.40065853217006514</v>
      </c>
      <c r="D60" s="3">
        <v>5</v>
      </c>
      <c r="E60" s="3">
        <f t="shared" si="1"/>
        <v>5</v>
      </c>
      <c r="F60" s="119">
        <v>44652</v>
      </c>
    </row>
    <row r="61" spans="1:6" ht="16.5" hidden="1" x14ac:dyDescent="0.3">
      <c r="A61" s="20" t="s">
        <v>28</v>
      </c>
      <c r="B61" s="117" t="s">
        <v>79</v>
      </c>
      <c r="C61" s="17">
        <v>0.38997500000000002</v>
      </c>
      <c r="D61" s="3">
        <v>4</v>
      </c>
      <c r="E61" s="3">
        <f t="shared" si="1"/>
        <v>6</v>
      </c>
      <c r="F61" s="119">
        <v>44652</v>
      </c>
    </row>
    <row r="62" spans="1:6" ht="16.5" hidden="1" x14ac:dyDescent="0.3">
      <c r="A62" s="20" t="s">
        <v>23</v>
      </c>
      <c r="B62" s="117" t="s">
        <v>142</v>
      </c>
      <c r="C62" s="17">
        <v>0.36577006476906443</v>
      </c>
      <c r="D62" s="3">
        <v>4</v>
      </c>
      <c r="E62" s="3">
        <f t="shared" si="1"/>
        <v>6</v>
      </c>
      <c r="F62" s="119">
        <v>44652</v>
      </c>
    </row>
    <row r="63" spans="1:6" ht="16.5" hidden="1" x14ac:dyDescent="0.3">
      <c r="A63" s="20" t="s">
        <v>23</v>
      </c>
      <c r="B63" s="106" t="s">
        <v>85</v>
      </c>
      <c r="C63" s="17">
        <v>0.35820933838128721</v>
      </c>
      <c r="D63" s="3">
        <v>4</v>
      </c>
      <c r="E63" s="3">
        <f t="shared" si="1"/>
        <v>6</v>
      </c>
      <c r="F63" s="119">
        <v>44652</v>
      </c>
    </row>
    <row r="64" spans="1:6" ht="16.5" hidden="1" x14ac:dyDescent="0.3">
      <c r="A64" s="20" t="s">
        <v>23</v>
      </c>
      <c r="B64" s="106" t="s">
        <v>97</v>
      </c>
      <c r="C64" s="17">
        <v>0.35149999999999998</v>
      </c>
      <c r="D64" s="3">
        <v>4</v>
      </c>
      <c r="E64" s="3">
        <f t="shared" si="1"/>
        <v>6</v>
      </c>
      <c r="F64" s="119">
        <v>44652</v>
      </c>
    </row>
    <row r="65" spans="1:6" ht="16.5" hidden="1" x14ac:dyDescent="0.3">
      <c r="A65" s="20" t="s">
        <v>23</v>
      </c>
      <c r="B65" s="106" t="s">
        <v>215</v>
      </c>
      <c r="C65" s="17">
        <v>0.32179999999999997</v>
      </c>
      <c r="D65" s="3">
        <v>4</v>
      </c>
      <c r="E65" s="3">
        <f t="shared" si="1"/>
        <v>6</v>
      </c>
      <c r="F65" s="119">
        <v>44652</v>
      </c>
    </row>
    <row r="66" spans="1:6" ht="16.5" hidden="1" x14ac:dyDescent="0.3">
      <c r="A66" s="20" t="s">
        <v>28</v>
      </c>
      <c r="B66" s="106" t="s">
        <v>194</v>
      </c>
      <c r="C66" s="17">
        <v>0.3049193195129023</v>
      </c>
      <c r="D66" s="3">
        <v>4</v>
      </c>
      <c r="E66" s="3">
        <f t="shared" ref="E66:E97" si="2">$G$1-D66</f>
        <v>6</v>
      </c>
      <c r="F66" s="119">
        <v>44652</v>
      </c>
    </row>
    <row r="67" spans="1:6" ht="16.5" hidden="1" x14ac:dyDescent="0.3">
      <c r="A67" s="20" t="s">
        <v>23</v>
      </c>
      <c r="B67" s="106" t="s">
        <v>203</v>
      </c>
      <c r="C67" s="17">
        <v>0.29335815041525992</v>
      </c>
      <c r="D67" s="3">
        <v>4</v>
      </c>
      <c r="E67" s="3">
        <f t="shared" si="2"/>
        <v>6</v>
      </c>
      <c r="F67" s="119">
        <v>44652</v>
      </c>
    </row>
    <row r="68" spans="1:6" ht="16.5" hidden="1" x14ac:dyDescent="0.3">
      <c r="A68" s="20" t="s">
        <v>28</v>
      </c>
      <c r="B68" s="117" t="s">
        <v>219</v>
      </c>
      <c r="C68" s="17">
        <v>0.27907481811271584</v>
      </c>
      <c r="D68" s="3">
        <v>4</v>
      </c>
      <c r="E68" s="3">
        <f t="shared" si="2"/>
        <v>6</v>
      </c>
      <c r="F68" s="119">
        <v>44652</v>
      </c>
    </row>
    <row r="69" spans="1:6" ht="16.5" hidden="1" x14ac:dyDescent="0.3">
      <c r="A69" s="20" t="s">
        <v>23</v>
      </c>
      <c r="B69" s="117" t="s">
        <v>168</v>
      </c>
      <c r="C69" s="17">
        <v>0.25376625000000003</v>
      </c>
      <c r="D69" s="3">
        <v>3</v>
      </c>
      <c r="E69" s="3">
        <f t="shared" si="2"/>
        <v>7</v>
      </c>
      <c r="F69" s="119">
        <v>44652</v>
      </c>
    </row>
    <row r="70" spans="1:6" ht="16.5" hidden="1" x14ac:dyDescent="0.3">
      <c r="A70" s="20" t="s">
        <v>55</v>
      </c>
      <c r="B70" s="106" t="s">
        <v>160</v>
      </c>
      <c r="C70" s="17">
        <v>0.24526100131571421</v>
      </c>
      <c r="D70" s="3">
        <v>4</v>
      </c>
      <c r="E70" s="3">
        <f t="shared" si="2"/>
        <v>6</v>
      </c>
      <c r="F70" s="119">
        <v>44652</v>
      </c>
    </row>
    <row r="71" spans="1:6" ht="16.5" hidden="1" x14ac:dyDescent="0.3">
      <c r="A71" s="20" t="s">
        <v>28</v>
      </c>
      <c r="B71" s="106" t="s">
        <v>111</v>
      </c>
      <c r="C71" s="17">
        <v>0.2408905563</v>
      </c>
      <c r="D71" s="3">
        <v>4</v>
      </c>
      <c r="E71" s="3">
        <f t="shared" si="2"/>
        <v>6</v>
      </c>
      <c r="F71" s="119">
        <v>44652</v>
      </c>
    </row>
    <row r="72" spans="1:6" ht="16.5" hidden="1" x14ac:dyDescent="0.3">
      <c r="A72" s="20" t="s">
        <v>28</v>
      </c>
      <c r="B72" s="106" t="s">
        <v>277</v>
      </c>
      <c r="C72" s="17">
        <v>0.23699999999999999</v>
      </c>
      <c r="D72" s="3">
        <v>4</v>
      </c>
      <c r="E72" s="3">
        <f t="shared" si="2"/>
        <v>6</v>
      </c>
      <c r="F72" s="119">
        <v>44652</v>
      </c>
    </row>
    <row r="73" spans="1:6" ht="16.5" hidden="1" x14ac:dyDescent="0.3">
      <c r="A73" s="19" t="s">
        <v>55</v>
      </c>
      <c r="B73" s="106" t="s">
        <v>134</v>
      </c>
      <c r="C73" s="17">
        <v>0.23651653935000561</v>
      </c>
      <c r="D73" s="3">
        <v>4</v>
      </c>
      <c r="E73" s="3">
        <f t="shared" si="2"/>
        <v>6</v>
      </c>
      <c r="F73" s="119">
        <v>44652</v>
      </c>
    </row>
    <row r="74" spans="1:6" ht="16.5" hidden="1" x14ac:dyDescent="0.3">
      <c r="A74" s="20" t="s">
        <v>28</v>
      </c>
      <c r="B74" s="106" t="s">
        <v>29</v>
      </c>
      <c r="C74" s="17">
        <v>0.22179051756389453</v>
      </c>
      <c r="D74" s="3">
        <v>4</v>
      </c>
      <c r="E74" s="3">
        <f t="shared" si="2"/>
        <v>6</v>
      </c>
      <c r="F74" s="119">
        <v>44652</v>
      </c>
    </row>
    <row r="75" spans="1:6" ht="16.5" x14ac:dyDescent="0.3">
      <c r="A75" s="20" t="s">
        <v>32</v>
      </c>
      <c r="B75" s="106" t="s">
        <v>152</v>
      </c>
      <c r="C75" s="17">
        <v>0.21903702777777778</v>
      </c>
      <c r="D75" s="3">
        <v>5</v>
      </c>
      <c r="E75" s="3">
        <f t="shared" si="2"/>
        <v>5</v>
      </c>
      <c r="F75" s="119">
        <v>44652</v>
      </c>
    </row>
    <row r="76" spans="1:6" ht="16.5" hidden="1" x14ac:dyDescent="0.3">
      <c r="A76" s="19" t="s">
        <v>55</v>
      </c>
      <c r="B76" s="106" t="s">
        <v>258</v>
      </c>
      <c r="C76" s="17">
        <v>0.21633415792070626</v>
      </c>
      <c r="D76" s="3">
        <v>4</v>
      </c>
      <c r="E76" s="3">
        <f t="shared" si="2"/>
        <v>6</v>
      </c>
      <c r="F76" s="119">
        <v>44652</v>
      </c>
    </row>
    <row r="77" spans="1:6" ht="16.5" hidden="1" x14ac:dyDescent="0.3">
      <c r="A77" s="20" t="s">
        <v>28</v>
      </c>
      <c r="B77" s="106" t="s">
        <v>74</v>
      </c>
      <c r="C77" s="17">
        <v>0.21249074284284286</v>
      </c>
      <c r="D77" s="3">
        <v>4</v>
      </c>
      <c r="E77" s="3">
        <f t="shared" si="2"/>
        <v>6</v>
      </c>
      <c r="F77" s="119">
        <v>44652</v>
      </c>
    </row>
    <row r="78" spans="1:6" ht="16.5" hidden="1" x14ac:dyDescent="0.3">
      <c r="A78" s="19" t="s">
        <v>55</v>
      </c>
      <c r="B78" s="106" t="s">
        <v>72</v>
      </c>
      <c r="C78" s="17">
        <v>0.20934097543306415</v>
      </c>
      <c r="D78" s="3">
        <v>4</v>
      </c>
      <c r="E78" s="3">
        <f t="shared" si="2"/>
        <v>6</v>
      </c>
      <c r="F78" s="119">
        <v>44652</v>
      </c>
    </row>
    <row r="79" spans="1:6" ht="16.5" hidden="1" x14ac:dyDescent="0.3">
      <c r="A79" s="20" t="s">
        <v>28</v>
      </c>
      <c r="B79" s="117" t="s">
        <v>248</v>
      </c>
      <c r="C79" s="17">
        <v>0.2081031215468232</v>
      </c>
      <c r="D79" s="3">
        <v>4</v>
      </c>
      <c r="E79" s="3">
        <f t="shared" si="2"/>
        <v>6</v>
      </c>
      <c r="F79" s="119">
        <v>44652</v>
      </c>
    </row>
    <row r="80" spans="1:6" ht="16.5" hidden="1" x14ac:dyDescent="0.3">
      <c r="A80" s="19" t="s">
        <v>55</v>
      </c>
      <c r="B80" s="106" t="s">
        <v>114</v>
      </c>
      <c r="C80" s="17">
        <v>0.20584753542606279</v>
      </c>
      <c r="D80" s="3">
        <v>4</v>
      </c>
      <c r="E80" s="3">
        <f t="shared" si="2"/>
        <v>6</v>
      </c>
      <c r="F80" s="119">
        <v>44652</v>
      </c>
    </row>
    <row r="81" spans="1:6" ht="16.5" hidden="1" x14ac:dyDescent="0.3">
      <c r="A81" s="20" t="s">
        <v>55</v>
      </c>
      <c r="B81" s="106" t="s">
        <v>207</v>
      </c>
      <c r="C81" s="17">
        <v>0.20453750379593078</v>
      </c>
      <c r="D81" s="3">
        <v>4</v>
      </c>
      <c r="E81" s="3">
        <f t="shared" si="2"/>
        <v>6</v>
      </c>
      <c r="F81" s="119">
        <v>44652</v>
      </c>
    </row>
    <row r="82" spans="1:6" ht="16.5" x14ac:dyDescent="0.3">
      <c r="A82" s="20" t="s">
        <v>32</v>
      </c>
      <c r="B82" s="106" t="s">
        <v>164</v>
      </c>
      <c r="C82" s="17">
        <v>0.19524582500000001</v>
      </c>
      <c r="D82" s="3">
        <v>5</v>
      </c>
      <c r="E82" s="3">
        <f t="shared" si="2"/>
        <v>5</v>
      </c>
      <c r="F82" s="119">
        <v>44652</v>
      </c>
    </row>
    <row r="83" spans="1:6" ht="16.5" hidden="1" x14ac:dyDescent="0.3">
      <c r="A83" s="19" t="s">
        <v>55</v>
      </c>
      <c r="B83" s="122" t="s">
        <v>56</v>
      </c>
      <c r="C83" s="17">
        <v>0.18946096000000001</v>
      </c>
      <c r="D83" s="3">
        <v>4</v>
      </c>
      <c r="E83" s="3">
        <f t="shared" si="2"/>
        <v>6</v>
      </c>
      <c r="F83" s="119">
        <v>44652</v>
      </c>
    </row>
    <row r="84" spans="1:6" ht="16.5" hidden="1" x14ac:dyDescent="0.3">
      <c r="A84" s="20" t="s">
        <v>28</v>
      </c>
      <c r="B84" s="117" t="s">
        <v>271</v>
      </c>
      <c r="C84" s="17">
        <v>0.18893400812146185</v>
      </c>
      <c r="D84" s="3">
        <v>4</v>
      </c>
      <c r="E84" s="3">
        <f t="shared" si="2"/>
        <v>6</v>
      </c>
      <c r="F84" s="119">
        <v>44652</v>
      </c>
    </row>
    <row r="85" spans="1:6" ht="16.5" hidden="1" x14ac:dyDescent="0.3">
      <c r="A85" s="19" t="s">
        <v>55</v>
      </c>
      <c r="B85" s="106" t="s">
        <v>99</v>
      </c>
      <c r="C85" s="17">
        <v>0.18585684514267392</v>
      </c>
      <c r="D85" s="3">
        <v>4</v>
      </c>
      <c r="E85" s="3">
        <f t="shared" si="2"/>
        <v>6</v>
      </c>
      <c r="F85" s="119">
        <v>44652</v>
      </c>
    </row>
    <row r="86" spans="1:6" ht="16.5" hidden="1" x14ac:dyDescent="0.3">
      <c r="A86" s="19" t="s">
        <v>55</v>
      </c>
      <c r="B86" s="106" t="s">
        <v>269</v>
      </c>
      <c r="C86" s="17">
        <v>0.18101743749999999</v>
      </c>
      <c r="D86" s="3">
        <v>4</v>
      </c>
      <c r="E86" s="3">
        <f t="shared" si="2"/>
        <v>6</v>
      </c>
      <c r="F86" s="119">
        <v>44652</v>
      </c>
    </row>
    <row r="87" spans="1:6" ht="16.5" hidden="1" x14ac:dyDescent="0.3">
      <c r="A87" s="20" t="s">
        <v>55</v>
      </c>
      <c r="B87" s="106" t="s">
        <v>232</v>
      </c>
      <c r="C87" s="17">
        <v>0.17091666</v>
      </c>
      <c r="D87" s="3">
        <v>4</v>
      </c>
      <c r="E87" s="3">
        <f t="shared" si="2"/>
        <v>6</v>
      </c>
      <c r="F87" s="119">
        <v>44652</v>
      </c>
    </row>
    <row r="88" spans="1:6" ht="16.5" hidden="1" x14ac:dyDescent="0.3">
      <c r="A88" s="19" t="s">
        <v>55</v>
      </c>
      <c r="B88" s="106" t="s">
        <v>183</v>
      </c>
      <c r="C88" s="17">
        <v>0.17070942421113519</v>
      </c>
      <c r="D88" s="3">
        <v>4</v>
      </c>
      <c r="E88" s="3">
        <f t="shared" si="2"/>
        <v>6</v>
      </c>
      <c r="F88" s="119">
        <v>44652</v>
      </c>
    </row>
    <row r="89" spans="1:6" ht="16.5" hidden="1" x14ac:dyDescent="0.3">
      <c r="A89" s="20" t="s">
        <v>55</v>
      </c>
      <c r="B89" s="106" t="s">
        <v>170</v>
      </c>
      <c r="C89" s="17">
        <v>0.17030709342560554</v>
      </c>
      <c r="D89" s="3">
        <v>4</v>
      </c>
      <c r="E89" s="3">
        <f t="shared" si="2"/>
        <v>6</v>
      </c>
      <c r="F89" s="119">
        <v>44652</v>
      </c>
    </row>
    <row r="90" spans="1:6" ht="16.5" hidden="1" x14ac:dyDescent="0.3">
      <c r="A90" s="20" t="s">
        <v>55</v>
      </c>
      <c r="B90" s="106" t="s">
        <v>283</v>
      </c>
      <c r="C90" s="17">
        <v>0.16938500000000001</v>
      </c>
      <c r="D90" s="3">
        <v>4</v>
      </c>
      <c r="E90" s="3">
        <f t="shared" si="2"/>
        <v>6</v>
      </c>
      <c r="F90" s="119">
        <v>44652</v>
      </c>
    </row>
    <row r="91" spans="1:6" ht="16.5" hidden="1" x14ac:dyDescent="0.3">
      <c r="A91" s="19" t="s">
        <v>55</v>
      </c>
      <c r="B91" s="106" t="s">
        <v>126</v>
      </c>
      <c r="C91" s="17">
        <v>0.15473453520521196</v>
      </c>
      <c r="D91" s="3">
        <v>4</v>
      </c>
      <c r="E91" s="3">
        <f t="shared" si="2"/>
        <v>6</v>
      </c>
      <c r="F91" s="119">
        <v>44652</v>
      </c>
    </row>
    <row r="92" spans="1:6" ht="16.5" hidden="1" x14ac:dyDescent="0.3">
      <c r="A92" s="20" t="s">
        <v>55</v>
      </c>
      <c r="B92" s="106" t="s">
        <v>119</v>
      </c>
      <c r="C92" s="17">
        <v>0.15353749999999999</v>
      </c>
      <c r="D92" s="3">
        <v>4</v>
      </c>
      <c r="E92" s="3">
        <f t="shared" si="2"/>
        <v>6</v>
      </c>
      <c r="F92" s="119">
        <v>44652</v>
      </c>
    </row>
    <row r="93" spans="1:6" ht="16.5" hidden="1" x14ac:dyDescent="0.3">
      <c r="A93" s="19" t="s">
        <v>55</v>
      </c>
      <c r="B93" s="106" t="s">
        <v>95</v>
      </c>
      <c r="C93" s="17">
        <v>0.15327834000000001</v>
      </c>
      <c r="D93" s="3">
        <v>4</v>
      </c>
      <c r="E93" s="3">
        <f t="shared" si="2"/>
        <v>6</v>
      </c>
      <c r="F93" s="119">
        <v>44652</v>
      </c>
    </row>
    <row r="94" spans="1:6" ht="16.5" hidden="1" x14ac:dyDescent="0.3">
      <c r="A94" s="19" t="s">
        <v>55</v>
      </c>
      <c r="B94" s="106" t="s">
        <v>180</v>
      </c>
      <c r="C94" s="17">
        <v>0.14877000000000001</v>
      </c>
      <c r="D94" s="3">
        <v>4</v>
      </c>
      <c r="E94" s="3">
        <f t="shared" si="2"/>
        <v>6</v>
      </c>
      <c r="F94" s="119">
        <v>44652</v>
      </c>
    </row>
    <row r="95" spans="1:6" ht="16.5" hidden="1" x14ac:dyDescent="0.3">
      <c r="A95" s="21" t="s">
        <v>28</v>
      </c>
      <c r="B95" s="118" t="s">
        <v>174</v>
      </c>
      <c r="C95" s="17">
        <v>0.14266666666666666</v>
      </c>
      <c r="D95" s="3">
        <v>4</v>
      </c>
      <c r="E95" s="3">
        <f t="shared" si="2"/>
        <v>6</v>
      </c>
      <c r="F95" s="119">
        <v>44652</v>
      </c>
    </row>
    <row r="96" spans="1:6" ht="16.5" hidden="1" x14ac:dyDescent="0.3">
      <c r="A96" s="20" t="s">
        <v>23</v>
      </c>
      <c r="B96" s="106" t="s">
        <v>189</v>
      </c>
      <c r="C96" s="17">
        <v>0.13942806389504556</v>
      </c>
      <c r="D96" s="3">
        <v>3</v>
      </c>
      <c r="E96" s="3">
        <f t="shared" si="2"/>
        <v>7</v>
      </c>
      <c r="F96" s="119">
        <v>44652</v>
      </c>
    </row>
    <row r="97" spans="1:6" ht="16.5" hidden="1" x14ac:dyDescent="0.3">
      <c r="A97" s="20" t="s">
        <v>28</v>
      </c>
      <c r="B97" s="117" t="s">
        <v>326</v>
      </c>
      <c r="C97" s="17">
        <v>0.13496978947235641</v>
      </c>
      <c r="D97" s="3">
        <v>4</v>
      </c>
      <c r="E97" s="3">
        <f t="shared" si="2"/>
        <v>6</v>
      </c>
      <c r="F97" s="119">
        <v>44652</v>
      </c>
    </row>
    <row r="98" spans="1:6" ht="16.5" hidden="1" x14ac:dyDescent="0.3">
      <c r="A98" s="20" t="s">
        <v>105</v>
      </c>
      <c r="B98" s="117" t="s">
        <v>299</v>
      </c>
      <c r="C98" s="17">
        <v>0.13379898787878788</v>
      </c>
      <c r="D98" s="3">
        <v>5</v>
      </c>
      <c r="E98" s="3">
        <f t="shared" ref="E98:E129" si="3">$G$1-D98</f>
        <v>5</v>
      </c>
      <c r="F98" s="119">
        <v>44652</v>
      </c>
    </row>
    <row r="99" spans="1:6" ht="16.5" hidden="1" x14ac:dyDescent="0.3">
      <c r="A99" s="20" t="s">
        <v>23</v>
      </c>
      <c r="B99" s="106" t="s">
        <v>319</v>
      </c>
      <c r="C99" s="17">
        <v>0.13295531821272852</v>
      </c>
      <c r="D99" s="3">
        <v>4</v>
      </c>
      <c r="E99" s="3">
        <f t="shared" si="3"/>
        <v>6</v>
      </c>
      <c r="F99" s="119">
        <v>44652</v>
      </c>
    </row>
    <row r="100" spans="1:6" ht="16.5" x14ac:dyDescent="0.3">
      <c r="A100" s="20" t="s">
        <v>32</v>
      </c>
      <c r="B100" s="122" t="s">
        <v>221</v>
      </c>
      <c r="C100" s="17">
        <v>0.13150399360054299</v>
      </c>
      <c r="D100" s="3">
        <v>5</v>
      </c>
      <c r="E100" s="3">
        <f t="shared" si="3"/>
        <v>5</v>
      </c>
      <c r="F100" s="119">
        <v>44652</v>
      </c>
    </row>
    <row r="101" spans="1:6" ht="16.5" hidden="1" x14ac:dyDescent="0.3">
      <c r="A101" s="20" t="s">
        <v>28</v>
      </c>
      <c r="B101" s="117" t="s">
        <v>281</v>
      </c>
      <c r="C101" s="17">
        <v>0.12772306774097283</v>
      </c>
      <c r="D101" s="3">
        <v>4</v>
      </c>
      <c r="E101" s="3">
        <f t="shared" si="3"/>
        <v>6</v>
      </c>
      <c r="F101" s="119">
        <v>44652</v>
      </c>
    </row>
    <row r="102" spans="1:6" ht="16.5" hidden="1" x14ac:dyDescent="0.3">
      <c r="A102" s="19" t="s">
        <v>55</v>
      </c>
      <c r="B102" s="106" t="s">
        <v>264</v>
      </c>
      <c r="C102" s="17">
        <v>0.11638507289857361</v>
      </c>
      <c r="D102" s="3">
        <v>4</v>
      </c>
      <c r="E102" s="3">
        <f t="shared" si="3"/>
        <v>6</v>
      </c>
      <c r="F102" s="119">
        <v>44652</v>
      </c>
    </row>
    <row r="103" spans="1:6" ht="16.5" hidden="1" x14ac:dyDescent="0.3">
      <c r="A103" s="20" t="s">
        <v>23</v>
      </c>
      <c r="B103" s="106" t="s">
        <v>223</v>
      </c>
      <c r="C103" s="17">
        <v>0.11502212000000001</v>
      </c>
      <c r="D103" s="3">
        <v>4</v>
      </c>
      <c r="E103" s="3">
        <f t="shared" si="3"/>
        <v>6</v>
      </c>
      <c r="F103" s="119">
        <v>44652</v>
      </c>
    </row>
    <row r="104" spans="1:6" ht="16.5" hidden="1" x14ac:dyDescent="0.3">
      <c r="A104" s="20" t="s">
        <v>23</v>
      </c>
      <c r="B104" s="106" t="s">
        <v>24</v>
      </c>
      <c r="C104" s="17">
        <v>0.11145060332728184</v>
      </c>
      <c r="D104" s="3">
        <v>4</v>
      </c>
      <c r="E104" s="3">
        <f t="shared" si="3"/>
        <v>6</v>
      </c>
      <c r="F104" s="119">
        <v>44652</v>
      </c>
    </row>
    <row r="105" spans="1:6" ht="16.5" hidden="1" x14ac:dyDescent="0.3">
      <c r="A105" s="20" t="s">
        <v>23</v>
      </c>
      <c r="B105" s="117" t="s">
        <v>211</v>
      </c>
      <c r="C105" s="17">
        <v>0.1022783333</v>
      </c>
      <c r="D105" s="3">
        <v>3</v>
      </c>
      <c r="E105" s="3">
        <f t="shared" si="3"/>
        <v>7</v>
      </c>
      <c r="F105" s="119">
        <v>44652</v>
      </c>
    </row>
    <row r="106" spans="1:6" ht="16.5" hidden="1" x14ac:dyDescent="0.3">
      <c r="A106" s="20" t="s">
        <v>28</v>
      </c>
      <c r="B106" s="117" t="s">
        <v>328</v>
      </c>
      <c r="C106" s="17">
        <v>9.2267946115519472E-2</v>
      </c>
      <c r="D106" s="3">
        <v>4</v>
      </c>
      <c r="E106" s="3">
        <f t="shared" si="3"/>
        <v>6</v>
      </c>
      <c r="F106" s="119">
        <v>44652</v>
      </c>
    </row>
    <row r="107" spans="1:6" ht="16.5" hidden="1" x14ac:dyDescent="0.3">
      <c r="A107" s="19" t="s">
        <v>55</v>
      </c>
      <c r="B107" s="106" t="s">
        <v>213</v>
      </c>
      <c r="C107" s="17">
        <v>8.7705917393652258E-2</v>
      </c>
      <c r="D107" s="3">
        <v>4</v>
      </c>
      <c r="E107" s="3">
        <f t="shared" si="3"/>
        <v>6</v>
      </c>
      <c r="F107" s="119">
        <v>44652</v>
      </c>
    </row>
    <row r="108" spans="1:6" ht="16.5" hidden="1" x14ac:dyDescent="0.3">
      <c r="A108" s="19" t="s">
        <v>28</v>
      </c>
      <c r="B108" s="106" t="s">
        <v>291</v>
      </c>
      <c r="C108" s="17">
        <v>8.2816475116330335E-2</v>
      </c>
      <c r="D108" s="3">
        <v>4</v>
      </c>
      <c r="E108" s="3">
        <f t="shared" si="3"/>
        <v>6</v>
      </c>
      <c r="F108" s="119">
        <v>44652</v>
      </c>
    </row>
    <row r="109" spans="1:6" ht="16.5" hidden="1" x14ac:dyDescent="0.3">
      <c r="A109" s="20" t="s">
        <v>28</v>
      </c>
      <c r="B109" s="106" t="s">
        <v>132</v>
      </c>
      <c r="C109" s="17">
        <v>7.1914885036999207E-2</v>
      </c>
      <c r="D109" s="3">
        <v>4</v>
      </c>
      <c r="E109" s="3">
        <f t="shared" si="3"/>
        <v>6</v>
      </c>
      <c r="F109" s="119">
        <v>44652</v>
      </c>
    </row>
    <row r="110" spans="1:6" ht="16.5" hidden="1" x14ac:dyDescent="0.3">
      <c r="A110" s="19" t="s">
        <v>55</v>
      </c>
      <c r="B110" s="122" t="s">
        <v>87</v>
      </c>
      <c r="C110" s="17">
        <v>7.1333333333333332E-2</v>
      </c>
      <c r="D110" s="3">
        <v>4</v>
      </c>
      <c r="E110" s="3">
        <f t="shared" si="3"/>
        <v>6</v>
      </c>
      <c r="F110" s="119">
        <v>44652</v>
      </c>
    </row>
    <row r="111" spans="1:6" ht="16.5" hidden="1" x14ac:dyDescent="0.3">
      <c r="A111" s="20" t="s">
        <v>55</v>
      </c>
      <c r="B111" s="106" t="s">
        <v>371</v>
      </c>
      <c r="C111" s="17">
        <v>6.4911429264741569E-2</v>
      </c>
      <c r="D111" s="3">
        <v>4</v>
      </c>
      <c r="E111" s="3">
        <f t="shared" si="3"/>
        <v>6</v>
      </c>
      <c r="F111" s="119">
        <v>44652</v>
      </c>
    </row>
    <row r="112" spans="1:6" ht="16.5" hidden="1" x14ac:dyDescent="0.3">
      <c r="A112" s="20" t="s">
        <v>28</v>
      </c>
      <c r="B112" s="106" t="s">
        <v>365</v>
      </c>
      <c r="C112" s="17">
        <v>6.2978222483814003E-2</v>
      </c>
      <c r="D112" s="3">
        <v>4</v>
      </c>
      <c r="E112" s="3">
        <f t="shared" si="3"/>
        <v>6</v>
      </c>
      <c r="F112" s="119">
        <v>44652</v>
      </c>
    </row>
    <row r="113" spans="1:6" ht="16.5" hidden="1" x14ac:dyDescent="0.3">
      <c r="A113" s="20" t="s">
        <v>28</v>
      </c>
      <c r="B113" s="106" t="s">
        <v>289</v>
      </c>
      <c r="C113" s="17">
        <v>6.0103917989046483E-2</v>
      </c>
      <c r="D113" s="3">
        <v>4</v>
      </c>
      <c r="E113" s="3">
        <f t="shared" si="3"/>
        <v>6</v>
      </c>
      <c r="F113" s="119">
        <v>44652</v>
      </c>
    </row>
    <row r="114" spans="1:6" ht="16.5" hidden="1" x14ac:dyDescent="0.3">
      <c r="A114" s="19" t="s">
        <v>55</v>
      </c>
      <c r="B114" s="106" t="s">
        <v>154</v>
      </c>
      <c r="C114" s="17">
        <v>5.9444444444444446E-2</v>
      </c>
      <c r="D114" s="3">
        <v>4</v>
      </c>
      <c r="E114" s="3">
        <f t="shared" si="3"/>
        <v>6</v>
      </c>
      <c r="F114" s="119">
        <v>44652</v>
      </c>
    </row>
    <row r="115" spans="1:6" ht="16.5" hidden="1" x14ac:dyDescent="0.3">
      <c r="A115" s="20" t="s">
        <v>28</v>
      </c>
      <c r="B115" s="117" t="s">
        <v>262</v>
      </c>
      <c r="C115" s="17">
        <v>5.633951137320977E-2</v>
      </c>
      <c r="D115" s="3">
        <v>4</v>
      </c>
      <c r="E115" s="3">
        <f t="shared" si="3"/>
        <v>6</v>
      </c>
      <c r="F115" s="119">
        <v>44652</v>
      </c>
    </row>
    <row r="116" spans="1:6" ht="16.5" hidden="1" x14ac:dyDescent="0.3">
      <c r="A116" s="20" t="s">
        <v>23</v>
      </c>
      <c r="B116" s="106" t="s">
        <v>359</v>
      </c>
      <c r="C116" s="17">
        <v>5.6316289799458852E-2</v>
      </c>
      <c r="D116" s="3">
        <v>4</v>
      </c>
      <c r="E116" s="3">
        <f t="shared" si="3"/>
        <v>6</v>
      </c>
      <c r="F116" s="119">
        <v>44652</v>
      </c>
    </row>
    <row r="117" spans="1:6" ht="16.5" hidden="1" x14ac:dyDescent="0.3">
      <c r="A117" s="20" t="s">
        <v>23</v>
      </c>
      <c r="B117" s="117" t="s">
        <v>379</v>
      </c>
      <c r="C117" s="17">
        <v>5.6315789473684208E-2</v>
      </c>
      <c r="D117" s="3">
        <v>3</v>
      </c>
      <c r="E117" s="3">
        <f t="shared" si="3"/>
        <v>7</v>
      </c>
      <c r="F117" s="119">
        <v>44652</v>
      </c>
    </row>
    <row r="118" spans="1:6" ht="16.5" hidden="1" x14ac:dyDescent="0.3">
      <c r="A118" s="20" t="s">
        <v>55</v>
      </c>
      <c r="B118" s="106" t="s">
        <v>209</v>
      </c>
      <c r="C118" s="17">
        <v>5.6315789473684208E-2</v>
      </c>
      <c r="D118" s="3">
        <v>4</v>
      </c>
      <c r="E118" s="3">
        <f t="shared" si="3"/>
        <v>6</v>
      </c>
      <c r="F118" s="119">
        <v>44652</v>
      </c>
    </row>
    <row r="119" spans="1:6" ht="16.5" hidden="1" x14ac:dyDescent="0.3">
      <c r="A119" s="20" t="s">
        <v>55</v>
      </c>
      <c r="B119" s="106" t="s">
        <v>1398</v>
      </c>
      <c r="C119" s="17">
        <v>5.3714859437751006E-2</v>
      </c>
      <c r="D119" s="3">
        <v>4</v>
      </c>
      <c r="E119" s="3">
        <f t="shared" si="3"/>
        <v>6</v>
      </c>
      <c r="F119" s="119">
        <v>44652</v>
      </c>
    </row>
    <row r="120" spans="1:6" ht="16.5" hidden="1" x14ac:dyDescent="0.3">
      <c r="A120" s="21" t="s">
        <v>28</v>
      </c>
      <c r="B120" s="117" t="s">
        <v>236</v>
      </c>
      <c r="C120" s="17">
        <v>5.3607214428857713E-2</v>
      </c>
      <c r="D120" s="3">
        <v>4</v>
      </c>
      <c r="E120" s="3">
        <f t="shared" si="3"/>
        <v>6</v>
      </c>
      <c r="F120" s="119">
        <v>44652</v>
      </c>
    </row>
    <row r="121" spans="1:6" ht="16.5" hidden="1" x14ac:dyDescent="0.3">
      <c r="A121" s="20" t="s">
        <v>28</v>
      </c>
      <c r="B121" s="106" t="s">
        <v>287</v>
      </c>
      <c r="C121" s="17">
        <v>5.3569908730893817E-2</v>
      </c>
      <c r="D121" s="3">
        <v>4</v>
      </c>
      <c r="E121" s="3">
        <f t="shared" si="3"/>
        <v>6</v>
      </c>
      <c r="F121" s="119">
        <v>44652</v>
      </c>
    </row>
    <row r="122" spans="1:6" ht="16.5" hidden="1" x14ac:dyDescent="0.3">
      <c r="A122" s="20" t="s">
        <v>23</v>
      </c>
      <c r="B122" s="106" t="s">
        <v>342</v>
      </c>
      <c r="C122" s="17">
        <v>5.3517660828073264E-2</v>
      </c>
      <c r="D122" s="3">
        <v>4</v>
      </c>
      <c r="E122" s="3">
        <f t="shared" si="3"/>
        <v>6</v>
      </c>
      <c r="F122" s="119">
        <v>44652</v>
      </c>
    </row>
    <row r="123" spans="1:6" ht="16.5" x14ac:dyDescent="0.3">
      <c r="A123" s="19" t="s">
        <v>32</v>
      </c>
      <c r="B123" s="106" t="s">
        <v>200</v>
      </c>
      <c r="C123" s="17">
        <v>5.3499999999999999E-2</v>
      </c>
      <c r="D123" s="3">
        <v>5</v>
      </c>
      <c r="E123" s="3">
        <f t="shared" si="3"/>
        <v>5</v>
      </c>
      <c r="F123" s="119">
        <v>44652</v>
      </c>
    </row>
    <row r="124" spans="1:6" ht="16.5" hidden="1" x14ac:dyDescent="0.3">
      <c r="A124" s="20" t="s">
        <v>23</v>
      </c>
      <c r="B124" s="106" t="s">
        <v>389</v>
      </c>
      <c r="C124" s="17">
        <v>5.3499999999999999E-2</v>
      </c>
      <c r="D124" s="3">
        <v>3</v>
      </c>
      <c r="E124" s="3">
        <f t="shared" si="3"/>
        <v>7</v>
      </c>
      <c r="F124" s="119">
        <v>44652</v>
      </c>
    </row>
    <row r="125" spans="1:6" ht="16.5" hidden="1" x14ac:dyDescent="0.3">
      <c r="A125" s="20" t="s">
        <v>55</v>
      </c>
      <c r="B125" s="106" t="s">
        <v>377</v>
      </c>
      <c r="C125" s="17">
        <v>4.3749999999999997E-2</v>
      </c>
      <c r="D125" s="3">
        <v>4</v>
      </c>
      <c r="E125" s="3">
        <f t="shared" si="3"/>
        <v>6</v>
      </c>
      <c r="F125" s="119">
        <v>44652</v>
      </c>
    </row>
    <row r="126" spans="1:6" ht="16.5" hidden="1" x14ac:dyDescent="0.3">
      <c r="A126" s="19" t="s">
        <v>55</v>
      </c>
      <c r="B126" s="122" t="s">
        <v>176</v>
      </c>
      <c r="C126" s="17">
        <v>3.5000000000000003E-2</v>
      </c>
      <c r="D126" s="3">
        <v>4</v>
      </c>
      <c r="E126" s="3">
        <f t="shared" si="3"/>
        <v>6</v>
      </c>
      <c r="F126" s="119">
        <v>44652</v>
      </c>
    </row>
    <row r="127" spans="1:6" ht="16.5" x14ac:dyDescent="0.3">
      <c r="A127" s="20" t="s">
        <v>32</v>
      </c>
      <c r="B127" s="106" t="s">
        <v>352</v>
      </c>
      <c r="C127" s="17">
        <v>2.5142857142857144E-2</v>
      </c>
      <c r="D127" s="3">
        <v>5</v>
      </c>
      <c r="E127" s="3">
        <f t="shared" si="3"/>
        <v>5</v>
      </c>
      <c r="F127" s="119">
        <v>44652</v>
      </c>
    </row>
    <row r="128" spans="1:6" ht="16.5" hidden="1" x14ac:dyDescent="0.3">
      <c r="A128" s="20" t="s">
        <v>23</v>
      </c>
      <c r="B128" s="106" t="s">
        <v>350</v>
      </c>
      <c r="C128" s="17">
        <v>1.06404E-2</v>
      </c>
      <c r="D128" s="3">
        <v>3</v>
      </c>
      <c r="E128" s="3">
        <f t="shared" si="3"/>
        <v>7</v>
      </c>
      <c r="F128" s="119">
        <v>44652</v>
      </c>
    </row>
    <row r="129" spans="1:6" ht="16.5" hidden="1" x14ac:dyDescent="0.3">
      <c r="A129" s="20" t="s">
        <v>23</v>
      </c>
      <c r="B129" s="106" t="s">
        <v>381</v>
      </c>
      <c r="C129" s="17">
        <v>0</v>
      </c>
      <c r="D129" s="3">
        <v>3</v>
      </c>
      <c r="E129" s="3">
        <f t="shared" si="3"/>
        <v>7</v>
      </c>
      <c r="F129" s="119">
        <v>44652</v>
      </c>
    </row>
    <row r="130" spans="1:6" ht="16.5" hidden="1" x14ac:dyDescent="0.3">
      <c r="A130" s="20" t="s">
        <v>28</v>
      </c>
      <c r="B130" s="106" t="s">
        <v>357</v>
      </c>
      <c r="C130" s="17">
        <v>0</v>
      </c>
      <c r="D130" s="3">
        <v>4</v>
      </c>
      <c r="E130" s="3">
        <f t="shared" ref="E130:E161" si="4">$G$1-D130</f>
        <v>6</v>
      </c>
      <c r="F130" s="119">
        <v>44652</v>
      </c>
    </row>
    <row r="131" spans="1:6" ht="16.5" hidden="1" x14ac:dyDescent="0.3">
      <c r="A131" s="20" t="s">
        <v>28</v>
      </c>
      <c r="B131" s="106" t="s">
        <v>346</v>
      </c>
      <c r="C131" s="17">
        <v>0</v>
      </c>
      <c r="D131" s="3">
        <v>4</v>
      </c>
      <c r="E131" s="3">
        <f t="shared" si="4"/>
        <v>6</v>
      </c>
      <c r="F131" s="119">
        <v>44652</v>
      </c>
    </row>
    <row r="132" spans="1:6" ht="16.5" hidden="1" x14ac:dyDescent="0.3">
      <c r="A132" s="20" t="s">
        <v>28</v>
      </c>
      <c r="B132" s="117" t="s">
        <v>409</v>
      </c>
      <c r="C132" s="17">
        <v>0</v>
      </c>
      <c r="D132" s="3">
        <v>4</v>
      </c>
      <c r="E132" s="3">
        <f t="shared" si="4"/>
        <v>6</v>
      </c>
      <c r="F132" s="119">
        <v>44652</v>
      </c>
    </row>
    <row r="133" spans="1:6" ht="16.5" hidden="1" x14ac:dyDescent="0.3">
      <c r="A133" s="20" t="s">
        <v>28</v>
      </c>
      <c r="B133" s="117" t="s">
        <v>411</v>
      </c>
      <c r="C133" s="17">
        <v>0</v>
      </c>
      <c r="D133" s="3">
        <v>4</v>
      </c>
      <c r="E133" s="3">
        <f t="shared" si="4"/>
        <v>6</v>
      </c>
      <c r="F133" s="119">
        <v>44652</v>
      </c>
    </row>
    <row r="134" spans="1:6" ht="16.5" hidden="1" x14ac:dyDescent="0.3">
      <c r="A134" s="20" t="s">
        <v>28</v>
      </c>
      <c r="B134" s="117" t="s">
        <v>407</v>
      </c>
      <c r="C134" s="17">
        <v>0</v>
      </c>
      <c r="D134" s="3">
        <v>4</v>
      </c>
      <c r="E134" s="3">
        <f t="shared" si="4"/>
        <v>6</v>
      </c>
      <c r="F134" s="119">
        <v>44652</v>
      </c>
    </row>
    <row r="135" spans="1:6" ht="16.5" hidden="1" x14ac:dyDescent="0.3">
      <c r="A135" s="20" t="s">
        <v>28</v>
      </c>
      <c r="B135" s="117" t="s">
        <v>369</v>
      </c>
      <c r="C135" s="17">
        <v>0</v>
      </c>
      <c r="D135" s="3">
        <v>4</v>
      </c>
      <c r="E135" s="3">
        <f t="shared" si="4"/>
        <v>6</v>
      </c>
      <c r="F135" s="119">
        <v>44652</v>
      </c>
    </row>
    <row r="136" spans="1:6" ht="16.5" hidden="1" x14ac:dyDescent="0.3">
      <c r="A136" s="21" t="s">
        <v>16</v>
      </c>
      <c r="B136" s="117" t="s">
        <v>354</v>
      </c>
      <c r="C136" s="17">
        <v>0</v>
      </c>
      <c r="D136" s="3">
        <v>4</v>
      </c>
      <c r="E136" s="3">
        <f t="shared" si="4"/>
        <v>6</v>
      </c>
      <c r="F136" s="119">
        <v>44652</v>
      </c>
    </row>
    <row r="137" spans="1:6" ht="16.5" hidden="1" x14ac:dyDescent="0.3">
      <c r="A137" s="20" t="s">
        <v>89</v>
      </c>
      <c r="B137" s="106" t="s">
        <v>149</v>
      </c>
      <c r="C137" s="17">
        <v>0.60725101905000001</v>
      </c>
      <c r="D137" s="3">
        <v>2</v>
      </c>
      <c r="E137" s="3">
        <f t="shared" si="4"/>
        <v>8</v>
      </c>
      <c r="F137" s="119">
        <v>44682</v>
      </c>
    </row>
    <row r="138" spans="1:6" ht="16.5" hidden="1" x14ac:dyDescent="0.3">
      <c r="A138" s="19" t="s">
        <v>89</v>
      </c>
      <c r="B138" s="106" t="s">
        <v>90</v>
      </c>
      <c r="C138" s="17">
        <v>0.43975999999999998</v>
      </c>
      <c r="D138" s="3">
        <v>2</v>
      </c>
      <c r="E138" s="3">
        <f t="shared" si="4"/>
        <v>8</v>
      </c>
      <c r="F138" s="119">
        <v>44682</v>
      </c>
    </row>
    <row r="139" spans="1:6" ht="16.5" x14ac:dyDescent="0.3">
      <c r="A139" s="20" t="s">
        <v>32</v>
      </c>
      <c r="B139" s="106" t="s">
        <v>76</v>
      </c>
      <c r="C139" s="17">
        <v>0.36469957980000006</v>
      </c>
      <c r="D139" s="3">
        <v>4</v>
      </c>
      <c r="E139" s="3">
        <f t="shared" si="4"/>
        <v>6</v>
      </c>
      <c r="F139" s="119">
        <v>44682</v>
      </c>
    </row>
    <row r="140" spans="1:6" ht="16.5" hidden="1" x14ac:dyDescent="0.3">
      <c r="A140" s="20" t="s">
        <v>89</v>
      </c>
      <c r="B140" s="106" t="s">
        <v>225</v>
      </c>
      <c r="C140" s="17">
        <v>0.27955999999999998</v>
      </c>
      <c r="D140" s="3">
        <v>2</v>
      </c>
      <c r="E140" s="3">
        <f t="shared" si="4"/>
        <v>8</v>
      </c>
      <c r="F140" s="119">
        <v>44682</v>
      </c>
    </row>
    <row r="141" spans="1:6" ht="16.5" hidden="1" x14ac:dyDescent="0.3">
      <c r="A141" s="19" t="s">
        <v>89</v>
      </c>
      <c r="B141" s="106" t="s">
        <v>217</v>
      </c>
      <c r="C141" s="17">
        <v>0.2293</v>
      </c>
      <c r="D141" s="3">
        <v>2</v>
      </c>
      <c r="E141" s="3">
        <f t="shared" si="4"/>
        <v>8</v>
      </c>
      <c r="F141" s="119">
        <v>44682</v>
      </c>
    </row>
    <row r="142" spans="1:6" ht="16.5" hidden="1" x14ac:dyDescent="0.3">
      <c r="A142" s="19" t="s">
        <v>89</v>
      </c>
      <c r="B142" s="106" t="s">
        <v>144</v>
      </c>
      <c r="C142" s="17">
        <v>0.21021584464426818</v>
      </c>
      <c r="D142" s="3">
        <v>2</v>
      </c>
      <c r="E142" s="3">
        <f t="shared" si="4"/>
        <v>8</v>
      </c>
      <c r="F142" s="119">
        <v>44682</v>
      </c>
    </row>
    <row r="143" spans="1:6" ht="16.5" hidden="1" x14ac:dyDescent="0.3">
      <c r="A143" s="19" t="s">
        <v>89</v>
      </c>
      <c r="B143" s="106" t="s">
        <v>172</v>
      </c>
      <c r="C143" s="17">
        <v>0.18550498276328639</v>
      </c>
      <c r="D143" s="3">
        <v>2</v>
      </c>
      <c r="E143" s="3">
        <f t="shared" si="4"/>
        <v>8</v>
      </c>
      <c r="F143" s="119">
        <v>44682</v>
      </c>
    </row>
    <row r="144" spans="1:6" ht="16.5" hidden="1" x14ac:dyDescent="0.3">
      <c r="A144" s="19" t="s">
        <v>89</v>
      </c>
      <c r="B144" s="106" t="s">
        <v>279</v>
      </c>
      <c r="C144" s="17">
        <v>0.16878593929696484</v>
      </c>
      <c r="D144" s="3">
        <v>2</v>
      </c>
      <c r="E144" s="3">
        <f t="shared" si="4"/>
        <v>8</v>
      </c>
      <c r="F144" s="119">
        <v>44682</v>
      </c>
    </row>
    <row r="145" spans="1:6" ht="16.5" hidden="1" x14ac:dyDescent="0.3">
      <c r="A145" s="20" t="s">
        <v>89</v>
      </c>
      <c r="B145" s="117" t="s">
        <v>311</v>
      </c>
      <c r="C145" s="17">
        <v>0.16834189714285713</v>
      </c>
      <c r="D145" s="3">
        <v>2</v>
      </c>
      <c r="E145" s="3">
        <f t="shared" si="4"/>
        <v>8</v>
      </c>
      <c r="F145" s="119">
        <v>44682</v>
      </c>
    </row>
    <row r="146" spans="1:6" ht="16.5" hidden="1" x14ac:dyDescent="0.3">
      <c r="A146" s="19" t="s">
        <v>89</v>
      </c>
      <c r="B146" s="106" t="s">
        <v>285</v>
      </c>
      <c r="C146" s="17">
        <v>0.16828000000000001</v>
      </c>
      <c r="D146" s="3">
        <v>2</v>
      </c>
      <c r="E146" s="3">
        <f t="shared" si="4"/>
        <v>8</v>
      </c>
      <c r="F146" s="119">
        <v>44682</v>
      </c>
    </row>
    <row r="147" spans="1:6" ht="16.5" hidden="1" x14ac:dyDescent="0.3">
      <c r="A147" s="20" t="s">
        <v>89</v>
      </c>
      <c r="B147" s="106" t="s">
        <v>307</v>
      </c>
      <c r="C147" s="17">
        <v>0.159</v>
      </c>
      <c r="D147" s="3">
        <v>2</v>
      </c>
      <c r="E147" s="3">
        <f t="shared" si="4"/>
        <v>8</v>
      </c>
      <c r="F147" s="119">
        <v>44682</v>
      </c>
    </row>
    <row r="148" spans="1:6" ht="16.5" x14ac:dyDescent="0.3">
      <c r="A148" s="19" t="s">
        <v>32</v>
      </c>
      <c r="B148" s="106" t="s">
        <v>185</v>
      </c>
      <c r="C148" s="17">
        <v>0.13450000000000001</v>
      </c>
      <c r="D148" s="3">
        <v>4</v>
      </c>
      <c r="E148" s="3">
        <f t="shared" si="4"/>
        <v>6</v>
      </c>
      <c r="F148" s="119">
        <v>44682</v>
      </c>
    </row>
    <row r="149" spans="1:6" ht="16.5" x14ac:dyDescent="0.3">
      <c r="A149" s="20" t="s">
        <v>32</v>
      </c>
      <c r="B149" s="106" t="s">
        <v>196</v>
      </c>
      <c r="C149" s="17">
        <v>0.1195</v>
      </c>
      <c r="D149" s="3">
        <v>4</v>
      </c>
      <c r="E149" s="3">
        <f t="shared" si="4"/>
        <v>6</v>
      </c>
      <c r="F149" s="119">
        <v>44682</v>
      </c>
    </row>
    <row r="150" spans="1:6" ht="16.5" hidden="1" x14ac:dyDescent="0.3">
      <c r="A150" s="20" t="s">
        <v>16</v>
      </c>
      <c r="B150" s="106" t="s">
        <v>266</v>
      </c>
      <c r="C150" s="17">
        <v>0.11270211081794196</v>
      </c>
      <c r="D150" s="3">
        <v>3</v>
      </c>
      <c r="E150" s="3">
        <f t="shared" si="4"/>
        <v>7</v>
      </c>
      <c r="F150" s="119">
        <v>44682</v>
      </c>
    </row>
    <row r="151" spans="1:6" ht="16.5" hidden="1" x14ac:dyDescent="0.3">
      <c r="A151" s="20" t="s">
        <v>89</v>
      </c>
      <c r="B151" s="106" t="s">
        <v>305</v>
      </c>
      <c r="C151" s="17">
        <v>0.111665</v>
      </c>
      <c r="D151" s="3">
        <v>2</v>
      </c>
      <c r="E151" s="3">
        <f t="shared" si="4"/>
        <v>8</v>
      </c>
      <c r="F151" s="119">
        <v>44682</v>
      </c>
    </row>
    <row r="152" spans="1:6" ht="16.5" hidden="1" x14ac:dyDescent="0.3">
      <c r="A152" s="19" t="s">
        <v>89</v>
      </c>
      <c r="B152" s="106" t="s">
        <v>340</v>
      </c>
      <c r="C152" s="17">
        <v>0.107</v>
      </c>
      <c r="D152" s="3">
        <v>2</v>
      </c>
      <c r="E152" s="3">
        <f t="shared" si="4"/>
        <v>8</v>
      </c>
      <c r="F152" s="119">
        <v>44682</v>
      </c>
    </row>
    <row r="153" spans="1:6" ht="16.5" hidden="1" x14ac:dyDescent="0.3">
      <c r="A153" s="20" t="s">
        <v>89</v>
      </c>
      <c r="B153" s="106" t="s">
        <v>332</v>
      </c>
      <c r="C153" s="17">
        <v>9.9887500000000004E-2</v>
      </c>
      <c r="D153" s="3">
        <v>2</v>
      </c>
      <c r="E153" s="3">
        <f t="shared" si="4"/>
        <v>8</v>
      </c>
      <c r="F153" s="119">
        <v>44682</v>
      </c>
    </row>
    <row r="154" spans="1:6" ht="16.5" hidden="1" x14ac:dyDescent="0.3">
      <c r="A154" s="19" t="s">
        <v>89</v>
      </c>
      <c r="B154" s="106" t="s">
        <v>309</v>
      </c>
      <c r="C154" s="17">
        <v>9.6420000000000006E-2</v>
      </c>
      <c r="D154" s="3">
        <v>2</v>
      </c>
      <c r="E154" s="3">
        <f t="shared" si="4"/>
        <v>8</v>
      </c>
      <c r="F154" s="119">
        <v>44682</v>
      </c>
    </row>
    <row r="155" spans="1:6" ht="16.5" hidden="1" x14ac:dyDescent="0.3">
      <c r="A155" s="19" t="s">
        <v>89</v>
      </c>
      <c r="B155" s="106" t="s">
        <v>147</v>
      </c>
      <c r="C155" s="17">
        <v>9.2388750000000006E-2</v>
      </c>
      <c r="D155" s="3">
        <v>2</v>
      </c>
      <c r="E155" s="3">
        <f t="shared" si="4"/>
        <v>8</v>
      </c>
      <c r="F155" s="119">
        <v>44682</v>
      </c>
    </row>
    <row r="156" spans="1:6" ht="16.5" hidden="1" x14ac:dyDescent="0.3">
      <c r="A156" s="20" t="s">
        <v>89</v>
      </c>
      <c r="B156" s="117" t="s">
        <v>246</v>
      </c>
      <c r="C156" s="17">
        <v>8.5000000000000006E-2</v>
      </c>
      <c r="D156" s="3">
        <v>2</v>
      </c>
      <c r="E156" s="3">
        <f t="shared" si="4"/>
        <v>8</v>
      </c>
      <c r="F156" s="119">
        <v>44682</v>
      </c>
    </row>
    <row r="157" spans="1:6" ht="16.5" hidden="1" x14ac:dyDescent="0.3">
      <c r="A157" s="20" t="s">
        <v>89</v>
      </c>
      <c r="B157" s="121" t="s">
        <v>156</v>
      </c>
      <c r="C157" s="17">
        <v>8.0389164999999999E-2</v>
      </c>
      <c r="D157" s="3">
        <v>2</v>
      </c>
      <c r="E157" s="3">
        <f t="shared" si="4"/>
        <v>8</v>
      </c>
      <c r="F157" s="119">
        <v>44682</v>
      </c>
    </row>
    <row r="158" spans="1:6" ht="16.5" hidden="1" x14ac:dyDescent="0.3">
      <c r="A158" s="20" t="s">
        <v>89</v>
      </c>
      <c r="B158" s="117" t="s">
        <v>313</v>
      </c>
      <c r="C158" s="17">
        <v>0.08</v>
      </c>
      <c r="D158" s="3">
        <v>2</v>
      </c>
      <c r="E158" s="3">
        <f t="shared" si="4"/>
        <v>8</v>
      </c>
      <c r="F158" s="119">
        <v>44682</v>
      </c>
    </row>
    <row r="159" spans="1:6" ht="16.5" hidden="1" x14ac:dyDescent="0.3">
      <c r="A159" s="20" t="s">
        <v>89</v>
      </c>
      <c r="B159" s="106" t="s">
        <v>330</v>
      </c>
      <c r="C159" s="17">
        <v>7.3499999999999996E-2</v>
      </c>
      <c r="D159" s="3">
        <v>2</v>
      </c>
      <c r="E159" s="3">
        <f t="shared" si="4"/>
        <v>8</v>
      </c>
      <c r="F159" s="119">
        <v>44682</v>
      </c>
    </row>
    <row r="160" spans="1:6" ht="16.5" hidden="1" x14ac:dyDescent="0.3">
      <c r="A160" s="20" t="s">
        <v>89</v>
      </c>
      <c r="B160" s="106" t="s">
        <v>348</v>
      </c>
      <c r="C160" s="17">
        <v>7.3315000000000005E-2</v>
      </c>
      <c r="D160" s="3">
        <v>2</v>
      </c>
      <c r="E160" s="3">
        <f t="shared" si="4"/>
        <v>8</v>
      </c>
      <c r="F160" s="119">
        <v>44682</v>
      </c>
    </row>
    <row r="161" spans="1:6" ht="16.5" hidden="1" x14ac:dyDescent="0.3">
      <c r="A161" s="19" t="s">
        <v>89</v>
      </c>
      <c r="B161" s="106" t="s">
        <v>273</v>
      </c>
      <c r="C161" s="17">
        <v>7.1333333333333332E-2</v>
      </c>
      <c r="D161" s="3">
        <v>2</v>
      </c>
      <c r="E161" s="3">
        <f t="shared" si="4"/>
        <v>8</v>
      </c>
      <c r="F161" s="119">
        <v>44682</v>
      </c>
    </row>
    <row r="162" spans="1:6" ht="16.5" hidden="1" x14ac:dyDescent="0.3">
      <c r="A162" s="19" t="s">
        <v>89</v>
      </c>
      <c r="B162" s="106" t="s">
        <v>338</v>
      </c>
      <c r="C162" s="17">
        <v>6.7323966702950294E-2</v>
      </c>
      <c r="D162" s="3">
        <v>2</v>
      </c>
      <c r="E162" s="3">
        <f t="shared" ref="E162:E177" si="5">$G$1-D162</f>
        <v>8</v>
      </c>
      <c r="F162" s="119">
        <v>44682</v>
      </c>
    </row>
    <row r="163" spans="1:6" ht="16.5" hidden="1" x14ac:dyDescent="0.3">
      <c r="A163" s="19" t="s">
        <v>89</v>
      </c>
      <c r="B163" s="122" t="s">
        <v>363</v>
      </c>
      <c r="C163" s="17">
        <v>6.5467449828683313E-2</v>
      </c>
      <c r="D163" s="3">
        <v>2</v>
      </c>
      <c r="E163" s="3">
        <f t="shared" si="5"/>
        <v>8</v>
      </c>
      <c r="F163" s="119">
        <v>44682</v>
      </c>
    </row>
    <row r="164" spans="1:6" ht="16.5" hidden="1" x14ac:dyDescent="0.3">
      <c r="A164" s="19" t="s">
        <v>89</v>
      </c>
      <c r="B164" s="106" t="s">
        <v>361</v>
      </c>
      <c r="C164" s="17">
        <v>6.2941916963728986E-2</v>
      </c>
      <c r="D164" s="3">
        <v>2</v>
      </c>
      <c r="E164" s="3">
        <f t="shared" si="5"/>
        <v>8</v>
      </c>
      <c r="F164" s="119">
        <v>44682</v>
      </c>
    </row>
    <row r="165" spans="1:6" ht="16.5" hidden="1" x14ac:dyDescent="0.3">
      <c r="A165" s="19" t="s">
        <v>89</v>
      </c>
      <c r="B165" s="106" t="s">
        <v>375</v>
      </c>
      <c r="C165" s="17">
        <v>5.9450059172255154E-2</v>
      </c>
      <c r="D165" s="3">
        <v>2</v>
      </c>
      <c r="E165" s="3">
        <f t="shared" si="5"/>
        <v>8</v>
      </c>
      <c r="F165" s="119">
        <v>44682</v>
      </c>
    </row>
    <row r="166" spans="1:6" ht="16.5" hidden="1" x14ac:dyDescent="0.3">
      <c r="A166" s="19" t="s">
        <v>89</v>
      </c>
      <c r="B166" s="106" t="s">
        <v>383</v>
      </c>
      <c r="C166" s="17">
        <v>5.3499999999999999E-2</v>
      </c>
      <c r="D166" s="3">
        <v>2</v>
      </c>
      <c r="E166" s="3">
        <f t="shared" si="5"/>
        <v>8</v>
      </c>
      <c r="F166" s="119">
        <v>44682</v>
      </c>
    </row>
    <row r="167" spans="1:6" ht="16.5" hidden="1" x14ac:dyDescent="0.3">
      <c r="A167" s="20" t="s">
        <v>89</v>
      </c>
      <c r="B167" s="106" t="s">
        <v>334</v>
      </c>
      <c r="C167" s="17">
        <v>5.3499999999999999E-2</v>
      </c>
      <c r="D167" s="3">
        <v>2</v>
      </c>
      <c r="E167" s="3">
        <f t="shared" si="5"/>
        <v>8</v>
      </c>
      <c r="F167" s="119">
        <v>44682</v>
      </c>
    </row>
    <row r="168" spans="1:6" ht="16.5" hidden="1" x14ac:dyDescent="0.3">
      <c r="A168" s="20" t="s">
        <v>89</v>
      </c>
      <c r="B168" s="106" t="s">
        <v>344</v>
      </c>
      <c r="C168" s="17">
        <v>5.3499999999999999E-2</v>
      </c>
      <c r="D168" s="3">
        <v>2</v>
      </c>
      <c r="E168" s="3">
        <f t="shared" si="5"/>
        <v>8</v>
      </c>
      <c r="F168" s="119">
        <v>44682</v>
      </c>
    </row>
    <row r="169" spans="1:6" ht="16.5" hidden="1" x14ac:dyDescent="0.3">
      <c r="A169" s="19" t="s">
        <v>89</v>
      </c>
      <c r="B169" s="106" t="s">
        <v>385</v>
      </c>
      <c r="C169" s="17">
        <v>5.3499999999999999E-2</v>
      </c>
      <c r="D169" s="3">
        <v>2</v>
      </c>
      <c r="E169" s="3">
        <f t="shared" si="5"/>
        <v>8</v>
      </c>
      <c r="F169" s="119">
        <v>44682</v>
      </c>
    </row>
    <row r="170" spans="1:6" ht="16.5" hidden="1" x14ac:dyDescent="0.3">
      <c r="A170" s="20" t="s">
        <v>16</v>
      </c>
      <c r="B170" s="117" t="s">
        <v>391</v>
      </c>
      <c r="C170" s="17">
        <v>5.3186829689514062E-2</v>
      </c>
      <c r="D170" s="3">
        <v>3</v>
      </c>
      <c r="E170" s="3">
        <f t="shared" si="5"/>
        <v>7</v>
      </c>
      <c r="F170" s="119">
        <v>44682</v>
      </c>
    </row>
    <row r="171" spans="1:6" ht="16.5" hidden="1" x14ac:dyDescent="0.3">
      <c r="A171" s="19" t="s">
        <v>89</v>
      </c>
      <c r="B171" s="106" t="s">
        <v>393</v>
      </c>
      <c r="C171" s="17">
        <v>5.1178770892680289E-2</v>
      </c>
      <c r="D171" s="3">
        <v>2</v>
      </c>
      <c r="E171" s="3">
        <f t="shared" si="5"/>
        <v>8</v>
      </c>
      <c r="F171" s="119">
        <v>44682</v>
      </c>
    </row>
    <row r="172" spans="1:6" ht="16.5" hidden="1" x14ac:dyDescent="0.3">
      <c r="A172" s="20" t="s">
        <v>16</v>
      </c>
      <c r="B172" s="117" t="s">
        <v>395</v>
      </c>
      <c r="C172" s="17">
        <v>4.8783287419651059E-2</v>
      </c>
      <c r="D172" s="3">
        <v>3</v>
      </c>
      <c r="E172" s="3">
        <f t="shared" si="5"/>
        <v>7</v>
      </c>
      <c r="F172" s="119">
        <v>44682</v>
      </c>
    </row>
    <row r="173" spans="1:6" ht="16.5" hidden="1" x14ac:dyDescent="0.3">
      <c r="A173" s="20" t="s">
        <v>16</v>
      </c>
      <c r="B173" s="106" t="s">
        <v>367</v>
      </c>
      <c r="C173" s="17">
        <v>3.7106927695439156E-2</v>
      </c>
      <c r="D173" s="3">
        <v>3</v>
      </c>
      <c r="E173" s="3">
        <f t="shared" si="5"/>
        <v>7</v>
      </c>
      <c r="F173" s="119">
        <v>44682</v>
      </c>
    </row>
    <row r="174" spans="1:6" ht="16.5" hidden="1" x14ac:dyDescent="0.3">
      <c r="A174" s="20" t="s">
        <v>89</v>
      </c>
      <c r="B174" s="106" t="s">
        <v>405</v>
      </c>
      <c r="C174" s="17">
        <v>0</v>
      </c>
      <c r="D174" s="3">
        <v>2</v>
      </c>
      <c r="E174" s="3">
        <f t="shared" si="5"/>
        <v>8</v>
      </c>
      <c r="F174" s="119">
        <v>44682</v>
      </c>
    </row>
    <row r="175" spans="1:6" ht="16.5" x14ac:dyDescent="0.3">
      <c r="A175" s="20" t="s">
        <v>32</v>
      </c>
      <c r="B175" s="106" t="s">
        <v>323</v>
      </c>
      <c r="C175" s="17">
        <v>0</v>
      </c>
      <c r="D175" s="3">
        <v>4</v>
      </c>
      <c r="E175" s="3">
        <f t="shared" si="5"/>
        <v>6</v>
      </c>
      <c r="F175" s="119">
        <v>44682</v>
      </c>
    </row>
    <row r="176" spans="1:6" ht="16.5" x14ac:dyDescent="0.3">
      <c r="A176" s="20" t="s">
        <v>32</v>
      </c>
      <c r="B176" s="106" t="s">
        <v>239</v>
      </c>
      <c r="C176" s="17">
        <v>5.9175706302077379E-2</v>
      </c>
      <c r="D176" s="3">
        <v>3</v>
      </c>
      <c r="E176" s="3">
        <f t="shared" si="5"/>
        <v>7</v>
      </c>
      <c r="F176" s="119">
        <v>44713</v>
      </c>
    </row>
    <row r="177" spans="1:6" ht="16.5" x14ac:dyDescent="0.3">
      <c r="A177" s="20" t="s">
        <v>32</v>
      </c>
      <c r="B177" s="106" t="s">
        <v>399</v>
      </c>
      <c r="C177" s="17">
        <v>0</v>
      </c>
      <c r="D177" s="3">
        <v>2</v>
      </c>
      <c r="E177" s="3">
        <f t="shared" si="5"/>
        <v>8</v>
      </c>
      <c r="F177" s="119">
        <v>44743</v>
      </c>
    </row>
    <row r="178" spans="1:6" ht="16.5" hidden="1" x14ac:dyDescent="0.3">
      <c r="A178" s="69" t="s">
        <v>49</v>
      </c>
      <c r="B178" s="125" t="s">
        <v>387</v>
      </c>
      <c r="C178" s="130">
        <v>5.3499999999999999E-2</v>
      </c>
      <c r="D178" s="128">
        <v>5</v>
      </c>
      <c r="E178" s="128" t="s">
        <v>1399</v>
      </c>
      <c r="F178" s="127" t="s">
        <v>1399</v>
      </c>
    </row>
    <row r="179" spans="1:6" ht="16.5" hidden="1" x14ac:dyDescent="0.3">
      <c r="A179" s="69" t="s">
        <v>16</v>
      </c>
      <c r="B179" s="125" t="s">
        <v>17</v>
      </c>
      <c r="C179" s="129">
        <v>0</v>
      </c>
      <c r="D179" s="128">
        <v>0</v>
      </c>
      <c r="E179" s="128" t="s">
        <v>1399</v>
      </c>
      <c r="F179" s="127" t="s">
        <v>1399</v>
      </c>
    </row>
  </sheetData>
  <autoFilter ref="A1:F179" xr:uid="{00000000-0009-0000-0000-00000A000000}">
    <filterColumn colId="0">
      <filters>
        <filter val="AMAZONIA"/>
      </filters>
    </filterColumn>
    <sortState xmlns:xlrd2="http://schemas.microsoft.com/office/spreadsheetml/2017/richdata2" ref="A2:F179">
      <sortCondition ref="F1"/>
    </sortState>
  </autoFilter>
  <conditionalFormatting sqref="C2:C179">
    <cfRule type="colorScale" priority="1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2">
      <colorScale>
        <cfvo type="percent" val="0"/>
        <cfvo type="percent" val="50"/>
        <cfvo type="percent" val="100"/>
        <color rgb="FFFF0000"/>
        <color rgb="FFFFFF00"/>
        <color rgb="FF33CC33"/>
      </colorScale>
    </cfRule>
    <cfRule type="colorScale" priority="3">
      <colorScale>
        <cfvo type="percent" val="0"/>
        <cfvo type="percent" val="100"/>
        <color rgb="FFFF0000"/>
        <color rgb="FF33CC33"/>
      </colorScale>
    </cfRule>
    <cfRule type="colorScale" priority="4">
      <colorScale>
        <cfvo type="min"/>
        <cfvo type="max"/>
        <color rgb="FFFF0000"/>
        <color rgb="FFF6FC08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CONSOLIDADO</vt:lpstr>
      <vt:lpstr>Pacífico</vt:lpstr>
      <vt:lpstr>Eje Cafetero</vt:lpstr>
      <vt:lpstr>Caribe I</vt:lpstr>
      <vt:lpstr>Caribe II</vt:lpstr>
      <vt:lpstr>Central</vt:lpstr>
      <vt:lpstr>Santanderes</vt:lpstr>
      <vt:lpstr>Llanos</vt:lpstr>
      <vt:lpstr>Amazonía</vt:lpstr>
      <vt:lpstr>Resumen</vt:lpstr>
      <vt:lpstr>INFORME CRIS</vt:lpstr>
      <vt:lpstr>Proyección Monitoreos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Angelica Melissa Carvajal Infante</dc:creator>
  <cp:keywords/>
  <dc:description/>
  <cp:lastModifiedBy>Maria Cristina Castillo Perez</cp:lastModifiedBy>
  <cp:revision/>
  <cp:lastPrinted>2022-11-02T17:16:13Z</cp:lastPrinted>
  <dcterms:created xsi:type="dcterms:W3CDTF">2018-03-13T13:18:29Z</dcterms:created>
  <dcterms:modified xsi:type="dcterms:W3CDTF">2022-11-23T22:50:23Z</dcterms:modified>
  <cp:category/>
  <cp:contentStatus/>
</cp:coreProperties>
</file>