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3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4235671fe39fc95/Documentos/PROYECTOS EN EJECUCIÓN/ESTUDIOS PREVIOS/PARQUE RINCON CAMPESTRE/"/>
    </mc:Choice>
  </mc:AlternateContent>
  <xr:revisionPtr revIDLastSave="647" documentId="13_ncr:1_{C1FF9315-602D-4AAB-AD43-AE66813BAD2F}" xr6:coauthVersionLast="47" xr6:coauthVersionMax="47" xr10:uidLastSave="{8F27EA69-A326-4940-82CC-C2D7D89D6A9F}"/>
  <bookViews>
    <workbookView xWindow="28680" yWindow="-120" windowWidth="29040" windowHeight="15840" xr2:uid="{00000000-000D-0000-FFFF-FFFF00000000}"/>
  </bookViews>
  <sheets>
    <sheet name="PRESUPUESTO SIN DECIMALES" sheetId="86" r:id="rId1"/>
    <sheet name="FORMATO PRESUPUESTO" sheetId="1" r:id="rId2"/>
    <sheet name="APU" sheetId="42" r:id="rId3"/>
    <sheet name="1.1" sheetId="44" r:id="rId4"/>
    <sheet name="1.2" sheetId="2" state="hidden" r:id="rId5"/>
    <sheet name="1.2 (2)" sheetId="46" r:id="rId6"/>
    <sheet name="1.3" sheetId="12" state="hidden" r:id="rId7"/>
    <sheet name="1.3 (2)" sheetId="47" r:id="rId8"/>
    <sheet name="1.5" sheetId="15" state="hidden" r:id="rId9"/>
    <sheet name="1.5 (2)" sheetId="48" r:id="rId10"/>
    <sheet name="1.6" sheetId="14" state="hidden" r:id="rId11"/>
    <sheet name="1.6 (2)" sheetId="49" r:id="rId12"/>
    <sheet name="1.7 (0)" sheetId="10" r:id="rId13"/>
    <sheet name="1.8 (0)" sheetId="19" r:id="rId14"/>
    <sheet name="2.1" sheetId="13" r:id="rId15"/>
    <sheet name="2.2" sheetId="5" state="hidden" r:id="rId16"/>
    <sheet name="2.2 (2)" sheetId="50" r:id="rId17"/>
    <sheet name="2.3" sheetId="11" state="hidden" r:id="rId18"/>
    <sheet name="2.3 (2)" sheetId="51" r:id="rId19"/>
    <sheet name="2.4" sheetId="6" state="hidden" r:id="rId20"/>
    <sheet name="2.4 VF" sheetId="57" r:id="rId21"/>
    <sheet name="2.5" sheetId="17" state="hidden" r:id="rId22"/>
    <sheet name="2.5 (2)" sheetId="53" state="hidden" r:id="rId23"/>
    <sheet name="2.5 (3)" sheetId="58" r:id="rId24"/>
    <sheet name="2.6" sheetId="8" state="hidden" r:id="rId25"/>
    <sheet name="2.6 (2)" sheetId="54" state="hidden" r:id="rId26"/>
    <sheet name="2.6 (3)" sheetId="59" r:id="rId27"/>
    <sheet name="2.7" sheetId="9" state="hidden" r:id="rId28"/>
    <sheet name="2.7 (2)" sheetId="55" r:id="rId29"/>
    <sheet name="2.8" sheetId="18" state="hidden" r:id="rId30"/>
    <sheet name="2.8 (0)" sheetId="56" r:id="rId31"/>
    <sheet name="2.9" sheetId="21" r:id="rId32"/>
    <sheet name="2.10(0)" sheetId="43" r:id="rId33"/>
    <sheet name="3.1" sheetId="20" r:id="rId34"/>
    <sheet name="3.2" sheetId="16" r:id="rId35"/>
    <sheet name="3.3" sheetId="45" r:id="rId36"/>
    <sheet name="4.1 " sheetId="60" r:id="rId37"/>
    <sheet name="4.2" sheetId="61" r:id="rId38"/>
    <sheet name="4.3 MAN 0.25" sheetId="63" r:id="rId39"/>
    <sheet name="4.4" sheetId="64" r:id="rId40"/>
    <sheet name="4.5" sheetId="65" r:id="rId41"/>
    <sheet name="4.6" sheetId="66" r:id="rId42"/>
    <sheet name="4.7" sheetId="67" r:id="rId43"/>
    <sheet name="4.8" sheetId="68" r:id="rId44"/>
    <sheet name="4.8 (2)" sheetId="85" r:id="rId45"/>
    <sheet name="4.9" sheetId="69" r:id="rId46"/>
    <sheet name="4.10 (0)" sheetId="71" r:id="rId47"/>
    <sheet name="4.11(0)" sheetId="72" r:id="rId48"/>
    <sheet name="4.12" sheetId="73" r:id="rId49"/>
    <sheet name="4.13" sheetId="77" r:id="rId50"/>
    <sheet name="4.14." sheetId="78" r:id="rId51"/>
    <sheet name="4.15." sheetId="74" r:id="rId52"/>
    <sheet name="4.16." sheetId="75" r:id="rId53"/>
    <sheet name="4.17" sheetId="76" r:id="rId54"/>
    <sheet name="4.18" sheetId="79" r:id="rId55"/>
    <sheet name="4.19" sheetId="80" r:id="rId56"/>
    <sheet name="4.20" sheetId="81" r:id="rId57"/>
    <sheet name="4.21" sheetId="83" r:id="rId58"/>
    <sheet name="4.22" sheetId="84" r:id="rId59"/>
  </sheets>
  <definedNames>
    <definedName name="_xlnm.Print_Area" localSheetId="1">'FORMATO PRESUPUESTO'!$A$1:$L$43</definedName>
    <definedName name="_xlnm.Print_Area" localSheetId="0">'PRESUPUESTO SIN DECIMALES'!$A$1:$L$43</definedName>
    <definedName name="_xlnm.Print_Titles" localSheetId="1">'FORMATO PRESUPUESTO'!$1:$5</definedName>
    <definedName name="_xlnm.Print_Titles" localSheetId="0">'PRESUPUESTO SIN DECIMALES'!$1:$5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86" l="1"/>
  <c r="K24" i="86"/>
  <c r="L24" i="86" s="1"/>
  <c r="K25" i="86"/>
  <c r="L25" i="86" s="1"/>
  <c r="K26" i="86"/>
  <c r="L26" i="86" s="1"/>
  <c r="K27" i="86"/>
  <c r="L27" i="86" s="1"/>
  <c r="K28" i="86"/>
  <c r="L28" i="86" s="1"/>
  <c r="K29" i="86"/>
  <c r="L29" i="86"/>
  <c r="K22" i="86"/>
  <c r="L22" i="86" s="1"/>
  <c r="K10" i="86"/>
  <c r="L10" i="86" s="1"/>
  <c r="K11" i="86"/>
  <c r="L11" i="86" s="1"/>
  <c r="K12" i="86"/>
  <c r="L12" i="86" s="1"/>
  <c r="K13" i="86"/>
  <c r="L13" i="86"/>
  <c r="K14" i="86"/>
  <c r="K15" i="86"/>
  <c r="L15" i="86" s="1"/>
  <c r="K16" i="86"/>
  <c r="L16" i="86" s="1"/>
  <c r="K17" i="86"/>
  <c r="L17" i="86"/>
  <c r="K9" i="86"/>
  <c r="L9" i="86" s="1"/>
  <c r="I28" i="86"/>
  <c r="I26" i="86"/>
  <c r="I27" i="86" s="1"/>
  <c r="I23" i="86"/>
  <c r="I22" i="86"/>
  <c r="I15" i="86"/>
  <c r="I17" i="86" s="1"/>
  <c r="I14" i="86"/>
  <c r="I28" i="1"/>
  <c r="I26" i="1"/>
  <c r="I27" i="1" s="1"/>
  <c r="I23" i="1"/>
  <c r="I22" i="1"/>
  <c r="I15" i="1"/>
  <c r="I17" i="1" s="1"/>
  <c r="J27" i="1"/>
  <c r="K27" i="1" s="1"/>
  <c r="K24" i="1"/>
  <c r="L24" i="1" s="1"/>
  <c r="K25" i="1"/>
  <c r="K26" i="1"/>
  <c r="K28" i="1"/>
  <c r="I14" i="1"/>
  <c r="K11" i="1"/>
  <c r="L11" i="1" s="1"/>
  <c r="K12" i="1"/>
  <c r="L12" i="1" s="1"/>
  <c r="K13" i="1"/>
  <c r="L13" i="1" s="1"/>
  <c r="K14" i="1"/>
  <c r="K15" i="1"/>
  <c r="K16" i="1"/>
  <c r="L16" i="1" s="1"/>
  <c r="K17" i="1"/>
  <c r="M25" i="68"/>
  <c r="M24" i="68"/>
  <c r="M19" i="68"/>
  <c r="K55" i="51"/>
  <c r="H49" i="51"/>
  <c r="K49" i="51" s="1"/>
  <c r="K58" i="50"/>
  <c r="K51" i="50"/>
  <c r="H51" i="50"/>
  <c r="H50" i="50"/>
  <c r="K50" i="50" s="1"/>
  <c r="H49" i="50"/>
  <c r="K49" i="50" s="1"/>
  <c r="K39" i="50"/>
  <c r="O70" i="50"/>
  <c r="O69" i="50"/>
  <c r="L36" i="68"/>
  <c r="K18" i="68"/>
  <c r="I17" i="68"/>
  <c r="K19" i="68"/>
  <c r="I16" i="68"/>
  <c r="I15" i="68"/>
  <c r="I14" i="68"/>
  <c r="I13" i="68"/>
  <c r="I12" i="68"/>
  <c r="K45" i="85"/>
  <c r="J45" i="85"/>
  <c r="L45" i="85" s="1"/>
  <c r="I45" i="85"/>
  <c r="J44" i="85"/>
  <c r="L44" i="85" s="1"/>
  <c r="L43" i="85"/>
  <c r="J43" i="85"/>
  <c r="J42" i="85"/>
  <c r="L42" i="85" s="1"/>
  <c r="K41" i="85"/>
  <c r="I41" i="85"/>
  <c r="J41" i="85" s="1"/>
  <c r="L41" i="85" s="1"/>
  <c r="L40" i="85"/>
  <c r="J40" i="85"/>
  <c r="J39" i="85"/>
  <c r="L39" i="85" s="1"/>
  <c r="L38" i="85"/>
  <c r="J38" i="85"/>
  <c r="I36" i="85"/>
  <c r="J36" i="85" s="1"/>
  <c r="L36" i="85" s="1"/>
  <c r="K35" i="85"/>
  <c r="I35" i="85"/>
  <c r="J35" i="85" s="1"/>
  <c r="L35" i="85" s="1"/>
  <c r="L34" i="85"/>
  <c r="J34" i="85"/>
  <c r="J33" i="85"/>
  <c r="L33" i="85" s="1"/>
  <c r="K31" i="85"/>
  <c r="I31" i="85"/>
  <c r="J31" i="85" s="1"/>
  <c r="L31" i="85" s="1"/>
  <c r="K30" i="85"/>
  <c r="I30" i="85"/>
  <c r="J30" i="85" s="1"/>
  <c r="L30" i="85" s="1"/>
  <c r="I29" i="85"/>
  <c r="J29" i="85" s="1"/>
  <c r="L29" i="85" s="1"/>
  <c r="L28" i="85"/>
  <c r="J28" i="85"/>
  <c r="I28" i="85"/>
  <c r="J27" i="85"/>
  <c r="L27" i="85" s="1"/>
  <c r="I27" i="85"/>
  <c r="I26" i="85"/>
  <c r="J26" i="85" s="1"/>
  <c r="L26" i="85" s="1"/>
  <c r="I25" i="85"/>
  <c r="J25" i="85" s="1"/>
  <c r="L25" i="85" s="1"/>
  <c r="L24" i="85"/>
  <c r="J24" i="85"/>
  <c r="I24" i="85"/>
  <c r="J23" i="85"/>
  <c r="L23" i="85" s="1"/>
  <c r="I23" i="85"/>
  <c r="I22" i="85"/>
  <c r="J22" i="85" s="1"/>
  <c r="L22" i="85" s="1"/>
  <c r="I21" i="85"/>
  <c r="J21" i="85" s="1"/>
  <c r="L21" i="85" s="1"/>
  <c r="L20" i="85"/>
  <c r="J20" i="85"/>
  <c r="I20" i="85"/>
  <c r="J19" i="85"/>
  <c r="L19" i="85" s="1"/>
  <c r="I19" i="85"/>
  <c r="I18" i="85"/>
  <c r="J18" i="85" s="1"/>
  <c r="L18" i="85" s="1"/>
  <c r="I17" i="85"/>
  <c r="J17" i="85" s="1"/>
  <c r="L17" i="85" s="1"/>
  <c r="L16" i="85"/>
  <c r="J16" i="85"/>
  <c r="I16" i="85"/>
  <c r="J15" i="85"/>
  <c r="L15" i="85" s="1"/>
  <c r="I15" i="85"/>
  <c r="I14" i="85"/>
  <c r="J14" i="85" s="1"/>
  <c r="L14" i="85" s="1"/>
  <c r="N13" i="85"/>
  <c r="M13" i="85"/>
  <c r="K13" i="85"/>
  <c r="L13" i="85" s="1"/>
  <c r="J13" i="85"/>
  <c r="I13" i="85"/>
  <c r="N12" i="85"/>
  <c r="M12" i="85"/>
  <c r="K12" i="85"/>
  <c r="I12" i="85"/>
  <c r="J12" i="85" s="1"/>
  <c r="L12" i="85" s="1"/>
  <c r="D7" i="85"/>
  <c r="L14" i="86" l="1"/>
  <c r="L23" i="86"/>
  <c r="L8" i="86"/>
  <c r="L18" i="86" s="1"/>
  <c r="L21" i="86"/>
  <c r="L30" i="86" s="1"/>
  <c r="L17" i="1"/>
  <c r="L15" i="1"/>
  <c r="L28" i="1"/>
  <c r="L27" i="1"/>
  <c r="L26" i="1"/>
  <c r="L25" i="1"/>
  <c r="L14" i="1"/>
  <c r="L48" i="85"/>
  <c r="L32" i="86" l="1"/>
  <c r="K46" i="73"/>
  <c r="K14" i="84"/>
  <c r="K12" i="84"/>
  <c r="I14" i="84"/>
  <c r="I12" i="84"/>
  <c r="G14" i="84"/>
  <c r="G12" i="84"/>
  <c r="G17" i="83"/>
  <c r="I17" i="83" s="1"/>
  <c r="K17" i="83" s="1"/>
  <c r="G14" i="83"/>
  <c r="I14" i="83"/>
  <c r="K14" i="83" s="1"/>
  <c r="K7" i="84"/>
  <c r="K9" i="84" s="1"/>
  <c r="D7" i="84"/>
  <c r="I16" i="83"/>
  <c r="K16" i="83" s="1"/>
  <c r="K7" i="83"/>
  <c r="I9" i="83" s="1"/>
  <c r="K7" i="81"/>
  <c r="K9" i="81" s="1"/>
  <c r="D7" i="83"/>
  <c r="I15" i="83"/>
  <c r="K15" i="83" s="1"/>
  <c r="I13" i="83"/>
  <c r="K13" i="83" s="1"/>
  <c r="I12" i="83"/>
  <c r="K12" i="83" s="1"/>
  <c r="K33" i="68"/>
  <c r="K29" i="68"/>
  <c r="I33" i="68"/>
  <c r="J33" i="68" s="1"/>
  <c r="I29" i="68"/>
  <c r="J29" i="68" s="1"/>
  <c r="J32" i="68"/>
  <c r="J31" i="68"/>
  <c r="J30" i="68"/>
  <c r="J28" i="68"/>
  <c r="J27" i="68"/>
  <c r="J26" i="68"/>
  <c r="K11" i="81"/>
  <c r="K30" i="81" s="1"/>
  <c r="D7" i="81"/>
  <c r="F11" i="80"/>
  <c r="I11" i="80" s="1"/>
  <c r="K11" i="80" s="1"/>
  <c r="K30" i="80" s="1"/>
  <c r="K7" i="80"/>
  <c r="K9" i="80" s="1"/>
  <c r="D7" i="80"/>
  <c r="I11" i="79"/>
  <c r="I12" i="79"/>
  <c r="K12" i="79" s="1"/>
  <c r="K7" i="79"/>
  <c r="K9" i="79" s="1"/>
  <c r="D7" i="79"/>
  <c r="K11" i="79"/>
  <c r="I11" i="76"/>
  <c r="K11" i="76" s="1"/>
  <c r="K30" i="76" s="1"/>
  <c r="H11" i="76"/>
  <c r="K7" i="76"/>
  <c r="I9" i="76" s="1"/>
  <c r="K7" i="75"/>
  <c r="K7" i="74"/>
  <c r="K7" i="78"/>
  <c r="I9" i="78" s="1"/>
  <c r="D7" i="78"/>
  <c r="K13" i="78"/>
  <c r="K12" i="78"/>
  <c r="K11" i="78"/>
  <c r="K30" i="78" s="1"/>
  <c r="K17" i="77"/>
  <c r="K46" i="77"/>
  <c r="K16" i="77"/>
  <c r="K15" i="77"/>
  <c r="K14" i="77"/>
  <c r="K12" i="77"/>
  <c r="K13" i="77"/>
  <c r="D7" i="77"/>
  <c r="K9" i="77"/>
  <c r="I9" i="77"/>
  <c r="D7" i="76"/>
  <c r="M32" i="86" l="1"/>
  <c r="I9" i="84"/>
  <c r="K47" i="84"/>
  <c r="M47" i="84" s="1"/>
  <c r="K9" i="83"/>
  <c r="K48" i="83"/>
  <c r="I9" i="81"/>
  <c r="I9" i="80"/>
  <c r="K30" i="79"/>
  <c r="I9" i="79"/>
  <c r="K9" i="76"/>
  <c r="M48" i="83" l="1"/>
  <c r="I14" i="69" l="1"/>
  <c r="K23" i="68"/>
  <c r="I23" i="68"/>
  <c r="J23" i="68" s="1"/>
  <c r="I24" i="68"/>
  <c r="J24" i="68" s="1"/>
  <c r="L24" i="68" s="1"/>
  <c r="J22" i="68"/>
  <c r="L22" i="68" s="1"/>
  <c r="J21" i="68"/>
  <c r="L21" i="68" s="1"/>
  <c r="K17" i="67"/>
  <c r="I17" i="67"/>
  <c r="I14" i="67"/>
  <c r="I13" i="67"/>
  <c r="K13" i="67" s="1"/>
  <c r="I15" i="63"/>
  <c r="I16" i="63"/>
  <c r="K16" i="63" s="1"/>
  <c r="K46" i="63" s="1"/>
  <c r="K15" i="63"/>
  <c r="I14" i="63"/>
  <c r="K14" i="63" s="1"/>
  <c r="G14" i="63"/>
  <c r="I13" i="63"/>
  <c r="I12" i="63"/>
  <c r="K12" i="63" s="1"/>
  <c r="K46" i="64"/>
  <c r="K21" i="64"/>
  <c r="K20" i="64"/>
  <c r="K19" i="64"/>
  <c r="K31" i="60"/>
  <c r="G11" i="60"/>
  <c r="I11" i="60" s="1"/>
  <c r="K11" i="60" s="1"/>
  <c r="K30" i="59"/>
  <c r="L16" i="59"/>
  <c r="L14" i="59"/>
  <c r="L15" i="59"/>
  <c r="I15" i="59"/>
  <c r="K15" i="59" s="1"/>
  <c r="I14" i="59"/>
  <c r="K14" i="59" s="1"/>
  <c r="G12" i="60"/>
  <c r="G13" i="60"/>
  <c r="I13" i="60" s="1"/>
  <c r="K13" i="60" s="1"/>
  <c r="K30" i="45"/>
  <c r="K7" i="43"/>
  <c r="D7" i="43"/>
  <c r="L21" i="55"/>
  <c r="L20" i="55"/>
  <c r="I13" i="59"/>
  <c r="K13" i="59" s="1"/>
  <c r="L13" i="59" s="1"/>
  <c r="I12" i="59"/>
  <c r="I11" i="59"/>
  <c r="K48" i="51"/>
  <c r="H48" i="51"/>
  <c r="K35" i="58"/>
  <c r="I24" i="58"/>
  <c r="K24" i="58" s="1"/>
  <c r="H46" i="51"/>
  <c r="F23" i="58"/>
  <c r="K12" i="58"/>
  <c r="I11" i="57"/>
  <c r="K46" i="51"/>
  <c r="H47" i="51"/>
  <c r="H45" i="51"/>
  <c r="H48" i="50"/>
  <c r="K48" i="50" s="1"/>
  <c r="H47" i="50"/>
  <c r="K47" i="50" s="1"/>
  <c r="H46" i="50"/>
  <c r="H32" i="50"/>
  <c r="K32" i="50"/>
  <c r="G43" i="13"/>
  <c r="M52" i="50"/>
  <c r="G19" i="13"/>
  <c r="K19" i="13"/>
  <c r="K11" i="75"/>
  <c r="K30" i="75" s="1"/>
  <c r="K12" i="75"/>
  <c r="D7" i="75"/>
  <c r="K13" i="75"/>
  <c r="I11" i="75"/>
  <c r="I9" i="75"/>
  <c r="D7" i="74"/>
  <c r="L11" i="74"/>
  <c r="I11" i="74"/>
  <c r="K11" i="74" s="1"/>
  <c r="K30" i="74" s="1"/>
  <c r="K11" i="47"/>
  <c r="K11" i="46"/>
  <c r="K11" i="44"/>
  <c r="I12" i="46"/>
  <c r="K12" i="45"/>
  <c r="I12" i="45"/>
  <c r="K13" i="16"/>
  <c r="I13" i="16"/>
  <c r="I13" i="72"/>
  <c r="K13" i="72" s="1"/>
  <c r="I13" i="69"/>
  <c r="M46" i="63" l="1"/>
  <c r="L23" i="68"/>
  <c r="K9" i="75"/>
  <c r="K13" i="69"/>
  <c r="I15" i="73"/>
  <c r="K15" i="73" s="1"/>
  <c r="I13" i="73"/>
  <c r="K13" i="73" s="1"/>
  <c r="D7" i="73"/>
  <c r="D7" i="72"/>
  <c r="K9" i="73"/>
  <c r="I9" i="73"/>
  <c r="I15" i="72" l="1"/>
  <c r="K15" i="72"/>
  <c r="K46" i="72" s="1"/>
  <c r="K9" i="72"/>
  <c r="I9" i="72"/>
  <c r="D7" i="71"/>
  <c r="I16" i="71"/>
  <c r="K16" i="71" s="1"/>
  <c r="I13" i="71"/>
  <c r="K13" i="71" s="1"/>
  <c r="K12" i="71"/>
  <c r="K9" i="71"/>
  <c r="I9" i="71"/>
  <c r="I16" i="69"/>
  <c r="K46" i="71" l="1"/>
  <c r="K14" i="69"/>
  <c r="D7" i="69"/>
  <c r="K46" i="61"/>
  <c r="K16" i="69"/>
  <c r="K9" i="69"/>
  <c r="I9" i="69"/>
  <c r="I19" i="68"/>
  <c r="J19" i="68" s="1"/>
  <c r="I18" i="68"/>
  <c r="J18" i="68" s="1"/>
  <c r="J17" i="68"/>
  <c r="L17" i="68" s="1"/>
  <c r="J16" i="68"/>
  <c r="L16" i="68" s="1"/>
  <c r="J15" i="68"/>
  <c r="L15" i="68" s="1"/>
  <c r="J13" i="68"/>
  <c r="L13" i="68" s="1"/>
  <c r="J14" i="68"/>
  <c r="L14" i="68" s="1"/>
  <c r="J12" i="68"/>
  <c r="L12" i="68" s="1"/>
  <c r="K46" i="69" l="1"/>
  <c r="L19" i="68"/>
  <c r="L18" i="68"/>
  <c r="D7" i="68" l="1"/>
  <c r="I21" i="67"/>
  <c r="K21" i="67" s="1"/>
  <c r="I20" i="67"/>
  <c r="K20" i="67" s="1"/>
  <c r="I19" i="67"/>
  <c r="K19" i="67" s="1"/>
  <c r="I16" i="67"/>
  <c r="K16" i="67" s="1"/>
  <c r="K14" i="67"/>
  <c r="I15" i="67"/>
  <c r="K15" i="67" s="1"/>
  <c r="D7" i="67"/>
  <c r="K12" i="67"/>
  <c r="K9" i="67"/>
  <c r="I9" i="67"/>
  <c r="K47" i="51"/>
  <c r="K18" i="13"/>
  <c r="K15" i="66"/>
  <c r="D7" i="66"/>
  <c r="K14" i="66"/>
  <c r="K13" i="66"/>
  <c r="K12" i="66"/>
  <c r="K9" i="66"/>
  <c r="I9" i="66"/>
  <c r="D7" i="65"/>
  <c r="K14" i="65"/>
  <c r="K13" i="65"/>
  <c r="K12" i="65"/>
  <c r="K46" i="65" s="1"/>
  <c r="K9" i="65"/>
  <c r="I9" i="65"/>
  <c r="K13" i="64"/>
  <c r="K14" i="64"/>
  <c r="K15" i="64"/>
  <c r="K16" i="64"/>
  <c r="K17" i="64"/>
  <c r="K12" i="64"/>
  <c r="D7" i="64"/>
  <c r="K49" i="67" l="1"/>
  <c r="K46" i="66"/>
  <c r="I13" i="45"/>
  <c r="K13" i="45" s="1"/>
  <c r="K9" i="64"/>
  <c r="I9" i="64"/>
  <c r="K13" i="63"/>
  <c r="D7" i="63" l="1"/>
  <c r="K17" i="13"/>
  <c r="K30" i="13"/>
  <c r="I12" i="47"/>
  <c r="K45" i="51"/>
  <c r="K9" i="63" l="1"/>
  <c r="I9" i="63" l="1"/>
  <c r="K46" i="50" l="1"/>
  <c r="K29" i="1"/>
  <c r="K23" i="1"/>
  <c r="K22" i="1"/>
  <c r="K10" i="1"/>
  <c r="L10" i="1" s="1"/>
  <c r="K9" i="1"/>
  <c r="M46" i="61" l="1"/>
  <c r="G41" i="61"/>
  <c r="H40" i="61"/>
  <c r="K40" i="61" s="1"/>
  <c r="K36" i="61"/>
  <c r="K15" i="61"/>
  <c r="K16" i="61"/>
  <c r="K17" i="61"/>
  <c r="K18" i="61"/>
  <c r="K19" i="61"/>
  <c r="K20" i="61"/>
  <c r="K21" i="61"/>
  <c r="K22" i="61"/>
  <c r="K23" i="61"/>
  <c r="K24" i="61"/>
  <c r="K25" i="61"/>
  <c r="K26" i="61"/>
  <c r="K27" i="61"/>
  <c r="K28" i="61"/>
  <c r="K29" i="61"/>
  <c r="K30" i="61"/>
  <c r="K31" i="61"/>
  <c r="K32" i="61"/>
  <c r="K33" i="61"/>
  <c r="K34" i="61"/>
  <c r="K35" i="61"/>
  <c r="K37" i="61"/>
  <c r="K38" i="61"/>
  <c r="K39" i="61"/>
  <c r="G15" i="61"/>
  <c r="G19" i="61"/>
  <c r="G20" i="61"/>
  <c r="H13" i="61"/>
  <c r="K13" i="61" s="1"/>
  <c r="H12" i="61"/>
  <c r="K12" i="61" s="1"/>
  <c r="D7" i="16"/>
  <c r="G38" i="61"/>
  <c r="G37" i="61"/>
  <c r="G34" i="61"/>
  <c r="G31" i="61"/>
  <c r="G30" i="61"/>
  <c r="G26" i="61"/>
  <c r="G12" i="61"/>
  <c r="K7" i="61"/>
  <c r="K9" i="61" s="1"/>
  <c r="K44" i="51"/>
  <c r="K43" i="51"/>
  <c r="K42" i="51"/>
  <c r="K41" i="51"/>
  <c r="K40" i="51"/>
  <c r="K39" i="51"/>
  <c r="K38" i="51"/>
  <c r="G37" i="51"/>
  <c r="H36" i="51"/>
  <c r="K36" i="51" s="1"/>
  <c r="H35" i="51"/>
  <c r="K35" i="51" s="1"/>
  <c r="H34" i="51"/>
  <c r="K34" i="51" s="1"/>
  <c r="H33" i="51"/>
  <c r="K33" i="51" s="1"/>
  <c r="H32" i="51"/>
  <c r="K32" i="51" s="1"/>
  <c r="H31" i="51"/>
  <c r="H29" i="51"/>
  <c r="K29" i="51" s="1"/>
  <c r="G29" i="51"/>
  <c r="H28" i="51"/>
  <c r="K28" i="51" s="1"/>
  <c r="G28" i="51"/>
  <c r="H27" i="51"/>
  <c r="K27" i="51" s="1"/>
  <c r="G27" i="51"/>
  <c r="H26" i="51"/>
  <c r="G26" i="51"/>
  <c r="H25" i="51"/>
  <c r="K25" i="51" s="1"/>
  <c r="G25" i="51"/>
  <c r="K24" i="51"/>
  <c r="K23" i="51"/>
  <c r="K22" i="51"/>
  <c r="K21" i="51"/>
  <c r="K20" i="51"/>
  <c r="K19" i="51"/>
  <c r="K18" i="51"/>
  <c r="K17" i="51"/>
  <c r="K16" i="51"/>
  <c r="K15" i="51"/>
  <c r="K14" i="51"/>
  <c r="K17" i="50"/>
  <c r="K45" i="50"/>
  <c r="K44" i="50"/>
  <c r="K43" i="50"/>
  <c r="K42" i="50"/>
  <c r="K41" i="50"/>
  <c r="K40" i="50"/>
  <c r="H26" i="50"/>
  <c r="K15" i="50"/>
  <c r="H30" i="50"/>
  <c r="H29" i="50"/>
  <c r="H28" i="50"/>
  <c r="H27" i="50"/>
  <c r="G28" i="50"/>
  <c r="G29" i="50"/>
  <c r="G30" i="50"/>
  <c r="G27" i="50"/>
  <c r="N26" i="50"/>
  <c r="G30" i="51" l="1"/>
  <c r="H37" i="51"/>
  <c r="K31" i="51"/>
  <c r="I9" i="61"/>
  <c r="H30" i="51"/>
  <c r="K30" i="51" s="1"/>
  <c r="K26" i="51"/>
  <c r="H31" i="50"/>
  <c r="K27" i="50"/>
  <c r="M23" i="58" l="1"/>
  <c r="M35" i="58" l="1"/>
  <c r="S25" i="50"/>
  <c r="S24" i="50"/>
  <c r="S23" i="50"/>
  <c r="S22" i="50"/>
  <c r="S21" i="50"/>
  <c r="S20" i="50"/>
  <c r="S19" i="50"/>
  <c r="S18" i="50"/>
  <c r="S17" i="50"/>
  <c r="S16" i="50"/>
  <c r="S15" i="50"/>
  <c r="P29" i="48"/>
  <c r="P28" i="48"/>
  <c r="P27" i="48"/>
  <c r="K15" i="60"/>
  <c r="K16" i="60"/>
  <c r="K12" i="60"/>
  <c r="K14" i="60"/>
  <c r="I12" i="60"/>
  <c r="K7" i="60"/>
  <c r="K9" i="60" s="1"/>
  <c r="L31" i="60" l="1"/>
  <c r="I9" i="60"/>
  <c r="G16" i="48" l="1"/>
  <c r="K30" i="47"/>
  <c r="G12" i="44"/>
  <c r="K12" i="59" l="1"/>
  <c r="K11" i="59"/>
  <c r="K7" i="59"/>
  <c r="D7" i="59"/>
  <c r="B7" i="59"/>
  <c r="I23" i="53"/>
  <c r="K22" i="53"/>
  <c r="K13" i="53"/>
  <c r="K14" i="53"/>
  <c r="K15" i="53"/>
  <c r="K16" i="53"/>
  <c r="K17" i="53"/>
  <c r="K18" i="53"/>
  <c r="K19" i="53"/>
  <c r="K20" i="53"/>
  <c r="K21" i="53"/>
  <c r="K12" i="53"/>
  <c r="K22" i="58"/>
  <c r="K21" i="58"/>
  <c r="K20" i="58"/>
  <c r="K19" i="58"/>
  <c r="K18" i="58"/>
  <c r="K17" i="58"/>
  <c r="K16" i="58"/>
  <c r="K15" i="58"/>
  <c r="K14" i="58"/>
  <c r="K13" i="58"/>
  <c r="K11" i="58"/>
  <c r="I11" i="58"/>
  <c r="F11" i="58"/>
  <c r="K7" i="58"/>
  <c r="K9" i="58" s="1"/>
  <c r="D7" i="58"/>
  <c r="K11" i="57"/>
  <c r="K30" i="57" s="1"/>
  <c r="D7" i="57"/>
  <c r="B7" i="57"/>
  <c r="K7" i="57" s="1"/>
  <c r="H33" i="50"/>
  <c r="K33" i="50" s="1"/>
  <c r="H34" i="50"/>
  <c r="K34" i="50" s="1"/>
  <c r="H35" i="50"/>
  <c r="K35" i="50" s="1"/>
  <c r="H36" i="50"/>
  <c r="K36" i="50" s="1"/>
  <c r="H37" i="50"/>
  <c r="K37" i="50" s="1"/>
  <c r="K13" i="56"/>
  <c r="K12" i="56"/>
  <c r="G36" i="56"/>
  <c r="G35" i="56"/>
  <c r="G33" i="56"/>
  <c r="G30" i="56"/>
  <c r="G29" i="56"/>
  <c r="G25" i="56"/>
  <c r="G19" i="56"/>
  <c r="G14" i="56"/>
  <c r="G18" i="56"/>
  <c r="H13" i="56"/>
  <c r="H12" i="56"/>
  <c r="G12" i="56"/>
  <c r="K7" i="56"/>
  <c r="K9" i="56" s="1"/>
  <c r="D7" i="56"/>
  <c r="L13" i="55"/>
  <c r="L14" i="55"/>
  <c r="L15" i="55"/>
  <c r="L16" i="55"/>
  <c r="L17" i="55"/>
  <c r="L19" i="55"/>
  <c r="L22" i="55"/>
  <c r="L12" i="55"/>
  <c r="L32" i="55" s="1"/>
  <c r="I18" i="55"/>
  <c r="L18" i="55" s="1"/>
  <c r="E12" i="55"/>
  <c r="L7" i="55"/>
  <c r="I12" i="54"/>
  <c r="K12" i="54" s="1"/>
  <c r="I11" i="54"/>
  <c r="K11" i="54" s="1"/>
  <c r="K7" i="54"/>
  <c r="D7" i="54"/>
  <c r="B7" i="54"/>
  <c r="I11" i="8"/>
  <c r="K30" i="17"/>
  <c r="F19" i="53"/>
  <c r="F14" i="53"/>
  <c r="F12" i="53"/>
  <c r="I11" i="53"/>
  <c r="F11" i="53"/>
  <c r="K11" i="53" s="1"/>
  <c r="K7" i="53"/>
  <c r="K9" i="53" s="1"/>
  <c r="D7" i="53"/>
  <c r="F11" i="51"/>
  <c r="K11" i="51" s="1"/>
  <c r="K7" i="51"/>
  <c r="D7" i="51"/>
  <c r="E11" i="51" s="1"/>
  <c r="G38" i="50"/>
  <c r="G31" i="50"/>
  <c r="K16" i="50"/>
  <c r="K18" i="50"/>
  <c r="K19" i="50"/>
  <c r="K20" i="50"/>
  <c r="K21" i="50"/>
  <c r="K22" i="50"/>
  <c r="K23" i="50"/>
  <c r="K24" i="50"/>
  <c r="K25" i="50"/>
  <c r="K26" i="50"/>
  <c r="K28" i="50"/>
  <c r="K29" i="50"/>
  <c r="K30" i="50"/>
  <c r="K31" i="50"/>
  <c r="G26" i="50"/>
  <c r="I13" i="50"/>
  <c r="K13" i="50" s="1"/>
  <c r="I12" i="50"/>
  <c r="K12" i="50" s="1"/>
  <c r="F11" i="50"/>
  <c r="I11" i="50" s="1"/>
  <c r="K11" i="50" s="1"/>
  <c r="K7" i="50"/>
  <c r="D7" i="50"/>
  <c r="K7" i="49"/>
  <c r="D7" i="49"/>
  <c r="I11" i="14"/>
  <c r="K11" i="14"/>
  <c r="I11" i="48"/>
  <c r="K7" i="48"/>
  <c r="D7" i="48"/>
  <c r="E11" i="48" s="1"/>
  <c r="I11" i="47"/>
  <c r="L11" i="47"/>
  <c r="K7" i="47"/>
  <c r="D7" i="47"/>
  <c r="I11" i="46"/>
  <c r="K7" i="46"/>
  <c r="K9" i="46" s="1"/>
  <c r="D7" i="46"/>
  <c r="L11" i="12"/>
  <c r="K11" i="12"/>
  <c r="I11" i="2"/>
  <c r="K11" i="2"/>
  <c r="K30" i="12"/>
  <c r="G370" i="42"/>
  <c r="G52" i="50" l="1"/>
  <c r="G50" i="51"/>
  <c r="H38" i="50"/>
  <c r="H52" i="50" s="1"/>
  <c r="I9" i="58"/>
  <c r="I9" i="56"/>
  <c r="K30" i="54"/>
  <c r="K35" i="53"/>
  <c r="I9" i="53"/>
  <c r="K30" i="49"/>
  <c r="E12" i="48"/>
  <c r="K30" i="48"/>
  <c r="K30" i="46"/>
  <c r="I9" i="46"/>
  <c r="H370" i="42"/>
  <c r="H371" i="42" s="1"/>
  <c r="K11" i="45"/>
  <c r="M30" i="48" l="1"/>
  <c r="K7" i="45"/>
  <c r="I9" i="45" s="1"/>
  <c r="D7" i="45"/>
  <c r="K9" i="45" l="1"/>
  <c r="C404" i="42"/>
  <c r="H423" i="42"/>
  <c r="H418" i="42"/>
  <c r="H417" i="42"/>
  <c r="H413" i="42"/>
  <c r="H412" i="42"/>
  <c r="H414" i="42" s="1"/>
  <c r="H315" i="42"/>
  <c r="I12" i="8"/>
  <c r="I11" i="19"/>
  <c r="H390" i="42"/>
  <c r="K11" i="43"/>
  <c r="C379" i="42"/>
  <c r="H399" i="42"/>
  <c r="H400" i="42" s="1"/>
  <c r="H395" i="42"/>
  <c r="H394" i="42"/>
  <c r="H389" i="42"/>
  <c r="H388" i="42"/>
  <c r="H387" i="42"/>
  <c r="K11" i="21"/>
  <c r="C354" i="42"/>
  <c r="H374" i="42"/>
  <c r="H375" i="42" s="1"/>
  <c r="H369" i="42"/>
  <c r="H368" i="42"/>
  <c r="H363" i="42"/>
  <c r="H362" i="42"/>
  <c r="H361" i="42"/>
  <c r="H419" i="42" l="1"/>
  <c r="G408" i="42" s="1"/>
  <c r="H408" i="42" s="1"/>
  <c r="H409" i="42" s="1"/>
  <c r="H424" i="42" s="1"/>
  <c r="H391" i="42"/>
  <c r="H365" i="42"/>
  <c r="H396" i="42"/>
  <c r="G383" i="42" s="1"/>
  <c r="H383" i="42" s="1"/>
  <c r="H384" i="42" s="1"/>
  <c r="H401" i="42" s="1"/>
  <c r="H342" i="42"/>
  <c r="H341" i="42"/>
  <c r="H337" i="42"/>
  <c r="H338" i="42" s="1"/>
  <c r="H333" i="42"/>
  <c r="G11" i="18"/>
  <c r="K11" i="18"/>
  <c r="K18" i="18"/>
  <c r="K12" i="18"/>
  <c r="K13" i="18"/>
  <c r="K14" i="18"/>
  <c r="K15" i="18"/>
  <c r="K16" i="18"/>
  <c r="K17" i="18"/>
  <c r="G17" i="18"/>
  <c r="G16" i="18"/>
  <c r="G15" i="18"/>
  <c r="G14" i="18"/>
  <c r="G13" i="18"/>
  <c r="G12" i="18"/>
  <c r="H325" i="42"/>
  <c r="H303" i="42"/>
  <c r="H279" i="42"/>
  <c r="H309" i="42"/>
  <c r="H312" i="42"/>
  <c r="H313" i="42"/>
  <c r="H314" i="42"/>
  <c r="H311" i="42"/>
  <c r="H320" i="42"/>
  <c r="H319" i="42"/>
  <c r="H310" i="42"/>
  <c r="H308" i="42"/>
  <c r="H307" i="42"/>
  <c r="H290" i="42"/>
  <c r="H289" i="42"/>
  <c r="H284" i="42"/>
  <c r="H283" i="42"/>
  <c r="H282" i="42"/>
  <c r="G274" i="42"/>
  <c r="K16" i="17"/>
  <c r="K17" i="17"/>
  <c r="F15" i="17"/>
  <c r="K15" i="17"/>
  <c r="K14" i="17"/>
  <c r="F14" i="17"/>
  <c r="K13" i="17"/>
  <c r="F13" i="17"/>
  <c r="F12" i="17"/>
  <c r="K12" i="17"/>
  <c r="K11" i="17"/>
  <c r="F11" i="17"/>
  <c r="I11" i="6"/>
  <c r="K11" i="11"/>
  <c r="F11" i="11"/>
  <c r="H264" i="42"/>
  <c r="H263" i="42"/>
  <c r="H254" i="42"/>
  <c r="H253" i="42"/>
  <c r="H252" i="42"/>
  <c r="K30" i="15"/>
  <c r="K12" i="15"/>
  <c r="K11" i="15"/>
  <c r="H259" i="42"/>
  <c r="H269" i="42"/>
  <c r="H258" i="42"/>
  <c r="K30" i="14"/>
  <c r="H239" i="42"/>
  <c r="H234" i="42"/>
  <c r="H233" i="42"/>
  <c r="H244" i="42"/>
  <c r="H238" i="42"/>
  <c r="F11" i="12"/>
  <c r="H206" i="42"/>
  <c r="H205" i="42"/>
  <c r="H204" i="42"/>
  <c r="H221" i="42"/>
  <c r="H216" i="42"/>
  <c r="H215" i="42"/>
  <c r="H210" i="42"/>
  <c r="H212" i="42" s="1"/>
  <c r="H316" i="42" l="1"/>
  <c r="G357" i="42"/>
  <c r="H357" i="42" s="1"/>
  <c r="H358" i="42" s="1"/>
  <c r="H376" i="42" s="1"/>
  <c r="H265" i="42"/>
  <c r="G251" i="42" s="1"/>
  <c r="H251" i="42" s="1"/>
  <c r="H291" i="42"/>
  <c r="H343" i="42"/>
  <c r="H334" i="42"/>
  <c r="H260" i="42"/>
  <c r="H321" i="42"/>
  <c r="G302" i="42" s="1"/>
  <c r="H302" i="42" s="1"/>
  <c r="H304" i="42" s="1"/>
  <c r="H286" i="42"/>
  <c r="H295" i="42" s="1"/>
  <c r="H255" i="42"/>
  <c r="H270" i="42" s="1"/>
  <c r="H235" i="42"/>
  <c r="H217" i="42"/>
  <c r="G203" i="42" s="1"/>
  <c r="H203" i="42" s="1"/>
  <c r="H240" i="42"/>
  <c r="G229" i="42" s="1"/>
  <c r="H229" i="42" s="1"/>
  <c r="H230" i="42" s="1"/>
  <c r="K12" i="16"/>
  <c r="I12" i="16"/>
  <c r="I11" i="16"/>
  <c r="H195" i="42"/>
  <c r="H190" i="42"/>
  <c r="H189" i="42"/>
  <c r="H184" i="42"/>
  <c r="H183" i="42"/>
  <c r="G176" i="42"/>
  <c r="H153" i="42"/>
  <c r="H154" i="42"/>
  <c r="H160" i="42"/>
  <c r="H171" i="42"/>
  <c r="H159" i="42"/>
  <c r="H158" i="42"/>
  <c r="H166" i="42"/>
  <c r="H165" i="42"/>
  <c r="G149" i="42"/>
  <c r="F11" i="5"/>
  <c r="I11" i="5" s="1"/>
  <c r="I12" i="5"/>
  <c r="I13" i="5"/>
  <c r="K13" i="5" s="1"/>
  <c r="G11" i="44"/>
  <c r="D7" i="44"/>
  <c r="K12" i="13"/>
  <c r="K13" i="13"/>
  <c r="K14" i="13"/>
  <c r="K15" i="13"/>
  <c r="K16" i="13"/>
  <c r="K11" i="13"/>
  <c r="G15" i="13"/>
  <c r="G13" i="13"/>
  <c r="G11" i="13"/>
  <c r="D7" i="13"/>
  <c r="E11" i="13" s="1"/>
  <c r="H144" i="42"/>
  <c r="H145" i="42" s="1"/>
  <c r="H140" i="42"/>
  <c r="H139" i="42"/>
  <c r="H136" i="42"/>
  <c r="G124" i="42"/>
  <c r="K12" i="9"/>
  <c r="K13" i="9"/>
  <c r="K14" i="9"/>
  <c r="K15" i="9"/>
  <c r="K16" i="9"/>
  <c r="K17" i="9"/>
  <c r="K18" i="9"/>
  <c r="K19" i="9"/>
  <c r="K20" i="9"/>
  <c r="K11" i="9"/>
  <c r="E11" i="9"/>
  <c r="H92" i="42"/>
  <c r="H85" i="42"/>
  <c r="H116" i="42"/>
  <c r="H115" i="42"/>
  <c r="H110" i="42"/>
  <c r="H109" i="42"/>
  <c r="H108" i="42"/>
  <c r="H105" i="42"/>
  <c r="G100" i="42"/>
  <c r="H91" i="42"/>
  <c r="H86" i="42"/>
  <c r="G77" i="42"/>
  <c r="L29" i="1"/>
  <c r="H69" i="42"/>
  <c r="H62" i="42"/>
  <c r="H63" i="42"/>
  <c r="H61" i="42"/>
  <c r="H68" i="42"/>
  <c r="H58" i="42" s="1"/>
  <c r="G53" i="42"/>
  <c r="H39" i="42"/>
  <c r="H40" i="42"/>
  <c r="H348" i="42" l="1"/>
  <c r="H326" i="42"/>
  <c r="H245" i="42"/>
  <c r="H207" i="42"/>
  <c r="H222" i="42" s="1"/>
  <c r="H167" i="42"/>
  <c r="G152" i="42" s="1"/>
  <c r="H186" i="42"/>
  <c r="H191" i="42"/>
  <c r="G179" i="42" s="1"/>
  <c r="H179" i="42" s="1"/>
  <c r="H180" i="42" s="1"/>
  <c r="H65" i="42"/>
  <c r="H93" i="42"/>
  <c r="G80" i="42" s="1"/>
  <c r="H80" i="42" s="1"/>
  <c r="H82" i="42" s="1"/>
  <c r="H117" i="42"/>
  <c r="H162" i="42"/>
  <c r="K30" i="44"/>
  <c r="L9" i="1" s="1"/>
  <c r="H141" i="42"/>
  <c r="G127" i="42" s="1"/>
  <c r="H127" i="42" s="1"/>
  <c r="H129" i="42" s="1"/>
  <c r="H146" i="42" s="1"/>
  <c r="H70" i="42"/>
  <c r="H88" i="42"/>
  <c r="H112" i="42"/>
  <c r="H45" i="42"/>
  <c r="H46" i="42" s="1"/>
  <c r="H38" i="42"/>
  <c r="H42" i="42" s="1"/>
  <c r="G30" i="42"/>
  <c r="K11" i="8"/>
  <c r="D7" i="8"/>
  <c r="K7" i="8"/>
  <c r="B7" i="8"/>
  <c r="K11" i="6"/>
  <c r="D7" i="6"/>
  <c r="B7" i="6"/>
  <c r="H196" i="42" l="1"/>
  <c r="H121" i="42"/>
  <c r="H74" i="42"/>
  <c r="H97" i="42"/>
  <c r="H152" i="42"/>
  <c r="G33" i="42"/>
  <c r="H33" i="42" s="1"/>
  <c r="H35" i="42" s="1"/>
  <c r="H50" i="42" s="1"/>
  <c r="H155" i="42" l="1"/>
  <c r="H172" i="42" s="1"/>
  <c r="G6" i="42" l="1"/>
  <c r="H6" i="42" s="1"/>
  <c r="H7" i="42"/>
  <c r="H22" i="42"/>
  <c r="H21" i="42"/>
  <c r="H20" i="42"/>
  <c r="H19" i="42"/>
  <c r="H18" i="42"/>
  <c r="H11" i="42"/>
  <c r="C3" i="42"/>
  <c r="H23" i="42" l="1"/>
  <c r="I11" i="43" l="1"/>
  <c r="K13" i="43"/>
  <c r="K12" i="43"/>
  <c r="K30" i="43" l="1"/>
  <c r="I9" i="43"/>
  <c r="H15" i="42" l="1"/>
  <c r="H8" i="42" l="1"/>
  <c r="H27" i="42" s="1"/>
  <c r="K13" i="21" l="1"/>
  <c r="K12" i="21"/>
  <c r="K30" i="21"/>
  <c r="K7" i="21"/>
  <c r="I9" i="21" s="1"/>
  <c r="D7" i="21"/>
  <c r="E11" i="21" s="1"/>
  <c r="K13" i="20"/>
  <c r="K12" i="20"/>
  <c r="K11" i="20"/>
  <c r="K30" i="20" s="1"/>
  <c r="K7" i="20"/>
  <c r="K9" i="20" s="1"/>
  <c r="D7" i="20"/>
  <c r="E11" i="20" s="1"/>
  <c r="K13" i="19"/>
  <c r="K12" i="19"/>
  <c r="K7" i="19"/>
  <c r="I9" i="19" s="1"/>
  <c r="D7" i="19"/>
  <c r="K7" i="18"/>
  <c r="K9" i="18" s="1"/>
  <c r="D7" i="18"/>
  <c r="I11" i="17"/>
  <c r="K7" i="17"/>
  <c r="K9" i="17" s="1"/>
  <c r="D7" i="17"/>
  <c r="K11" i="16"/>
  <c r="K7" i="16"/>
  <c r="I11" i="15"/>
  <c r="K7" i="15"/>
  <c r="D7" i="15"/>
  <c r="K7" i="14"/>
  <c r="D7" i="14"/>
  <c r="I11" i="12"/>
  <c r="L23" i="1" l="1"/>
  <c r="E11" i="15"/>
  <c r="E12" i="15" s="1"/>
  <c r="I9" i="17"/>
  <c r="K9" i="21"/>
  <c r="I9" i="20"/>
  <c r="K30" i="19"/>
  <c r="K9" i="19"/>
  <c r="K30" i="18"/>
  <c r="I9" i="18"/>
  <c r="K7" i="12"/>
  <c r="D7" i="12"/>
  <c r="K7" i="11"/>
  <c r="D7" i="11"/>
  <c r="E11" i="11" s="1"/>
  <c r="I11" i="10"/>
  <c r="K7" i="10"/>
  <c r="D7" i="10"/>
  <c r="K7" i="9"/>
  <c r="K12" i="8"/>
  <c r="K30" i="8" s="1"/>
  <c r="K12" i="5"/>
  <c r="K7" i="6"/>
  <c r="K11" i="5"/>
  <c r="K46" i="5" s="1"/>
  <c r="K7" i="5"/>
  <c r="D7" i="5"/>
  <c r="K33" i="11" l="1"/>
  <c r="K30" i="16"/>
  <c r="K30" i="10"/>
  <c r="K30" i="9"/>
  <c r="K30" i="6"/>
  <c r="L22" i="1" l="1"/>
  <c r="K7" i="2"/>
  <c r="D7" i="2"/>
  <c r="K30" i="2"/>
  <c r="L21" i="1" l="1"/>
  <c r="L30" i="1" s="1"/>
  <c r="K9" i="2"/>
  <c r="I9" i="2"/>
  <c r="L8" i="1" l="1"/>
  <c r="L18" i="1" s="1"/>
  <c r="L32" i="1" s="1"/>
  <c r="M32" i="1" l="1"/>
  <c r="N3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tc={B4FEF1DF-23A9-42B2-9267-9F1D1A5314CA}</author>
  </authors>
  <commentList>
    <comment ref="J11" authorId="0" shapeId="0" xr:uid="{B4FEF1DF-23A9-42B2-9267-9F1D1A5314C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 0CERO  UNIDADES YA QUE SE VA INSTALAR LOSETA A-20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tc={3499A721-5857-4C33-960C-D89153D14B77}</author>
  </authors>
  <commentList>
    <comment ref="J11" authorId="0" shapeId="0" xr:uid="{3499A721-5857-4C33-960C-D89153D14B7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 0CERO  UNIDADES YA QUE SE VA INSTALAR LOSETA A-20</t>
      </text>
    </comment>
  </commentList>
</comments>
</file>

<file path=xl/sharedStrings.xml><?xml version="1.0" encoding="utf-8"?>
<sst xmlns="http://schemas.openxmlformats.org/spreadsheetml/2006/main" count="2810" uniqueCount="387">
  <si>
    <t xml:space="preserve">NOMBRE DEL PROYECTO </t>
  </si>
  <si>
    <t>CÓDIGO BPIN DEL PROYECTO</t>
  </si>
  <si>
    <t>DEPENDENCIA RESPONSABLE</t>
  </si>
  <si>
    <t>FECHA DE ELABORACIÓN</t>
  </si>
  <si>
    <t>ELABORÓ</t>
  </si>
  <si>
    <t>APROBÓ</t>
  </si>
  <si>
    <t>TARJETA PROFESIONAL</t>
  </si>
  <si>
    <t>SECRETARIO DE PLANEACIÓN Y OBRAS PÚBLICAS</t>
  </si>
  <si>
    <t>PRODUCTO 1</t>
  </si>
  <si>
    <t>UNIDAD DE MEDIDA</t>
  </si>
  <si>
    <t>PRODUCTO 2</t>
  </si>
  <si>
    <t>COSTO UNITARIO</t>
  </si>
  <si>
    <t>precio por ml</t>
  </si>
  <si>
    <t xml:space="preserve">ACTIVIDAD </t>
  </si>
  <si>
    <t>XXXX</t>
  </si>
  <si>
    <t>SECRETARIA DE PLANEACIÓN Y OBRAS PÚBLICAS</t>
  </si>
  <si>
    <t>VALOR TOTAL DEL PRODUCTO</t>
  </si>
  <si>
    <t>Elaboró</t>
  </si>
  <si>
    <t>Aprobó</t>
  </si>
  <si>
    <t>MUNICIPIO DE SAMACÁ, BOYACÁ</t>
  </si>
  <si>
    <r>
      <t xml:space="preserve">COSTO UNITARIO INCLUIDO AIU
</t>
    </r>
    <r>
      <rPr>
        <sz val="11"/>
        <color theme="1"/>
        <rFont val="Gadugi"/>
        <family val="2"/>
      </rPr>
      <t>A=22%, I=3%, U=5%</t>
    </r>
  </si>
  <si>
    <t>COSTO TOTAL (**)</t>
  </si>
  <si>
    <r>
      <rPr>
        <b/>
        <sz val="11"/>
        <color theme="1"/>
        <rFont val="Gadugi"/>
        <family val="2"/>
      </rPr>
      <t xml:space="preserve">NOTA 3: </t>
    </r>
    <r>
      <rPr>
        <sz val="11"/>
        <color theme="1"/>
        <rFont val="Gadugi"/>
        <family val="2"/>
      </rPr>
      <t>Para la columna del costo total cuando la fracción decimal del peso sea igual o superior a 5 se aproximará por exceso al número entero siguiente del peso y cuando la fracción decimal del peso sea inferior a 5 se aproximará por defecto al número entero del peso. (**)</t>
    </r>
  </si>
  <si>
    <t>CANTIDAD</t>
  </si>
  <si>
    <t>ENTREGABLE 1.1</t>
  </si>
  <si>
    <t>ENTREGABLE 2.1</t>
  </si>
  <si>
    <t>ACTIVIDAD</t>
  </si>
  <si>
    <r>
      <rPr>
        <b/>
        <sz val="11"/>
        <color theme="1"/>
        <rFont val="Gadugi"/>
        <family val="2"/>
      </rPr>
      <t>NOTA 2:</t>
    </r>
    <r>
      <rPr>
        <sz val="11"/>
        <color theme="1"/>
        <rFont val="Gadugi"/>
        <family val="2"/>
      </rPr>
      <t xml:space="preserve"> El porcentaje de AIU para el proyecto corresponde a: A=22%, I=3%, U=5%</t>
    </r>
  </si>
  <si>
    <t>DANY LEONARDO RODRÍGUEZ MORALES</t>
  </si>
  <si>
    <t>CÓDIGO EDT</t>
  </si>
  <si>
    <t>CÓDIGO REFERENCIA
(*)</t>
  </si>
  <si>
    <t>EXCAVACIÓN MANUAL EN MATERIAL COMÚN (INCLUYE RETIRO)</t>
  </si>
  <si>
    <t>M3</t>
  </si>
  <si>
    <t>MACROPROCESO</t>
  </si>
  <si>
    <t>MISIONAL</t>
  </si>
  <si>
    <t>PROCESO</t>
  </si>
  <si>
    <t xml:space="preserve">FORMATO </t>
  </si>
  <si>
    <t>F-GTI-015</t>
  </si>
  <si>
    <t>Página 1 de 1</t>
  </si>
  <si>
    <t>Versión 1</t>
  </si>
  <si>
    <t xml:space="preserve">MEMORIAS DE CANTIDADES </t>
  </si>
  <si>
    <t>(c) UND:</t>
  </si>
  <si>
    <t>DIMENSIONES</t>
  </si>
  <si>
    <t>(i) MEDIDA PARCIAL (ML)</t>
  </si>
  <si>
    <t>(j) N° DE ELEMENTOS</t>
  </si>
  <si>
    <t xml:space="preserve">(l)TOTAL </t>
  </si>
  <si>
    <t xml:space="preserve">Elaboró: </t>
  </si>
  <si>
    <t>Revisó:</t>
  </si>
  <si>
    <t>Aprobó:</t>
  </si>
  <si>
    <t xml:space="preserve">(f) Ancho </t>
  </si>
  <si>
    <t>(g) Longitud</t>
  </si>
  <si>
    <t xml:space="preserve">(h) Altura </t>
  </si>
  <si>
    <t xml:space="preserve">(e) LOCALIZACIÓN </t>
  </si>
  <si>
    <t>ALCALDÍA  DE SAMACÁ</t>
  </si>
  <si>
    <t>GESTIÓN TERRITORIAL E INFRAESTRUCTURA</t>
  </si>
  <si>
    <t>SISTEMA INTEGRADO DE GESTIÓN  (MECI 1000:2014 – NTCGP 1000:2009)</t>
  </si>
  <si>
    <t>CÓDIGO</t>
  </si>
  <si>
    <t xml:space="preserve">(b) DESCRIPCIÓN ÍTEM </t>
  </si>
  <si>
    <t>(d) DESCRIPCIÓN Y/O REGISTRO FOTOGRÁFICO DE LA MEMORIA</t>
  </si>
  <si>
    <t>(i) MEDIDA PARCIAL (M3)</t>
  </si>
  <si>
    <t>M2</t>
  </si>
  <si>
    <t>(i) MEDIDA PARCIAL (M2)</t>
  </si>
  <si>
    <t>(k) MEDIDA TOTAL (M3)</t>
  </si>
  <si>
    <t>(k) MEDIDA TOTAL (M2)</t>
  </si>
  <si>
    <t>APU - 01</t>
  </si>
  <si>
    <t>ML</t>
  </si>
  <si>
    <t>(i) MEDIDA PARCIAL (Kg)</t>
  </si>
  <si>
    <t>(k) MEDIDA TOTAL (kg)</t>
  </si>
  <si>
    <t>COSTO TOTAL DEL PROYECTO</t>
  </si>
  <si>
    <t>UND</t>
  </si>
  <si>
    <t xml:space="preserve">ANALISIS DE PRECIOS UNITARIOS </t>
  </si>
  <si>
    <t xml:space="preserve">ITEM </t>
  </si>
  <si>
    <t xml:space="preserve">DESCRIPCION </t>
  </si>
  <si>
    <t>Equipos</t>
  </si>
  <si>
    <t>Nombre</t>
  </si>
  <si>
    <t>Unidad</t>
  </si>
  <si>
    <t>Cantidad</t>
  </si>
  <si>
    <t>Valor Unitario</t>
  </si>
  <si>
    <t>Vr.Parcial</t>
  </si>
  <si>
    <t>HERRAMIENTA MENOR (%M.O)</t>
  </si>
  <si>
    <t>%</t>
  </si>
  <si>
    <t>TOTAL EQUIPOS</t>
  </si>
  <si>
    <t>Materiales</t>
  </si>
  <si>
    <t>TOTAL MATERIALES</t>
  </si>
  <si>
    <t>Mano de Obra</t>
  </si>
  <si>
    <t>TOTAL MANO DE OBRA</t>
  </si>
  <si>
    <t>Transporte</t>
  </si>
  <si>
    <t>Valor Unitario Total</t>
  </si>
  <si>
    <t>MORTERO 1:4</t>
  </si>
  <si>
    <t>EQUIPO DE TOPOGRAFÍA (ESTACION,NIVEL Y ELEMENTOS)</t>
  </si>
  <si>
    <t>hr</t>
  </si>
  <si>
    <t>PINTURA Y ESTACAS</t>
  </si>
  <si>
    <t>glb</t>
  </si>
  <si>
    <t>CADENERO 1</t>
  </si>
  <si>
    <t xml:space="preserve">OFICIAL DE OBRA 1 </t>
  </si>
  <si>
    <t>OFICIAL DE OBRA 2</t>
  </si>
  <si>
    <t>OFICIAL DE OBRA 3</t>
  </si>
  <si>
    <t>OFICIAL DE OBRA 4</t>
  </si>
  <si>
    <t>Jr</t>
  </si>
  <si>
    <t>RELLENO SUBBASE GRANULAR  COMPACTADO CON PLANCHA VIBRADORA</t>
  </si>
  <si>
    <t>SUMINISTRO E INSTALACIÓN DE ADOQUÍN PEATONAL CONCRETO 6 CM</t>
  </si>
  <si>
    <t>PISO EN GRAMA INCL. TIERRA NEGRA</t>
  </si>
  <si>
    <t>PARQUEADEROS</t>
  </si>
  <si>
    <t>GLB</t>
  </si>
  <si>
    <t>SUMINISTRO Y APLICACIÓN DE PINTURA ACRÍLICA CON MICROESFERAS, LÍNEAS CONTINUAS Y DISCONTINUAS DE 12 CMS SEGÚN NORMA INVIAS</t>
  </si>
  <si>
    <t>LOSETA PARA SECCIÓN DE ROMBOS</t>
  </si>
  <si>
    <t>SUMINISTRO E INSTALACIÓN DE ADOQUÍN PEATONAL CONCRETO 6 CM - para rombos</t>
  </si>
  <si>
    <t>SUMINISTRO E INSTALACIÓN DE ADOQUÍN PEATONAL CONCRETO 6 CM - para bancos</t>
  </si>
  <si>
    <t>m2</t>
  </si>
  <si>
    <t>ARENA LAVADA DE PEÑA</t>
  </si>
  <si>
    <t>ADOQUIN DE CONCRETO DE 10X6X20</t>
  </si>
  <si>
    <t>AGUA</t>
  </si>
  <si>
    <t>LT</t>
  </si>
  <si>
    <t>MANO DE OBRA AA</t>
  </si>
  <si>
    <t>hc</t>
  </si>
  <si>
    <t>LOSETA PREFABRICA A-2020</t>
  </si>
  <si>
    <t>ARENA FINA</t>
  </si>
  <si>
    <t>LOSETA PREFABRICADA A-20</t>
  </si>
  <si>
    <t>AUXILIAR DE OBRA 2  (B)</t>
  </si>
  <si>
    <t>OFICIAL OBRA 1 (A)</t>
  </si>
  <si>
    <t>hh</t>
  </si>
  <si>
    <t>km</t>
  </si>
  <si>
    <t xml:space="preserve"> PISO EN GRAMA INCL. TIERRA NEGRA</t>
  </si>
  <si>
    <t>TIERRA NEGRA</t>
  </si>
  <si>
    <t>GRAMA</t>
  </si>
  <si>
    <t>n°</t>
  </si>
  <si>
    <t>Area</t>
  </si>
  <si>
    <t>AUXILIAR DE OBRA 1  (A)</t>
  </si>
  <si>
    <t>VIAJE VOLQUETA M3</t>
  </si>
  <si>
    <t>m3</t>
  </si>
  <si>
    <t>N°</t>
  </si>
  <si>
    <t>(k) MEDIDA TOTAL (km)</t>
  </si>
  <si>
    <t>ZONA DE PARQUEO</t>
  </si>
  <si>
    <t>area m2</t>
  </si>
  <si>
    <t>SENDERO</t>
  </si>
  <si>
    <t xml:space="preserve">ROMBO </t>
  </si>
  <si>
    <t>TRAPECIO</t>
  </si>
  <si>
    <t>DISOLVENTE THINER</t>
  </si>
  <si>
    <t>ESFERAS REFLECTIVAS</t>
  </si>
  <si>
    <t>PINTURA ACRÍLICA BASE AGUA PARA DEMARCACIÓN</t>
  </si>
  <si>
    <t>gl</t>
  </si>
  <si>
    <t>kg</t>
  </si>
  <si>
    <t>CAMIONETA D300</t>
  </si>
  <si>
    <t>VEHÍCULO DELINEADOR</t>
  </si>
  <si>
    <t>OFICIAL OBRA 2 (A)</t>
  </si>
  <si>
    <t>jr</t>
  </si>
  <si>
    <t>LINEA DE DEMARCACIÓN PARA PARQUEADEROS</t>
  </si>
  <si>
    <t>PLACA BASE EN CONCRETO E= 10 CM 2500 PSI</t>
  </si>
  <si>
    <t>CONCRETO 1:2:4 17.5 MPa (2500 PSI)</t>
  </si>
  <si>
    <t>MADERA T. CHAPA-ORDINARIO 0.30</t>
  </si>
  <si>
    <t>ml</t>
  </si>
  <si>
    <t>AREA 1</t>
  </si>
  <si>
    <t>(h) espesor</t>
  </si>
  <si>
    <t>area (m2)</t>
  </si>
  <si>
    <t>AREA 2</t>
  </si>
  <si>
    <t>espesor (m)</t>
  </si>
  <si>
    <t>CARROTANQUE</t>
  </si>
  <si>
    <t>MOTONIVELADORA POTENCIA MÍNIMA 120 HP Y MAX 215 HP</t>
  </si>
  <si>
    <t>VIBROCOMPACTADOR RANA</t>
  </si>
  <si>
    <t>MATERIAL DE SUB-BASE GRANULAR No. 4 SBG-4</t>
  </si>
  <si>
    <t>(m2) Area</t>
  </si>
  <si>
    <t>(h) Espesor</t>
  </si>
  <si>
    <t>SUMINISTRO E INSTALACIÓN DE SARDINEL PREFABRICADO A-10, INCLUYE MORTERO DE PEGA SEGÚN NORMA NTC-4109</t>
  </si>
  <si>
    <t>MMORTERO 1:3</t>
  </si>
  <si>
    <t>SARDINEL PREFABRICADO A-10</t>
  </si>
  <si>
    <t xml:space="preserve">SARDINEL A 10 </t>
  </si>
  <si>
    <t>Longitud</t>
  </si>
  <si>
    <t>(k) MEDIDA TOTAL (Ml)</t>
  </si>
  <si>
    <t>und</t>
  </si>
  <si>
    <t>lt</t>
  </si>
  <si>
    <t xml:space="preserve"> MEJORAMIENTO DE PISO CON MATERIAL DE AFIRMADO COMPACTADO CON PLANCHA VIBRADORA, INCLUYE ACARREO LIBRE DE 5 KM..</t>
  </si>
  <si>
    <t>MATERIAL DE AFIRMADO</t>
  </si>
  <si>
    <t>CARGADOR 950 o SIMILAR</t>
  </si>
  <si>
    <t>Area (m2)</t>
  </si>
  <si>
    <t>LOSETA DE CUADRADOS</t>
  </si>
  <si>
    <t>LOSETA A-40 TRAMO 1</t>
  </si>
  <si>
    <t>AREA (m2)</t>
  </si>
  <si>
    <t>LOSETA A-40 TRAMO 2</t>
  </si>
  <si>
    <t>LOSETA A-40 TRAMO 3</t>
  </si>
  <si>
    <t>LOSETA A-40 TRAMO 4</t>
  </si>
  <si>
    <t>LOSETA A-40 TRAMO 5</t>
  </si>
  <si>
    <t>LOSETA A-40 TRAMO 6</t>
  </si>
  <si>
    <t>LOSETA PREFABRICA A-40</t>
  </si>
  <si>
    <t>LOSETA PREFABRICADA A-40</t>
  </si>
  <si>
    <t>PARQUE METALICO REF.MURANO</t>
  </si>
  <si>
    <t>TECHO EN FIBRA DE VIDRIO</t>
  </si>
  <si>
    <t>PLATAFORMA</t>
  </si>
  <si>
    <t>ESCALERA DE PASO HUNDIDO</t>
  </si>
  <si>
    <t>PASAMANOS DE LAGRIMAS</t>
  </si>
  <si>
    <t>ESCALERA DE GATO</t>
  </si>
  <si>
    <t>BARRAS DE GIRO</t>
  </si>
  <si>
    <t>JUEGO DE COLUMPIOS DE 2 PUESTOS</t>
  </si>
  <si>
    <t>RODADERO EN FIBRA DE VIDRIO DE 2.4 MTS</t>
  </si>
  <si>
    <t>TALADRO</t>
  </si>
  <si>
    <t>BOGOTA-SAMACA INCLUYE INSTALACIÓN, TRASLADO + TÉCNICO INSTALADOR</t>
  </si>
  <si>
    <t>ROMBOS</t>
  </si>
  <si>
    <t>TRAMO 1</t>
  </si>
  <si>
    <t>TRAMO 2</t>
  </si>
  <si>
    <t>TRAMO 3</t>
  </si>
  <si>
    <t>TRAMO 4</t>
  </si>
  <si>
    <t>TRAMO 5</t>
  </si>
  <si>
    <t>TRAMO 6</t>
  </si>
  <si>
    <t>BANCAS</t>
  </si>
  <si>
    <t>3.08.09 BORDILLO FUNDIDO EN SITIO 10 X 35 CM</t>
  </si>
  <si>
    <t>FORMALETA SARDINEL</t>
  </si>
  <si>
    <t>dd</t>
  </si>
  <si>
    <t>TRANSPORTE DE MATERIAL (VOLQUETA ACARREO)</t>
  </si>
  <si>
    <t>m3-km</t>
  </si>
  <si>
    <t>TOTAL TRANSPORTE</t>
  </si>
  <si>
    <t xml:space="preserve">PEDESTAL TUBO PRINCIPAL DE 3" </t>
  </si>
  <si>
    <t>brazo de 1"</t>
  </si>
  <si>
    <t>SOPORTE PARA 2 LUMINARIAS TIPO LED DE 66W INCLUYE BASE EN CONCRETO.</t>
  </si>
  <si>
    <t>CONCRETO DE 3000 PSI</t>
  </si>
  <si>
    <t>PLATINA METALICA DE ANCLAJES E=1/2"</t>
  </si>
  <si>
    <t>(k) MEDIDA TOTAL (UND)</t>
  </si>
  <si>
    <t>CONCRETO REFORZADO</t>
  </si>
  <si>
    <t>ANCLAJE MATALICO EMBEBIDO EN CONCRETO</t>
  </si>
  <si>
    <t>BALANCINES</t>
  </si>
  <si>
    <t>ALAMBRE NEGRO NO. 18</t>
  </si>
  <si>
    <t>MALLA ELECTROSOLDADA S=150x150mm, Ø=6x6mm</t>
  </si>
  <si>
    <t>1.02.17</t>
  </si>
  <si>
    <t xml:space="preserve"> </t>
  </si>
  <si>
    <t>cable trenzado de 4 hilos</t>
  </si>
  <si>
    <t>ZONA DE PARQUEO 1</t>
  </si>
  <si>
    <t>ZONA DE PARQUEO 2</t>
  </si>
  <si>
    <t>ESQUINA TORRE</t>
  </si>
  <si>
    <t>MATERA</t>
  </si>
  <si>
    <t xml:space="preserve">MATERA </t>
  </si>
  <si>
    <t>MATERA CIERRE</t>
  </si>
  <si>
    <t>FIN TORRE ESCALERA</t>
  </si>
  <si>
    <t>TRANSICION VIA (SENDERO)</t>
  </si>
  <si>
    <t>2a</t>
  </si>
  <si>
    <t>3a</t>
  </si>
  <si>
    <t>4a</t>
  </si>
  <si>
    <t>1a</t>
  </si>
  <si>
    <t>MUNICIPIO</t>
  </si>
  <si>
    <t>CONTRATISTA</t>
  </si>
  <si>
    <t>1b</t>
  </si>
  <si>
    <t>2b</t>
  </si>
  <si>
    <t>3b</t>
  </si>
  <si>
    <t>4b</t>
  </si>
  <si>
    <t>5b</t>
  </si>
  <si>
    <t>6b</t>
  </si>
  <si>
    <t>total area</t>
  </si>
  <si>
    <t>UBICACIÓN</t>
  </si>
  <si>
    <t>EXTERNO</t>
  </si>
  <si>
    <t>PARALELO A TORRES</t>
  </si>
  <si>
    <t xml:space="preserve">VIA </t>
  </si>
  <si>
    <t>VIA FRENTE A ZONAS DE PARQUEO</t>
  </si>
  <si>
    <t>VIA INGRESO</t>
  </si>
  <si>
    <t>PARALELO A ZONA DE PARQUEO</t>
  </si>
  <si>
    <t xml:space="preserve">ZONAS VERDES </t>
  </si>
  <si>
    <t>DESCUENTO</t>
  </si>
  <si>
    <t>1c</t>
  </si>
  <si>
    <t>2c</t>
  </si>
  <si>
    <t>3c</t>
  </si>
  <si>
    <t>4c</t>
  </si>
  <si>
    <t>5c</t>
  </si>
  <si>
    <t>6c</t>
  </si>
  <si>
    <t>7c</t>
  </si>
  <si>
    <t>INTERNO</t>
  </si>
  <si>
    <t>EJE</t>
  </si>
  <si>
    <t>SUMINISTRO E INSTALACION DE BORDILLO PREFABRICADO B-30</t>
  </si>
  <si>
    <t>ANDEN PERIMETRAL</t>
  </si>
  <si>
    <t>(d) KG/M2</t>
  </si>
  <si>
    <t xml:space="preserve">area de parque </t>
  </si>
  <si>
    <t>INGRESO TORRE A</t>
  </si>
  <si>
    <t>INGRESO TORRE B</t>
  </si>
  <si>
    <t>INGRESO TORRE C</t>
  </si>
  <si>
    <t>INGRESO TORRE D</t>
  </si>
  <si>
    <t>INGRESO TORRE E</t>
  </si>
  <si>
    <t>INGRESO TORRE F</t>
  </si>
  <si>
    <t>FRENTE A TORRES C Y D</t>
  </si>
  <si>
    <t>FRENTE A TORRES  B Y E</t>
  </si>
  <si>
    <t>FRENTE A TORRES  A Y F</t>
  </si>
  <si>
    <t xml:space="preserve">FRENTE A INGRESO PEATONAL </t>
  </si>
  <si>
    <t xml:space="preserve"> AREA DE ESCALERAS </t>
  </si>
  <si>
    <t xml:space="preserve">AREA DE ESCALERAS </t>
  </si>
  <si>
    <t>FRENTE A TORRE D</t>
  </si>
  <si>
    <t>PASOS PRIMER TRAMO</t>
  </si>
  <si>
    <t>DESCANSO</t>
  </si>
  <si>
    <t>PASOS SEGUNDO TRAMO</t>
  </si>
  <si>
    <t>KG</t>
  </si>
  <si>
    <t xml:space="preserve">VIGAS </t>
  </si>
  <si>
    <t>ESCALERA</t>
  </si>
  <si>
    <t>A - A SUPERIOR</t>
  </si>
  <si>
    <t>A - A INFERIOR</t>
  </si>
  <si>
    <t>B -B SUPERIOR</t>
  </si>
  <si>
    <t>B - B  INFERIOR</t>
  </si>
  <si>
    <t>C - C SUPERIOR</t>
  </si>
  <si>
    <t>C - CINFERIOR</t>
  </si>
  <si>
    <t>D - D SUPERIOR</t>
  </si>
  <si>
    <t>D - D INFERIOR</t>
  </si>
  <si>
    <t>E - E SUPERIOR</t>
  </si>
  <si>
    <t>E - E INFERIOR</t>
  </si>
  <si>
    <t xml:space="preserve">(e) LOCALIZACION </t>
  </si>
  <si>
    <t>DIMENSIONES(M)</t>
  </si>
  <si>
    <t>(i) MEDIDA PARCIAL ()</t>
  </si>
  <si>
    <t>(k) MEDIDA TOTAL (ML)</t>
  </si>
  <si>
    <t>NUMERO ACERO</t>
  </si>
  <si>
    <t>PESO Kg/ml</t>
  </si>
  <si>
    <t xml:space="preserve"> Long. Fj.</t>
  </si>
  <si>
    <t>C - C INFERIOR</t>
  </si>
  <si>
    <t>DESCANSO ENTRE ESCALERAS</t>
  </si>
  <si>
    <t>AREA ESPACIO PUBLICO ANDEN</t>
  </si>
  <si>
    <t>LONGITUD</t>
  </si>
  <si>
    <t>AREA 3</t>
  </si>
  <si>
    <t>3.08.08</t>
  </si>
  <si>
    <t>SENDERO PEATONAL Y RAMPA  ENTRE ESCALERAS</t>
  </si>
  <si>
    <t>ANDEN PERIMETRAL TORRES DE LA "A" - "C"</t>
  </si>
  <si>
    <t>SENDERO  ENTRE ESCALERAS FRENTE A TORRE "D"</t>
  </si>
  <si>
    <t>AREA DE ESCALERAS 2</t>
  </si>
  <si>
    <t>AREA DE ESCALERAS 1</t>
  </si>
  <si>
    <t>Perimetral  bloque  C</t>
  </si>
  <si>
    <t>SUMINISTRO E INSTALACION DE BORDILLO PREFABRICADO A-81</t>
  </si>
  <si>
    <t>ANDEN PERIMETRAL TORRES DE LA "A" - "B"</t>
  </si>
  <si>
    <t>TRAS DE TORRE  "C"</t>
  </si>
  <si>
    <t>PLAZOLETA  TORRE  "C"</t>
  </si>
  <si>
    <t>PARTE DE ATRÁS  TORRE A</t>
  </si>
  <si>
    <t>PARTE DE ATRÁS TORRE B</t>
  </si>
  <si>
    <t>PARTE DE ATRÁS TORRE  C</t>
  </si>
  <si>
    <t>ESCALERA N° 01</t>
  </si>
  <si>
    <t>ESCALERA N° 02</t>
  </si>
  <si>
    <t>PASOS  TRAMO</t>
  </si>
  <si>
    <t>FRENTE A TORRE D ESCALERA N° 01</t>
  </si>
  <si>
    <t>FRENTE A TORRE D ESCALERA N° 02</t>
  </si>
  <si>
    <t>PLACA TRAMO</t>
  </si>
  <si>
    <t>PLACA ESCALERA</t>
  </si>
  <si>
    <t>PASOS TRAMO</t>
  </si>
  <si>
    <t>FRENTE A TORRE "A"</t>
  </si>
  <si>
    <t>FRENTE A TORRE "B"</t>
  </si>
  <si>
    <t>FRENTE A TORRE "C"</t>
  </si>
  <si>
    <t>FRENTE A TORRE "D"</t>
  </si>
  <si>
    <t>FRENTE A TORRE "F"</t>
  </si>
  <si>
    <t>FRENTE A TORRE "E"</t>
  </si>
  <si>
    <t>PARALELO A SENDERO TORRE "D"</t>
  </si>
  <si>
    <t>ENTRE MURO EXISTENTE Y ESCALERA N°02 LOSA</t>
  </si>
  <si>
    <t>ENTRE MURO EXISTENTE Y ESCALERA N°02 DIENTELON</t>
  </si>
  <si>
    <t>EN AREA DE PARQUE INFANTIL</t>
  </si>
  <si>
    <t>MURO DE CONTENCION</t>
  </si>
  <si>
    <t>ZARPA</t>
  </si>
  <si>
    <t>ACERO TRANSVERSAL  ZARPA</t>
  </si>
  <si>
    <t>ELEVACION</t>
  </si>
  <si>
    <t>ACERO TRANSVERSAL  ELEVACION</t>
  </si>
  <si>
    <t>MURO 3</t>
  </si>
  <si>
    <t>MURO DE CONTENCION AREA LOSA</t>
  </si>
  <si>
    <t>MURO DE CONTENCION AREA DIENTELON</t>
  </si>
  <si>
    <t>MURO DE CONTENCION AREA ELEVACION</t>
  </si>
  <si>
    <t xml:space="preserve">ESCALERA </t>
  </si>
  <si>
    <t>ADECUACIÓN Y MEJORAMIENTO DEL PARQUE DE LA URBANIZACIÓN RINCÓN CAMPESTRE</t>
  </si>
  <si>
    <t>OCTUBRE DE 2023</t>
  </si>
  <si>
    <t>A15772007-9540262</t>
  </si>
  <si>
    <t>1.01.08</t>
  </si>
  <si>
    <t>CORTE DE ARBUSTO</t>
  </si>
  <si>
    <t>1.01.09</t>
  </si>
  <si>
    <t>CORTE RAIZ D = 30 cm - 80 cm</t>
  </si>
  <si>
    <t>DEMOLICIÓN SARDINEL (INCLUYE RETIRO)</t>
  </si>
  <si>
    <t>1.01.11</t>
  </si>
  <si>
    <t>DEMOLICIÓN DE SUMIDEROS</t>
  </si>
  <si>
    <t>1.01.22</t>
  </si>
  <si>
    <t>DEMOLICIÓN MUROS LADRILLO E = 0.15 mts.</t>
  </si>
  <si>
    <t>1.01.33</t>
  </si>
  <si>
    <t>OBRAS PRELIMINARES</t>
  </si>
  <si>
    <t>DEMOLICIÓN PLACA DE PISO E= 10 cm.</t>
  </si>
  <si>
    <t>1.01.38</t>
  </si>
  <si>
    <t>DESCAPOTE MANUAL (HASTA 20 CM ) DISTANCIA DE 1 A 5 KM</t>
  </si>
  <si>
    <t>1.01.46</t>
  </si>
  <si>
    <t>DESMONTE ADOQUIN PREFABRICADO</t>
  </si>
  <si>
    <t>1.01.47</t>
  </si>
  <si>
    <t>LOCALIZACIÓN Y REPLANTEO OBRA ARQUITECTÓNICA</t>
  </si>
  <si>
    <t>1.01.68</t>
  </si>
  <si>
    <t>CONSTRUCCIÓN DE PLAZOLETA</t>
  </si>
  <si>
    <t>EXCAVACION MANUAL EN MATERIAL COMUN (INCLUYE RETIRO)</t>
  </si>
  <si>
    <t>MALLA ELECTROSOLDADA 0.15 X 0.15 M D= 5MM (INCLUYE SUMINISTRO FIJACION E
INSTALACION)</t>
  </si>
  <si>
    <t>3.13.25</t>
  </si>
  <si>
    <t>CREADO</t>
  </si>
  <si>
    <t>PINTURA EPOXICA PARA PISOS EN CONCRETO</t>
  </si>
  <si>
    <t>BORDILLO DE 8 X 15 CM FUNDIDO EN CONCRETO PARA CONTENEDOR DE RAICES</t>
  </si>
  <si>
    <t>RELLENO CON MATERIAL DE AFIRMADO COMPACTADO RANA Y/O VIBROCOMPACTADOR</t>
  </si>
  <si>
    <t>3.03.15</t>
  </si>
  <si>
    <t>PLACA BASE EN CONCRETO E= 8 CM 2500 PSI</t>
  </si>
  <si>
    <t>1.11.25</t>
  </si>
  <si>
    <t>SUMINISTRO E INSTALACIÓN DE ADOQUÍN PEATONAL CONCRETO 6 CM COLOR SEGÚN ESPECIFICACIONES DE DISEÑO</t>
  </si>
  <si>
    <r>
      <rPr>
        <b/>
        <sz val="11"/>
        <color theme="1"/>
        <rFont val="Gadugi"/>
        <family val="2"/>
      </rPr>
      <t>NOTA 1:</t>
    </r>
    <r>
      <rPr>
        <sz val="11"/>
        <color theme="1"/>
        <rFont val="Gadugi"/>
        <family val="2"/>
      </rPr>
      <t xml:space="preserve"> Los códigos de referencia corresponden con los establecidos en la RESOLUCIÓN 039 DEL 28 DE MARZO DE 2023 por medio de la cual se actualiza y se fija la lista de precios unitarios de obra pública y de consultoría en el departamento de Boyacá” (*)</t>
    </r>
  </si>
  <si>
    <t>SUMINISTRO E INSTALACION DE SARDINEL PREFABRICADO A-10, INCLUYE MORTERO DE PEGA
SEGUN NORMA NTC-4109</t>
  </si>
  <si>
    <t>3.08.19</t>
  </si>
  <si>
    <t>CÓDIGO UNSPSC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</si>
</sst>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0.0"/>
    <numFmt numFmtId="169" formatCode="_(* #,##0.0000_);_(* \(#,##0.0000\);_(* &quot;-&quot;??_);_(@_)"/>
    <numFmt numFmtId="170" formatCode="0.0000"/>
    <numFmt numFmtId="171" formatCode="0.000"/>
    <numFmt numFmtId="172" formatCode="_(* #,##0_);_(* \(#,##0\);_(* &quot;-&quot;??_);_(@_)"/>
    <numFmt numFmtId="177" formatCode="_(&quot;$&quot;\ * #,##0.0000_);_(&quot;$&quot;\ * \(#,##0.0000\);_(&quot;$&quot;\ * &quot;-&quot;??_);_(@_)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mbria"/>
      <family val="2"/>
    </font>
    <font>
      <sz val="9"/>
      <name val="Microsoft Sans Serif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Gadugi"/>
      <family val="2"/>
    </font>
    <font>
      <b/>
      <sz val="12"/>
      <name val="Gadugi"/>
      <family val="2"/>
    </font>
    <font>
      <sz val="12"/>
      <name val="Gadugi"/>
      <family val="2"/>
    </font>
    <font>
      <sz val="12"/>
      <color theme="1"/>
      <name val="Gadugi"/>
      <family val="2"/>
    </font>
    <font>
      <b/>
      <sz val="11"/>
      <color theme="1"/>
      <name val="Gadugi"/>
      <family val="2"/>
    </font>
    <font>
      <sz val="11"/>
      <color theme="0"/>
      <name val="Gadugi"/>
      <family val="2"/>
    </font>
    <font>
      <b/>
      <sz val="14"/>
      <color rgb="FFC00000"/>
      <name val="Gadugi"/>
      <family val="2"/>
    </font>
    <font>
      <b/>
      <sz val="14"/>
      <name val="Gadugi"/>
      <family val="2"/>
    </font>
    <font>
      <sz val="14"/>
      <name val="Gadugi"/>
      <family val="2"/>
    </font>
    <font>
      <sz val="14"/>
      <color theme="1"/>
      <name val="Gadugi"/>
      <family val="2"/>
    </font>
    <font>
      <sz val="11"/>
      <color rgb="FF806000"/>
      <name val="Gadugi"/>
      <family val="2"/>
    </font>
    <font>
      <sz val="11"/>
      <name val="Gadugi"/>
      <family val="2"/>
    </font>
    <font>
      <sz val="12"/>
      <color rgb="FF806000"/>
      <name val="Gadugi"/>
      <family val="2"/>
    </font>
    <font>
      <sz val="10"/>
      <name val="Gadugi"/>
      <family val="2"/>
    </font>
    <font>
      <b/>
      <sz val="12"/>
      <color rgb="FF806000"/>
      <name val="Gadugi"/>
      <family val="2"/>
    </font>
    <font>
      <sz val="10"/>
      <color theme="1"/>
      <name val="Gadugi"/>
      <family val="2"/>
    </font>
    <font>
      <b/>
      <sz val="14"/>
      <color theme="1"/>
      <name val="Gadugi"/>
      <family val="2"/>
    </font>
    <font>
      <b/>
      <sz val="11"/>
      <color rgb="FFFF0000"/>
      <name val="Tahoma"/>
      <family val="2"/>
    </font>
    <font>
      <b/>
      <sz val="11"/>
      <color theme="1"/>
      <name val="Tahoma"/>
      <family val="2"/>
    </font>
    <font>
      <sz val="11"/>
      <color indexed="8"/>
      <name val="Tahoma"/>
      <family val="2"/>
    </font>
    <font>
      <b/>
      <sz val="12"/>
      <name val="Tahoma"/>
      <family val="2"/>
    </font>
    <font>
      <sz val="11"/>
      <color theme="1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6"/>
      <color rgb="FF0070C0"/>
      <name val="Tw Cen MT"/>
      <family val="2"/>
    </font>
    <font>
      <sz val="11"/>
      <name val="Tw Cen MT"/>
      <family val="2"/>
    </font>
    <font>
      <b/>
      <sz val="14"/>
      <color rgb="FFC00000"/>
      <name val="Tw Cen MT"/>
      <family val="2"/>
    </font>
    <font>
      <b/>
      <sz val="11"/>
      <name val="Tw Cen MT"/>
      <family val="2"/>
    </font>
    <font>
      <b/>
      <sz val="12"/>
      <color rgb="FF00B0F0"/>
      <name val="Tw Cen MT"/>
      <family val="2"/>
    </font>
    <font>
      <sz val="11"/>
      <color rgb="FF000000"/>
      <name val="Tw Cen MT"/>
      <family val="2"/>
    </font>
    <font>
      <b/>
      <sz val="11"/>
      <color rgb="FF000000"/>
      <name val="Tw Cen MT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2"/>
      <name val="Century Gothic"/>
      <family val="2"/>
    </font>
    <font>
      <b/>
      <sz val="10"/>
      <name val="Century Gothic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9"/>
      <color theme="1"/>
      <name val="Gadugi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6" fillId="0" borderId="0"/>
    <xf numFmtId="166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16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0" borderId="0"/>
    <xf numFmtId="0" fontId="1" fillId="0" borderId="0"/>
    <xf numFmtId="0" fontId="2" fillId="0" borderId="0"/>
    <xf numFmtId="0" fontId="2" fillId="0" borderId="0"/>
  </cellStyleXfs>
  <cellXfs count="369">
    <xf numFmtId="0" fontId="0" fillId="0" borderId="0" xfId="0"/>
    <xf numFmtId="0" fontId="9" fillId="0" borderId="0" xfId="0" applyFont="1"/>
    <xf numFmtId="0" fontId="10" fillId="3" borderId="1" xfId="0" applyFont="1" applyFill="1" applyBorder="1" applyAlignment="1">
      <alignment horizontal="left" vertical="center" wrapText="1"/>
    </xf>
    <xf numFmtId="1" fontId="12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wrapText="1"/>
    </xf>
    <xf numFmtId="0" fontId="14" fillId="0" borderId="0" xfId="0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horizontal="right" vertical="center"/>
    </xf>
    <xf numFmtId="0" fontId="24" fillId="0" borderId="0" xfId="1" applyFont="1" applyAlignment="1">
      <alignment vertical="center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165" fontId="13" fillId="3" borderId="9" xfId="8" applyFont="1" applyFill="1" applyBorder="1" applyAlignment="1">
      <alignment horizontal="center" vertical="center"/>
    </xf>
    <xf numFmtId="165" fontId="25" fillId="4" borderId="16" xfId="8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8" fillId="0" borderId="0" xfId="6" applyFont="1" applyAlignment="1">
      <alignment vertical="center"/>
    </xf>
    <xf numFmtId="0" fontId="30" fillId="0" borderId="0" xfId="0" applyFont="1" applyAlignment="1">
      <alignment vertical="center"/>
    </xf>
    <xf numFmtId="168" fontId="31" fillId="5" borderId="1" xfId="5" applyNumberFormat="1" applyFont="1" applyFill="1" applyBorder="1" applyAlignment="1">
      <alignment horizontal="left" vertical="center"/>
    </xf>
    <xf numFmtId="0" fontId="31" fillId="5" borderId="1" xfId="5" applyFont="1" applyFill="1" applyBorder="1" applyAlignment="1">
      <alignment vertical="center" wrapText="1"/>
    </xf>
    <xf numFmtId="0" fontId="31" fillId="5" borderId="1" xfId="5" applyFont="1" applyFill="1" applyBorder="1" applyAlignment="1">
      <alignment horizontal="center" vertical="center"/>
    </xf>
    <xf numFmtId="0" fontId="30" fillId="5" borderId="0" xfId="0" applyFont="1" applyFill="1" applyAlignment="1">
      <alignment vertical="center"/>
    </xf>
    <xf numFmtId="169" fontId="32" fillId="0" borderId="1" xfId="7" applyNumberFormat="1" applyFont="1" applyFill="1" applyBorder="1" applyAlignment="1">
      <alignment vertical="center"/>
    </xf>
    <xf numFmtId="166" fontId="32" fillId="0" borderId="1" xfId="7" applyFont="1" applyFill="1" applyBorder="1" applyAlignment="1">
      <alignment vertical="center"/>
    </xf>
    <xf numFmtId="0" fontId="31" fillId="6" borderId="1" xfId="5" applyFont="1" applyFill="1" applyBorder="1" applyAlignment="1">
      <alignment horizontal="center" vertical="center"/>
    </xf>
    <xf numFmtId="0" fontId="31" fillId="5" borderId="1" xfId="5" applyFont="1" applyFill="1" applyBorder="1" applyAlignment="1">
      <alignment horizontal="left" vertical="center"/>
    </xf>
    <xf numFmtId="0" fontId="31" fillId="5" borderId="1" xfId="5" applyFont="1" applyFill="1" applyBorder="1" applyAlignment="1">
      <alignment horizontal="left" vertical="center" wrapText="1"/>
    </xf>
    <xf numFmtId="166" fontId="31" fillId="0" borderId="1" xfId="7" applyFont="1" applyFill="1" applyBorder="1" applyAlignment="1">
      <alignment vertical="center"/>
    </xf>
    <xf numFmtId="0" fontId="31" fillId="0" borderId="1" xfId="5" applyFont="1" applyBorder="1" applyAlignment="1">
      <alignment vertical="center"/>
    </xf>
    <xf numFmtId="169" fontId="31" fillId="0" borderId="1" xfId="7" applyNumberFormat="1" applyFont="1" applyFill="1" applyBorder="1" applyAlignment="1">
      <alignment vertical="center"/>
    </xf>
    <xf numFmtId="0" fontId="32" fillId="0" borderId="1" xfId="5" applyFont="1" applyBorder="1" applyAlignment="1">
      <alignment vertical="center"/>
    </xf>
    <xf numFmtId="4" fontId="31" fillId="0" borderId="1" xfId="7" applyNumberFormat="1" applyFont="1" applyFill="1" applyBorder="1" applyAlignment="1">
      <alignment vertical="center"/>
    </xf>
    <xf numFmtId="170" fontId="31" fillId="0" borderId="1" xfId="5" applyNumberFormat="1" applyFont="1" applyBorder="1" applyAlignment="1">
      <alignment vertical="center"/>
    </xf>
    <xf numFmtId="2" fontId="30" fillId="0" borderId="1" xfId="0" applyNumberFormat="1" applyFont="1" applyBorder="1" applyAlignment="1">
      <alignment vertical="center"/>
    </xf>
    <xf numFmtId="166" fontId="32" fillId="0" borderId="1" xfId="7" quotePrefix="1" applyFont="1" applyFill="1" applyBorder="1" applyAlignment="1">
      <alignment horizontal="right" vertical="center"/>
    </xf>
    <xf numFmtId="166" fontId="32" fillId="0" borderId="1" xfId="7" quotePrefix="1" applyFont="1" applyFill="1" applyBorder="1" applyAlignment="1">
      <alignment vertical="center"/>
    </xf>
    <xf numFmtId="2" fontId="30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13" fillId="0" borderId="0" xfId="0" applyFont="1" applyAlignment="1">
      <alignment horizontal="right" vertical="center"/>
    </xf>
    <xf numFmtId="165" fontId="25" fillId="0" borderId="0" xfId="8" applyFont="1" applyFill="1" applyBorder="1" applyAlignment="1">
      <alignment horizontal="center" vertical="center"/>
    </xf>
    <xf numFmtId="0" fontId="31" fillId="0" borderId="24" xfId="5" applyFont="1" applyBorder="1" applyAlignment="1">
      <alignment vertical="center"/>
    </xf>
    <xf numFmtId="2" fontId="30" fillId="0" borderId="24" xfId="0" applyNumberFormat="1" applyFont="1" applyBorder="1" applyAlignment="1">
      <alignment horizontal="right" vertical="center"/>
    </xf>
    <xf numFmtId="166" fontId="32" fillId="0" borderId="24" xfId="7" applyFont="1" applyFill="1" applyBorder="1" applyAlignment="1">
      <alignment vertical="center"/>
    </xf>
    <xf numFmtId="166" fontId="31" fillId="0" borderId="24" xfId="7" applyFont="1" applyFill="1" applyBorder="1" applyAlignment="1">
      <alignment vertical="center"/>
    </xf>
    <xf numFmtId="0" fontId="30" fillId="0" borderId="1" xfId="0" applyFont="1" applyBorder="1" applyAlignment="1">
      <alignment vertical="center"/>
    </xf>
    <xf numFmtId="2" fontId="13" fillId="2" borderId="6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/>
    </xf>
    <xf numFmtId="2" fontId="13" fillId="0" borderId="0" xfId="0" applyNumberFormat="1" applyFont="1" applyAlignment="1">
      <alignment horizontal="right" vertical="center"/>
    </xf>
    <xf numFmtId="2" fontId="9" fillId="0" borderId="0" xfId="0" applyNumberFormat="1" applyFont="1"/>
    <xf numFmtId="2" fontId="17" fillId="0" borderId="0" xfId="0" applyNumberFormat="1" applyFont="1" applyAlignment="1">
      <alignment vertical="center"/>
    </xf>
    <xf numFmtId="2" fontId="20" fillId="0" borderId="0" xfId="0" applyNumberFormat="1" applyFont="1" applyAlignment="1">
      <alignment vertical="center"/>
    </xf>
    <xf numFmtId="2" fontId="24" fillId="0" borderId="0" xfId="1" applyNumberFormat="1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4" fillId="0" borderId="0" xfId="1" applyFont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35" fillId="2" borderId="5" xfId="18" applyFont="1" applyFill="1" applyBorder="1" applyAlignment="1">
      <alignment horizontal="center" vertical="top" wrapText="1"/>
    </xf>
    <xf numFmtId="0" fontId="36" fillId="2" borderId="8" xfId="0" applyFont="1" applyFill="1" applyBorder="1" applyAlignment="1">
      <alignment horizontal="center" vertical="center"/>
    </xf>
    <xf numFmtId="0" fontId="36" fillId="0" borderId="1" xfId="18" applyFont="1" applyBorder="1" applyAlignment="1">
      <alignment horizontal="right" vertical="center" wrapText="1"/>
    </xf>
    <xf numFmtId="165" fontId="36" fillId="0" borderId="1" xfId="8" applyFont="1" applyFill="1" applyBorder="1" applyAlignment="1">
      <alignment horizontal="right" vertical="center" wrapText="1"/>
    </xf>
    <xf numFmtId="165" fontId="36" fillId="0" borderId="9" xfId="8" applyFont="1" applyFill="1" applyBorder="1" applyAlignment="1">
      <alignment horizontal="right" vertical="center" wrapText="1"/>
    </xf>
    <xf numFmtId="170" fontId="38" fillId="0" borderId="1" xfId="18" applyNumberFormat="1" applyFont="1" applyBorder="1" applyAlignment="1">
      <alignment horizontal="right" vertical="top" shrinkToFit="1"/>
    </xf>
    <xf numFmtId="165" fontId="34" fillId="0" borderId="0" xfId="8" applyFont="1" applyFill="1" applyBorder="1" applyAlignment="1" applyProtection="1">
      <alignment vertical="center"/>
    </xf>
    <xf numFmtId="170" fontId="38" fillId="0" borderId="1" xfId="18" applyNumberFormat="1" applyFont="1" applyBorder="1" applyAlignment="1">
      <alignment horizontal="right" vertical="center" shrinkToFit="1"/>
    </xf>
    <xf numFmtId="165" fontId="38" fillId="0" borderId="1" xfId="8" applyFont="1" applyFill="1" applyBorder="1" applyAlignment="1">
      <alignment horizontal="right" vertical="center" shrinkToFit="1"/>
    </xf>
    <xf numFmtId="165" fontId="39" fillId="0" borderId="36" xfId="8" applyFont="1" applyFill="1" applyBorder="1" applyAlignment="1">
      <alignment horizontal="right" vertical="top" indent="1" shrinkToFit="1"/>
    </xf>
    <xf numFmtId="0" fontId="36" fillId="0" borderId="42" xfId="18" applyFont="1" applyBorder="1" applyAlignment="1">
      <alignment horizontal="right" vertical="center" wrapText="1"/>
    </xf>
    <xf numFmtId="165" fontId="36" fillId="0" borderId="42" xfId="8" applyFont="1" applyFill="1" applyBorder="1" applyAlignment="1">
      <alignment horizontal="right" vertical="center" wrapText="1"/>
    </xf>
    <xf numFmtId="165" fontId="36" fillId="0" borderId="43" xfId="8" applyFont="1" applyFill="1" applyBorder="1" applyAlignment="1">
      <alignment horizontal="right" vertical="center" wrapText="1"/>
    </xf>
    <xf numFmtId="170" fontId="38" fillId="0" borderId="42" xfId="18" applyNumberFormat="1" applyFont="1" applyBorder="1" applyAlignment="1">
      <alignment horizontal="right" vertical="top" shrinkToFit="1"/>
    </xf>
    <xf numFmtId="165" fontId="38" fillId="0" borderId="42" xfId="8" applyFont="1" applyFill="1" applyBorder="1" applyAlignment="1">
      <alignment horizontal="right" vertical="top" shrinkToFit="1"/>
    </xf>
    <xf numFmtId="165" fontId="38" fillId="0" borderId="43" xfId="8" applyFont="1" applyFill="1" applyBorder="1" applyAlignment="1">
      <alignment horizontal="right" vertical="top" shrinkToFit="1"/>
    </xf>
    <xf numFmtId="165" fontId="39" fillId="0" borderId="43" xfId="8" applyFont="1" applyFill="1" applyBorder="1" applyAlignment="1">
      <alignment horizontal="right" vertical="top" indent="1" shrinkToFit="1"/>
    </xf>
    <xf numFmtId="0" fontId="38" fillId="0" borderId="0" xfId="18" applyFont="1" applyAlignment="1">
      <alignment horizontal="left" vertical="top"/>
    </xf>
    <xf numFmtId="0" fontId="36" fillId="0" borderId="48" xfId="18" applyFont="1" applyBorder="1" applyAlignment="1">
      <alignment horizontal="right" vertical="center" wrapText="1"/>
    </xf>
    <xf numFmtId="165" fontId="36" fillId="0" borderId="48" xfId="8" applyFont="1" applyFill="1" applyBorder="1" applyAlignment="1">
      <alignment horizontal="right" vertical="center" wrapText="1"/>
    </xf>
    <xf numFmtId="165" fontId="39" fillId="0" borderId="39" xfId="8" applyFont="1" applyFill="1" applyBorder="1" applyAlignment="1">
      <alignment horizontal="right" vertical="top" indent="1" shrinkToFit="1"/>
    </xf>
    <xf numFmtId="165" fontId="39" fillId="0" borderId="49" xfId="8" applyFont="1" applyFill="1" applyBorder="1" applyAlignment="1">
      <alignment horizontal="right" vertical="top" indent="1" shrinkToFit="1"/>
    </xf>
    <xf numFmtId="165" fontId="9" fillId="0" borderId="0" xfId="0" applyNumberFormat="1" applyFont="1"/>
    <xf numFmtId="0" fontId="12" fillId="0" borderId="1" xfId="0" applyFont="1" applyBorder="1" applyAlignment="1">
      <alignment horizontal="center" vertical="center" wrapText="1"/>
    </xf>
    <xf numFmtId="164" fontId="34" fillId="0" borderId="0" xfId="0" applyNumberFormat="1" applyFont="1" applyAlignment="1">
      <alignment vertical="center"/>
    </xf>
    <xf numFmtId="0" fontId="31" fillId="0" borderId="25" xfId="5" applyFont="1" applyBorder="1" applyAlignment="1">
      <alignment vertical="center"/>
    </xf>
    <xf numFmtId="0" fontId="31" fillId="0" borderId="26" xfId="5" applyFont="1" applyBorder="1" applyAlignment="1">
      <alignment vertical="center"/>
    </xf>
    <xf numFmtId="0" fontId="31" fillId="0" borderId="1" xfId="5" applyFont="1" applyBorder="1" applyAlignment="1">
      <alignment vertical="center" wrapText="1"/>
    </xf>
    <xf numFmtId="1" fontId="30" fillId="0" borderId="1" xfId="0" applyNumberFormat="1" applyFont="1" applyBorder="1" applyAlignment="1">
      <alignment vertical="center"/>
    </xf>
    <xf numFmtId="166" fontId="32" fillId="7" borderId="1" xfId="7" applyFont="1" applyFill="1" applyBorder="1" applyAlignment="1">
      <alignment vertical="center"/>
    </xf>
    <xf numFmtId="165" fontId="38" fillId="0" borderId="54" xfId="8" applyFont="1" applyFill="1" applyBorder="1" applyAlignment="1">
      <alignment horizontal="right" vertical="top" shrinkToFit="1"/>
    </xf>
    <xf numFmtId="170" fontId="38" fillId="0" borderId="54" xfId="18" applyNumberFormat="1" applyFont="1" applyBorder="1" applyAlignment="1">
      <alignment horizontal="right" vertical="top" shrinkToFit="1"/>
    </xf>
    <xf numFmtId="0" fontId="36" fillId="0" borderId="34" xfId="18" applyFont="1" applyBorder="1" applyAlignment="1">
      <alignment horizontal="left" vertical="center" wrapText="1"/>
    </xf>
    <xf numFmtId="0" fontId="36" fillId="0" borderId="0" xfId="18" applyFont="1" applyAlignment="1">
      <alignment horizontal="left" vertical="center" wrapText="1"/>
    </xf>
    <xf numFmtId="0" fontId="36" fillId="0" borderId="0" xfId="18" applyFont="1" applyAlignment="1">
      <alignment horizontal="center" vertical="center" wrapText="1"/>
    </xf>
    <xf numFmtId="0" fontId="36" fillId="0" borderId="0" xfId="18" applyFont="1" applyAlignment="1">
      <alignment horizontal="right" vertical="center" wrapText="1"/>
    </xf>
    <xf numFmtId="165" fontId="36" fillId="0" borderId="0" xfId="8" applyFont="1" applyFill="1" applyBorder="1" applyAlignment="1">
      <alignment horizontal="right" vertical="center" wrapText="1"/>
    </xf>
    <xf numFmtId="165" fontId="36" fillId="0" borderId="39" xfId="8" applyFont="1" applyFill="1" applyBorder="1" applyAlignment="1">
      <alignment horizontal="right" vertical="center" wrapText="1"/>
    </xf>
    <xf numFmtId="0" fontId="36" fillId="0" borderId="24" xfId="18" applyFont="1" applyBorder="1" applyAlignment="1">
      <alignment horizontal="center" vertical="center" wrapText="1"/>
    </xf>
    <xf numFmtId="0" fontId="36" fillId="0" borderId="24" xfId="18" applyFont="1" applyBorder="1" applyAlignment="1">
      <alignment horizontal="right" vertical="center" wrapText="1"/>
    </xf>
    <xf numFmtId="165" fontId="36" fillId="0" borderId="24" xfId="8" applyFont="1" applyFill="1" applyBorder="1" applyAlignment="1">
      <alignment horizontal="right" vertical="center" wrapText="1"/>
    </xf>
    <xf numFmtId="165" fontId="36" fillId="0" borderId="29" xfId="8" applyFont="1" applyFill="1" applyBorder="1" applyAlignment="1">
      <alignment horizontal="right" vertical="center" wrapText="1"/>
    </xf>
    <xf numFmtId="165" fontId="34" fillId="0" borderId="1" xfId="8" applyFont="1" applyFill="1" applyBorder="1" applyAlignment="1" applyProtection="1">
      <alignment vertical="center"/>
    </xf>
    <xf numFmtId="165" fontId="39" fillId="0" borderId="1" xfId="8" applyFont="1" applyFill="1" applyBorder="1" applyAlignment="1">
      <alignment horizontal="right" vertical="top" indent="1" shrinkToFit="1"/>
    </xf>
    <xf numFmtId="165" fontId="36" fillId="0" borderId="27" xfId="8" applyFont="1" applyFill="1" applyBorder="1" applyAlignment="1">
      <alignment horizontal="right" vertical="center" wrapText="1"/>
    </xf>
    <xf numFmtId="0" fontId="20" fillId="0" borderId="1" xfId="0" applyFont="1" applyBorder="1" applyAlignment="1">
      <alignment horizontal="left" vertical="center" wrapText="1"/>
    </xf>
    <xf numFmtId="170" fontId="38" fillId="0" borderId="45" xfId="18" applyNumberFormat="1" applyFont="1" applyBorder="1" applyAlignment="1">
      <alignment horizontal="right" vertical="top" shrinkToFit="1"/>
    </xf>
    <xf numFmtId="165" fontId="38" fillId="0" borderId="46" xfId="8" applyFont="1" applyFill="1" applyBorder="1" applyAlignment="1">
      <alignment horizontal="right" vertical="top" shrinkToFit="1"/>
    </xf>
    <xf numFmtId="0" fontId="9" fillId="5" borderId="1" xfId="0" applyFont="1" applyFill="1" applyBorder="1" applyAlignment="1">
      <alignment horizontal="center" vertical="center"/>
    </xf>
    <xf numFmtId="165" fontId="9" fillId="5" borderId="1" xfId="8" applyFont="1" applyFill="1" applyBorder="1" applyAlignment="1">
      <alignment horizontal="center" vertical="center"/>
    </xf>
    <xf numFmtId="165" fontId="20" fillId="5" borderId="1" xfId="8" applyFont="1" applyFill="1" applyBorder="1" applyAlignment="1">
      <alignment horizontal="center" vertical="center"/>
    </xf>
    <xf numFmtId="165" fontId="9" fillId="5" borderId="9" xfId="8" applyFont="1" applyFill="1" applyBorder="1" applyAlignment="1">
      <alignment horizontal="center" vertical="center"/>
    </xf>
    <xf numFmtId="0" fontId="31" fillId="6" borderId="1" xfId="5" applyFont="1" applyFill="1" applyBorder="1" applyAlignment="1">
      <alignment horizontal="center" vertical="center" wrapText="1"/>
    </xf>
    <xf numFmtId="166" fontId="32" fillId="0" borderId="1" xfId="7" applyFont="1" applyFill="1" applyBorder="1" applyAlignment="1">
      <alignment vertical="center" wrapText="1"/>
    </xf>
    <xf numFmtId="166" fontId="32" fillId="0" borderId="1" xfId="7" quotePrefix="1" applyFont="1" applyFill="1" applyBorder="1" applyAlignment="1">
      <alignment horizontal="left" vertical="center"/>
    </xf>
    <xf numFmtId="2" fontId="31" fillId="0" borderId="1" xfId="5" applyNumberFormat="1" applyFont="1" applyBorder="1" applyAlignment="1">
      <alignment vertical="center"/>
    </xf>
    <xf numFmtId="166" fontId="32" fillId="0" borderId="1" xfId="7" applyFont="1" applyFill="1" applyBorder="1" applyAlignment="1">
      <alignment horizontal="center" vertical="center"/>
    </xf>
    <xf numFmtId="2" fontId="30" fillId="0" borderId="4" xfId="0" applyNumberFormat="1" applyFont="1" applyBorder="1" applyAlignment="1">
      <alignment vertical="center"/>
    </xf>
    <xf numFmtId="2" fontId="27" fillId="0" borderId="3" xfId="0" applyNumberFormat="1" applyFont="1" applyBorder="1" applyAlignment="1">
      <alignment horizontal="center" vertical="center"/>
    </xf>
    <xf numFmtId="166" fontId="31" fillId="0" borderId="1" xfId="7" quotePrefix="1" applyFont="1" applyFill="1" applyBorder="1" applyAlignment="1">
      <alignment horizontal="center" vertical="center"/>
    </xf>
    <xf numFmtId="166" fontId="32" fillId="10" borderId="1" xfId="7" applyFont="1" applyFill="1" applyBorder="1" applyAlignment="1">
      <alignment horizontal="center" vertical="center"/>
    </xf>
    <xf numFmtId="166" fontId="32" fillId="8" borderId="1" xfId="7" applyFont="1" applyFill="1" applyBorder="1" applyAlignment="1">
      <alignment horizontal="center" vertical="center"/>
    </xf>
    <xf numFmtId="172" fontId="32" fillId="9" borderId="1" xfId="7" quotePrefix="1" applyNumberFormat="1" applyFont="1" applyFill="1" applyBorder="1" applyAlignment="1">
      <alignment vertical="center"/>
    </xf>
    <xf numFmtId="2" fontId="27" fillId="0" borderId="4" xfId="0" applyNumberFormat="1" applyFont="1" applyBorder="1" applyAlignment="1">
      <alignment horizontal="center" vertical="center"/>
    </xf>
    <xf numFmtId="0" fontId="31" fillId="6" borderId="24" xfId="5" applyFont="1" applyFill="1" applyBorder="1" applyAlignment="1">
      <alignment horizontal="center" vertical="center" wrapText="1"/>
    </xf>
    <xf numFmtId="170" fontId="31" fillId="9" borderId="1" xfId="5" applyNumberFormat="1" applyFont="1" applyFill="1" applyBorder="1" applyAlignment="1">
      <alignment vertical="center"/>
    </xf>
    <xf numFmtId="0" fontId="31" fillId="5" borderId="1" xfId="5" applyFont="1" applyFill="1" applyBorder="1" applyAlignment="1">
      <alignment horizontal="center" vertical="center" wrapText="1"/>
    </xf>
    <xf numFmtId="166" fontId="32" fillId="0" borderId="27" xfId="7" applyFont="1" applyFill="1" applyBorder="1" applyAlignment="1">
      <alignment vertical="center" wrapText="1"/>
    </xf>
    <xf numFmtId="166" fontId="32" fillId="0" borderId="20" xfId="7" applyFont="1" applyFill="1" applyBorder="1" applyAlignment="1">
      <alignment vertical="center" wrapText="1"/>
    </xf>
    <xf numFmtId="166" fontId="32" fillId="0" borderId="28" xfId="7" applyFont="1" applyFill="1" applyBorder="1" applyAlignment="1">
      <alignment vertical="center" wrapText="1"/>
    </xf>
    <xf numFmtId="166" fontId="32" fillId="0" borderId="57" xfId="7" applyFont="1" applyFill="1" applyBorder="1" applyAlignment="1">
      <alignment vertical="center" wrapText="1"/>
    </xf>
    <xf numFmtId="166" fontId="32" fillId="0" borderId="0" xfId="7" applyFont="1" applyFill="1" applyBorder="1" applyAlignment="1">
      <alignment vertical="center" wrapText="1"/>
    </xf>
    <xf numFmtId="166" fontId="32" fillId="0" borderId="58" xfId="7" applyFont="1" applyFill="1" applyBorder="1" applyAlignment="1">
      <alignment vertical="center" wrapText="1"/>
    </xf>
    <xf numFmtId="166" fontId="32" fillId="0" borderId="59" xfId="7" applyFont="1" applyFill="1" applyBorder="1" applyAlignment="1">
      <alignment vertical="center" wrapText="1"/>
    </xf>
    <xf numFmtId="166" fontId="32" fillId="0" borderId="60" xfId="7" applyFont="1" applyFill="1" applyBorder="1" applyAlignment="1">
      <alignment vertical="center" wrapText="1"/>
    </xf>
    <xf numFmtId="166" fontId="32" fillId="0" borderId="61" xfId="7" applyFont="1" applyFill="1" applyBorder="1" applyAlignment="1">
      <alignment vertical="center" wrapText="1"/>
    </xf>
    <xf numFmtId="172" fontId="32" fillId="9" borderId="1" xfId="7" quotePrefix="1" applyNumberFormat="1" applyFont="1" applyFill="1" applyBorder="1" applyAlignment="1">
      <alignment horizontal="center" vertical="center"/>
    </xf>
    <xf numFmtId="2" fontId="30" fillId="8" borderId="4" xfId="0" applyNumberFormat="1" applyFont="1" applyFill="1" applyBorder="1" applyAlignment="1">
      <alignment horizontal="center" vertical="center"/>
    </xf>
    <xf numFmtId="170" fontId="31" fillId="11" borderId="1" xfId="5" applyNumberFormat="1" applyFont="1" applyFill="1" applyBorder="1" applyAlignment="1">
      <alignment vertical="center"/>
    </xf>
    <xf numFmtId="172" fontId="32" fillId="9" borderId="1" xfId="7" quotePrefix="1" applyNumberFormat="1" applyFont="1" applyFill="1" applyBorder="1" applyAlignment="1">
      <alignment horizontal="left"/>
    </xf>
    <xf numFmtId="170" fontId="30" fillId="0" borderId="0" xfId="0" applyNumberFormat="1" applyFont="1" applyAlignment="1">
      <alignment vertical="center"/>
    </xf>
    <xf numFmtId="166" fontId="32" fillId="0" borderId="1" xfId="7" quotePrefix="1" applyFont="1" applyFill="1" applyBorder="1" applyAlignment="1">
      <alignment horizontal="center" vertical="center"/>
    </xf>
    <xf numFmtId="166" fontId="30" fillId="0" borderId="0" xfId="0" applyNumberFormat="1" applyFont="1" applyAlignment="1">
      <alignment vertical="center"/>
    </xf>
    <xf numFmtId="2" fontId="30" fillId="12" borderId="4" xfId="0" applyNumberFormat="1" applyFont="1" applyFill="1" applyBorder="1" applyAlignment="1">
      <alignment vertical="center"/>
    </xf>
    <xf numFmtId="166" fontId="32" fillId="12" borderId="1" xfId="7" applyFont="1" applyFill="1" applyBorder="1" applyAlignment="1">
      <alignment vertical="center"/>
    </xf>
    <xf numFmtId="2" fontId="30" fillId="0" borderId="3" xfId="0" applyNumberFormat="1" applyFont="1" applyBorder="1" applyAlignment="1">
      <alignment vertical="center"/>
    </xf>
    <xf numFmtId="172" fontId="32" fillId="9" borderId="1" xfId="7" applyNumberFormat="1" applyFont="1" applyFill="1" applyBorder="1" applyAlignment="1">
      <alignment horizontal="center" vertical="center"/>
    </xf>
    <xf numFmtId="166" fontId="32" fillId="11" borderId="1" xfId="7" applyFont="1" applyFill="1" applyBorder="1" applyAlignment="1">
      <alignment horizontal="center" vertical="center"/>
    </xf>
    <xf numFmtId="172" fontId="32" fillId="5" borderId="1" xfId="7" quotePrefix="1" applyNumberFormat="1" applyFont="1" applyFill="1" applyBorder="1" applyAlignment="1">
      <alignment horizontal="left"/>
    </xf>
    <xf numFmtId="172" fontId="32" fillId="5" borderId="1" xfId="7" quotePrefix="1" applyNumberFormat="1" applyFont="1" applyFill="1" applyBorder="1" applyAlignment="1">
      <alignment horizontal="center" vertical="center"/>
    </xf>
    <xf numFmtId="2" fontId="30" fillId="5" borderId="1" xfId="0" applyNumberFormat="1" applyFont="1" applyFill="1" applyBorder="1" applyAlignment="1">
      <alignment vertical="center"/>
    </xf>
    <xf numFmtId="172" fontId="32" fillId="0" borderId="1" xfId="7" quotePrefix="1" applyNumberFormat="1" applyFont="1" applyFill="1" applyBorder="1" applyAlignment="1">
      <alignment horizontal="center" vertical="center"/>
    </xf>
    <xf numFmtId="2" fontId="30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66" fontId="32" fillId="0" borderId="1" xfId="7" applyFont="1" applyFill="1" applyBorder="1" applyAlignment="1">
      <alignment horizontal="left" vertical="center"/>
    </xf>
    <xf numFmtId="0" fontId="32" fillId="0" borderId="1" xfId="5" applyFont="1" applyBorder="1" applyAlignment="1">
      <alignment horizontal="left" vertical="center"/>
    </xf>
    <xf numFmtId="2" fontId="31" fillId="11" borderId="1" xfId="5" applyNumberFormat="1" applyFont="1" applyFill="1" applyBorder="1" applyAlignment="1">
      <alignment vertical="center"/>
    </xf>
    <xf numFmtId="0" fontId="40" fillId="5" borderId="1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 wrapText="1"/>
    </xf>
    <xf numFmtId="0" fontId="42" fillId="5" borderId="1" xfId="7" applyNumberFormat="1" applyFont="1" applyFill="1" applyBorder="1" applyAlignment="1">
      <alignment horizontal="center" vertical="center"/>
    </xf>
    <xf numFmtId="4" fontId="40" fillId="5" borderId="9" xfId="0" applyNumberFormat="1" applyFont="1" applyFill="1" applyBorder="1" applyAlignment="1">
      <alignment horizontal="center" vertical="center"/>
    </xf>
    <xf numFmtId="0" fontId="43" fillId="3" borderId="1" xfId="5" applyFont="1" applyFill="1" applyBorder="1" applyAlignment="1">
      <alignment horizontal="center" vertical="center" wrapText="1"/>
    </xf>
    <xf numFmtId="0" fontId="43" fillId="3" borderId="1" xfId="5" applyFont="1" applyFill="1" applyBorder="1" applyAlignment="1">
      <alignment horizontal="center" vertical="center"/>
    </xf>
    <xf numFmtId="2" fontId="40" fillId="13" borderId="1" xfId="0" applyNumberFormat="1" applyFont="1" applyFill="1" applyBorder="1" applyAlignment="1">
      <alignment horizontal="center" vertical="center" wrapText="1"/>
    </xf>
    <xf numFmtId="4" fontId="40" fillId="13" borderId="1" xfId="0" applyNumberFormat="1" applyFont="1" applyFill="1" applyBorder="1" applyAlignment="1">
      <alignment horizontal="center" vertical="center"/>
    </xf>
    <xf numFmtId="2" fontId="40" fillId="11" borderId="1" xfId="0" applyNumberFormat="1" applyFont="1" applyFill="1" applyBorder="1" applyAlignment="1">
      <alignment horizontal="center" vertical="center" wrapText="1"/>
    </xf>
    <xf numFmtId="0" fontId="40" fillId="5" borderId="4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/>
    </xf>
    <xf numFmtId="166" fontId="32" fillId="8" borderId="1" xfId="7" applyFont="1" applyFill="1" applyBorder="1" applyAlignment="1">
      <alignment vertical="center"/>
    </xf>
    <xf numFmtId="2" fontId="30" fillId="0" borderId="0" xfId="0" applyNumberFormat="1" applyFont="1" applyAlignment="1">
      <alignment vertical="center"/>
    </xf>
    <xf numFmtId="165" fontId="25" fillId="0" borderId="0" xfId="8" applyFont="1"/>
    <xf numFmtId="166" fontId="31" fillId="14" borderId="1" xfId="7" applyFont="1" applyFill="1" applyBorder="1" applyAlignment="1">
      <alignment vertical="center"/>
    </xf>
    <xf numFmtId="166" fontId="32" fillId="14" borderId="1" xfId="7" applyFont="1" applyFill="1" applyBorder="1" applyAlignment="1">
      <alignment vertical="center"/>
    </xf>
    <xf numFmtId="0" fontId="32" fillId="0" borderId="1" xfId="5" applyFont="1" applyBorder="1" applyAlignment="1">
      <alignment vertical="center" wrapText="1"/>
    </xf>
    <xf numFmtId="166" fontId="32" fillId="14" borderId="1" xfId="7" applyFont="1" applyFill="1" applyBorder="1" applyAlignment="1">
      <alignment horizontal="center" vertical="center"/>
    </xf>
    <xf numFmtId="43" fontId="30" fillId="0" borderId="0" xfId="0" applyNumberFormat="1" applyFont="1" applyAlignment="1">
      <alignment vertical="center"/>
    </xf>
    <xf numFmtId="1" fontId="30" fillId="0" borderId="1" xfId="0" applyNumberFormat="1" applyFont="1" applyBorder="1" applyAlignment="1">
      <alignment vertical="center" wrapText="1"/>
    </xf>
    <xf numFmtId="166" fontId="32" fillId="14" borderId="1" xfId="7" quotePrefix="1" applyFont="1" applyFill="1" applyBorder="1" applyAlignment="1">
      <alignment vertical="center"/>
    </xf>
    <xf numFmtId="0" fontId="31" fillId="14" borderId="1" xfId="5" applyFont="1" applyFill="1" applyBorder="1" applyAlignment="1">
      <alignment vertical="center"/>
    </xf>
    <xf numFmtId="4" fontId="31" fillId="0" borderId="9" xfId="7" applyNumberFormat="1" applyFont="1" applyFill="1" applyBorder="1" applyAlignment="1">
      <alignment vertical="center"/>
    </xf>
    <xf numFmtId="2" fontId="31" fillId="11" borderId="9" xfId="5" applyNumberFormat="1" applyFont="1" applyFill="1" applyBorder="1" applyAlignment="1">
      <alignment vertical="center"/>
    </xf>
    <xf numFmtId="2" fontId="31" fillId="5" borderId="1" xfId="5" applyNumberFormat="1" applyFont="1" applyFill="1" applyBorder="1" applyAlignment="1">
      <alignment horizontal="left" vertical="center"/>
    </xf>
    <xf numFmtId="0" fontId="40" fillId="5" borderId="24" xfId="0" applyFont="1" applyFill="1" applyBorder="1" applyAlignment="1">
      <alignment horizontal="center" vertical="center" wrapText="1"/>
    </xf>
    <xf numFmtId="0" fontId="40" fillId="5" borderId="26" xfId="0" applyFont="1" applyFill="1" applyBorder="1" applyAlignment="1">
      <alignment horizontal="center" vertical="center" wrapText="1"/>
    </xf>
    <xf numFmtId="0" fontId="41" fillId="5" borderId="59" xfId="0" applyFont="1" applyFill="1" applyBorder="1" applyAlignment="1">
      <alignment horizontal="center" vertical="center"/>
    </xf>
    <xf numFmtId="4" fontId="40" fillId="13" borderId="59" xfId="0" applyNumberFormat="1" applyFont="1" applyFill="1" applyBorder="1" applyAlignment="1">
      <alignment horizontal="center" vertical="center"/>
    </xf>
    <xf numFmtId="2" fontId="44" fillId="0" borderId="4" xfId="0" applyNumberFormat="1" applyFont="1" applyBorder="1" applyAlignment="1">
      <alignment horizontal="center" vertical="center" wrapText="1"/>
    </xf>
    <xf numFmtId="0" fontId="44" fillId="0" borderId="62" xfId="0" applyFont="1" applyBorder="1" applyAlignment="1">
      <alignment horizontal="center" vertical="center" wrapText="1"/>
    </xf>
    <xf numFmtId="2" fontId="45" fillId="5" borderId="62" xfId="0" applyNumberFormat="1" applyFont="1" applyFill="1" applyBorder="1" applyAlignment="1">
      <alignment horizontal="center" vertical="center"/>
    </xf>
    <xf numFmtId="4" fontId="30" fillId="0" borderId="0" xfId="0" applyNumberFormat="1" applyFont="1" applyAlignment="1">
      <alignment vertical="center"/>
    </xf>
    <xf numFmtId="0" fontId="13" fillId="4" borderId="15" xfId="0" applyFont="1" applyFill="1" applyBorder="1" applyAlignment="1">
      <alignment horizontal="right" vertical="center"/>
    </xf>
    <xf numFmtId="2" fontId="9" fillId="0" borderId="1" xfId="0" applyNumberFormat="1" applyFont="1" applyBorder="1" applyAlignment="1">
      <alignment horizontal="center" vertical="center"/>
    </xf>
    <xf numFmtId="165" fontId="9" fillId="0" borderId="1" xfId="8" applyFont="1" applyFill="1" applyBorder="1" applyAlignment="1">
      <alignment horizontal="center" vertical="center"/>
    </xf>
    <xf numFmtId="168" fontId="9" fillId="0" borderId="8" xfId="0" applyNumberFormat="1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168" fontId="9" fillId="0" borderId="55" xfId="0" applyNumberFormat="1" applyFont="1" applyBorder="1" applyAlignment="1">
      <alignment horizontal="center" vertical="center"/>
    </xf>
    <xf numFmtId="165" fontId="20" fillId="0" borderId="1" xfId="8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65" fontId="20" fillId="5" borderId="9" xfId="8" applyFont="1" applyFill="1" applyBorder="1" applyAlignment="1">
      <alignment horizontal="center" vertical="center"/>
    </xf>
    <xf numFmtId="165" fontId="46" fillId="0" borderId="0" xfId="0" applyNumberFormat="1" applyFont="1"/>
    <xf numFmtId="0" fontId="13" fillId="3" borderId="4" xfId="0" applyFont="1" applyFill="1" applyBorder="1" applyAlignment="1">
      <alignment vertical="center"/>
    </xf>
    <xf numFmtId="0" fontId="13" fillId="3" borderId="2" xfId="0" applyFont="1" applyFill="1" applyBorder="1" applyAlignment="1">
      <alignment vertical="center"/>
    </xf>
    <xf numFmtId="0" fontId="13" fillId="3" borderId="3" xfId="0" applyFont="1" applyFill="1" applyBorder="1" applyAlignment="1">
      <alignment vertical="center"/>
    </xf>
    <xf numFmtId="0" fontId="13" fillId="4" borderId="13" xfId="0" applyFont="1" applyFill="1" applyBorder="1" applyAlignment="1">
      <alignment vertical="center"/>
    </xf>
    <xf numFmtId="0" fontId="13" fillId="4" borderId="14" xfId="0" applyFont="1" applyFill="1" applyBorder="1" applyAlignment="1">
      <alignment vertical="center"/>
    </xf>
    <xf numFmtId="0" fontId="13" fillId="4" borderId="21" xfId="0" applyFont="1" applyFill="1" applyBorder="1" applyAlignment="1">
      <alignment vertical="center"/>
    </xf>
    <xf numFmtId="0" fontId="25" fillId="15" borderId="17" xfId="0" applyFont="1" applyFill="1" applyBorder="1" applyAlignment="1">
      <alignment vertical="center"/>
    </xf>
    <xf numFmtId="0" fontId="25" fillId="15" borderId="18" xfId="0" applyFont="1" applyFill="1" applyBorder="1" applyAlignment="1">
      <alignment vertical="center"/>
    </xf>
    <xf numFmtId="0" fontId="25" fillId="15" borderId="19" xfId="0" applyFont="1" applyFill="1" applyBorder="1" applyAlignment="1">
      <alignment horizontal="right" vertical="center"/>
    </xf>
    <xf numFmtId="165" fontId="25" fillId="15" borderId="23" xfId="8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9" fillId="0" borderId="25" xfId="0" applyFont="1" applyBorder="1" applyAlignment="1">
      <alignment wrapText="1"/>
    </xf>
    <xf numFmtId="0" fontId="20" fillId="0" borderId="25" xfId="0" applyFont="1" applyBorder="1" applyAlignment="1">
      <alignment wrapText="1"/>
    </xf>
    <xf numFmtId="0" fontId="9" fillId="0" borderId="6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6" xfId="0" applyFont="1" applyBorder="1" applyAlignment="1">
      <alignment horizontal="left" vertical="center" wrapText="1"/>
    </xf>
    <xf numFmtId="2" fontId="9" fillId="0" borderId="26" xfId="0" applyNumberFormat="1" applyFont="1" applyBorder="1" applyAlignment="1">
      <alignment horizontal="center" vertical="center"/>
    </xf>
    <xf numFmtId="165" fontId="9" fillId="0" borderId="26" xfId="8" applyFont="1" applyFill="1" applyBorder="1" applyAlignment="1">
      <alignment horizontal="center" vertical="center"/>
    </xf>
    <xf numFmtId="165" fontId="9" fillId="5" borderId="26" xfId="8" applyFont="1" applyFill="1" applyBorder="1" applyAlignment="1">
      <alignment horizontal="center" vertical="center"/>
    </xf>
    <xf numFmtId="165" fontId="9" fillId="5" borderId="66" xfId="8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3" borderId="55" xfId="0" applyFont="1" applyFill="1" applyBorder="1" applyAlignment="1">
      <alignment horizontal="center" vertical="center" wrapText="1"/>
    </xf>
    <xf numFmtId="0" fontId="9" fillId="3" borderId="63" xfId="0" applyFont="1" applyFill="1" applyBorder="1" applyAlignment="1">
      <alignment horizontal="center" vertical="center" wrapText="1"/>
    </xf>
    <xf numFmtId="0" fontId="9" fillId="3" borderId="6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36" fillId="0" borderId="2" xfId="18" applyFont="1" applyBorder="1" applyAlignment="1">
      <alignment horizontal="center" vertical="center" wrapText="1"/>
    </xf>
    <xf numFmtId="0" fontId="36" fillId="0" borderId="3" xfId="18" applyFont="1" applyBorder="1" applyAlignment="1">
      <alignment horizontal="center" vertical="center" wrapText="1"/>
    </xf>
    <xf numFmtId="0" fontId="34" fillId="5" borderId="37" xfId="18" applyFont="1" applyFill="1" applyBorder="1" applyAlignment="1">
      <alignment horizontal="left" vertical="top" wrapText="1"/>
    </xf>
    <xf numFmtId="0" fontId="34" fillId="5" borderId="40" xfId="18" applyFont="1" applyFill="1" applyBorder="1" applyAlignment="1">
      <alignment horizontal="left" vertical="top" wrapText="1"/>
    </xf>
    <xf numFmtId="0" fontId="34" fillId="0" borderId="41" xfId="18" applyFont="1" applyBorder="1" applyAlignment="1">
      <alignment horizontal="center" vertical="top" wrapText="1"/>
    </xf>
    <xf numFmtId="0" fontId="34" fillId="0" borderId="40" xfId="18" applyFont="1" applyBorder="1" applyAlignment="1">
      <alignment horizontal="center" vertical="top" wrapText="1"/>
    </xf>
    <xf numFmtId="0" fontId="38" fillId="0" borderId="44" xfId="18" applyFont="1" applyBorder="1" applyAlignment="1">
      <alignment horizontal="left" vertical="center" wrapText="1"/>
    </xf>
    <xf numFmtId="0" fontId="38" fillId="0" borderId="45" xfId="18" applyFont="1" applyBorder="1" applyAlignment="1">
      <alignment horizontal="left" vertical="center" wrapText="1"/>
    </xf>
    <xf numFmtId="0" fontId="38" fillId="0" borderId="46" xfId="18" applyFont="1" applyBorder="1" applyAlignment="1">
      <alignment horizontal="left" vertical="center" wrapText="1"/>
    </xf>
    <xf numFmtId="0" fontId="37" fillId="0" borderId="37" xfId="18" applyFont="1" applyBorder="1" applyAlignment="1">
      <alignment horizontal="left" vertical="center" wrapText="1"/>
    </xf>
    <xf numFmtId="0" fontId="37" fillId="0" borderId="38" xfId="18" applyFont="1" applyBorder="1" applyAlignment="1">
      <alignment horizontal="left" vertical="center" wrapText="1"/>
    </xf>
    <xf numFmtId="0" fontId="37" fillId="0" borderId="39" xfId="18" applyFont="1" applyBorder="1" applyAlignment="1">
      <alignment horizontal="left" vertical="center" wrapText="1"/>
    </xf>
    <xf numFmtId="0" fontId="36" fillId="0" borderId="44" xfId="18" applyFont="1" applyBorder="1" applyAlignment="1">
      <alignment horizontal="left" vertical="center" wrapText="1"/>
    </xf>
    <xf numFmtId="0" fontId="36" fillId="0" borderId="46" xfId="18" applyFont="1" applyBorder="1" applyAlignment="1">
      <alignment horizontal="left" vertical="center" wrapText="1"/>
    </xf>
    <xf numFmtId="0" fontId="36" fillId="0" borderId="47" xfId="18" applyFont="1" applyBorder="1" applyAlignment="1">
      <alignment horizontal="center" vertical="center" wrapText="1"/>
    </xf>
    <xf numFmtId="0" fontId="36" fillId="0" borderId="46" xfId="18" applyFont="1" applyBorder="1" applyAlignment="1">
      <alignment horizontal="center" vertical="center" wrapText="1"/>
    </xf>
    <xf numFmtId="0" fontId="34" fillId="0" borderId="37" xfId="18" applyFont="1" applyBorder="1" applyAlignment="1">
      <alignment horizontal="left" vertical="top" wrapText="1"/>
    </xf>
    <xf numFmtId="0" fontId="34" fillId="0" borderId="40" xfId="18" applyFont="1" applyBorder="1" applyAlignment="1">
      <alignment horizontal="left" vertical="top" wrapText="1"/>
    </xf>
    <xf numFmtId="0" fontId="34" fillId="0" borderId="1" xfId="18" applyFont="1" applyBorder="1" applyAlignment="1">
      <alignment horizontal="left" vertical="top" wrapText="1"/>
    </xf>
    <xf numFmtId="0" fontId="34" fillId="0" borderId="1" xfId="18" applyFont="1" applyBorder="1" applyAlignment="1">
      <alignment horizontal="center" vertical="top" wrapText="1"/>
    </xf>
    <xf numFmtId="0" fontId="38" fillId="0" borderId="1" xfId="18" applyFont="1" applyBorder="1" applyAlignment="1">
      <alignment horizontal="left" vertical="center" wrapText="1"/>
    </xf>
    <xf numFmtId="0" fontId="37" fillId="0" borderId="51" xfId="18" applyFont="1" applyBorder="1" applyAlignment="1">
      <alignment horizontal="left" vertical="center" wrapText="1"/>
    </xf>
    <xf numFmtId="0" fontId="37" fillId="0" borderId="52" xfId="18" applyFont="1" applyBorder="1" applyAlignment="1">
      <alignment horizontal="left" vertical="center" wrapText="1"/>
    </xf>
    <xf numFmtId="0" fontId="37" fillId="0" borderId="56" xfId="18" applyFont="1" applyBorder="1" applyAlignment="1">
      <alignment horizontal="left" vertical="center" wrapText="1"/>
    </xf>
    <xf numFmtId="0" fontId="36" fillId="0" borderId="37" xfId="18" applyFont="1" applyBorder="1" applyAlignment="1">
      <alignment horizontal="left" vertical="center" wrapText="1"/>
    </xf>
    <xf numFmtId="0" fontId="36" fillId="0" borderId="40" xfId="18" applyFont="1" applyBorder="1" applyAlignment="1">
      <alignment horizontal="left" vertical="center" wrapText="1"/>
    </xf>
    <xf numFmtId="0" fontId="36" fillId="0" borderId="41" xfId="18" applyFont="1" applyBorder="1" applyAlignment="1">
      <alignment horizontal="center" vertical="center" wrapText="1"/>
    </xf>
    <xf numFmtId="0" fontId="36" fillId="0" borderId="40" xfId="18" applyFont="1" applyBorder="1" applyAlignment="1">
      <alignment horizontal="center" vertical="center" wrapText="1"/>
    </xf>
    <xf numFmtId="0" fontId="37" fillId="0" borderId="21" xfId="18" applyFont="1" applyBorder="1" applyAlignment="1">
      <alignment horizontal="right" vertical="top" wrapText="1"/>
    </xf>
    <xf numFmtId="0" fontId="37" fillId="0" borderId="14" xfId="18" applyFont="1" applyBorder="1" applyAlignment="1">
      <alignment horizontal="right" vertical="top" wrapText="1"/>
    </xf>
    <xf numFmtId="0" fontId="37" fillId="0" borderId="15" xfId="18" applyFont="1" applyBorder="1" applyAlignment="1">
      <alignment horizontal="right" vertical="top" wrapText="1"/>
    </xf>
    <xf numFmtId="0" fontId="35" fillId="2" borderId="30" xfId="18" applyFont="1" applyFill="1" applyBorder="1" applyAlignment="1">
      <alignment horizontal="center" vertical="top" wrapText="1"/>
    </xf>
    <xf numFmtId="0" fontId="35" fillId="2" borderId="31" xfId="18" applyFont="1" applyFill="1" applyBorder="1" applyAlignment="1">
      <alignment horizontal="center" vertical="top" wrapText="1"/>
    </xf>
    <xf numFmtId="0" fontId="35" fillId="2" borderId="32" xfId="18" applyFont="1" applyFill="1" applyBorder="1" applyAlignment="1">
      <alignment horizontal="center" vertical="top" wrapText="1"/>
    </xf>
    <xf numFmtId="165" fontId="35" fillId="2" borderId="30" xfId="8" applyFont="1" applyFill="1" applyBorder="1" applyAlignment="1">
      <alignment horizontal="center" vertical="top" wrapText="1"/>
    </xf>
    <xf numFmtId="165" fontId="35" fillId="2" borderId="33" xfId="8" applyFont="1" applyFill="1" applyBorder="1" applyAlignment="1">
      <alignment horizontal="center" vertical="top" wrapText="1"/>
    </xf>
    <xf numFmtId="0" fontId="36" fillId="2" borderId="4" xfId="18" applyFont="1" applyFill="1" applyBorder="1" applyAlignment="1">
      <alignment horizontal="center" vertical="top" wrapText="1"/>
    </xf>
    <xf numFmtId="0" fontId="36" fillId="2" borderId="2" xfId="18" applyFont="1" applyFill="1" applyBorder="1" applyAlignment="1">
      <alignment horizontal="center" vertical="top" wrapText="1"/>
    </xf>
    <xf numFmtId="0" fontId="36" fillId="2" borderId="3" xfId="18" applyFont="1" applyFill="1" applyBorder="1" applyAlignment="1">
      <alignment horizontal="center" vertical="top" wrapText="1"/>
    </xf>
    <xf numFmtId="165" fontId="36" fillId="2" borderId="4" xfId="8" applyFont="1" applyFill="1" applyBorder="1" applyAlignment="1" applyProtection="1">
      <alignment horizontal="center" vertical="center"/>
    </xf>
    <xf numFmtId="165" fontId="36" fillId="2" borderId="10" xfId="8" applyFont="1" applyFill="1" applyBorder="1" applyAlignment="1" applyProtection="1">
      <alignment horizontal="center" vertical="center"/>
    </xf>
    <xf numFmtId="0" fontId="37" fillId="0" borderId="8" xfId="18" applyFont="1" applyBorder="1" applyAlignment="1">
      <alignment horizontal="left" vertical="center" wrapText="1"/>
    </xf>
    <xf numFmtId="0" fontId="37" fillId="0" borderId="1" xfId="18" applyFont="1" applyBorder="1" applyAlignment="1">
      <alignment horizontal="left" vertical="center" wrapText="1"/>
    </xf>
    <xf numFmtId="0" fontId="37" fillId="0" borderId="9" xfId="18" applyFont="1" applyBorder="1" applyAlignment="1">
      <alignment horizontal="left" vertical="center" wrapText="1"/>
    </xf>
    <xf numFmtId="0" fontId="36" fillId="0" borderId="55" xfId="18" applyFont="1" applyBorder="1" applyAlignment="1">
      <alignment horizontal="left" vertical="center" wrapText="1"/>
    </xf>
    <xf numFmtId="0" fontId="36" fillId="0" borderId="24" xfId="18" applyFont="1" applyBorder="1" applyAlignment="1">
      <alignment horizontal="left" vertical="center" wrapText="1"/>
    </xf>
    <xf numFmtId="0" fontId="36" fillId="0" borderId="24" xfId="18" applyFont="1" applyBorder="1" applyAlignment="1">
      <alignment horizontal="center" vertical="center" wrapText="1"/>
    </xf>
    <xf numFmtId="0" fontId="34" fillId="0" borderId="37" xfId="18" applyFont="1" applyBorder="1" applyAlignment="1">
      <alignment horizontal="center" vertical="top" wrapText="1"/>
    </xf>
    <xf numFmtId="0" fontId="34" fillId="0" borderId="38" xfId="18" applyFont="1" applyBorder="1" applyAlignment="1">
      <alignment horizontal="center" vertical="top" wrapText="1"/>
    </xf>
    <xf numFmtId="0" fontId="34" fillId="0" borderId="8" xfId="18" applyFont="1" applyBorder="1" applyAlignment="1">
      <alignment horizontal="left" vertical="top" wrapText="1"/>
    </xf>
    <xf numFmtId="0" fontId="34" fillId="0" borderId="1" xfId="18" applyFont="1" applyBorder="1" applyAlignment="1">
      <alignment horizontal="center" vertical="center" wrapText="1"/>
    </xf>
    <xf numFmtId="0" fontId="38" fillId="0" borderId="34" xfId="18" applyFont="1" applyBorder="1" applyAlignment="1">
      <alignment horizontal="left" vertical="center" wrapText="1"/>
    </xf>
    <xf numFmtId="0" fontId="38" fillId="0" borderId="0" xfId="18" applyFont="1" applyAlignment="1">
      <alignment horizontal="left" vertical="center" wrapText="1"/>
    </xf>
    <xf numFmtId="0" fontId="38" fillId="0" borderId="35" xfId="18" applyFont="1" applyBorder="1" applyAlignment="1">
      <alignment horizontal="left" vertical="center" wrapText="1"/>
    </xf>
    <xf numFmtId="0" fontId="36" fillId="0" borderId="8" xfId="18" applyFont="1" applyBorder="1" applyAlignment="1">
      <alignment horizontal="left" vertical="center" wrapText="1"/>
    </xf>
    <xf numFmtId="0" fontId="36" fillId="0" borderId="1" xfId="18" applyFont="1" applyBorder="1" applyAlignment="1">
      <alignment horizontal="left" vertical="center" wrapText="1"/>
    </xf>
    <xf numFmtId="0" fontId="36" fillId="0" borderId="1" xfId="18" applyFont="1" applyBorder="1" applyAlignment="1">
      <alignment horizontal="center" vertical="center" wrapText="1"/>
    </xf>
    <xf numFmtId="0" fontId="38" fillId="0" borderId="8" xfId="18" applyFont="1" applyBorder="1" applyAlignment="1">
      <alignment horizontal="left" vertical="center" wrapText="1"/>
    </xf>
    <xf numFmtId="0" fontId="34" fillId="0" borderId="50" xfId="18" applyFont="1" applyBorder="1" applyAlignment="1">
      <alignment horizontal="left" vertical="top" wrapText="1"/>
    </xf>
    <xf numFmtId="0" fontId="34" fillId="0" borderId="3" xfId="18" applyFont="1" applyBorder="1" applyAlignment="1">
      <alignment horizontal="left" vertical="top" wrapText="1"/>
    </xf>
    <xf numFmtId="0" fontId="34" fillId="0" borderId="4" xfId="18" applyFont="1" applyBorder="1" applyAlignment="1">
      <alignment horizontal="center" vertical="top" wrapText="1"/>
    </xf>
    <xf numFmtId="0" fontId="34" fillId="0" borderId="3" xfId="18" applyFont="1" applyBorder="1" applyAlignment="1">
      <alignment horizontal="center" vertical="top" wrapText="1"/>
    </xf>
    <xf numFmtId="0" fontId="38" fillId="0" borderId="37" xfId="18" applyFont="1" applyBorder="1" applyAlignment="1">
      <alignment horizontal="left" vertical="center" wrapText="1"/>
    </xf>
    <xf numFmtId="0" fontId="38" fillId="0" borderId="38" xfId="18" applyFont="1" applyBorder="1" applyAlignment="1">
      <alignment horizontal="left" vertical="center" wrapText="1"/>
    </xf>
    <xf numFmtId="0" fontId="38" fillId="0" borderId="40" xfId="18" applyFont="1" applyBorder="1" applyAlignment="1">
      <alignment horizontal="left" vertical="center" wrapText="1"/>
    </xf>
    <xf numFmtId="0" fontId="38" fillId="0" borderId="51" xfId="18" applyFont="1" applyBorder="1" applyAlignment="1">
      <alignment horizontal="left" vertical="center" wrapText="1"/>
    </xf>
    <xf numFmtId="0" fontId="38" fillId="0" borderId="52" xfId="18" applyFont="1" applyBorder="1" applyAlignment="1">
      <alignment horizontal="left" vertical="center" wrapText="1"/>
    </xf>
    <xf numFmtId="0" fontId="38" fillId="0" borderId="53" xfId="18" applyFont="1" applyBorder="1" applyAlignment="1">
      <alignment horizontal="left" vertical="center" wrapText="1"/>
    </xf>
    <xf numFmtId="0" fontId="33" fillId="0" borderId="0" xfId="18" applyFont="1" applyAlignment="1">
      <alignment horizontal="center" vertical="center" wrapText="1"/>
    </xf>
    <xf numFmtId="0" fontId="34" fillId="0" borderId="4" xfId="18" applyFont="1" applyBorder="1" applyAlignment="1">
      <alignment horizontal="center" vertical="center" wrapText="1"/>
    </xf>
    <xf numFmtId="0" fontId="34" fillId="0" borderId="3" xfId="18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4" fontId="27" fillId="0" borderId="1" xfId="0" applyNumberFormat="1" applyFont="1" applyBorder="1" applyAlignment="1">
      <alignment horizontal="center" vertical="center" wrapText="1"/>
    </xf>
    <xf numFmtId="0" fontId="29" fillId="0" borderId="1" xfId="5" applyFont="1" applyBorder="1" applyAlignment="1">
      <alignment horizontal="center" vertical="center"/>
    </xf>
    <xf numFmtId="0" fontId="31" fillId="5" borderId="1" xfId="5" applyFont="1" applyFill="1" applyBorder="1" applyAlignment="1">
      <alignment horizontal="left" vertical="center" wrapText="1"/>
    </xf>
    <xf numFmtId="0" fontId="31" fillId="0" borderId="1" xfId="5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31" fillId="6" borderId="1" xfId="5" applyFont="1" applyFill="1" applyBorder="1" applyAlignment="1">
      <alignment horizontal="center" vertical="center" wrapText="1"/>
    </xf>
    <xf numFmtId="166" fontId="32" fillId="0" borderId="1" xfId="7" applyFont="1" applyFill="1" applyBorder="1" applyAlignment="1">
      <alignment horizontal="center" vertical="center" wrapText="1"/>
    </xf>
    <xf numFmtId="0" fontId="32" fillId="5" borderId="1" xfId="5" applyFont="1" applyFill="1" applyBorder="1" applyAlignment="1">
      <alignment horizontal="left" vertical="center"/>
    </xf>
    <xf numFmtId="0" fontId="31" fillId="6" borderId="1" xfId="5" applyFont="1" applyFill="1" applyBorder="1" applyAlignment="1">
      <alignment horizontal="center" vertical="center"/>
    </xf>
    <xf numFmtId="0" fontId="31" fillId="5" borderId="1" xfId="5" applyFont="1" applyFill="1" applyBorder="1" applyAlignment="1">
      <alignment horizontal="left" vertical="center"/>
    </xf>
    <xf numFmtId="0" fontId="32" fillId="5" borderId="21" xfId="5" applyFont="1" applyFill="1" applyBorder="1" applyAlignment="1">
      <alignment horizontal="center" vertical="center"/>
    </xf>
    <xf numFmtId="0" fontId="32" fillId="5" borderId="14" xfId="5" applyFont="1" applyFill="1" applyBorder="1" applyAlignment="1">
      <alignment horizontal="center" vertical="center"/>
    </xf>
    <xf numFmtId="0" fontId="32" fillId="5" borderId="22" xfId="5" applyFont="1" applyFill="1" applyBorder="1" applyAlignment="1">
      <alignment horizontal="center" vertical="center"/>
    </xf>
    <xf numFmtId="2" fontId="30" fillId="0" borderId="4" xfId="0" applyNumberFormat="1" applyFont="1" applyBorder="1" applyAlignment="1">
      <alignment horizontal="center" vertical="center"/>
    </xf>
    <xf numFmtId="2" fontId="30" fillId="0" borderId="3" xfId="0" applyNumberFormat="1" applyFont="1" applyBorder="1" applyAlignment="1">
      <alignment horizontal="center" vertical="center"/>
    </xf>
    <xf numFmtId="0" fontId="31" fillId="6" borderId="4" xfId="5" applyFont="1" applyFill="1" applyBorder="1" applyAlignment="1">
      <alignment horizontal="center" vertical="center"/>
    </xf>
    <xf numFmtId="0" fontId="31" fillId="6" borderId="3" xfId="5" applyFont="1" applyFill="1" applyBorder="1" applyAlignment="1">
      <alignment horizontal="center" vertical="center"/>
    </xf>
    <xf numFmtId="166" fontId="32" fillId="0" borderId="4" xfId="7" quotePrefix="1" applyFont="1" applyFill="1" applyBorder="1" applyAlignment="1">
      <alignment horizontal="center" vertical="center"/>
    </xf>
    <xf numFmtId="166" fontId="32" fillId="0" borderId="3" xfId="7" quotePrefix="1" applyFont="1" applyFill="1" applyBorder="1" applyAlignment="1">
      <alignment horizontal="center" vertical="center"/>
    </xf>
    <xf numFmtId="0" fontId="0" fillId="0" borderId="8" xfId="9" applyFont="1" applyBorder="1" applyAlignment="1">
      <alignment vertical="center" wrapText="1"/>
    </xf>
    <xf numFmtId="0" fontId="0" fillId="0" borderId="1" xfId="9" applyFont="1" applyBorder="1" applyAlignment="1">
      <alignment vertical="center" wrapText="1"/>
    </xf>
    <xf numFmtId="0" fontId="0" fillId="0" borderId="9" xfId="9" applyFont="1" applyBorder="1" applyAlignment="1">
      <alignment vertical="center" wrapText="1"/>
    </xf>
    <xf numFmtId="166" fontId="30" fillId="0" borderId="20" xfId="0" applyNumberFormat="1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166" fontId="32" fillId="0" borderId="4" xfId="7" applyFont="1" applyFill="1" applyBorder="1" applyAlignment="1">
      <alignment horizontal="center" vertical="center"/>
    </xf>
    <xf numFmtId="166" fontId="32" fillId="0" borderId="3" xfId="7" applyFont="1" applyFill="1" applyBorder="1" applyAlignment="1">
      <alignment horizontal="center" vertical="center"/>
    </xf>
    <xf numFmtId="170" fontId="30" fillId="0" borderId="4" xfId="0" applyNumberFormat="1" applyFont="1" applyBorder="1" applyAlignment="1">
      <alignment horizontal="center" vertical="center"/>
    </xf>
    <xf numFmtId="170" fontId="30" fillId="0" borderId="3" xfId="0" applyNumberFormat="1" applyFont="1" applyBorder="1" applyAlignment="1">
      <alignment horizontal="center" vertical="center"/>
    </xf>
    <xf numFmtId="171" fontId="30" fillId="0" borderId="4" xfId="0" applyNumberFormat="1" applyFont="1" applyBorder="1" applyAlignment="1">
      <alignment horizontal="center" vertical="center"/>
    </xf>
    <xf numFmtId="171" fontId="30" fillId="0" borderId="3" xfId="0" applyNumberFormat="1" applyFont="1" applyBorder="1" applyAlignment="1">
      <alignment horizontal="center" vertical="center"/>
    </xf>
    <xf numFmtId="0" fontId="31" fillId="0" borderId="24" xfId="5" applyFont="1" applyBorder="1" applyAlignment="1">
      <alignment horizontal="center" vertical="center" wrapText="1"/>
    </xf>
    <xf numFmtId="0" fontId="31" fillId="0" borderId="25" xfId="5" applyFont="1" applyBorder="1" applyAlignment="1">
      <alignment horizontal="center" vertical="center" wrapText="1"/>
    </xf>
    <xf numFmtId="0" fontId="31" fillId="0" borderId="26" xfId="5" applyFont="1" applyBorder="1" applyAlignment="1">
      <alignment horizontal="center" vertical="center" wrapText="1"/>
    </xf>
    <xf numFmtId="0" fontId="31" fillId="5" borderId="4" xfId="5" applyFont="1" applyFill="1" applyBorder="1" applyAlignment="1">
      <alignment horizontal="center" vertical="center"/>
    </xf>
    <xf numFmtId="0" fontId="31" fillId="5" borderId="2" xfId="5" applyFont="1" applyFill="1" applyBorder="1" applyAlignment="1">
      <alignment horizontal="center" vertical="center"/>
    </xf>
    <xf numFmtId="0" fontId="31" fillId="5" borderId="3" xfId="5" applyFont="1" applyFill="1" applyBorder="1" applyAlignment="1">
      <alignment horizontal="center" vertical="center"/>
    </xf>
    <xf numFmtId="0" fontId="40" fillId="5" borderId="24" xfId="0" applyFont="1" applyFill="1" applyBorder="1" applyAlignment="1">
      <alignment horizontal="center" vertical="center" wrapText="1"/>
    </xf>
    <xf numFmtId="0" fontId="40" fillId="5" borderId="25" xfId="0" applyFont="1" applyFill="1" applyBorder="1" applyAlignment="1">
      <alignment horizontal="center" vertical="center" wrapText="1"/>
    </xf>
    <xf numFmtId="0" fontId="40" fillId="5" borderId="26" xfId="0" applyFont="1" applyFill="1" applyBorder="1" applyAlignment="1">
      <alignment horizontal="center" vertical="center" wrapText="1"/>
    </xf>
    <xf numFmtId="0" fontId="31" fillId="6" borderId="9" xfId="20" applyFont="1" applyFill="1" applyBorder="1" applyAlignment="1">
      <alignment horizontal="center" vertical="center" wrapText="1"/>
    </xf>
    <xf numFmtId="0" fontId="40" fillId="5" borderId="1" xfId="0" applyFont="1" applyFill="1" applyBorder="1" applyAlignment="1">
      <alignment horizontal="center" vertical="center" wrapText="1"/>
    </xf>
    <xf numFmtId="0" fontId="31" fillId="6" borderId="27" xfId="20" applyFont="1" applyFill="1" applyBorder="1" applyAlignment="1">
      <alignment horizontal="center" vertical="center" wrapText="1"/>
    </xf>
    <xf numFmtId="0" fontId="31" fillId="6" borderId="28" xfId="20" applyFont="1" applyFill="1" applyBorder="1" applyAlignment="1">
      <alignment horizontal="center" vertical="center" wrapText="1"/>
    </xf>
    <xf numFmtId="0" fontId="31" fillId="6" borderId="59" xfId="20" applyFont="1" applyFill="1" applyBorder="1" applyAlignment="1">
      <alignment horizontal="center" vertical="center" wrapText="1"/>
    </xf>
    <xf numFmtId="0" fontId="31" fillId="6" borderId="61" xfId="20" applyFont="1" applyFill="1" applyBorder="1" applyAlignment="1">
      <alignment horizontal="center" vertical="center" wrapText="1"/>
    </xf>
    <xf numFmtId="0" fontId="31" fillId="6" borderId="1" xfId="20" applyFont="1" applyFill="1" applyBorder="1" applyAlignment="1">
      <alignment horizontal="center" vertical="center"/>
    </xf>
    <xf numFmtId="0" fontId="31" fillId="6" borderId="1" xfId="20" applyFont="1" applyFill="1" applyBorder="1" applyAlignment="1">
      <alignment horizontal="center" vertical="center" wrapText="1"/>
    </xf>
    <xf numFmtId="177" fontId="20" fillId="0" borderId="1" xfId="8" applyNumberFormat="1" applyFont="1" applyFill="1" applyBorder="1" applyAlignment="1">
      <alignment horizontal="center" vertical="center"/>
    </xf>
  </cellXfs>
  <cellStyles count="22">
    <cellStyle name="Millares 10" xfId="15" xr:uid="{00000000-0005-0000-0000-000000000000}"/>
    <cellStyle name="Millares 2 2" xfId="11" xr:uid="{00000000-0005-0000-0000-000001000000}"/>
    <cellStyle name="Millares 2 3" xfId="7" xr:uid="{00000000-0005-0000-0000-000002000000}"/>
    <cellStyle name="Millares 3 2" xfId="10" xr:uid="{00000000-0005-0000-0000-000003000000}"/>
    <cellStyle name="Moneda" xfId="8" builtinId="4"/>
    <cellStyle name="Moneda 10" xfId="12" xr:uid="{00000000-0005-0000-0000-000005000000}"/>
    <cellStyle name="Moneda 10 2" xfId="16" xr:uid="{00000000-0005-0000-0000-000006000000}"/>
    <cellStyle name="Moneda 2 10" xfId="14" xr:uid="{00000000-0005-0000-0000-000007000000}"/>
    <cellStyle name="Moneda 2 2 7" xfId="17" xr:uid="{00000000-0005-0000-0000-000008000000}"/>
    <cellStyle name="Moneda 2 5 2 2" xfId="2" xr:uid="{00000000-0005-0000-0000-000009000000}"/>
    <cellStyle name="Moneda 6" xfId="3" xr:uid="{00000000-0005-0000-0000-00000A000000}"/>
    <cellStyle name="Normal" xfId="0" builtinId="0"/>
    <cellStyle name="Normal 2" xfId="18" xr:uid="{00000000-0005-0000-0000-00000C000000}"/>
    <cellStyle name="Normal 2 2" xfId="9" xr:uid="{00000000-0005-0000-0000-00000D000000}"/>
    <cellStyle name="Normal 2 5 2 2" xfId="1" xr:uid="{00000000-0005-0000-0000-00000E000000}"/>
    <cellStyle name="Normal 3 11" xfId="19" xr:uid="{00000000-0005-0000-0000-00000F000000}"/>
    <cellStyle name="Normal 3 3" xfId="5" xr:uid="{00000000-0005-0000-0000-000010000000}"/>
    <cellStyle name="Normal 3 3 2" xfId="20" xr:uid="{36CD0C46-F373-4DAB-BA79-EBB3E2B96CB2}"/>
    <cellStyle name="Normal 3 3 2 2" xfId="21" xr:uid="{5DFCC1EF-D9EB-429D-B36A-E46D64C5BEB7}"/>
    <cellStyle name="Normal 7" xfId="6" xr:uid="{00000000-0005-0000-0000-000011000000}"/>
    <cellStyle name="Porcentaje 4" xfId="13" xr:uid="{00000000-0005-0000-0000-000012000000}"/>
    <cellStyle name="Porcentual 2 3 2 2" xfId="4" xr:uid="{00000000-0005-0000-0000-000013000000}"/>
  </cellStyles>
  <dxfs count="0"/>
  <tableStyles count="0" defaultTableStyle="TableStyleMedium2" defaultPivotStyle="PivotStyleLight16"/>
  <colors>
    <mruColors>
      <color rgb="FF00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microsoft.com/office/2017/10/relationships/person" Target="persons/perso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.png"/><Relationship Id="rId4" Type="http://schemas.openxmlformats.org/officeDocument/2006/relationships/image" Target="../media/image18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4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tmp"/><Relationship Id="rId2" Type="http://schemas.openxmlformats.org/officeDocument/2006/relationships/image" Target="../media/image22.png"/><Relationship Id="rId1" Type="http://schemas.openxmlformats.org/officeDocument/2006/relationships/image" Target="../media/image1.png"/><Relationship Id="rId4" Type="http://schemas.openxmlformats.org/officeDocument/2006/relationships/image" Target="../media/image24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tmp"/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tmp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773904</xdr:colOff>
      <xdr:row>0</xdr:row>
      <xdr:rowOff>83344</xdr:rowOff>
    </xdr:from>
    <xdr:to>
      <xdr:col>11</xdr:col>
      <xdr:colOff>1869281</xdr:colOff>
      <xdr:row>0</xdr:row>
      <xdr:rowOff>1005842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3ABC4D9-8662-4DFC-AD1E-47B3FAC1C88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20" t="41154" r="4291" b="14061"/>
        <a:stretch/>
      </xdr:blipFill>
      <xdr:spPr>
        <a:xfrm>
          <a:off x="14084139" y="85249"/>
          <a:ext cx="2672717" cy="920593"/>
        </a:xfrm>
        <a:prstGeom prst="rect">
          <a:avLst/>
        </a:prstGeom>
      </xdr:spPr>
    </xdr:pic>
    <xdr:clientData/>
  </xdr:twoCellAnchor>
  <xdr:twoCellAnchor editAs="oneCell">
    <xdr:from>
      <xdr:col>1</xdr:col>
      <xdr:colOff>83343</xdr:colOff>
      <xdr:row>0</xdr:row>
      <xdr:rowOff>0</xdr:rowOff>
    </xdr:from>
    <xdr:to>
      <xdr:col>4</xdr:col>
      <xdr:colOff>511969</xdr:colOff>
      <xdr:row>0</xdr:row>
      <xdr:rowOff>1047750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EE42A2E-4896-489F-B885-F5B734E6062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977"/>
        <a:stretch/>
      </xdr:blipFill>
      <xdr:spPr>
        <a:xfrm>
          <a:off x="256698" y="0"/>
          <a:ext cx="2560321" cy="1047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773904</xdr:colOff>
      <xdr:row>0</xdr:row>
      <xdr:rowOff>83344</xdr:rowOff>
    </xdr:from>
    <xdr:to>
      <xdr:col>11</xdr:col>
      <xdr:colOff>1869281</xdr:colOff>
      <xdr:row>0</xdr:row>
      <xdr:rowOff>1009652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20" t="41154" r="4291" b="14061"/>
        <a:stretch/>
      </xdr:blipFill>
      <xdr:spPr>
        <a:xfrm>
          <a:off x="10525123" y="83344"/>
          <a:ext cx="2631282" cy="916783"/>
        </a:xfrm>
        <a:prstGeom prst="rect">
          <a:avLst/>
        </a:prstGeom>
      </xdr:spPr>
    </xdr:pic>
    <xdr:clientData/>
  </xdr:twoCellAnchor>
  <xdr:twoCellAnchor editAs="oneCell">
    <xdr:from>
      <xdr:col>1</xdr:col>
      <xdr:colOff>83343</xdr:colOff>
      <xdr:row>0</xdr:row>
      <xdr:rowOff>0</xdr:rowOff>
    </xdr:from>
    <xdr:to>
      <xdr:col>4</xdr:col>
      <xdr:colOff>515779</xdr:colOff>
      <xdr:row>0</xdr:row>
      <xdr:rowOff>1043940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977"/>
        <a:stretch/>
      </xdr:blipFill>
      <xdr:spPr>
        <a:xfrm>
          <a:off x="250031" y="0"/>
          <a:ext cx="2500313" cy="1047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173695-8903-4554-991C-C9B88147454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89647</xdr:colOff>
      <xdr:row>9</xdr:row>
      <xdr:rowOff>76038</xdr:rowOff>
    </xdr:from>
    <xdr:to>
      <xdr:col>3</xdr:col>
      <xdr:colOff>1524000</xdr:colOff>
      <xdr:row>28</xdr:row>
      <xdr:rowOff>98610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BE906DF-A903-FB74-06D2-2CBD48D15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647" y="1833120"/>
          <a:ext cx="6320118" cy="34291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0D8D1F-87B1-4C7E-BF8B-C2B0CC56B6D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32529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80683</xdr:colOff>
      <xdr:row>9</xdr:row>
      <xdr:rowOff>152400</xdr:rowOff>
    </xdr:from>
    <xdr:to>
      <xdr:col>3</xdr:col>
      <xdr:colOff>1515036</xdr:colOff>
      <xdr:row>28</xdr:row>
      <xdr:rowOff>174972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7709E6C-936B-46EE-9FF1-341F3E941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683" y="1909482"/>
          <a:ext cx="6320118" cy="342916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F22A05-D67A-4F1E-9C4A-785A7B98215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122440</xdr:colOff>
      <xdr:row>9</xdr:row>
      <xdr:rowOff>125504</xdr:rowOff>
    </xdr:from>
    <xdr:to>
      <xdr:col>3</xdr:col>
      <xdr:colOff>1255490</xdr:colOff>
      <xdr:row>27</xdr:row>
      <xdr:rowOff>143435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1AB358B-D983-2985-566F-4A2599745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440" y="1882586"/>
          <a:ext cx="6018815" cy="32452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CDC657-6D17-4629-B936-C5948A48516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159D697-5581-48CD-A092-A300B70E2EB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78988</xdr:rowOff>
    </xdr:from>
    <xdr:to>
      <xdr:col>5</xdr:col>
      <xdr:colOff>361477</xdr:colOff>
      <xdr:row>71</xdr:row>
      <xdr:rowOff>100164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FE581F8-FADE-4909-8834-BF1491E74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959835"/>
          <a:ext cx="10007501" cy="54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654422</xdr:colOff>
      <xdr:row>41</xdr:row>
      <xdr:rowOff>0</xdr:rowOff>
    </xdr:from>
    <xdr:to>
      <xdr:col>16</xdr:col>
      <xdr:colOff>19559</xdr:colOff>
      <xdr:row>71</xdr:row>
      <xdr:rowOff>21176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B9B1BF1-F3C5-4B0F-AD96-1B0BB9AC4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00446" y="5880847"/>
          <a:ext cx="10015207" cy="540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24011C-06FF-4965-9D02-47AFDAC96B2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1051DC-CA9D-48F2-9296-62F3FFA2DEE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1</xdr:col>
      <xdr:colOff>1066800</xdr:colOff>
      <xdr:row>40</xdr:row>
      <xdr:rowOff>143436</xdr:rowOff>
    </xdr:from>
    <xdr:to>
      <xdr:col>10</xdr:col>
      <xdr:colOff>282507</xdr:colOff>
      <xdr:row>61</xdr:row>
      <xdr:rowOff>170330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A9E7F14-B9E7-6F9C-3030-EB7F0A1720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276" t="35028" r="11921" b="27121"/>
        <a:stretch/>
      </xdr:blipFill>
      <xdr:spPr>
        <a:xfrm>
          <a:off x="2402541" y="6382871"/>
          <a:ext cx="13155825" cy="3792071"/>
        </a:xfrm>
        <a:prstGeom prst="rect">
          <a:avLst/>
        </a:prstGeom>
      </xdr:spPr>
    </xdr:pic>
    <xdr:clientData/>
  </xdr:twoCellAnchor>
  <xdr:twoCellAnchor editAs="oneCell">
    <xdr:from>
      <xdr:col>0</xdr:col>
      <xdr:colOff>35859</xdr:colOff>
      <xdr:row>15</xdr:row>
      <xdr:rowOff>102603</xdr:rowOff>
    </xdr:from>
    <xdr:to>
      <xdr:col>3</xdr:col>
      <xdr:colOff>1452283</xdr:colOff>
      <xdr:row>25</xdr:row>
      <xdr:rowOff>111501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C69F84B-D2D9-7F66-C39C-07AF7A538B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0318" t="34863" r="12816" b="29777"/>
        <a:stretch/>
      </xdr:blipFill>
      <xdr:spPr>
        <a:xfrm>
          <a:off x="35859" y="3473332"/>
          <a:ext cx="6302189" cy="180184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132A151-D924-478F-872F-6EFA8E6ECD3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2EE3CD-AE7F-4E66-AD08-D5B088623ED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179294</xdr:colOff>
      <xdr:row>13</xdr:row>
      <xdr:rowOff>35859</xdr:rowOff>
    </xdr:from>
    <xdr:to>
      <xdr:col>3</xdr:col>
      <xdr:colOff>1419747</xdr:colOff>
      <xdr:row>21</xdr:row>
      <xdr:rowOff>170329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208336C-C63E-4313-8C98-CF8A57C8F5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1279" t="32101" r="16746" b="38464"/>
        <a:stretch/>
      </xdr:blipFill>
      <xdr:spPr>
        <a:xfrm>
          <a:off x="179294" y="2510118"/>
          <a:ext cx="6126218" cy="156882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805BA9-7CF2-47D2-9EB7-A834EFBC305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71718</xdr:colOff>
      <xdr:row>11</xdr:row>
      <xdr:rowOff>159722</xdr:rowOff>
    </xdr:from>
    <xdr:to>
      <xdr:col>3</xdr:col>
      <xdr:colOff>1577789</xdr:colOff>
      <xdr:row>21</xdr:row>
      <xdr:rowOff>71716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1DE667-6CA3-2208-D824-D1F74CA779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3331" t="37619" r="11817" b="30297"/>
        <a:stretch/>
      </xdr:blipFill>
      <xdr:spPr>
        <a:xfrm>
          <a:off x="71718" y="2445722"/>
          <a:ext cx="6391836" cy="17049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1273661</xdr:colOff>
      <xdr:row>4</xdr:row>
      <xdr:rowOff>167977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C1E07C-E2F8-4064-BC1E-38F08EA5937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3</xdr:col>
      <xdr:colOff>493059</xdr:colOff>
      <xdr:row>39</xdr:row>
      <xdr:rowOff>134471</xdr:rowOff>
    </xdr:from>
    <xdr:to>
      <xdr:col>18</xdr:col>
      <xdr:colOff>475129</xdr:colOff>
      <xdr:row>69</xdr:row>
      <xdr:rowOff>125508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7F52104-9678-1AA7-1BEC-80BA2D18C7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663" t="16307" r="2110" b="29426"/>
        <a:stretch/>
      </xdr:blipFill>
      <xdr:spPr>
        <a:xfrm>
          <a:off x="5378824" y="5656730"/>
          <a:ext cx="17292917" cy="5369860"/>
        </a:xfrm>
        <a:prstGeom prst="rect">
          <a:avLst/>
        </a:prstGeom>
      </xdr:spPr>
    </xdr:pic>
    <xdr:clientData/>
  </xdr:twoCellAnchor>
  <xdr:twoCellAnchor editAs="oneCell">
    <xdr:from>
      <xdr:col>0</xdr:col>
      <xdr:colOff>35859</xdr:colOff>
      <xdr:row>9</xdr:row>
      <xdr:rowOff>137419</xdr:rowOff>
    </xdr:from>
    <xdr:to>
      <xdr:col>3</xdr:col>
      <xdr:colOff>1541929</xdr:colOff>
      <xdr:row>21</xdr:row>
      <xdr:rowOff>149999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8497374-E841-495F-A18A-F35BFCD7D4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663" t="16307" r="2110" b="29426"/>
        <a:stretch/>
      </xdr:blipFill>
      <xdr:spPr>
        <a:xfrm>
          <a:off x="35859" y="1894501"/>
          <a:ext cx="6391835" cy="198481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B672DF0-DDDB-4B0C-859E-40498DF28A0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125506</xdr:colOff>
      <xdr:row>9</xdr:row>
      <xdr:rowOff>89647</xdr:rowOff>
    </xdr:from>
    <xdr:to>
      <xdr:col>1</xdr:col>
      <xdr:colOff>1357033</xdr:colOff>
      <xdr:row>18</xdr:row>
      <xdr:rowOff>35859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29D365-5C0F-47F3-B206-0B08B034D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506" y="1846729"/>
          <a:ext cx="2567268" cy="1559859"/>
        </a:xfrm>
        <a:prstGeom prst="rect">
          <a:avLst/>
        </a:prstGeom>
      </xdr:spPr>
    </xdr:pic>
    <xdr:clientData/>
  </xdr:twoCellAnchor>
  <xdr:twoCellAnchor editAs="oneCell">
    <xdr:from>
      <xdr:col>1</xdr:col>
      <xdr:colOff>582706</xdr:colOff>
      <xdr:row>16</xdr:row>
      <xdr:rowOff>161365</xdr:rowOff>
    </xdr:from>
    <xdr:to>
      <xdr:col>3</xdr:col>
      <xdr:colOff>1578784</xdr:colOff>
      <xdr:row>29</xdr:row>
      <xdr:rowOff>125506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B48969F-DA02-0537-059A-ED226A233B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4832" t="22036" r="14194" b="11513"/>
        <a:stretch/>
      </xdr:blipFill>
      <xdr:spPr>
        <a:xfrm>
          <a:off x="1918447" y="3173506"/>
          <a:ext cx="4546102" cy="229496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EBB4B5-D9D6-4886-AE19-8004D2242CA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E7506C2-A2F4-4075-BAB9-BAB96B77AB3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8965</xdr:colOff>
      <xdr:row>16</xdr:row>
      <xdr:rowOff>143436</xdr:rowOff>
    </xdr:from>
    <xdr:to>
      <xdr:col>3</xdr:col>
      <xdr:colOff>1587916</xdr:colOff>
      <xdr:row>35</xdr:row>
      <xdr:rowOff>159124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8213BEE-964E-641C-A821-FC7FB95A86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2433" t="17202" r="13031" b="7461"/>
        <a:stretch/>
      </xdr:blipFill>
      <xdr:spPr>
        <a:xfrm>
          <a:off x="8965" y="3155577"/>
          <a:ext cx="6464716" cy="3523129"/>
        </a:xfrm>
        <a:prstGeom prst="rect">
          <a:avLst/>
        </a:prstGeom>
      </xdr:spPr>
    </xdr:pic>
    <xdr:clientData/>
  </xdr:twoCellAnchor>
  <xdr:twoCellAnchor editAs="oneCell">
    <xdr:from>
      <xdr:col>15</xdr:col>
      <xdr:colOff>280145</xdr:colOff>
      <xdr:row>28</xdr:row>
      <xdr:rowOff>108188</xdr:rowOff>
    </xdr:from>
    <xdr:to>
      <xdr:col>19</xdr:col>
      <xdr:colOff>490504</xdr:colOff>
      <xdr:row>40</xdr:row>
      <xdr:rowOff>105333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76A30DF-3BE5-440C-9663-C50ECD352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4116" y="5386159"/>
          <a:ext cx="3258359" cy="2148674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8D2954-3044-4282-82C2-43221CC4C12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2811E9E-4594-481D-8E68-9C6667985C7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53789</xdr:rowOff>
    </xdr:from>
    <xdr:to>
      <xdr:col>3</xdr:col>
      <xdr:colOff>1578951</xdr:colOff>
      <xdr:row>35</xdr:row>
      <xdr:rowOff>170330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B2A55F0-C83E-42FB-9432-5B4035241C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2433" t="17202" r="13031" b="7461"/>
        <a:stretch/>
      </xdr:blipFill>
      <xdr:spPr>
        <a:xfrm>
          <a:off x="0" y="3585883"/>
          <a:ext cx="6464716" cy="352312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7AF25F-6FF9-44D6-94A9-D3292A15BD3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367553</xdr:colOff>
      <xdr:row>10</xdr:row>
      <xdr:rowOff>35859</xdr:rowOff>
    </xdr:from>
    <xdr:to>
      <xdr:col>3</xdr:col>
      <xdr:colOff>1461247</xdr:colOff>
      <xdr:row>39</xdr:row>
      <xdr:rowOff>83065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CA624A9-C32D-4288-A896-F6E663415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7553" y="1972235"/>
          <a:ext cx="5979459" cy="3633089"/>
        </a:xfrm>
        <a:prstGeom prst="rect">
          <a:avLst/>
        </a:prstGeom>
      </xdr:spPr>
    </xdr:pic>
    <xdr:clientData/>
  </xdr:twoCellAnchor>
  <xdr:twoCellAnchor editAs="oneCell">
    <xdr:from>
      <xdr:col>4</xdr:col>
      <xdr:colOff>286870</xdr:colOff>
      <xdr:row>12</xdr:row>
      <xdr:rowOff>143435</xdr:rowOff>
    </xdr:from>
    <xdr:to>
      <xdr:col>8</xdr:col>
      <xdr:colOff>26895</xdr:colOff>
      <xdr:row>28</xdr:row>
      <xdr:rowOff>63930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5CC153E-00CB-4E37-8FC3-33B9C55B43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5379" t="23155" r="20558" b="24186"/>
        <a:stretch/>
      </xdr:blipFill>
      <xdr:spPr>
        <a:xfrm>
          <a:off x="6857999" y="2438400"/>
          <a:ext cx="6293225" cy="278920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F7D488-63F4-44E5-B85B-71FBBAD9627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761999</xdr:colOff>
      <xdr:row>11</xdr:row>
      <xdr:rowOff>107576</xdr:rowOff>
    </xdr:from>
    <xdr:to>
      <xdr:col>3</xdr:col>
      <xdr:colOff>713121</xdr:colOff>
      <xdr:row>23</xdr:row>
      <xdr:rowOff>99789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7082AD7-8E67-4FE5-BFBF-4AC20EE292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379" t="23155" r="20558" b="24186"/>
        <a:stretch/>
      </xdr:blipFill>
      <xdr:spPr>
        <a:xfrm>
          <a:off x="761999" y="2223247"/>
          <a:ext cx="4836887" cy="2143742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A8B36C9-C67B-4AEF-9044-2F4B4FEED76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1027F7-6885-4666-BF4B-2D44538B94B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143437</xdr:colOff>
      <xdr:row>9</xdr:row>
      <xdr:rowOff>71718</xdr:rowOff>
    </xdr:from>
    <xdr:to>
      <xdr:col>2</xdr:col>
      <xdr:colOff>167715</xdr:colOff>
      <xdr:row>18</xdr:row>
      <xdr:rowOff>161365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2809D81-C851-4CFE-86E0-466A3C74A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437" y="1828800"/>
          <a:ext cx="2803337" cy="1703294"/>
        </a:xfrm>
        <a:prstGeom prst="rect">
          <a:avLst/>
        </a:prstGeom>
      </xdr:spPr>
    </xdr:pic>
    <xdr:clientData/>
  </xdr:twoCellAnchor>
  <xdr:twoCellAnchor editAs="oneCell">
    <xdr:from>
      <xdr:col>0</xdr:col>
      <xdr:colOff>1237129</xdr:colOff>
      <xdr:row>19</xdr:row>
      <xdr:rowOff>89646</xdr:rowOff>
    </xdr:from>
    <xdr:to>
      <xdr:col>3</xdr:col>
      <xdr:colOff>1425388</xdr:colOff>
      <xdr:row>34</xdr:row>
      <xdr:rowOff>165467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A72927-E854-4A2C-B158-D55684E0EA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2433" t="17202" r="13031" b="7461"/>
        <a:stretch/>
      </xdr:blipFill>
      <xdr:spPr>
        <a:xfrm>
          <a:off x="1237129" y="3639670"/>
          <a:ext cx="5074024" cy="2765232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47E9F96-EB90-4D50-8AAC-CFF19BEA27D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143437</xdr:colOff>
      <xdr:row>9</xdr:row>
      <xdr:rowOff>71718</xdr:rowOff>
    </xdr:from>
    <xdr:to>
      <xdr:col>2</xdr:col>
      <xdr:colOff>167715</xdr:colOff>
      <xdr:row>18</xdr:row>
      <xdr:rowOff>161365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DA3D538-2829-4CE5-8120-909E06BC0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437" y="1793838"/>
          <a:ext cx="2797958" cy="1666987"/>
        </a:xfrm>
        <a:prstGeom prst="rect">
          <a:avLst/>
        </a:prstGeom>
      </xdr:spPr>
    </xdr:pic>
    <xdr:clientData/>
  </xdr:twoCellAnchor>
  <xdr:twoCellAnchor editAs="oneCell">
    <xdr:from>
      <xdr:col>0</xdr:col>
      <xdr:colOff>1237129</xdr:colOff>
      <xdr:row>19</xdr:row>
      <xdr:rowOff>89646</xdr:rowOff>
    </xdr:from>
    <xdr:to>
      <xdr:col>3</xdr:col>
      <xdr:colOff>1425388</xdr:colOff>
      <xdr:row>33</xdr:row>
      <xdr:rowOff>165467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50424B-B125-4CB9-AA6A-860E02381F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2433" t="17202" r="13031" b="7461"/>
        <a:stretch/>
      </xdr:blipFill>
      <xdr:spPr>
        <a:xfrm>
          <a:off x="1237129" y="3564366"/>
          <a:ext cx="5065059" cy="270472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1273661</xdr:colOff>
      <xdr:row>5</xdr:row>
      <xdr:rowOff>3699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24C327-9635-424F-A548-67BFBC954D1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17930</xdr:colOff>
      <xdr:row>9</xdr:row>
      <xdr:rowOff>53788</xdr:rowOff>
    </xdr:from>
    <xdr:to>
      <xdr:col>2</xdr:col>
      <xdr:colOff>781881</xdr:colOff>
      <xdr:row>30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BD11470-295B-D90C-B3F9-D29E7EF1D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30" y="1810870"/>
          <a:ext cx="3539200" cy="4392706"/>
        </a:xfrm>
        <a:prstGeom prst="rect">
          <a:avLst/>
        </a:prstGeom>
      </xdr:spPr>
    </xdr:pic>
    <xdr:clientData/>
  </xdr:twoCellAnchor>
  <xdr:twoCellAnchor editAs="oneCell">
    <xdr:from>
      <xdr:col>2</xdr:col>
      <xdr:colOff>860612</xdr:colOff>
      <xdr:row>9</xdr:row>
      <xdr:rowOff>71718</xdr:rowOff>
    </xdr:from>
    <xdr:to>
      <xdr:col>3</xdr:col>
      <xdr:colOff>1616007</xdr:colOff>
      <xdr:row>29</xdr:row>
      <xdr:rowOff>92112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2FB3A18-024F-413D-6D5E-DFB18FBE6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39671" y="1828800"/>
          <a:ext cx="2865911" cy="4294094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1273661</xdr:colOff>
      <xdr:row>5</xdr:row>
      <xdr:rowOff>3699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4E2FB9-2FFB-4B6A-8AE3-379684DC5D0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2337" cy="846381"/>
        </a:xfrm>
        <a:prstGeom prst="rect">
          <a:avLst/>
        </a:prstGeom>
      </xdr:spPr>
    </xdr:pic>
    <xdr:clientData/>
  </xdr:twoCellAnchor>
  <xdr:twoCellAnchor editAs="oneCell">
    <xdr:from>
      <xdr:col>0</xdr:col>
      <xdr:colOff>17930</xdr:colOff>
      <xdr:row>9</xdr:row>
      <xdr:rowOff>53788</xdr:rowOff>
    </xdr:from>
    <xdr:to>
      <xdr:col>2</xdr:col>
      <xdr:colOff>781881</xdr:colOff>
      <xdr:row>30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504AAF0-F4AB-40A3-B22B-19783D20F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30" y="1775908"/>
          <a:ext cx="3537631" cy="4327712"/>
        </a:xfrm>
        <a:prstGeom prst="rect">
          <a:avLst/>
        </a:prstGeom>
      </xdr:spPr>
    </xdr:pic>
    <xdr:clientData/>
  </xdr:twoCellAnchor>
  <xdr:twoCellAnchor editAs="oneCell">
    <xdr:from>
      <xdr:col>2</xdr:col>
      <xdr:colOff>860612</xdr:colOff>
      <xdr:row>9</xdr:row>
      <xdr:rowOff>71718</xdr:rowOff>
    </xdr:from>
    <xdr:to>
      <xdr:col>3</xdr:col>
      <xdr:colOff>1616007</xdr:colOff>
      <xdr:row>29</xdr:row>
      <xdr:rowOff>92112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67C057-1F79-4305-A1DD-2FDACCC38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34292" y="1793838"/>
          <a:ext cx="2858515" cy="4226634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1273661</xdr:colOff>
      <xdr:row>5</xdr:row>
      <xdr:rowOff>3699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49B09F7-C427-45F3-9B02-5F6DD58D7F9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2337" cy="846381"/>
        </a:xfrm>
        <a:prstGeom prst="rect">
          <a:avLst/>
        </a:prstGeom>
      </xdr:spPr>
    </xdr:pic>
    <xdr:clientData/>
  </xdr:twoCellAnchor>
  <xdr:twoCellAnchor editAs="oneCell">
    <xdr:from>
      <xdr:col>0</xdr:col>
      <xdr:colOff>143435</xdr:colOff>
      <xdr:row>9</xdr:row>
      <xdr:rowOff>80682</xdr:rowOff>
    </xdr:from>
    <xdr:to>
      <xdr:col>1</xdr:col>
      <xdr:colOff>188258</xdr:colOff>
      <xdr:row>13</xdr:row>
      <xdr:rowOff>181195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5B3FAC-C3DA-4EC9-80F4-F190E250A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435" y="1837764"/>
          <a:ext cx="1380564" cy="1718642"/>
        </a:xfrm>
        <a:prstGeom prst="rect">
          <a:avLst/>
        </a:prstGeom>
      </xdr:spPr>
    </xdr:pic>
    <xdr:clientData/>
  </xdr:twoCellAnchor>
  <xdr:twoCellAnchor editAs="oneCell">
    <xdr:from>
      <xdr:col>1</xdr:col>
      <xdr:colOff>475131</xdr:colOff>
      <xdr:row>10</xdr:row>
      <xdr:rowOff>8966</xdr:rowOff>
    </xdr:from>
    <xdr:to>
      <xdr:col>1</xdr:col>
      <xdr:colOff>1351148</xdr:colOff>
      <xdr:row>12</xdr:row>
      <xdr:rowOff>268943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12F09C5-FE2C-4CC9-AF0B-54A9FDDC8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10872" y="1945342"/>
          <a:ext cx="876017" cy="1317812"/>
        </a:xfrm>
        <a:prstGeom prst="rect">
          <a:avLst/>
        </a:prstGeom>
      </xdr:spPr>
    </xdr:pic>
    <xdr:clientData/>
  </xdr:twoCellAnchor>
  <xdr:twoCellAnchor editAs="oneCell">
    <xdr:from>
      <xdr:col>0</xdr:col>
      <xdr:colOff>1183341</xdr:colOff>
      <xdr:row>14</xdr:row>
      <xdr:rowOff>136621</xdr:rowOff>
    </xdr:from>
    <xdr:to>
      <xdr:col>3</xdr:col>
      <xdr:colOff>1586752</xdr:colOff>
      <xdr:row>21</xdr:row>
      <xdr:rowOff>121023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BD27BF5-A1C2-4913-A12E-0DA0369A96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6333" t="17586" r="1915" b="6408"/>
        <a:stretch/>
      </xdr:blipFill>
      <xdr:spPr>
        <a:xfrm>
          <a:off x="1183341" y="3489421"/>
          <a:ext cx="5289176" cy="2651403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274B6C-CDE9-4E59-98AA-FC49171D59D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618565</xdr:colOff>
      <xdr:row>9</xdr:row>
      <xdr:rowOff>116542</xdr:rowOff>
    </xdr:from>
    <xdr:to>
      <xdr:col>3</xdr:col>
      <xdr:colOff>1209923</xdr:colOff>
      <xdr:row>29</xdr:row>
      <xdr:rowOff>53788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FED05CB-FA0C-424A-E1CF-5B72CF5A8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8565" y="1873624"/>
          <a:ext cx="5477123" cy="3523129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FED1A2-204C-4CA8-B493-3C526F50AEA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618565</xdr:colOff>
      <xdr:row>9</xdr:row>
      <xdr:rowOff>116542</xdr:rowOff>
    </xdr:from>
    <xdr:to>
      <xdr:col>3</xdr:col>
      <xdr:colOff>1209923</xdr:colOff>
      <xdr:row>28</xdr:row>
      <xdr:rowOff>53788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A3C138-D3F0-4035-80B2-B2533C487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8565" y="1838662"/>
          <a:ext cx="5468158" cy="3442446"/>
        </a:xfrm>
        <a:prstGeom prst="rect">
          <a:avLst/>
        </a:prstGeom>
      </xdr:spPr>
    </xdr:pic>
    <xdr:clientData/>
  </xdr:twoCellAnchor>
  <xdr:twoCellAnchor editAs="oneCell">
    <xdr:from>
      <xdr:col>4</xdr:col>
      <xdr:colOff>1963270</xdr:colOff>
      <xdr:row>41</xdr:row>
      <xdr:rowOff>98612</xdr:rowOff>
    </xdr:from>
    <xdr:to>
      <xdr:col>8</xdr:col>
      <xdr:colOff>959223</xdr:colOff>
      <xdr:row>70</xdr:row>
      <xdr:rowOff>161365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43C3FC0-7AB4-CE63-B868-2C81AD41A3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9740" t="20175" r="24848" b="8483"/>
        <a:stretch/>
      </xdr:blipFill>
      <xdr:spPr>
        <a:xfrm>
          <a:off x="8534399" y="5800165"/>
          <a:ext cx="6212542" cy="5262282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9A28E8-00AB-458B-90D3-2B8C36F1B22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90EC3A2-12E3-4EE1-B26B-EE80ACADBA0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  <xdr:twoCellAnchor editAs="oneCell">
    <xdr:from>
      <xdr:col>0</xdr:col>
      <xdr:colOff>251012</xdr:colOff>
      <xdr:row>9</xdr:row>
      <xdr:rowOff>80682</xdr:rowOff>
    </xdr:from>
    <xdr:to>
      <xdr:col>2</xdr:col>
      <xdr:colOff>1927785</xdr:colOff>
      <xdr:row>24</xdr:row>
      <xdr:rowOff>98612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ABE00E-73CA-47A4-A92C-8E6D46481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012" y="1837764"/>
          <a:ext cx="4455832" cy="2707342"/>
        </a:xfrm>
        <a:prstGeom prst="rect">
          <a:avLst/>
        </a:prstGeom>
      </xdr:spPr>
    </xdr:pic>
    <xdr:clientData/>
  </xdr:twoCellAnchor>
  <xdr:twoCellAnchor editAs="oneCell">
    <xdr:from>
      <xdr:col>0</xdr:col>
      <xdr:colOff>233081</xdr:colOff>
      <xdr:row>27</xdr:row>
      <xdr:rowOff>143433</xdr:rowOff>
    </xdr:from>
    <xdr:to>
      <xdr:col>3</xdr:col>
      <xdr:colOff>1433694</xdr:colOff>
      <xdr:row>46</xdr:row>
      <xdr:rowOff>53787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D68D48-82D1-4EA1-B70E-698F705B88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2433" t="17202" r="13031" b="7461"/>
        <a:stretch/>
      </xdr:blipFill>
      <xdr:spPr>
        <a:xfrm>
          <a:off x="233081" y="5127809"/>
          <a:ext cx="6086378" cy="331694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BBC4E2-5875-44CB-BC15-49F62F3CDBC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3DBCC1-E856-4419-9B3C-E81D4379DF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107577</xdr:colOff>
      <xdr:row>9</xdr:row>
      <xdr:rowOff>161365</xdr:rowOff>
    </xdr:from>
    <xdr:to>
      <xdr:col>3</xdr:col>
      <xdr:colOff>1434354</xdr:colOff>
      <xdr:row>28</xdr:row>
      <xdr:rowOff>178372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09483D7-C576-C45C-328A-F70AB1AB6D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8627"/>
        <a:stretch/>
      </xdr:blipFill>
      <xdr:spPr>
        <a:xfrm>
          <a:off x="107577" y="1918447"/>
          <a:ext cx="6212542" cy="3423596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9C7344F-A5D3-415A-9DE2-CCF48E38D88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EBA648-F1FD-4FC3-9C91-910526506DB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F1FCD5-1B06-4ED3-85E5-09A3AEF90F0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66147" cy="831589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1273661</xdr:colOff>
      <xdr:row>4</xdr:row>
      <xdr:rowOff>167977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292061-1E28-4A8C-B788-CE65E77B529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4237" cy="858259"/>
        </a:xfrm>
        <a:prstGeom prst="rect">
          <a:avLst/>
        </a:prstGeom>
      </xdr:spPr>
    </xdr:pic>
    <xdr:clientData/>
  </xdr:twoCellAnchor>
  <xdr:twoCellAnchor editAs="oneCell">
    <xdr:from>
      <xdr:col>0</xdr:col>
      <xdr:colOff>100853</xdr:colOff>
      <xdr:row>12</xdr:row>
      <xdr:rowOff>14851</xdr:rowOff>
    </xdr:from>
    <xdr:to>
      <xdr:col>3</xdr:col>
      <xdr:colOff>1546412</xdr:colOff>
      <xdr:row>28</xdr:row>
      <xdr:rowOff>160777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F626FBC-1A2C-498B-A196-042BE6A17B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9117" t="15149" r="13629" b="22389"/>
        <a:stretch/>
      </xdr:blipFill>
      <xdr:spPr>
        <a:xfrm>
          <a:off x="100853" y="2121557"/>
          <a:ext cx="6196853" cy="3193926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6A755C-38EC-4E67-AA07-6DBA32C4BDC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251012</xdr:colOff>
      <xdr:row>9</xdr:row>
      <xdr:rowOff>80682</xdr:rowOff>
    </xdr:from>
    <xdr:to>
      <xdr:col>2</xdr:col>
      <xdr:colOff>1927785</xdr:colOff>
      <xdr:row>24</xdr:row>
      <xdr:rowOff>98612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710C428-F544-4544-9411-C59F52CA3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012" y="1842807"/>
          <a:ext cx="4372348" cy="2732555"/>
        </a:xfrm>
        <a:prstGeom prst="rect">
          <a:avLst/>
        </a:prstGeom>
      </xdr:spPr>
    </xdr:pic>
    <xdr:clientData/>
  </xdr:twoCellAnchor>
  <xdr:twoCellAnchor editAs="oneCell">
    <xdr:from>
      <xdr:col>0</xdr:col>
      <xdr:colOff>233081</xdr:colOff>
      <xdr:row>25</xdr:row>
      <xdr:rowOff>98609</xdr:rowOff>
    </xdr:from>
    <xdr:to>
      <xdr:col>3</xdr:col>
      <xdr:colOff>1558363</xdr:colOff>
      <xdr:row>44</xdr:row>
      <xdr:rowOff>78440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BE48EB0-2F6C-4D39-8A1B-7BB7102E84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2433" t="17202" r="13031" b="7461"/>
        <a:stretch/>
      </xdr:blipFill>
      <xdr:spPr>
        <a:xfrm>
          <a:off x="233081" y="4715433"/>
          <a:ext cx="6076576" cy="3386419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03F114-BDEC-4D01-97D7-B5E1B8AF411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732982-3B7D-4BFF-93D2-FD95231FBFB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15</xdr:row>
      <xdr:rowOff>74837</xdr:rowOff>
    </xdr:from>
    <xdr:to>
      <xdr:col>3</xdr:col>
      <xdr:colOff>1467971</xdr:colOff>
      <xdr:row>37</xdr:row>
      <xdr:rowOff>116509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6A8CE7F-B3FA-897A-381D-C566FE516A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190501" y="2945690"/>
          <a:ext cx="6022166" cy="4056415"/>
        </a:xfrm>
        <a:prstGeom prst="rect">
          <a:avLst/>
        </a:prstGeom>
      </xdr:spPr>
    </xdr:pic>
    <xdr:clientData/>
  </xdr:twoCellAnchor>
  <xdr:twoCellAnchor>
    <xdr:from>
      <xdr:col>3</xdr:col>
      <xdr:colOff>547465</xdr:colOff>
      <xdr:row>23</xdr:row>
      <xdr:rowOff>75666</xdr:rowOff>
    </xdr:from>
    <xdr:to>
      <xdr:col>3</xdr:col>
      <xdr:colOff>593184</xdr:colOff>
      <xdr:row>23</xdr:row>
      <xdr:rowOff>133528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01FD3AB2-2326-7DE2-691F-5AD5C153FC3C}"/>
            </a:ext>
          </a:extLst>
        </xdr:cNvPr>
        <xdr:cNvSpPr/>
      </xdr:nvSpPr>
      <xdr:spPr>
        <a:xfrm>
          <a:off x="5292161" y="4406425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388299</xdr:colOff>
      <xdr:row>27</xdr:row>
      <xdr:rowOff>81184</xdr:rowOff>
    </xdr:from>
    <xdr:to>
      <xdr:col>3</xdr:col>
      <xdr:colOff>434018</xdr:colOff>
      <xdr:row>27</xdr:row>
      <xdr:rowOff>139046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F4D9BAF3-9A1D-4E91-A1FA-DB0AFABAAFF7}"/>
            </a:ext>
          </a:extLst>
        </xdr:cNvPr>
        <xdr:cNvSpPr/>
      </xdr:nvSpPr>
      <xdr:spPr>
        <a:xfrm>
          <a:off x="5132995" y="5141897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1052557</xdr:colOff>
      <xdr:row>27</xdr:row>
      <xdr:rowOff>19939</xdr:rowOff>
    </xdr:from>
    <xdr:to>
      <xdr:col>2</xdr:col>
      <xdr:colOff>1098276</xdr:colOff>
      <xdr:row>27</xdr:row>
      <xdr:rowOff>77801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0A0CC9EF-6D27-45E0-9094-B5899344E488}"/>
            </a:ext>
          </a:extLst>
        </xdr:cNvPr>
        <xdr:cNvSpPr/>
      </xdr:nvSpPr>
      <xdr:spPr>
        <a:xfrm>
          <a:off x="3749823" y="5080652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1080331</xdr:colOff>
      <xdr:row>23</xdr:row>
      <xdr:rowOff>87772</xdr:rowOff>
    </xdr:from>
    <xdr:to>
      <xdr:col>2</xdr:col>
      <xdr:colOff>1126050</xdr:colOff>
      <xdr:row>23</xdr:row>
      <xdr:rowOff>145634</xdr:rowOff>
    </xdr:to>
    <xdr:sp macro="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FEB063B1-D370-4E5D-8D50-A3F5B1879BB5}"/>
            </a:ext>
          </a:extLst>
        </xdr:cNvPr>
        <xdr:cNvSpPr/>
      </xdr:nvSpPr>
      <xdr:spPr>
        <a:xfrm>
          <a:off x="3777597" y="4418531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1023172</xdr:colOff>
      <xdr:row>23</xdr:row>
      <xdr:rowOff>88841</xdr:rowOff>
    </xdr:from>
    <xdr:to>
      <xdr:col>1</xdr:col>
      <xdr:colOff>1068891</xdr:colOff>
      <xdr:row>23</xdr:row>
      <xdr:rowOff>146703</xdr:rowOff>
    </xdr:to>
    <xdr:sp macro="" textlink="">
      <xdr:nvSpPr>
        <xdr:cNvPr id="9" name="Rectángulo: esquinas redondeadas 8">
          <a:extLst>
            <a:ext uri="{FF2B5EF4-FFF2-40B4-BE49-F238E27FC236}">
              <a16:creationId xmlns:a16="http://schemas.microsoft.com/office/drawing/2014/main" id="{F9946D55-F909-4044-88A1-D690B40BD760}"/>
            </a:ext>
          </a:extLst>
        </xdr:cNvPr>
        <xdr:cNvSpPr/>
      </xdr:nvSpPr>
      <xdr:spPr>
        <a:xfrm>
          <a:off x="2315851" y="4462565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984546</xdr:colOff>
      <xdr:row>26</xdr:row>
      <xdr:rowOff>98811</xdr:rowOff>
    </xdr:from>
    <xdr:to>
      <xdr:col>1</xdr:col>
      <xdr:colOff>1030265</xdr:colOff>
      <xdr:row>26</xdr:row>
      <xdr:rowOff>156673</xdr:rowOff>
    </xdr:to>
    <xdr:sp macro="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DE673577-5F58-42C1-AB6A-3F406CD12B79}"/>
            </a:ext>
          </a:extLst>
        </xdr:cNvPr>
        <xdr:cNvSpPr/>
      </xdr:nvSpPr>
      <xdr:spPr>
        <a:xfrm>
          <a:off x="2279768" y="4977035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934440</xdr:colOff>
      <xdr:row>23</xdr:row>
      <xdr:rowOff>87373</xdr:rowOff>
    </xdr:from>
    <xdr:to>
      <xdr:col>1</xdr:col>
      <xdr:colOff>980159</xdr:colOff>
      <xdr:row>23</xdr:row>
      <xdr:rowOff>145235</xdr:rowOff>
    </xdr:to>
    <xdr:sp macro="" textlink="">
      <xdr:nvSpPr>
        <xdr:cNvPr id="12" name="Rectángulo: esquinas redondeadas 11">
          <a:extLst>
            <a:ext uri="{FF2B5EF4-FFF2-40B4-BE49-F238E27FC236}">
              <a16:creationId xmlns:a16="http://schemas.microsoft.com/office/drawing/2014/main" id="{5C34EE0C-A4DF-43AC-891E-3152DDD8FF09}"/>
            </a:ext>
          </a:extLst>
        </xdr:cNvPr>
        <xdr:cNvSpPr/>
      </xdr:nvSpPr>
      <xdr:spPr>
        <a:xfrm>
          <a:off x="2227119" y="4461097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D83A40-5BF8-4A7D-996F-F6C9411B4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15</xdr:row>
      <xdr:rowOff>74837</xdr:rowOff>
    </xdr:from>
    <xdr:to>
      <xdr:col>3</xdr:col>
      <xdr:colOff>1467971</xdr:colOff>
      <xdr:row>37</xdr:row>
      <xdr:rowOff>116509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055181-B295-4CD7-8598-675566E3EF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190501" y="2922812"/>
          <a:ext cx="6020920" cy="4023122"/>
        </a:xfrm>
        <a:prstGeom prst="rect">
          <a:avLst/>
        </a:prstGeom>
      </xdr:spPr>
    </xdr:pic>
    <xdr:clientData/>
  </xdr:twoCellAnchor>
  <xdr:twoCellAnchor>
    <xdr:from>
      <xdr:col>1</xdr:col>
      <xdr:colOff>1204727</xdr:colOff>
      <xdr:row>26</xdr:row>
      <xdr:rowOff>22867</xdr:rowOff>
    </xdr:from>
    <xdr:to>
      <xdr:col>1</xdr:col>
      <xdr:colOff>1250446</xdr:colOff>
      <xdr:row>26</xdr:row>
      <xdr:rowOff>80729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1EA0C670-5CF3-4570-AFE6-03B16ABB8F8F}"/>
            </a:ext>
          </a:extLst>
        </xdr:cNvPr>
        <xdr:cNvSpPr/>
      </xdr:nvSpPr>
      <xdr:spPr>
        <a:xfrm>
          <a:off x="2497406" y="4950597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1276103</xdr:colOff>
      <xdr:row>26</xdr:row>
      <xdr:rowOff>78255</xdr:rowOff>
    </xdr:from>
    <xdr:to>
      <xdr:col>2</xdr:col>
      <xdr:colOff>1321822</xdr:colOff>
      <xdr:row>26</xdr:row>
      <xdr:rowOff>136117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B46CD4D3-7B6D-4CE5-883C-2EAEBB0569B7}"/>
            </a:ext>
          </a:extLst>
        </xdr:cNvPr>
        <xdr:cNvSpPr/>
      </xdr:nvSpPr>
      <xdr:spPr>
        <a:xfrm>
          <a:off x="3968373" y="5005985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156989</xdr:colOff>
      <xdr:row>26</xdr:row>
      <xdr:rowOff>39174</xdr:rowOff>
    </xdr:from>
    <xdr:to>
      <xdr:col>3</xdr:col>
      <xdr:colOff>202708</xdr:colOff>
      <xdr:row>26</xdr:row>
      <xdr:rowOff>97036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DF6DF3C1-A241-4F1C-AF9E-C094904DBACA}"/>
            </a:ext>
          </a:extLst>
        </xdr:cNvPr>
        <xdr:cNvSpPr/>
      </xdr:nvSpPr>
      <xdr:spPr>
        <a:xfrm>
          <a:off x="4900050" y="4966904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378123-D06D-4AC9-946D-AD25B2A7A18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15</xdr:row>
      <xdr:rowOff>74837</xdr:rowOff>
    </xdr:from>
    <xdr:to>
      <xdr:col>3</xdr:col>
      <xdr:colOff>1467971</xdr:colOff>
      <xdr:row>37</xdr:row>
      <xdr:rowOff>116509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12F97E4-1D2A-4E86-9276-F2E2206E75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190501" y="2922812"/>
          <a:ext cx="6020920" cy="4023122"/>
        </a:xfrm>
        <a:prstGeom prst="rect">
          <a:avLst/>
        </a:prstGeom>
      </xdr:spPr>
    </xdr:pic>
    <xdr:clientData/>
  </xdr:twoCellAnchor>
  <xdr:twoCellAnchor>
    <xdr:from>
      <xdr:col>1</xdr:col>
      <xdr:colOff>796513</xdr:colOff>
      <xdr:row>26</xdr:row>
      <xdr:rowOff>22867</xdr:rowOff>
    </xdr:from>
    <xdr:to>
      <xdr:col>1</xdr:col>
      <xdr:colOff>842232</xdr:colOff>
      <xdr:row>26</xdr:row>
      <xdr:rowOff>80729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3BE4748A-1B01-4E75-A165-2F772C891F7C}"/>
            </a:ext>
          </a:extLst>
        </xdr:cNvPr>
        <xdr:cNvSpPr/>
      </xdr:nvSpPr>
      <xdr:spPr>
        <a:xfrm>
          <a:off x="2089192" y="4950597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1110873</xdr:colOff>
      <xdr:row>27</xdr:row>
      <xdr:rowOff>29658</xdr:rowOff>
    </xdr:from>
    <xdr:to>
      <xdr:col>2</xdr:col>
      <xdr:colOff>1156592</xdr:colOff>
      <xdr:row>27</xdr:row>
      <xdr:rowOff>87520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82860F53-44A7-4BFC-8764-802A6EAB7A3C}"/>
            </a:ext>
          </a:extLst>
        </xdr:cNvPr>
        <xdr:cNvSpPr/>
      </xdr:nvSpPr>
      <xdr:spPr>
        <a:xfrm>
          <a:off x="3803143" y="5142056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545765</xdr:colOff>
      <xdr:row>26</xdr:row>
      <xdr:rowOff>116929</xdr:rowOff>
    </xdr:from>
    <xdr:to>
      <xdr:col>3</xdr:col>
      <xdr:colOff>591484</xdr:colOff>
      <xdr:row>26</xdr:row>
      <xdr:rowOff>174791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1511B597-37FD-48C1-8985-1EF18AAC7A00}"/>
            </a:ext>
          </a:extLst>
        </xdr:cNvPr>
        <xdr:cNvSpPr/>
      </xdr:nvSpPr>
      <xdr:spPr>
        <a:xfrm>
          <a:off x="5288826" y="5044659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1259934</xdr:colOff>
      <xdr:row>23</xdr:row>
      <xdr:rowOff>39197</xdr:rowOff>
    </xdr:from>
    <xdr:to>
      <xdr:col>1</xdr:col>
      <xdr:colOff>12974</xdr:colOff>
      <xdr:row>23</xdr:row>
      <xdr:rowOff>97059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8B34FE69-CBEE-45A1-8BC2-02575FC095BD}"/>
            </a:ext>
          </a:extLst>
        </xdr:cNvPr>
        <xdr:cNvSpPr/>
      </xdr:nvSpPr>
      <xdr:spPr>
        <a:xfrm>
          <a:off x="1259934" y="4412921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D84193B-D6F9-4A39-9FFA-BF1C1AF4E74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18</xdr:row>
      <xdr:rowOff>74837</xdr:rowOff>
    </xdr:from>
    <xdr:to>
      <xdr:col>3</xdr:col>
      <xdr:colOff>1467971</xdr:colOff>
      <xdr:row>40</xdr:row>
      <xdr:rowOff>116509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C96D5B-CD8F-4633-83FE-81FF1E9253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190501" y="2922812"/>
          <a:ext cx="6020920" cy="4023122"/>
        </a:xfrm>
        <a:prstGeom prst="rect">
          <a:avLst/>
        </a:prstGeom>
      </xdr:spPr>
    </xdr:pic>
    <xdr:clientData/>
  </xdr:twoCellAnchor>
  <xdr:twoCellAnchor>
    <xdr:from>
      <xdr:col>1</xdr:col>
      <xdr:colOff>796513</xdr:colOff>
      <xdr:row>29</xdr:row>
      <xdr:rowOff>22867</xdr:rowOff>
    </xdr:from>
    <xdr:to>
      <xdr:col>1</xdr:col>
      <xdr:colOff>842232</xdr:colOff>
      <xdr:row>29</xdr:row>
      <xdr:rowOff>80729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D11770EF-DAF0-4153-90D1-3B2AEEB444F2}"/>
            </a:ext>
          </a:extLst>
        </xdr:cNvPr>
        <xdr:cNvSpPr/>
      </xdr:nvSpPr>
      <xdr:spPr>
        <a:xfrm>
          <a:off x="2091913" y="4861567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1110873</xdr:colOff>
      <xdr:row>30</xdr:row>
      <xdr:rowOff>29658</xdr:rowOff>
    </xdr:from>
    <xdr:to>
      <xdr:col>2</xdr:col>
      <xdr:colOff>1156592</xdr:colOff>
      <xdr:row>30</xdr:row>
      <xdr:rowOff>87520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BB1BFF46-A864-4724-91DF-62C723FC22C0}"/>
            </a:ext>
          </a:extLst>
        </xdr:cNvPr>
        <xdr:cNvSpPr/>
      </xdr:nvSpPr>
      <xdr:spPr>
        <a:xfrm>
          <a:off x="3806448" y="5049333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545765</xdr:colOff>
      <xdr:row>29</xdr:row>
      <xdr:rowOff>116929</xdr:rowOff>
    </xdr:from>
    <xdr:to>
      <xdr:col>3</xdr:col>
      <xdr:colOff>591484</xdr:colOff>
      <xdr:row>29</xdr:row>
      <xdr:rowOff>174791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311797F9-0180-4800-B17A-D50284001B5A}"/>
            </a:ext>
          </a:extLst>
        </xdr:cNvPr>
        <xdr:cNvSpPr/>
      </xdr:nvSpPr>
      <xdr:spPr>
        <a:xfrm>
          <a:off x="5289215" y="4955629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1259934</xdr:colOff>
      <xdr:row>26</xdr:row>
      <xdr:rowOff>39197</xdr:rowOff>
    </xdr:from>
    <xdr:to>
      <xdr:col>1</xdr:col>
      <xdr:colOff>12974</xdr:colOff>
      <xdr:row>26</xdr:row>
      <xdr:rowOff>97059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723B956C-3AB5-43C6-B7BC-7ED2503E2164}"/>
            </a:ext>
          </a:extLst>
        </xdr:cNvPr>
        <xdr:cNvSpPr/>
      </xdr:nvSpPr>
      <xdr:spPr>
        <a:xfrm>
          <a:off x="1259934" y="4334972"/>
          <a:ext cx="48440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1273661</xdr:colOff>
      <xdr:row>5</xdr:row>
      <xdr:rowOff>2795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723E1F-8EC7-4DF7-8A30-47C63F3B3BC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1170278</xdr:colOff>
      <xdr:row>10</xdr:row>
      <xdr:rowOff>172030</xdr:rowOff>
    </xdr:from>
    <xdr:to>
      <xdr:col>3</xdr:col>
      <xdr:colOff>153629</xdr:colOff>
      <xdr:row>22</xdr:row>
      <xdr:rowOff>8416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E64F06D-4239-46F0-B22C-11A94A7514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1170278" y="2138482"/>
          <a:ext cx="3715125" cy="2344226"/>
        </a:xfrm>
        <a:prstGeom prst="rect">
          <a:avLst/>
        </a:prstGeom>
      </xdr:spPr>
    </xdr:pic>
    <xdr:clientData/>
  </xdr:twoCellAnchor>
  <xdr:twoCellAnchor editAs="oneCell">
    <xdr:from>
      <xdr:col>0</xdr:col>
      <xdr:colOff>658411</xdr:colOff>
      <xdr:row>21</xdr:row>
      <xdr:rowOff>61452</xdr:rowOff>
    </xdr:from>
    <xdr:to>
      <xdr:col>3</xdr:col>
      <xdr:colOff>1152908</xdr:colOff>
      <xdr:row>34</xdr:row>
      <xdr:rowOff>135244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23CB768-7DB3-4CB4-B7BB-798909D530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5" t="17202" r="18385" b="10087"/>
        <a:stretch/>
      </xdr:blipFill>
      <xdr:spPr>
        <a:xfrm>
          <a:off x="658411" y="4332339"/>
          <a:ext cx="5220556" cy="2835305"/>
        </a:xfrm>
        <a:prstGeom prst="rect">
          <a:avLst/>
        </a:prstGeom>
      </xdr:spPr>
    </xdr:pic>
    <xdr:clientData/>
  </xdr:twoCellAnchor>
  <xdr:twoCellAnchor editAs="oneCell">
    <xdr:from>
      <xdr:col>15</xdr:col>
      <xdr:colOff>380835</xdr:colOff>
      <xdr:row>1</xdr:row>
      <xdr:rowOff>92180</xdr:rowOff>
    </xdr:from>
    <xdr:to>
      <xdr:col>24</xdr:col>
      <xdr:colOff>689430</xdr:colOff>
      <xdr:row>55</xdr:row>
      <xdr:rowOff>91557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C5B300A-1514-FB16-F719-D83DAB177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5400000">
          <a:off x="19956058" y="1287602"/>
          <a:ext cx="9244035" cy="7221902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43243F8-93ED-40C0-AEAF-1A3CC99853A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64149</xdr:colOff>
      <xdr:row>10</xdr:row>
      <xdr:rowOff>172030</xdr:rowOff>
    </xdr:from>
    <xdr:to>
      <xdr:col>3</xdr:col>
      <xdr:colOff>1341619</xdr:colOff>
      <xdr:row>20</xdr:row>
      <xdr:rowOff>58192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D810DB-82B2-4CBC-BF51-D9EDB3FEDB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64149" y="2115130"/>
          <a:ext cx="6020920" cy="2362662"/>
        </a:xfrm>
        <a:prstGeom prst="rect">
          <a:avLst/>
        </a:prstGeom>
      </xdr:spPr>
    </xdr:pic>
    <xdr:clientData/>
  </xdr:twoCellAnchor>
  <xdr:twoCellAnchor editAs="oneCell">
    <xdr:from>
      <xdr:col>0</xdr:col>
      <xdr:colOff>612322</xdr:colOff>
      <xdr:row>22</xdr:row>
      <xdr:rowOff>58315</xdr:rowOff>
    </xdr:from>
    <xdr:to>
      <xdr:col>3</xdr:col>
      <xdr:colOff>1101104</xdr:colOff>
      <xdr:row>35</xdr:row>
      <xdr:rowOff>128297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2713E12-8B66-4465-A3FA-0876D7CAC2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5" t="17202" r="18385" b="10087"/>
        <a:stretch/>
      </xdr:blipFill>
      <xdr:spPr>
        <a:xfrm>
          <a:off x="612322" y="4916065"/>
          <a:ext cx="5232232" cy="2889382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36461A-5100-49EE-9EAF-C3862A995A6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15</xdr:row>
      <xdr:rowOff>74837</xdr:rowOff>
    </xdr:from>
    <xdr:to>
      <xdr:col>3</xdr:col>
      <xdr:colOff>1467971</xdr:colOff>
      <xdr:row>37</xdr:row>
      <xdr:rowOff>116509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B2C6437-525C-48C0-9045-D205B7B1F0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190501" y="2922812"/>
          <a:ext cx="6020920" cy="4023122"/>
        </a:xfrm>
        <a:prstGeom prst="rect">
          <a:avLst/>
        </a:prstGeom>
      </xdr:spPr>
    </xdr:pic>
    <xdr:clientData/>
  </xdr:twoCellAnchor>
  <xdr:twoCellAnchor>
    <xdr:from>
      <xdr:col>1</xdr:col>
      <xdr:colOff>796513</xdr:colOff>
      <xdr:row>26</xdr:row>
      <xdr:rowOff>22867</xdr:rowOff>
    </xdr:from>
    <xdr:to>
      <xdr:col>1</xdr:col>
      <xdr:colOff>842232</xdr:colOff>
      <xdr:row>26</xdr:row>
      <xdr:rowOff>80729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CF9FA148-B49A-4502-AAE2-C8799A28E32F}"/>
            </a:ext>
          </a:extLst>
        </xdr:cNvPr>
        <xdr:cNvSpPr/>
      </xdr:nvSpPr>
      <xdr:spPr>
        <a:xfrm>
          <a:off x="2091913" y="4861567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1110873</xdr:colOff>
      <xdr:row>27</xdr:row>
      <xdr:rowOff>29658</xdr:rowOff>
    </xdr:from>
    <xdr:to>
      <xdr:col>2</xdr:col>
      <xdr:colOff>1156592</xdr:colOff>
      <xdr:row>27</xdr:row>
      <xdr:rowOff>87520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ED82C33F-D89C-4F23-8E36-8D157665F3FF}"/>
            </a:ext>
          </a:extLst>
        </xdr:cNvPr>
        <xdr:cNvSpPr/>
      </xdr:nvSpPr>
      <xdr:spPr>
        <a:xfrm>
          <a:off x="3806448" y="5049333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545765</xdr:colOff>
      <xdr:row>26</xdr:row>
      <xdr:rowOff>116929</xdr:rowOff>
    </xdr:from>
    <xdr:to>
      <xdr:col>3</xdr:col>
      <xdr:colOff>591484</xdr:colOff>
      <xdr:row>26</xdr:row>
      <xdr:rowOff>174791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195D1EE3-C4B4-408F-B411-32A729127CE4}"/>
            </a:ext>
          </a:extLst>
        </xdr:cNvPr>
        <xdr:cNvSpPr/>
      </xdr:nvSpPr>
      <xdr:spPr>
        <a:xfrm>
          <a:off x="5289215" y="4955629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1259934</xdr:colOff>
      <xdr:row>23</xdr:row>
      <xdr:rowOff>39197</xdr:rowOff>
    </xdr:from>
    <xdr:to>
      <xdr:col>1</xdr:col>
      <xdr:colOff>12974</xdr:colOff>
      <xdr:row>23</xdr:row>
      <xdr:rowOff>97059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4FC7E3BD-EBF4-42D6-A5C4-9073519A1973}"/>
            </a:ext>
          </a:extLst>
        </xdr:cNvPr>
        <xdr:cNvSpPr/>
      </xdr:nvSpPr>
      <xdr:spPr>
        <a:xfrm>
          <a:off x="1259934" y="4334972"/>
          <a:ext cx="48440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23476B-6FD4-43EF-86B5-12C1C2DEA1D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15</xdr:row>
      <xdr:rowOff>74837</xdr:rowOff>
    </xdr:from>
    <xdr:to>
      <xdr:col>3</xdr:col>
      <xdr:colOff>1467971</xdr:colOff>
      <xdr:row>37</xdr:row>
      <xdr:rowOff>116509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B176346-084B-4DB4-8442-C7B9E2C3B5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190501" y="2922812"/>
          <a:ext cx="6020920" cy="4023122"/>
        </a:xfrm>
        <a:prstGeom prst="rect">
          <a:avLst/>
        </a:prstGeom>
      </xdr:spPr>
    </xdr:pic>
    <xdr:clientData/>
  </xdr:twoCellAnchor>
  <xdr:twoCellAnchor>
    <xdr:from>
      <xdr:col>1</xdr:col>
      <xdr:colOff>796513</xdr:colOff>
      <xdr:row>26</xdr:row>
      <xdr:rowOff>22867</xdr:rowOff>
    </xdr:from>
    <xdr:to>
      <xdr:col>1</xdr:col>
      <xdr:colOff>842232</xdr:colOff>
      <xdr:row>26</xdr:row>
      <xdr:rowOff>80729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749160EC-DED7-4E5E-88BE-8955A4886B1A}"/>
            </a:ext>
          </a:extLst>
        </xdr:cNvPr>
        <xdr:cNvSpPr/>
      </xdr:nvSpPr>
      <xdr:spPr>
        <a:xfrm>
          <a:off x="2091913" y="4861567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1110873</xdr:colOff>
      <xdr:row>27</xdr:row>
      <xdr:rowOff>29658</xdr:rowOff>
    </xdr:from>
    <xdr:to>
      <xdr:col>2</xdr:col>
      <xdr:colOff>1156592</xdr:colOff>
      <xdr:row>27</xdr:row>
      <xdr:rowOff>87520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9E9C6F4F-D9A4-46EC-A7C3-D0D2F628A8D8}"/>
            </a:ext>
          </a:extLst>
        </xdr:cNvPr>
        <xdr:cNvSpPr/>
      </xdr:nvSpPr>
      <xdr:spPr>
        <a:xfrm>
          <a:off x="3806448" y="5049333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545765</xdr:colOff>
      <xdr:row>26</xdr:row>
      <xdr:rowOff>116929</xdr:rowOff>
    </xdr:from>
    <xdr:to>
      <xdr:col>3</xdr:col>
      <xdr:colOff>591484</xdr:colOff>
      <xdr:row>26</xdr:row>
      <xdr:rowOff>174791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A4F4A65D-91C1-4C87-A4FD-40136172EC23}"/>
            </a:ext>
          </a:extLst>
        </xdr:cNvPr>
        <xdr:cNvSpPr/>
      </xdr:nvSpPr>
      <xdr:spPr>
        <a:xfrm>
          <a:off x="5289215" y="4955629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1259934</xdr:colOff>
      <xdr:row>23</xdr:row>
      <xdr:rowOff>39197</xdr:rowOff>
    </xdr:from>
    <xdr:to>
      <xdr:col>1</xdr:col>
      <xdr:colOff>12974</xdr:colOff>
      <xdr:row>23</xdr:row>
      <xdr:rowOff>97059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D4C71F63-8E4A-45C1-97EB-4E79A25AAC4E}"/>
            </a:ext>
          </a:extLst>
        </xdr:cNvPr>
        <xdr:cNvSpPr/>
      </xdr:nvSpPr>
      <xdr:spPr>
        <a:xfrm>
          <a:off x="1259934" y="4334972"/>
          <a:ext cx="48440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D4A6DC-80A1-49F7-8F2D-CD55116B821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15</xdr:row>
      <xdr:rowOff>74837</xdr:rowOff>
    </xdr:from>
    <xdr:to>
      <xdr:col>3</xdr:col>
      <xdr:colOff>1467971</xdr:colOff>
      <xdr:row>37</xdr:row>
      <xdr:rowOff>116509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2F6B4F1-6BF8-41CA-883D-0CF04C1C41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190501" y="2922812"/>
          <a:ext cx="6020920" cy="4023122"/>
        </a:xfrm>
        <a:prstGeom prst="rect">
          <a:avLst/>
        </a:prstGeom>
      </xdr:spPr>
    </xdr:pic>
    <xdr:clientData/>
  </xdr:twoCellAnchor>
  <xdr:twoCellAnchor>
    <xdr:from>
      <xdr:col>1</xdr:col>
      <xdr:colOff>796513</xdr:colOff>
      <xdr:row>26</xdr:row>
      <xdr:rowOff>22867</xdr:rowOff>
    </xdr:from>
    <xdr:to>
      <xdr:col>1</xdr:col>
      <xdr:colOff>842232</xdr:colOff>
      <xdr:row>26</xdr:row>
      <xdr:rowOff>80729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EAC7F90C-788D-4321-A5A3-C6E9DEB082DA}"/>
            </a:ext>
          </a:extLst>
        </xdr:cNvPr>
        <xdr:cNvSpPr/>
      </xdr:nvSpPr>
      <xdr:spPr>
        <a:xfrm>
          <a:off x="2091913" y="4861567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1110873</xdr:colOff>
      <xdr:row>27</xdr:row>
      <xdr:rowOff>29658</xdr:rowOff>
    </xdr:from>
    <xdr:to>
      <xdr:col>2</xdr:col>
      <xdr:colOff>1156592</xdr:colOff>
      <xdr:row>27</xdr:row>
      <xdr:rowOff>87520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2E07388A-A049-4A71-B622-5EA0009C317E}"/>
            </a:ext>
          </a:extLst>
        </xdr:cNvPr>
        <xdr:cNvSpPr/>
      </xdr:nvSpPr>
      <xdr:spPr>
        <a:xfrm>
          <a:off x="3806448" y="5049333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545765</xdr:colOff>
      <xdr:row>26</xdr:row>
      <xdr:rowOff>116929</xdr:rowOff>
    </xdr:from>
    <xdr:to>
      <xdr:col>3</xdr:col>
      <xdr:colOff>591484</xdr:colOff>
      <xdr:row>26</xdr:row>
      <xdr:rowOff>174791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57B08BD7-A22F-4AFC-BAF2-F47071FAB4CF}"/>
            </a:ext>
          </a:extLst>
        </xdr:cNvPr>
        <xdr:cNvSpPr/>
      </xdr:nvSpPr>
      <xdr:spPr>
        <a:xfrm>
          <a:off x="5289215" y="4955629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1259934</xdr:colOff>
      <xdr:row>23</xdr:row>
      <xdr:rowOff>39197</xdr:rowOff>
    </xdr:from>
    <xdr:to>
      <xdr:col>1</xdr:col>
      <xdr:colOff>12974</xdr:colOff>
      <xdr:row>23</xdr:row>
      <xdr:rowOff>97059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275C4AFC-4355-4215-B359-492738BB0F8D}"/>
            </a:ext>
          </a:extLst>
        </xdr:cNvPr>
        <xdr:cNvSpPr/>
      </xdr:nvSpPr>
      <xdr:spPr>
        <a:xfrm>
          <a:off x="1259934" y="4334972"/>
          <a:ext cx="48440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527B37-8DED-40B7-81AB-9F2BE3AB38D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15</xdr:row>
      <xdr:rowOff>74837</xdr:rowOff>
    </xdr:from>
    <xdr:to>
      <xdr:col>3</xdr:col>
      <xdr:colOff>1467971</xdr:colOff>
      <xdr:row>37</xdr:row>
      <xdr:rowOff>116509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F13E57-079E-49B3-AFCD-E3F17BB7B4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190501" y="2922812"/>
          <a:ext cx="6020920" cy="4023122"/>
        </a:xfrm>
        <a:prstGeom prst="rect">
          <a:avLst/>
        </a:prstGeom>
      </xdr:spPr>
    </xdr:pic>
    <xdr:clientData/>
  </xdr:twoCellAnchor>
  <xdr:twoCellAnchor>
    <xdr:from>
      <xdr:col>1</xdr:col>
      <xdr:colOff>796513</xdr:colOff>
      <xdr:row>26</xdr:row>
      <xdr:rowOff>22867</xdr:rowOff>
    </xdr:from>
    <xdr:to>
      <xdr:col>1</xdr:col>
      <xdr:colOff>842232</xdr:colOff>
      <xdr:row>26</xdr:row>
      <xdr:rowOff>80729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A8DD768C-7C07-4A3F-B2A6-02B9D150909D}"/>
            </a:ext>
          </a:extLst>
        </xdr:cNvPr>
        <xdr:cNvSpPr/>
      </xdr:nvSpPr>
      <xdr:spPr>
        <a:xfrm>
          <a:off x="2091913" y="4861567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1110873</xdr:colOff>
      <xdr:row>27</xdr:row>
      <xdr:rowOff>29658</xdr:rowOff>
    </xdr:from>
    <xdr:to>
      <xdr:col>2</xdr:col>
      <xdr:colOff>1156592</xdr:colOff>
      <xdr:row>27</xdr:row>
      <xdr:rowOff>87520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F3B76BDA-B832-4BF6-86C6-C5B3AB23697D}"/>
            </a:ext>
          </a:extLst>
        </xdr:cNvPr>
        <xdr:cNvSpPr/>
      </xdr:nvSpPr>
      <xdr:spPr>
        <a:xfrm>
          <a:off x="3806448" y="5049333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545765</xdr:colOff>
      <xdr:row>26</xdr:row>
      <xdr:rowOff>116929</xdr:rowOff>
    </xdr:from>
    <xdr:to>
      <xdr:col>3</xdr:col>
      <xdr:colOff>591484</xdr:colOff>
      <xdr:row>26</xdr:row>
      <xdr:rowOff>174791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7FB2E874-9869-4511-A28B-B448D9DE55D3}"/>
            </a:ext>
          </a:extLst>
        </xdr:cNvPr>
        <xdr:cNvSpPr/>
      </xdr:nvSpPr>
      <xdr:spPr>
        <a:xfrm>
          <a:off x="5289215" y="4955629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1259934</xdr:colOff>
      <xdr:row>23</xdr:row>
      <xdr:rowOff>39197</xdr:rowOff>
    </xdr:from>
    <xdr:to>
      <xdr:col>1</xdr:col>
      <xdr:colOff>12974</xdr:colOff>
      <xdr:row>23</xdr:row>
      <xdr:rowOff>97059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C034AADD-89E2-47BF-B910-D822A1BCEE62}"/>
            </a:ext>
          </a:extLst>
        </xdr:cNvPr>
        <xdr:cNvSpPr/>
      </xdr:nvSpPr>
      <xdr:spPr>
        <a:xfrm>
          <a:off x="1259934" y="4334972"/>
          <a:ext cx="48440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FE8116-B39B-45ED-8112-D09CC851644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15</xdr:row>
      <xdr:rowOff>74837</xdr:rowOff>
    </xdr:from>
    <xdr:to>
      <xdr:col>3</xdr:col>
      <xdr:colOff>1467971</xdr:colOff>
      <xdr:row>37</xdr:row>
      <xdr:rowOff>116509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D5FB71E-A4C1-414A-81E3-691C953DB0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190501" y="2922812"/>
          <a:ext cx="6020920" cy="4023122"/>
        </a:xfrm>
        <a:prstGeom prst="rect">
          <a:avLst/>
        </a:prstGeom>
      </xdr:spPr>
    </xdr:pic>
    <xdr:clientData/>
  </xdr:twoCellAnchor>
  <xdr:twoCellAnchor>
    <xdr:from>
      <xdr:col>1</xdr:col>
      <xdr:colOff>990901</xdr:colOff>
      <xdr:row>26</xdr:row>
      <xdr:rowOff>71464</xdr:rowOff>
    </xdr:from>
    <xdr:to>
      <xdr:col>1</xdr:col>
      <xdr:colOff>1036620</xdr:colOff>
      <xdr:row>26</xdr:row>
      <xdr:rowOff>129326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307492A7-B9E2-4F23-984D-E980FD8FA89A}"/>
            </a:ext>
          </a:extLst>
        </xdr:cNvPr>
        <xdr:cNvSpPr/>
      </xdr:nvSpPr>
      <xdr:spPr>
        <a:xfrm>
          <a:off x="2283580" y="4999194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1110873</xdr:colOff>
      <xdr:row>27</xdr:row>
      <xdr:rowOff>29658</xdr:rowOff>
    </xdr:from>
    <xdr:to>
      <xdr:col>2</xdr:col>
      <xdr:colOff>1156592</xdr:colOff>
      <xdr:row>27</xdr:row>
      <xdr:rowOff>87520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B60AD5FD-93A0-4CCD-96F5-EF8D439F1FE1}"/>
            </a:ext>
          </a:extLst>
        </xdr:cNvPr>
        <xdr:cNvSpPr/>
      </xdr:nvSpPr>
      <xdr:spPr>
        <a:xfrm>
          <a:off x="3806448" y="5049333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545765</xdr:colOff>
      <xdr:row>26</xdr:row>
      <xdr:rowOff>116929</xdr:rowOff>
    </xdr:from>
    <xdr:to>
      <xdr:col>3</xdr:col>
      <xdr:colOff>591484</xdr:colOff>
      <xdr:row>26</xdr:row>
      <xdr:rowOff>174791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C634FD42-6EDA-419C-A3F7-48FE9E2361B1}"/>
            </a:ext>
          </a:extLst>
        </xdr:cNvPr>
        <xdr:cNvSpPr/>
      </xdr:nvSpPr>
      <xdr:spPr>
        <a:xfrm>
          <a:off x="5289215" y="4955629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997511</xdr:colOff>
      <xdr:row>23</xdr:row>
      <xdr:rowOff>107233</xdr:rowOff>
    </xdr:from>
    <xdr:to>
      <xdr:col>1</xdr:col>
      <xdr:colOff>1043230</xdr:colOff>
      <xdr:row>23</xdr:row>
      <xdr:rowOff>165095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553ED54D-6874-4FDE-B4AA-9927B20BC4B5}"/>
            </a:ext>
          </a:extLst>
        </xdr:cNvPr>
        <xdr:cNvSpPr/>
      </xdr:nvSpPr>
      <xdr:spPr>
        <a:xfrm>
          <a:off x="2290190" y="4480957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1081876</xdr:colOff>
      <xdr:row>23</xdr:row>
      <xdr:rowOff>162442</xdr:rowOff>
    </xdr:from>
    <xdr:to>
      <xdr:col>2</xdr:col>
      <xdr:colOff>1127595</xdr:colOff>
      <xdr:row>24</xdr:row>
      <xdr:rowOff>35635</xdr:rowOff>
    </xdr:to>
    <xdr:sp macro="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F1ECCF68-47ED-4D15-83E4-354C1959D9CA}"/>
            </a:ext>
          </a:extLst>
        </xdr:cNvPr>
        <xdr:cNvSpPr/>
      </xdr:nvSpPr>
      <xdr:spPr>
        <a:xfrm>
          <a:off x="3774146" y="4536166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534477</xdr:colOff>
      <xdr:row>23</xdr:row>
      <xdr:rowOff>81576</xdr:rowOff>
    </xdr:from>
    <xdr:to>
      <xdr:col>3</xdr:col>
      <xdr:colOff>580196</xdr:colOff>
      <xdr:row>23</xdr:row>
      <xdr:rowOff>139438</xdr:rowOff>
    </xdr:to>
    <xdr:sp macro="" textlink="">
      <xdr:nvSpPr>
        <xdr:cNvPr id="9" name="Rectángulo: esquinas redondeadas 8">
          <a:extLst>
            <a:ext uri="{FF2B5EF4-FFF2-40B4-BE49-F238E27FC236}">
              <a16:creationId xmlns:a16="http://schemas.microsoft.com/office/drawing/2014/main" id="{BDDD50E1-5418-44F0-827B-C58A89318369}"/>
            </a:ext>
          </a:extLst>
        </xdr:cNvPr>
        <xdr:cNvSpPr/>
      </xdr:nvSpPr>
      <xdr:spPr>
        <a:xfrm>
          <a:off x="5277538" y="4455300"/>
          <a:ext cx="45719" cy="5786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6A4985-1200-4089-B7A4-2302454C53B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448237</xdr:colOff>
      <xdr:row>9</xdr:row>
      <xdr:rowOff>22411</xdr:rowOff>
    </xdr:from>
    <xdr:to>
      <xdr:col>3</xdr:col>
      <xdr:colOff>672355</xdr:colOff>
      <xdr:row>28</xdr:row>
      <xdr:rowOff>7710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DA6E548-5BAC-4EB3-AE62-4E385709BA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448237" y="1770529"/>
          <a:ext cx="4975412" cy="3391887"/>
        </a:xfrm>
        <a:prstGeom prst="rect">
          <a:avLst/>
        </a:prstGeom>
      </xdr:spPr>
    </xdr:pic>
    <xdr:clientData/>
  </xdr:twoCellAnchor>
  <xdr:twoCellAnchor>
    <xdr:from>
      <xdr:col>1</xdr:col>
      <xdr:colOff>1360102</xdr:colOff>
      <xdr:row>17</xdr:row>
      <xdr:rowOff>123264</xdr:rowOff>
    </xdr:from>
    <xdr:to>
      <xdr:col>2</xdr:col>
      <xdr:colOff>246530</xdr:colOff>
      <xdr:row>18</xdr:row>
      <xdr:rowOff>134470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BE0224BB-BD6E-4385-9188-90EED5E4ADFD}"/>
            </a:ext>
          </a:extLst>
        </xdr:cNvPr>
        <xdr:cNvSpPr/>
      </xdr:nvSpPr>
      <xdr:spPr>
        <a:xfrm>
          <a:off x="2659984" y="3305735"/>
          <a:ext cx="287164" cy="190500"/>
        </a:xfrm>
        <a:prstGeom prst="roundRect">
          <a:avLst/>
        </a:prstGeom>
        <a:solidFill>
          <a:srgbClr val="FFFF00">
            <a:alpha val="32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1366825</xdr:colOff>
      <xdr:row>16</xdr:row>
      <xdr:rowOff>73959</xdr:rowOff>
    </xdr:from>
    <xdr:to>
      <xdr:col>2</xdr:col>
      <xdr:colOff>253253</xdr:colOff>
      <xdr:row>17</xdr:row>
      <xdr:rowOff>85164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EFA45C77-ED32-4443-ADF7-CE5F7B16C3DF}"/>
            </a:ext>
          </a:extLst>
        </xdr:cNvPr>
        <xdr:cNvSpPr/>
      </xdr:nvSpPr>
      <xdr:spPr>
        <a:xfrm>
          <a:off x="2666707" y="3077135"/>
          <a:ext cx="287164" cy="190500"/>
        </a:xfrm>
        <a:prstGeom prst="roundRect">
          <a:avLst/>
        </a:prstGeom>
        <a:solidFill>
          <a:srgbClr val="FFFF00">
            <a:alpha val="32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1171842</xdr:colOff>
      <xdr:row>16</xdr:row>
      <xdr:rowOff>125506</xdr:rowOff>
    </xdr:from>
    <xdr:to>
      <xdr:col>2</xdr:col>
      <xdr:colOff>1459006</xdr:colOff>
      <xdr:row>17</xdr:row>
      <xdr:rowOff>136711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C0AC8254-66C0-437A-AD4F-7218CFCE2335}"/>
            </a:ext>
          </a:extLst>
        </xdr:cNvPr>
        <xdr:cNvSpPr/>
      </xdr:nvSpPr>
      <xdr:spPr>
        <a:xfrm>
          <a:off x="3872460" y="3128682"/>
          <a:ext cx="287164" cy="190500"/>
        </a:xfrm>
        <a:prstGeom prst="roundRect">
          <a:avLst/>
        </a:prstGeom>
        <a:solidFill>
          <a:srgbClr val="FFFF00">
            <a:alpha val="32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1178564</xdr:colOff>
      <xdr:row>17</xdr:row>
      <xdr:rowOff>177053</xdr:rowOff>
    </xdr:from>
    <xdr:to>
      <xdr:col>2</xdr:col>
      <xdr:colOff>1465728</xdr:colOff>
      <xdr:row>19</xdr:row>
      <xdr:rowOff>8965</xdr:rowOff>
    </xdr:to>
    <xdr:sp macro="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899AEDC7-CB3F-4697-A743-4B34D225D916}"/>
            </a:ext>
          </a:extLst>
        </xdr:cNvPr>
        <xdr:cNvSpPr/>
      </xdr:nvSpPr>
      <xdr:spPr>
        <a:xfrm>
          <a:off x="3879182" y="3359524"/>
          <a:ext cx="287164" cy="190500"/>
        </a:xfrm>
        <a:prstGeom prst="roundRect">
          <a:avLst/>
        </a:prstGeom>
        <a:solidFill>
          <a:srgbClr val="FFFF00">
            <a:alpha val="32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335886</xdr:colOff>
      <xdr:row>17</xdr:row>
      <xdr:rowOff>85162</xdr:rowOff>
    </xdr:from>
    <xdr:to>
      <xdr:col>1</xdr:col>
      <xdr:colOff>623050</xdr:colOff>
      <xdr:row>18</xdr:row>
      <xdr:rowOff>96368</xdr:rowOff>
    </xdr:to>
    <xdr:sp macro="" textlink="">
      <xdr:nvSpPr>
        <xdr:cNvPr id="9" name="Rectángulo: esquinas redondeadas 8">
          <a:extLst>
            <a:ext uri="{FF2B5EF4-FFF2-40B4-BE49-F238E27FC236}">
              <a16:creationId xmlns:a16="http://schemas.microsoft.com/office/drawing/2014/main" id="{345CEE5E-2774-443E-A6A7-E222DF275E99}"/>
            </a:ext>
          </a:extLst>
        </xdr:cNvPr>
        <xdr:cNvSpPr/>
      </xdr:nvSpPr>
      <xdr:spPr>
        <a:xfrm>
          <a:off x="1635768" y="3267633"/>
          <a:ext cx="287164" cy="190500"/>
        </a:xfrm>
        <a:prstGeom prst="roundRect">
          <a:avLst/>
        </a:prstGeom>
        <a:solidFill>
          <a:srgbClr val="FFFF00">
            <a:alpha val="32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342609</xdr:colOff>
      <xdr:row>16</xdr:row>
      <xdr:rowOff>35857</xdr:rowOff>
    </xdr:from>
    <xdr:to>
      <xdr:col>1</xdr:col>
      <xdr:colOff>629773</xdr:colOff>
      <xdr:row>17</xdr:row>
      <xdr:rowOff>47062</xdr:rowOff>
    </xdr:to>
    <xdr:sp macro="" textlink="">
      <xdr:nvSpPr>
        <xdr:cNvPr id="10" name="Rectángulo: esquinas redondeadas 9">
          <a:extLst>
            <a:ext uri="{FF2B5EF4-FFF2-40B4-BE49-F238E27FC236}">
              <a16:creationId xmlns:a16="http://schemas.microsoft.com/office/drawing/2014/main" id="{9EC0BDDA-8B02-4A32-96B2-400A9E703D16}"/>
            </a:ext>
          </a:extLst>
        </xdr:cNvPr>
        <xdr:cNvSpPr/>
      </xdr:nvSpPr>
      <xdr:spPr>
        <a:xfrm>
          <a:off x="1642491" y="3039033"/>
          <a:ext cx="287164" cy="190500"/>
        </a:xfrm>
        <a:prstGeom prst="roundRect">
          <a:avLst/>
        </a:prstGeom>
        <a:solidFill>
          <a:srgbClr val="FFFF00">
            <a:alpha val="32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166927D-1F58-4452-A0E3-D936DA51428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  <xdr:twoCellAnchor editAs="oneCell">
    <xdr:from>
      <xdr:col>0</xdr:col>
      <xdr:colOff>425823</xdr:colOff>
      <xdr:row>10</xdr:row>
      <xdr:rowOff>135017</xdr:rowOff>
    </xdr:from>
    <xdr:to>
      <xdr:col>3</xdr:col>
      <xdr:colOff>1030940</xdr:colOff>
      <xdr:row>27</xdr:row>
      <xdr:rowOff>56447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1646E0-A19C-410A-819F-DEAB06021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5823" y="2062429"/>
          <a:ext cx="5356411" cy="2969430"/>
        </a:xfrm>
        <a:prstGeom prst="rect">
          <a:avLst/>
        </a:prstGeom>
      </xdr:spPr>
    </xdr:pic>
    <xdr:clientData/>
  </xdr:twoCellAnchor>
  <xdr:twoCellAnchor editAs="oneCell">
    <xdr:from>
      <xdr:col>2</xdr:col>
      <xdr:colOff>1685363</xdr:colOff>
      <xdr:row>40</xdr:row>
      <xdr:rowOff>22412</xdr:rowOff>
    </xdr:from>
    <xdr:to>
      <xdr:col>9</xdr:col>
      <xdr:colOff>288500</xdr:colOff>
      <xdr:row>70</xdr:row>
      <xdr:rowOff>43588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ECB921C-BAA0-4E29-859A-7515025D1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85981" y="5715000"/>
          <a:ext cx="9730578" cy="54000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1273661</xdr:colOff>
      <xdr:row>4</xdr:row>
      <xdr:rowOff>167977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2359F5-3DB2-4FA2-82F0-F5521C569A8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4237" cy="858259"/>
        </a:xfrm>
        <a:prstGeom prst="rect">
          <a:avLst/>
        </a:prstGeom>
      </xdr:spPr>
    </xdr:pic>
    <xdr:clientData/>
  </xdr:twoCellAnchor>
  <xdr:twoCellAnchor editAs="oneCell">
    <xdr:from>
      <xdr:col>0</xdr:col>
      <xdr:colOff>35859</xdr:colOff>
      <xdr:row>9</xdr:row>
      <xdr:rowOff>137419</xdr:rowOff>
    </xdr:from>
    <xdr:to>
      <xdr:col>3</xdr:col>
      <xdr:colOff>1541929</xdr:colOff>
      <xdr:row>21</xdr:row>
      <xdr:rowOff>149999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C5F246B-849B-4040-B6E9-C0D7F0215D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663" t="16307" r="2110" b="29426"/>
        <a:stretch/>
      </xdr:blipFill>
      <xdr:spPr>
        <a:xfrm>
          <a:off x="35859" y="1899544"/>
          <a:ext cx="6249520" cy="218428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1273661</xdr:colOff>
      <xdr:row>4</xdr:row>
      <xdr:rowOff>167977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05BF3B-A734-4534-981D-7F338FFB63F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4237" cy="858259"/>
        </a:xfrm>
        <a:prstGeom prst="rect">
          <a:avLst/>
        </a:prstGeom>
      </xdr:spPr>
    </xdr:pic>
    <xdr:clientData/>
  </xdr:twoCellAnchor>
  <xdr:twoCellAnchor editAs="oneCell">
    <xdr:from>
      <xdr:col>0</xdr:col>
      <xdr:colOff>35859</xdr:colOff>
      <xdr:row>9</xdr:row>
      <xdr:rowOff>137419</xdr:rowOff>
    </xdr:from>
    <xdr:to>
      <xdr:col>3</xdr:col>
      <xdr:colOff>1541929</xdr:colOff>
      <xdr:row>21</xdr:row>
      <xdr:rowOff>149999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36B0D91-E3A6-479F-85B5-CFBF7C2D46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663" t="16307" r="2110" b="29426"/>
        <a:stretch/>
      </xdr:blipFill>
      <xdr:spPr>
        <a:xfrm>
          <a:off x="35859" y="1899544"/>
          <a:ext cx="6249520" cy="218428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1273661</xdr:colOff>
      <xdr:row>4</xdr:row>
      <xdr:rowOff>167977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2D464C0-F062-4D54-ABFE-7C54BA4B637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4237" cy="858259"/>
        </a:xfrm>
        <a:prstGeom prst="rect">
          <a:avLst/>
        </a:prstGeom>
      </xdr:spPr>
    </xdr:pic>
    <xdr:clientData/>
  </xdr:twoCellAnchor>
  <xdr:twoCellAnchor editAs="oneCell">
    <xdr:from>
      <xdr:col>0</xdr:col>
      <xdr:colOff>549088</xdr:colOff>
      <xdr:row>9</xdr:row>
      <xdr:rowOff>89647</xdr:rowOff>
    </xdr:from>
    <xdr:to>
      <xdr:col>3</xdr:col>
      <xdr:colOff>773206</xdr:colOff>
      <xdr:row>26</xdr:row>
      <xdr:rowOff>74946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4B5E761-FEB6-4A0D-B58B-97EF5FCD78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549088" y="1837765"/>
          <a:ext cx="4975412" cy="3391887"/>
        </a:xfrm>
        <a:prstGeom prst="rect">
          <a:avLst/>
        </a:prstGeom>
      </xdr:spPr>
    </xdr:pic>
    <xdr:clientData/>
  </xdr:twoCellAnchor>
  <xdr:twoCellAnchor>
    <xdr:from>
      <xdr:col>2</xdr:col>
      <xdr:colOff>2041415</xdr:colOff>
      <xdr:row>16</xdr:row>
      <xdr:rowOff>123265</xdr:rowOff>
    </xdr:from>
    <xdr:to>
      <xdr:col>3</xdr:col>
      <xdr:colOff>277903</xdr:colOff>
      <xdr:row>18</xdr:row>
      <xdr:rowOff>165848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3C1ED4AC-C619-4F34-82C4-4C2FB3D67B25}"/>
            </a:ext>
          </a:extLst>
        </xdr:cNvPr>
        <xdr:cNvSpPr/>
      </xdr:nvSpPr>
      <xdr:spPr>
        <a:xfrm>
          <a:off x="4742033" y="3126441"/>
          <a:ext cx="287164" cy="401172"/>
        </a:xfrm>
        <a:prstGeom prst="roundRect">
          <a:avLst/>
        </a:prstGeom>
        <a:solidFill>
          <a:srgbClr val="FFFF00">
            <a:alpha val="32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1273661</xdr:colOff>
      <xdr:row>4</xdr:row>
      <xdr:rowOff>167977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166AB4-D909-4DDA-A2A5-1EC9C27A9D0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4237" cy="858259"/>
        </a:xfrm>
        <a:prstGeom prst="rect">
          <a:avLst/>
        </a:prstGeom>
      </xdr:spPr>
    </xdr:pic>
    <xdr:clientData/>
  </xdr:twoCellAnchor>
  <xdr:twoCellAnchor editAs="oneCell">
    <xdr:from>
      <xdr:col>0</xdr:col>
      <xdr:colOff>549088</xdr:colOff>
      <xdr:row>9</xdr:row>
      <xdr:rowOff>89647</xdr:rowOff>
    </xdr:from>
    <xdr:to>
      <xdr:col>3</xdr:col>
      <xdr:colOff>773206</xdr:colOff>
      <xdr:row>27</xdr:row>
      <xdr:rowOff>74946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154C17E-975F-4B9E-AC3C-4C53F4B1B2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549088" y="1851772"/>
          <a:ext cx="4967568" cy="3423824"/>
        </a:xfrm>
        <a:prstGeom prst="rect">
          <a:avLst/>
        </a:prstGeom>
      </xdr:spPr>
    </xdr:pic>
    <xdr:clientData/>
  </xdr:twoCellAnchor>
  <xdr:twoCellAnchor>
    <xdr:from>
      <xdr:col>2</xdr:col>
      <xdr:colOff>2041415</xdr:colOff>
      <xdr:row>16</xdr:row>
      <xdr:rowOff>123265</xdr:rowOff>
    </xdr:from>
    <xdr:to>
      <xdr:col>3</xdr:col>
      <xdr:colOff>277903</xdr:colOff>
      <xdr:row>18</xdr:row>
      <xdr:rowOff>165848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ABB03ACB-6131-4933-89E3-8CAD270E3948}"/>
            </a:ext>
          </a:extLst>
        </xdr:cNvPr>
        <xdr:cNvSpPr/>
      </xdr:nvSpPr>
      <xdr:spPr>
        <a:xfrm>
          <a:off x="4736990" y="3514165"/>
          <a:ext cx="284363" cy="404533"/>
        </a:xfrm>
        <a:prstGeom prst="roundRect">
          <a:avLst/>
        </a:prstGeom>
        <a:solidFill>
          <a:srgbClr val="FFFF00">
            <a:alpha val="32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5</xdr:row>
      <xdr:rowOff>3699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2A6DF6-0E17-4CED-B0AE-634023F6D6A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4237" cy="858259"/>
        </a:xfrm>
        <a:prstGeom prst="rect">
          <a:avLst/>
        </a:prstGeom>
      </xdr:spPr>
    </xdr:pic>
    <xdr:clientData/>
  </xdr:twoCellAnchor>
  <xdr:twoCellAnchor editAs="oneCell">
    <xdr:from>
      <xdr:col>0</xdr:col>
      <xdr:colOff>549088</xdr:colOff>
      <xdr:row>9</xdr:row>
      <xdr:rowOff>89647</xdr:rowOff>
    </xdr:from>
    <xdr:to>
      <xdr:col>3</xdr:col>
      <xdr:colOff>775111</xdr:colOff>
      <xdr:row>28</xdr:row>
      <xdr:rowOff>74946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E2E3BC2-0EBA-499D-8BFA-6D8435A0DD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97" t="9876" r="19372" b="8859"/>
        <a:stretch/>
      </xdr:blipFill>
      <xdr:spPr>
        <a:xfrm>
          <a:off x="549088" y="1851772"/>
          <a:ext cx="4967568" cy="3423824"/>
        </a:xfrm>
        <a:prstGeom prst="rect">
          <a:avLst/>
        </a:prstGeom>
      </xdr:spPr>
    </xdr:pic>
    <xdr:clientData/>
  </xdr:twoCellAnchor>
  <xdr:twoCellAnchor>
    <xdr:from>
      <xdr:col>2</xdr:col>
      <xdr:colOff>2041415</xdr:colOff>
      <xdr:row>16</xdr:row>
      <xdr:rowOff>123265</xdr:rowOff>
    </xdr:from>
    <xdr:to>
      <xdr:col>3</xdr:col>
      <xdr:colOff>277903</xdr:colOff>
      <xdr:row>18</xdr:row>
      <xdr:rowOff>165848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B3576275-A16D-4F35-AA11-D59E70CC5EFB}"/>
            </a:ext>
          </a:extLst>
        </xdr:cNvPr>
        <xdr:cNvSpPr/>
      </xdr:nvSpPr>
      <xdr:spPr>
        <a:xfrm>
          <a:off x="4736990" y="3333190"/>
          <a:ext cx="284363" cy="404533"/>
        </a:xfrm>
        <a:prstGeom prst="roundRect">
          <a:avLst/>
        </a:prstGeom>
        <a:solidFill>
          <a:srgbClr val="FFFF00">
            <a:alpha val="32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1C10E9-AC9D-49BE-8302-92012889BC9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33618</xdr:rowOff>
    </xdr:from>
    <xdr:to>
      <xdr:col>1</xdr:col>
      <xdr:colOff>1277471</xdr:colOff>
      <xdr:row>4</xdr:row>
      <xdr:rowOff>164167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1C07914-276C-4DE1-ADBF-E71952BB653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4" t="15108" r="58220"/>
        <a:stretch/>
      </xdr:blipFill>
      <xdr:spPr>
        <a:xfrm>
          <a:off x="44824" y="33618"/>
          <a:ext cx="2528047" cy="85444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LH CONSTRUCCIONES CIVILES SAS" id="{3C703C66-2D27-4537-9465-F0AAB70087FD}" userId="c9bee5ae2b3c54e3" providerId="Windows Live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1" dT="2023-07-26T22:12:00.90" personId="{3C703C66-2D27-4537-9465-F0AAB70087FD}" id="{B4FEF1DF-23A9-42B2-9267-9F1D1A5314CA}" done="1">
    <text>ES 0CERO  UNIDADES YA QUE SE VA INSTALAR LOSETA A-20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J11" dT="2023-07-26T22:12:00.90" personId="{3C703C66-2D27-4537-9465-F0AAB70087FD}" id="{3499A721-5857-4C33-960C-D89153D14B77}" done="1">
    <text>ES 0CERO  UNIDADES YA QUE SE VA INSTALAR LOSETA A-20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62483-B9A1-49AB-AAF9-D17CFE2AEF69}">
  <sheetPr>
    <tabColor rgb="FF002060"/>
    <pageSetUpPr fitToPage="1"/>
  </sheetPr>
  <dimension ref="B1:M43"/>
  <sheetViews>
    <sheetView showGridLines="0" tabSelected="1" zoomScale="85" zoomScaleNormal="85" zoomScaleSheetLayoutView="100" zoomScalePageLayoutView="70" workbookViewId="0">
      <selection activeCell="N21" sqref="N21"/>
    </sheetView>
  </sheetViews>
  <sheetFormatPr baseColWidth="10" defaultColWidth="11.5546875" defaultRowHeight="13.8" x14ac:dyDescent="0.25"/>
  <cols>
    <col min="1" max="1" width="2.44140625" style="1" customWidth="1"/>
    <col min="2" max="2" width="19.88671875" style="1" customWidth="1"/>
    <col min="3" max="3" width="0.109375" style="1" customWidth="1"/>
    <col min="4" max="4" width="11.109375" style="1" customWidth="1"/>
    <col min="5" max="6" width="14.33203125" style="1" customWidth="1"/>
    <col min="7" max="7" width="87.109375" style="6" customWidth="1"/>
    <col min="8" max="8" width="12.33203125" style="1" customWidth="1"/>
    <col min="9" max="9" width="12.33203125" style="58" customWidth="1"/>
    <col min="10" max="10" width="20" style="1" customWidth="1"/>
    <col min="11" max="11" width="23" style="1" customWidth="1"/>
    <col min="12" max="12" width="29" style="1" customWidth="1"/>
    <col min="13" max="13" width="11.88671875" style="1" bestFit="1" customWidth="1"/>
    <col min="14" max="16384" width="11.5546875" style="1"/>
  </cols>
  <sheetData>
    <row r="1" spans="2:12" ht="84" customHeight="1" x14ac:dyDescent="0.25"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</row>
    <row r="2" spans="2:12" ht="33" customHeight="1" x14ac:dyDescent="0.25">
      <c r="B2" s="243" t="s">
        <v>0</v>
      </c>
      <c r="C2" s="243"/>
      <c r="D2" s="246" t="s">
        <v>349</v>
      </c>
      <c r="E2" s="247"/>
      <c r="F2" s="247"/>
      <c r="G2" s="247"/>
      <c r="H2" s="247"/>
      <c r="I2" s="247"/>
      <c r="J2" s="248"/>
      <c r="K2" s="2" t="s">
        <v>1</v>
      </c>
      <c r="L2" s="3"/>
    </row>
    <row r="3" spans="2:12" ht="30" customHeight="1" x14ac:dyDescent="0.25">
      <c r="B3" s="243" t="s">
        <v>2</v>
      </c>
      <c r="C3" s="243"/>
      <c r="D3" s="246" t="s">
        <v>15</v>
      </c>
      <c r="E3" s="247"/>
      <c r="F3" s="247"/>
      <c r="G3" s="247"/>
      <c r="H3" s="247"/>
      <c r="I3" s="247"/>
      <c r="J3" s="248"/>
      <c r="K3" s="2" t="s">
        <v>3</v>
      </c>
      <c r="L3" s="25" t="s">
        <v>350</v>
      </c>
    </row>
    <row r="4" spans="2:12" ht="30" customHeight="1" x14ac:dyDescent="0.25">
      <c r="B4" s="244" t="s">
        <v>4</v>
      </c>
      <c r="C4" s="244"/>
      <c r="D4" s="246" t="s">
        <v>28</v>
      </c>
      <c r="E4" s="247"/>
      <c r="F4" s="247"/>
      <c r="G4" s="247"/>
      <c r="H4" s="247"/>
      <c r="I4" s="247"/>
      <c r="J4" s="248"/>
      <c r="K4" s="2" t="s">
        <v>6</v>
      </c>
      <c r="L4" s="91" t="s">
        <v>351</v>
      </c>
    </row>
    <row r="5" spans="2:12" ht="34.950000000000003" customHeight="1" x14ac:dyDescent="0.25">
      <c r="B5" s="244" t="s">
        <v>5</v>
      </c>
      <c r="C5" s="244"/>
      <c r="D5" s="246" t="s">
        <v>28</v>
      </c>
      <c r="E5" s="247"/>
      <c r="F5" s="247"/>
      <c r="G5" s="247"/>
      <c r="H5" s="247"/>
      <c r="I5" s="247"/>
      <c r="J5" s="248"/>
      <c r="K5" s="245" t="s">
        <v>7</v>
      </c>
      <c r="L5" s="245"/>
    </row>
    <row r="6" spans="2:12" ht="9" customHeight="1" thickBot="1" x14ac:dyDescent="0.3"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8"/>
    </row>
    <row r="7" spans="2:12" ht="45.75" customHeight="1" x14ac:dyDescent="0.25">
      <c r="B7" s="20" t="s">
        <v>8</v>
      </c>
      <c r="C7" s="21" t="s">
        <v>9</v>
      </c>
      <c r="D7" s="21" t="s">
        <v>29</v>
      </c>
      <c r="E7" s="21" t="s">
        <v>30</v>
      </c>
      <c r="F7" s="21" t="s">
        <v>386</v>
      </c>
      <c r="G7" s="21" t="s">
        <v>26</v>
      </c>
      <c r="H7" s="21" t="s">
        <v>9</v>
      </c>
      <c r="I7" s="55" t="s">
        <v>23</v>
      </c>
      <c r="J7" s="21" t="s">
        <v>11</v>
      </c>
      <c r="K7" s="21" t="s">
        <v>20</v>
      </c>
      <c r="L7" s="22" t="s">
        <v>21</v>
      </c>
    </row>
    <row r="8" spans="2:12" ht="16.5" customHeight="1" x14ac:dyDescent="0.25">
      <c r="B8" s="240" t="s">
        <v>362</v>
      </c>
      <c r="C8" s="236" t="s">
        <v>14</v>
      </c>
      <c r="D8" s="229" t="s">
        <v>24</v>
      </c>
      <c r="E8" s="230"/>
      <c r="F8" s="218"/>
      <c r="G8" s="208" t="s">
        <v>362</v>
      </c>
      <c r="H8" s="209"/>
      <c r="I8" s="209"/>
      <c r="J8" s="209"/>
      <c r="K8" s="210"/>
      <c r="L8" s="23">
        <f>SUM(L9:L17)</f>
        <v>4674026.1068799999</v>
      </c>
    </row>
    <row r="9" spans="2:12" ht="16.5" customHeight="1" x14ac:dyDescent="0.25">
      <c r="B9" s="240"/>
      <c r="C9" s="236"/>
      <c r="D9" s="4">
        <v>1.1000000000000001</v>
      </c>
      <c r="E9" s="4" t="s">
        <v>352</v>
      </c>
      <c r="F9" s="4">
        <v>70111700</v>
      </c>
      <c r="G9" s="62" t="s">
        <v>353</v>
      </c>
      <c r="H9" s="116" t="s">
        <v>69</v>
      </c>
      <c r="I9" s="199">
        <v>18</v>
      </c>
      <c r="J9" s="200">
        <v>6897.08</v>
      </c>
      <c r="K9" s="200">
        <f>J9*1.3</f>
        <v>8966.2039999999997</v>
      </c>
      <c r="L9" s="200">
        <f>K9*I9</f>
        <v>161391.67199999999</v>
      </c>
    </row>
    <row r="10" spans="2:12" x14ac:dyDescent="0.25">
      <c r="B10" s="240"/>
      <c r="C10" s="236"/>
      <c r="D10" s="4">
        <v>1.2</v>
      </c>
      <c r="E10" s="4" t="s">
        <v>354</v>
      </c>
      <c r="F10" s="4">
        <v>70111700</v>
      </c>
      <c r="G10" s="62" t="s">
        <v>355</v>
      </c>
      <c r="H10" s="116" t="s">
        <v>69</v>
      </c>
      <c r="I10" s="199">
        <v>18</v>
      </c>
      <c r="J10" s="200">
        <v>22572.27</v>
      </c>
      <c r="K10" s="200">
        <f t="shared" ref="K10:K17" si="0">J10*1.3</f>
        <v>29343.951000000001</v>
      </c>
      <c r="L10" s="200">
        <f t="shared" ref="L10:L17" si="1">K10*I10</f>
        <v>528191.11800000002</v>
      </c>
    </row>
    <row r="11" spans="2:12" x14ac:dyDescent="0.25">
      <c r="B11" s="240"/>
      <c r="C11" s="236"/>
      <c r="D11" s="4">
        <v>1.3</v>
      </c>
      <c r="E11" s="4" t="s">
        <v>357</v>
      </c>
      <c r="F11" s="4">
        <v>72151900</v>
      </c>
      <c r="G11" s="62" t="s">
        <v>356</v>
      </c>
      <c r="H11" s="116" t="s">
        <v>65</v>
      </c>
      <c r="I11" s="199">
        <v>28.54</v>
      </c>
      <c r="J11" s="200">
        <v>6180.5</v>
      </c>
      <c r="K11" s="200">
        <f t="shared" si="0"/>
        <v>8034.6500000000005</v>
      </c>
      <c r="L11" s="200">
        <f t="shared" si="1"/>
        <v>229308.91100000002</v>
      </c>
    </row>
    <row r="12" spans="2:12" x14ac:dyDescent="0.25">
      <c r="B12" s="240"/>
      <c r="C12" s="236"/>
      <c r="D12" s="4">
        <v>1.4</v>
      </c>
      <c r="E12" s="4" t="s">
        <v>364</v>
      </c>
      <c r="F12" s="4">
        <v>72151900</v>
      </c>
      <c r="G12" s="62" t="s">
        <v>363</v>
      </c>
      <c r="H12" s="116" t="s">
        <v>60</v>
      </c>
      <c r="I12" s="199">
        <v>2.0699999999999998</v>
      </c>
      <c r="J12" s="200">
        <v>55765.73</v>
      </c>
      <c r="K12" s="200">
        <f t="shared" si="0"/>
        <v>72495.449000000008</v>
      </c>
      <c r="L12" s="200">
        <f t="shared" si="1"/>
        <v>150065.57943000001</v>
      </c>
    </row>
    <row r="13" spans="2:12" x14ac:dyDescent="0.25">
      <c r="B13" s="240"/>
      <c r="C13" s="236"/>
      <c r="D13" s="4">
        <v>1.5</v>
      </c>
      <c r="E13" s="4" t="s">
        <v>359</v>
      </c>
      <c r="F13" s="4">
        <v>72151900</v>
      </c>
      <c r="G13" s="62" t="s">
        <v>358</v>
      </c>
      <c r="H13" s="116" t="s">
        <v>69</v>
      </c>
      <c r="I13" s="199">
        <v>1</v>
      </c>
      <c r="J13" s="200">
        <v>27532.61</v>
      </c>
      <c r="K13" s="200">
        <f t="shared" si="0"/>
        <v>35792.393000000004</v>
      </c>
      <c r="L13" s="200">
        <f t="shared" si="1"/>
        <v>35792.393000000004</v>
      </c>
    </row>
    <row r="14" spans="2:12" x14ac:dyDescent="0.25">
      <c r="B14" s="240"/>
      <c r="C14" s="236"/>
      <c r="D14" s="4">
        <v>1.6</v>
      </c>
      <c r="E14" s="4" t="s">
        <v>361</v>
      </c>
      <c r="F14" s="4">
        <v>72151900</v>
      </c>
      <c r="G14" s="62" t="s">
        <v>360</v>
      </c>
      <c r="H14" s="116" t="s">
        <v>60</v>
      </c>
      <c r="I14" s="199">
        <f>+(25.45+26.3)*0.45</f>
        <v>23.287500000000001</v>
      </c>
      <c r="J14" s="200">
        <v>13629</v>
      </c>
      <c r="K14" s="200">
        <f t="shared" si="0"/>
        <v>17717.7</v>
      </c>
      <c r="L14" s="200">
        <f t="shared" si="1"/>
        <v>412600.93875000003</v>
      </c>
    </row>
    <row r="15" spans="2:12" x14ac:dyDescent="0.25">
      <c r="B15" s="240"/>
      <c r="C15" s="236"/>
      <c r="D15" s="4">
        <v>1.7</v>
      </c>
      <c r="E15" s="4" t="s">
        <v>366</v>
      </c>
      <c r="F15" s="4">
        <v>72151900</v>
      </c>
      <c r="G15" s="62" t="s">
        <v>365</v>
      </c>
      <c r="H15" s="116" t="s">
        <v>60</v>
      </c>
      <c r="I15" s="199">
        <f>186.5-(1.8*6)</f>
        <v>175.7</v>
      </c>
      <c r="J15" s="200">
        <v>7184.5</v>
      </c>
      <c r="K15" s="200">
        <f t="shared" si="0"/>
        <v>9339.85</v>
      </c>
      <c r="L15" s="200">
        <f t="shared" si="1"/>
        <v>1641011.645</v>
      </c>
    </row>
    <row r="16" spans="2:12" x14ac:dyDescent="0.25">
      <c r="B16" s="240"/>
      <c r="C16" s="236"/>
      <c r="D16" s="4">
        <v>1.8</v>
      </c>
      <c r="E16" s="4" t="s">
        <v>368</v>
      </c>
      <c r="F16" s="4">
        <v>72151900</v>
      </c>
      <c r="G16" s="62" t="s">
        <v>367</v>
      </c>
      <c r="H16" s="116" t="s">
        <v>60</v>
      </c>
      <c r="I16" s="199">
        <v>9.8000000000000007</v>
      </c>
      <c r="J16" s="200">
        <v>4742.57</v>
      </c>
      <c r="K16" s="200">
        <f t="shared" si="0"/>
        <v>6165.3409999999994</v>
      </c>
      <c r="L16" s="200">
        <f t="shared" si="1"/>
        <v>60420.341800000002</v>
      </c>
    </row>
    <row r="17" spans="2:13" x14ac:dyDescent="0.25">
      <c r="B17" s="240"/>
      <c r="C17" s="236"/>
      <c r="D17" s="4">
        <v>1.9</v>
      </c>
      <c r="E17" s="4" t="s">
        <v>370</v>
      </c>
      <c r="F17" s="4">
        <v>72151900</v>
      </c>
      <c r="G17" s="62" t="s">
        <v>369</v>
      </c>
      <c r="H17" s="116" t="s">
        <v>60</v>
      </c>
      <c r="I17" s="199">
        <f>+I15</f>
        <v>175.7</v>
      </c>
      <c r="J17" s="200">
        <v>6371.19</v>
      </c>
      <c r="K17" s="200">
        <f t="shared" si="0"/>
        <v>8282.5470000000005</v>
      </c>
      <c r="L17" s="200">
        <f t="shared" si="1"/>
        <v>1455243.5079000001</v>
      </c>
    </row>
    <row r="18" spans="2:13" ht="16.5" customHeight="1" thickBot="1" x14ac:dyDescent="0.3">
      <c r="B18" s="241"/>
      <c r="C18" s="242"/>
      <c r="D18" s="211"/>
      <c r="E18" s="212"/>
      <c r="F18" s="212"/>
      <c r="G18" s="212"/>
      <c r="H18" s="212"/>
      <c r="I18" s="212"/>
      <c r="J18" s="212"/>
      <c r="K18" s="198" t="s">
        <v>16</v>
      </c>
      <c r="L18" s="24">
        <f>L8</f>
        <v>4674026.1068799999</v>
      </c>
    </row>
    <row r="19" spans="2:13" ht="30.6" customHeight="1" thickBot="1" x14ac:dyDescent="0.3">
      <c r="B19" s="5"/>
      <c r="C19" s="5"/>
      <c r="D19" s="5"/>
      <c r="E19" s="5"/>
      <c r="F19" s="5"/>
      <c r="G19" s="47"/>
      <c r="H19" s="5"/>
      <c r="I19" s="56"/>
      <c r="J19" s="5"/>
      <c r="K19" s="5"/>
      <c r="L19" s="5"/>
    </row>
    <row r="20" spans="2:13" ht="43.5" customHeight="1" x14ac:dyDescent="0.25">
      <c r="B20" s="20" t="s">
        <v>10</v>
      </c>
      <c r="C20" s="21" t="s">
        <v>9</v>
      </c>
      <c r="D20" s="21" t="s">
        <v>29</v>
      </c>
      <c r="E20" s="21" t="s">
        <v>30</v>
      </c>
      <c r="F20" s="21" t="s">
        <v>386</v>
      </c>
      <c r="G20" s="21" t="s">
        <v>13</v>
      </c>
      <c r="H20" s="21" t="s">
        <v>9</v>
      </c>
      <c r="I20" s="55" t="s">
        <v>23</v>
      </c>
      <c r="J20" s="21" t="s">
        <v>11</v>
      </c>
      <c r="K20" s="21" t="s">
        <v>20</v>
      </c>
      <c r="L20" s="22" t="s">
        <v>21</v>
      </c>
    </row>
    <row r="21" spans="2:13" ht="16.5" customHeight="1" x14ac:dyDescent="0.25">
      <c r="B21" s="233" t="s">
        <v>371</v>
      </c>
      <c r="C21" s="236" t="s">
        <v>14</v>
      </c>
      <c r="D21" s="229" t="s">
        <v>25</v>
      </c>
      <c r="E21" s="230"/>
      <c r="F21" s="218"/>
      <c r="G21" s="208" t="s">
        <v>371</v>
      </c>
      <c r="H21" s="209"/>
      <c r="I21" s="209"/>
      <c r="J21" s="209"/>
      <c r="K21" s="210"/>
      <c r="L21" s="23">
        <f>+SUM(L22:L29)</f>
        <v>27805917.896796003</v>
      </c>
    </row>
    <row r="22" spans="2:13" ht="14.4" customHeight="1" x14ac:dyDescent="0.25">
      <c r="B22" s="234"/>
      <c r="C22" s="237"/>
      <c r="D22" s="221">
        <v>2.1</v>
      </c>
      <c r="E22" s="222" t="s">
        <v>220</v>
      </c>
      <c r="F22" s="222">
        <v>72101500</v>
      </c>
      <c r="G22" s="223" t="s">
        <v>372</v>
      </c>
      <c r="H22" s="222" t="s">
        <v>32</v>
      </c>
      <c r="I22" s="224">
        <f>172.2*0.15</f>
        <v>25.83</v>
      </c>
      <c r="J22" s="225">
        <v>51943.58</v>
      </c>
      <c r="K22" s="226">
        <f>J22*1.3</f>
        <v>67526.65400000001</v>
      </c>
      <c r="L22" s="227">
        <f>K22*I22</f>
        <v>1744213.47282</v>
      </c>
    </row>
    <row r="23" spans="2:13" ht="14.4" customHeight="1" x14ac:dyDescent="0.25">
      <c r="B23" s="234"/>
      <c r="C23" s="237"/>
      <c r="D23" s="201">
        <v>2.2000000000000002</v>
      </c>
      <c r="E23" s="4" t="s">
        <v>379</v>
      </c>
      <c r="F23" s="4">
        <v>72101500</v>
      </c>
      <c r="G23" s="219" t="s">
        <v>378</v>
      </c>
      <c r="H23" s="4" t="s">
        <v>32</v>
      </c>
      <c r="I23" s="199">
        <f>154.7*0.15</f>
        <v>23.204999999999998</v>
      </c>
      <c r="J23" s="200">
        <v>90646.13</v>
      </c>
      <c r="K23" s="226">
        <f t="shared" ref="K23:K29" si="2">J23*1.3</f>
        <v>117839.96900000001</v>
      </c>
      <c r="L23" s="227">
        <f t="shared" ref="L23:L29" si="3">K23*I23</f>
        <v>2734476.480645</v>
      </c>
    </row>
    <row r="24" spans="2:13" ht="14.4" customHeight="1" x14ac:dyDescent="0.25">
      <c r="B24" s="234"/>
      <c r="C24" s="237"/>
      <c r="D24" s="203">
        <v>2.2999999999999998</v>
      </c>
      <c r="E24" s="4" t="s">
        <v>381</v>
      </c>
      <c r="F24" s="4">
        <v>72101500</v>
      </c>
      <c r="G24" s="62" t="s">
        <v>380</v>
      </c>
      <c r="H24" s="4" t="s">
        <v>60</v>
      </c>
      <c r="I24" s="199">
        <v>34.5</v>
      </c>
      <c r="J24" s="200">
        <v>76977.97</v>
      </c>
      <c r="K24" s="226">
        <f t="shared" si="2"/>
        <v>100071.361</v>
      </c>
      <c r="L24" s="227">
        <f t="shared" si="3"/>
        <v>3452461.9545</v>
      </c>
    </row>
    <row r="25" spans="2:13" ht="27.6" x14ac:dyDescent="0.25">
      <c r="B25" s="234"/>
      <c r="C25" s="237"/>
      <c r="D25" s="201">
        <v>2.4</v>
      </c>
      <c r="E25" s="4" t="s">
        <v>374</v>
      </c>
      <c r="F25" s="4">
        <v>72101500</v>
      </c>
      <c r="G25" s="62" t="s">
        <v>373</v>
      </c>
      <c r="H25" s="4" t="s">
        <v>282</v>
      </c>
      <c r="I25" s="202">
        <v>82.72</v>
      </c>
      <c r="J25" s="200">
        <v>7349.45</v>
      </c>
      <c r="K25" s="226">
        <f t="shared" si="2"/>
        <v>9554.2849999999999</v>
      </c>
      <c r="L25" s="227">
        <f t="shared" si="3"/>
        <v>790330.45519999997</v>
      </c>
    </row>
    <row r="26" spans="2:13" ht="14.4" customHeight="1" x14ac:dyDescent="0.25">
      <c r="B26" s="234"/>
      <c r="C26" s="237"/>
      <c r="D26" s="203">
        <v>2.5</v>
      </c>
      <c r="E26" s="4" t="s">
        <v>375</v>
      </c>
      <c r="F26" s="4">
        <v>72101500</v>
      </c>
      <c r="G26" s="62" t="s">
        <v>376</v>
      </c>
      <c r="H26" s="4" t="s">
        <v>60</v>
      </c>
      <c r="I26" s="199">
        <f>+I24+(2.2*6)</f>
        <v>47.7</v>
      </c>
      <c r="J26" s="204">
        <v>28505</v>
      </c>
      <c r="K26" s="226">
        <f t="shared" si="2"/>
        <v>37056.5</v>
      </c>
      <c r="L26" s="227">
        <f t="shared" si="3"/>
        <v>1767595.05</v>
      </c>
    </row>
    <row r="27" spans="2:13" ht="27.6" x14ac:dyDescent="0.25">
      <c r="B27" s="234"/>
      <c r="C27" s="237"/>
      <c r="D27" s="201">
        <v>2.6</v>
      </c>
      <c r="E27" s="4" t="s">
        <v>375</v>
      </c>
      <c r="F27" s="4">
        <v>72101500</v>
      </c>
      <c r="G27" s="220" t="s">
        <v>382</v>
      </c>
      <c r="H27" s="205" t="s">
        <v>60</v>
      </c>
      <c r="I27" s="202">
        <f>183-I26</f>
        <v>135.30000000000001</v>
      </c>
      <c r="J27" s="368">
        <v>85470.002900000007</v>
      </c>
      <c r="K27" s="226">
        <f t="shared" si="2"/>
        <v>111111.00377000001</v>
      </c>
      <c r="L27" s="227">
        <f t="shared" si="3"/>
        <v>15033318.810081003</v>
      </c>
    </row>
    <row r="28" spans="2:13" x14ac:dyDescent="0.25">
      <c r="B28" s="234"/>
      <c r="C28" s="237"/>
      <c r="D28" s="203">
        <v>2.7</v>
      </c>
      <c r="E28" s="4" t="s">
        <v>307</v>
      </c>
      <c r="F28" s="4">
        <v>72101500</v>
      </c>
      <c r="G28" s="113" t="s">
        <v>377</v>
      </c>
      <c r="H28" s="205" t="s">
        <v>65</v>
      </c>
      <c r="I28" s="202">
        <f>10.1</f>
        <v>10.1</v>
      </c>
      <c r="J28" s="204">
        <v>24674.73</v>
      </c>
      <c r="K28" s="226">
        <f t="shared" si="2"/>
        <v>32077.149000000001</v>
      </c>
      <c r="L28" s="227">
        <f t="shared" si="3"/>
        <v>323979.20490000001</v>
      </c>
    </row>
    <row r="29" spans="2:13" ht="28.2" customHeight="1" x14ac:dyDescent="0.25">
      <c r="B29" s="234"/>
      <c r="C29" s="237"/>
      <c r="D29" s="201">
        <v>2.8</v>
      </c>
      <c r="E29" s="205" t="s">
        <v>385</v>
      </c>
      <c r="F29" s="4">
        <v>72101500</v>
      </c>
      <c r="G29" s="113" t="s">
        <v>384</v>
      </c>
      <c r="H29" s="205" t="s">
        <v>65</v>
      </c>
      <c r="I29" s="202">
        <v>28.55</v>
      </c>
      <c r="J29" s="204">
        <v>52796.51</v>
      </c>
      <c r="K29" s="226">
        <f t="shared" si="2"/>
        <v>68635.463000000003</v>
      </c>
      <c r="L29" s="227">
        <f t="shared" si="3"/>
        <v>1959542.4686500002</v>
      </c>
    </row>
    <row r="30" spans="2:13" ht="16.5" customHeight="1" thickBot="1" x14ac:dyDescent="0.3">
      <c r="B30" s="235"/>
      <c r="C30" s="238"/>
      <c r="D30" s="213"/>
      <c r="E30" s="212"/>
      <c r="F30" s="212"/>
      <c r="G30" s="212"/>
      <c r="H30" s="212"/>
      <c r="I30" s="212"/>
      <c r="J30" s="212"/>
      <c r="K30" s="198" t="s">
        <v>16</v>
      </c>
      <c r="L30" s="24">
        <f>+L21</f>
        <v>27805917.896796003</v>
      </c>
    </row>
    <row r="31" spans="2:13" ht="30" customHeight="1" thickBot="1" x14ac:dyDescent="0.3">
      <c r="B31" s="5"/>
      <c r="C31" s="5"/>
      <c r="D31" s="5"/>
      <c r="E31" s="5"/>
      <c r="F31" s="5"/>
      <c r="G31" s="47"/>
      <c r="H31" s="5"/>
      <c r="I31" s="56"/>
      <c r="J31" s="5"/>
      <c r="K31" s="5"/>
      <c r="L31" s="5"/>
    </row>
    <row r="32" spans="2:13" ht="16.5" customHeight="1" thickBot="1" x14ac:dyDescent="0.3">
      <c r="B32" s="214"/>
      <c r="C32" s="215"/>
      <c r="D32" s="215"/>
      <c r="E32" s="215"/>
      <c r="F32" s="215"/>
      <c r="G32" s="215"/>
      <c r="H32" s="215"/>
      <c r="I32" s="215"/>
      <c r="J32" s="215"/>
      <c r="K32" s="216" t="s">
        <v>68</v>
      </c>
      <c r="L32" s="217">
        <f>+L18+L30</f>
        <v>32479944.003676005</v>
      </c>
      <c r="M32" s="7">
        <f>+L32*1.5</f>
        <v>48719916.005514011</v>
      </c>
    </row>
    <row r="34" spans="2:12" ht="16.5" customHeight="1" x14ac:dyDescent="0.25">
      <c r="B34" s="47"/>
      <c r="C34" s="5"/>
      <c r="D34" s="48"/>
      <c r="E34" s="48"/>
      <c r="F34" s="48"/>
      <c r="G34" s="63"/>
      <c r="H34" s="48"/>
      <c r="I34" s="57"/>
      <c r="J34" s="48"/>
      <c r="K34" s="48"/>
      <c r="L34" s="49"/>
    </row>
    <row r="35" spans="2:12" ht="30.75" customHeight="1" x14ac:dyDescent="0.25">
      <c r="B35" s="239" t="s">
        <v>383</v>
      </c>
      <c r="C35" s="239"/>
      <c r="D35" s="239"/>
      <c r="E35" s="239"/>
      <c r="F35" s="239"/>
      <c r="G35" s="239"/>
      <c r="H35" s="239"/>
      <c r="I35" s="239"/>
      <c r="J35" s="239"/>
      <c r="K35" s="239"/>
      <c r="L35" s="239"/>
    </row>
    <row r="36" spans="2:12" ht="16.5" customHeight="1" x14ac:dyDescent="0.25">
      <c r="B36" s="232" t="s">
        <v>27</v>
      </c>
      <c r="C36" s="232"/>
      <c r="D36" s="232"/>
      <c r="E36" s="232"/>
      <c r="F36" s="232"/>
      <c r="G36" s="232"/>
      <c r="H36" s="232"/>
      <c r="I36" s="232"/>
      <c r="J36" s="232"/>
      <c r="K36" s="232"/>
      <c r="L36" s="232"/>
    </row>
    <row r="37" spans="2:12" ht="33.75" customHeight="1" x14ac:dyDescent="0.25">
      <c r="B37" s="239" t="s">
        <v>22</v>
      </c>
      <c r="C37" s="239"/>
      <c r="D37" s="239"/>
      <c r="E37" s="239"/>
      <c r="F37" s="239"/>
      <c r="G37" s="239"/>
      <c r="H37" s="239"/>
      <c r="I37" s="239"/>
      <c r="J37" s="239"/>
      <c r="K37" s="239"/>
      <c r="L37" s="239"/>
    </row>
    <row r="38" spans="2:12" ht="16.5" customHeight="1" x14ac:dyDescent="0.25"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</row>
    <row r="39" spans="2:12" ht="72" customHeight="1" x14ac:dyDescent="0.35">
      <c r="B39" s="1" t="s">
        <v>17</v>
      </c>
      <c r="J39" s="1" t="s">
        <v>18</v>
      </c>
      <c r="K39" s="7" t="s">
        <v>12</v>
      </c>
      <c r="L39" s="178"/>
    </row>
    <row r="40" spans="2:12" s="11" customFormat="1" ht="18" x14ac:dyDescent="0.3">
      <c r="B40" s="8" t="s">
        <v>28</v>
      </c>
      <c r="C40" s="9"/>
      <c r="D40" s="9"/>
      <c r="E40" s="9"/>
      <c r="F40" s="9"/>
      <c r="G40" s="64"/>
      <c r="H40" s="10"/>
      <c r="I40" s="59"/>
      <c r="J40" s="8" t="s">
        <v>28</v>
      </c>
      <c r="L40" s="9"/>
    </row>
    <row r="41" spans="2:12" ht="15.6" x14ac:dyDescent="0.25">
      <c r="B41" s="16" t="s">
        <v>7</v>
      </c>
      <c r="C41" s="13"/>
      <c r="D41" s="13"/>
      <c r="E41" s="13"/>
      <c r="F41" s="13"/>
      <c r="G41" s="65"/>
      <c r="H41" s="13"/>
      <c r="I41" s="60"/>
      <c r="J41" s="16" t="s">
        <v>7</v>
      </c>
      <c r="L41" s="13"/>
    </row>
    <row r="42" spans="2:12" ht="15.75" customHeight="1" x14ac:dyDescent="0.25">
      <c r="B42" s="14" t="s">
        <v>19</v>
      </c>
      <c r="C42" s="12"/>
      <c r="D42" s="12"/>
      <c r="E42" s="15"/>
      <c r="F42" s="15"/>
      <c r="G42" s="65"/>
      <c r="H42" s="13"/>
      <c r="I42" s="60"/>
      <c r="J42" s="14" t="s">
        <v>19</v>
      </c>
      <c r="L42" s="15"/>
    </row>
    <row r="43" spans="2:12" ht="15.6" x14ac:dyDescent="0.25">
      <c r="B43" s="16"/>
      <c r="C43" s="17"/>
      <c r="D43" s="17"/>
      <c r="E43" s="17"/>
      <c r="F43" s="17"/>
      <c r="G43" s="66"/>
      <c r="H43" s="17"/>
      <c r="I43" s="61"/>
      <c r="J43" s="17"/>
      <c r="K43" s="18"/>
      <c r="L43" s="19"/>
    </row>
  </sheetData>
  <mergeCells count="21">
    <mergeCell ref="B38:L38"/>
    <mergeCell ref="B21:B30"/>
    <mergeCell ref="C21:C30"/>
    <mergeCell ref="D21:E21"/>
    <mergeCell ref="B35:L35"/>
    <mergeCell ref="B36:L36"/>
    <mergeCell ref="B37:L37"/>
    <mergeCell ref="B5:C5"/>
    <mergeCell ref="D5:J5"/>
    <mergeCell ref="K5:L5"/>
    <mergeCell ref="B6:L6"/>
    <mergeCell ref="B8:B18"/>
    <mergeCell ref="C8:C18"/>
    <mergeCell ref="D8:E8"/>
    <mergeCell ref="B1:L1"/>
    <mergeCell ref="B2:C2"/>
    <mergeCell ref="D2:J2"/>
    <mergeCell ref="B3:C3"/>
    <mergeCell ref="D3:J3"/>
    <mergeCell ref="B4:C4"/>
    <mergeCell ref="D4:J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Preparado por FREDY CONTRERAS  &amp;D&amp;RPágina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B1:N43"/>
  <sheetViews>
    <sheetView showGridLines="0" topLeftCell="A3" zoomScale="85" zoomScaleNormal="85" zoomScaleSheetLayoutView="100" zoomScalePageLayoutView="70" workbookViewId="0">
      <selection activeCell="L32" sqref="L32"/>
    </sheetView>
  </sheetViews>
  <sheetFormatPr baseColWidth="10" defaultColWidth="11.5546875" defaultRowHeight="13.8" x14ac:dyDescent="0.25"/>
  <cols>
    <col min="1" max="1" width="2.44140625" style="1" customWidth="1"/>
    <col min="2" max="2" width="19.88671875" style="1" customWidth="1"/>
    <col min="3" max="3" width="0.109375" style="1" customWidth="1"/>
    <col min="4" max="4" width="11.109375" style="1" customWidth="1"/>
    <col min="5" max="6" width="14.33203125" style="1" customWidth="1"/>
    <col min="7" max="7" width="87.109375" style="6" customWidth="1"/>
    <col min="8" max="8" width="12.33203125" style="1" customWidth="1"/>
    <col min="9" max="9" width="12.33203125" style="58" customWidth="1"/>
    <col min="10" max="10" width="20" style="1" customWidth="1"/>
    <col min="11" max="11" width="23" style="1" customWidth="1"/>
    <col min="12" max="12" width="29" style="1" customWidth="1"/>
    <col min="13" max="13" width="19" style="1" customWidth="1"/>
    <col min="14" max="14" width="11.88671875" style="1" bestFit="1" customWidth="1"/>
    <col min="15" max="16384" width="11.5546875" style="1"/>
  </cols>
  <sheetData>
    <row r="1" spans="2:12" ht="84" customHeight="1" x14ac:dyDescent="0.25"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</row>
    <row r="2" spans="2:12" ht="33" customHeight="1" x14ac:dyDescent="0.25">
      <c r="B2" s="243" t="s">
        <v>0</v>
      </c>
      <c r="C2" s="243"/>
      <c r="D2" s="246" t="s">
        <v>349</v>
      </c>
      <c r="E2" s="247"/>
      <c r="F2" s="247"/>
      <c r="G2" s="247"/>
      <c r="H2" s="247"/>
      <c r="I2" s="247"/>
      <c r="J2" s="248"/>
      <c r="K2" s="2" t="s">
        <v>1</v>
      </c>
      <c r="L2" s="3"/>
    </row>
    <row r="3" spans="2:12" ht="30" customHeight="1" x14ac:dyDescent="0.25">
      <c r="B3" s="243" t="s">
        <v>2</v>
      </c>
      <c r="C3" s="243"/>
      <c r="D3" s="246" t="s">
        <v>15</v>
      </c>
      <c r="E3" s="247"/>
      <c r="F3" s="247"/>
      <c r="G3" s="247"/>
      <c r="H3" s="247"/>
      <c r="I3" s="247"/>
      <c r="J3" s="248"/>
      <c r="K3" s="2" t="s">
        <v>3</v>
      </c>
      <c r="L3" s="25" t="s">
        <v>350</v>
      </c>
    </row>
    <row r="4" spans="2:12" ht="30" customHeight="1" x14ac:dyDescent="0.25">
      <c r="B4" s="244" t="s">
        <v>4</v>
      </c>
      <c r="C4" s="244"/>
      <c r="D4" s="246" t="s">
        <v>28</v>
      </c>
      <c r="E4" s="247"/>
      <c r="F4" s="247"/>
      <c r="G4" s="247"/>
      <c r="H4" s="247"/>
      <c r="I4" s="247"/>
      <c r="J4" s="248"/>
      <c r="K4" s="2" t="s">
        <v>6</v>
      </c>
      <c r="L4" s="91" t="s">
        <v>351</v>
      </c>
    </row>
    <row r="5" spans="2:12" ht="34.950000000000003" customHeight="1" x14ac:dyDescent="0.25">
      <c r="B5" s="244" t="s">
        <v>5</v>
      </c>
      <c r="C5" s="244"/>
      <c r="D5" s="246" t="s">
        <v>28</v>
      </c>
      <c r="E5" s="247"/>
      <c r="F5" s="247"/>
      <c r="G5" s="247"/>
      <c r="H5" s="247"/>
      <c r="I5" s="247"/>
      <c r="J5" s="248"/>
      <c r="K5" s="245" t="s">
        <v>7</v>
      </c>
      <c r="L5" s="245"/>
    </row>
    <row r="6" spans="2:12" ht="9" customHeight="1" thickBot="1" x14ac:dyDescent="0.3"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8"/>
    </row>
    <row r="7" spans="2:12" ht="45.75" customHeight="1" x14ac:dyDescent="0.25">
      <c r="B7" s="20" t="s">
        <v>8</v>
      </c>
      <c r="C7" s="21" t="s">
        <v>9</v>
      </c>
      <c r="D7" s="21" t="s">
        <v>29</v>
      </c>
      <c r="E7" s="21" t="s">
        <v>30</v>
      </c>
      <c r="F7" s="21" t="s">
        <v>386</v>
      </c>
      <c r="G7" s="21" t="s">
        <v>26</v>
      </c>
      <c r="H7" s="21" t="s">
        <v>9</v>
      </c>
      <c r="I7" s="55" t="s">
        <v>23</v>
      </c>
      <c r="J7" s="21" t="s">
        <v>11</v>
      </c>
      <c r="K7" s="21" t="s">
        <v>20</v>
      </c>
      <c r="L7" s="22" t="s">
        <v>21</v>
      </c>
    </row>
    <row r="8" spans="2:12" ht="16.5" customHeight="1" x14ac:dyDescent="0.25">
      <c r="B8" s="240" t="s">
        <v>362</v>
      </c>
      <c r="C8" s="236" t="s">
        <v>14</v>
      </c>
      <c r="D8" s="229" t="s">
        <v>24</v>
      </c>
      <c r="E8" s="230"/>
      <c r="F8" s="218"/>
      <c r="G8" s="208" t="s">
        <v>362</v>
      </c>
      <c r="H8" s="209"/>
      <c r="I8" s="209"/>
      <c r="J8" s="209"/>
      <c r="K8" s="210"/>
      <c r="L8" s="23">
        <f>SUM(L9:L17)</f>
        <v>4674027</v>
      </c>
    </row>
    <row r="9" spans="2:12" ht="16.5" customHeight="1" x14ac:dyDescent="0.25">
      <c r="B9" s="240"/>
      <c r="C9" s="236"/>
      <c r="D9" s="4">
        <v>1.1000000000000001</v>
      </c>
      <c r="E9" s="4" t="s">
        <v>352</v>
      </c>
      <c r="F9" s="4">
        <v>70111700</v>
      </c>
      <c r="G9" s="62" t="s">
        <v>353</v>
      </c>
      <c r="H9" s="116" t="s">
        <v>69</v>
      </c>
      <c r="I9" s="199">
        <v>18</v>
      </c>
      <c r="J9" s="200">
        <v>6897.08</v>
      </c>
      <c r="K9" s="200">
        <f>ROUND(J9*1.3,2)</f>
        <v>8966.2000000000007</v>
      </c>
      <c r="L9" s="200">
        <f>ROUND(K9*I9,0)</f>
        <v>161392</v>
      </c>
    </row>
    <row r="10" spans="2:12" x14ac:dyDescent="0.25">
      <c r="B10" s="240"/>
      <c r="C10" s="236"/>
      <c r="D10" s="4">
        <v>1.2</v>
      </c>
      <c r="E10" s="4" t="s">
        <v>354</v>
      </c>
      <c r="F10" s="4">
        <v>70111700</v>
      </c>
      <c r="G10" s="62" t="s">
        <v>355</v>
      </c>
      <c r="H10" s="116" t="s">
        <v>69</v>
      </c>
      <c r="I10" s="199">
        <v>18</v>
      </c>
      <c r="J10" s="200">
        <v>22572.27</v>
      </c>
      <c r="K10" s="200">
        <f>ROUND(J10*1.3,2)</f>
        <v>29343.95</v>
      </c>
      <c r="L10" s="200">
        <f t="shared" ref="L10:L15" si="0">ROUND(K10*I10,0)</f>
        <v>528191</v>
      </c>
    </row>
    <row r="11" spans="2:12" x14ac:dyDescent="0.25">
      <c r="B11" s="240"/>
      <c r="C11" s="236"/>
      <c r="D11" s="4">
        <v>1.3</v>
      </c>
      <c r="E11" s="4" t="s">
        <v>357</v>
      </c>
      <c r="F11" s="4">
        <v>72151900</v>
      </c>
      <c r="G11" s="62" t="s">
        <v>356</v>
      </c>
      <c r="H11" s="116" t="s">
        <v>65</v>
      </c>
      <c r="I11" s="199">
        <v>28.54</v>
      </c>
      <c r="J11" s="200">
        <v>6180.5</v>
      </c>
      <c r="K11" s="200">
        <f>ROUND(J11*1.3,2)</f>
        <v>8034.65</v>
      </c>
      <c r="L11" s="200">
        <f t="shared" si="0"/>
        <v>229309</v>
      </c>
    </row>
    <row r="12" spans="2:12" x14ac:dyDescent="0.25">
      <c r="B12" s="240"/>
      <c r="C12" s="236"/>
      <c r="D12" s="4">
        <v>1.4</v>
      </c>
      <c r="E12" s="4" t="s">
        <v>364</v>
      </c>
      <c r="F12" s="4">
        <v>72151900</v>
      </c>
      <c r="G12" s="62" t="s">
        <v>363</v>
      </c>
      <c r="H12" s="116" t="s">
        <v>60</v>
      </c>
      <c r="I12" s="199">
        <v>2.0699999999999998</v>
      </c>
      <c r="J12" s="200">
        <v>55765.73</v>
      </c>
      <c r="K12" s="200">
        <f>ROUND(J12*1.3,2)</f>
        <v>72495.45</v>
      </c>
      <c r="L12" s="200">
        <f t="shared" si="0"/>
        <v>150066</v>
      </c>
    </row>
    <row r="13" spans="2:12" x14ac:dyDescent="0.25">
      <c r="B13" s="240"/>
      <c r="C13" s="236"/>
      <c r="D13" s="4">
        <v>1.5</v>
      </c>
      <c r="E13" s="4" t="s">
        <v>359</v>
      </c>
      <c r="F13" s="4">
        <v>72151900</v>
      </c>
      <c r="G13" s="62" t="s">
        <v>358</v>
      </c>
      <c r="H13" s="116" t="s">
        <v>69</v>
      </c>
      <c r="I13" s="199">
        <v>1</v>
      </c>
      <c r="J13" s="200">
        <v>27532.61</v>
      </c>
      <c r="K13" s="200">
        <f t="shared" ref="K13:K15" si="1">ROUND(J13*1.3,2)</f>
        <v>35792.39</v>
      </c>
      <c r="L13" s="200">
        <f t="shared" si="0"/>
        <v>35792</v>
      </c>
    </row>
    <row r="14" spans="2:12" x14ac:dyDescent="0.25">
      <c r="B14" s="240"/>
      <c r="C14" s="236"/>
      <c r="D14" s="4">
        <v>1.6</v>
      </c>
      <c r="E14" s="4" t="s">
        <v>361</v>
      </c>
      <c r="F14" s="4">
        <v>72151900</v>
      </c>
      <c r="G14" s="62" t="s">
        <v>360</v>
      </c>
      <c r="H14" s="116" t="s">
        <v>60</v>
      </c>
      <c r="I14" s="199">
        <f>+(25.45+26.3)*0.45</f>
        <v>23.287500000000001</v>
      </c>
      <c r="J14" s="200">
        <v>13629</v>
      </c>
      <c r="K14" s="200">
        <f t="shared" si="1"/>
        <v>17717.7</v>
      </c>
      <c r="L14" s="200">
        <f t="shared" si="0"/>
        <v>412601</v>
      </c>
    </row>
    <row r="15" spans="2:12" x14ac:dyDescent="0.25">
      <c r="B15" s="240"/>
      <c r="C15" s="236"/>
      <c r="D15" s="4">
        <v>1.7</v>
      </c>
      <c r="E15" s="4" t="s">
        <v>366</v>
      </c>
      <c r="F15" s="4">
        <v>72151900</v>
      </c>
      <c r="G15" s="62" t="s">
        <v>365</v>
      </c>
      <c r="H15" s="116" t="s">
        <v>60</v>
      </c>
      <c r="I15" s="199">
        <f>186.5-(1.8*6)</f>
        <v>175.7</v>
      </c>
      <c r="J15" s="200">
        <v>7184.5</v>
      </c>
      <c r="K15" s="200">
        <f t="shared" si="1"/>
        <v>9339.85</v>
      </c>
      <c r="L15" s="200">
        <f t="shared" si="0"/>
        <v>1641012</v>
      </c>
    </row>
    <row r="16" spans="2:12" x14ac:dyDescent="0.25">
      <c r="B16" s="240"/>
      <c r="C16" s="236"/>
      <c r="D16" s="4">
        <v>1.8</v>
      </c>
      <c r="E16" s="4" t="s">
        <v>368</v>
      </c>
      <c r="F16" s="4">
        <v>72151900</v>
      </c>
      <c r="G16" s="62" t="s">
        <v>367</v>
      </c>
      <c r="H16" s="116" t="s">
        <v>60</v>
      </c>
      <c r="I16" s="199">
        <v>9.8000000000000007</v>
      </c>
      <c r="J16" s="200">
        <v>4742.57</v>
      </c>
      <c r="K16" s="200">
        <f>ROUND(J16*1.3,2)</f>
        <v>6165.34</v>
      </c>
      <c r="L16" s="200">
        <f>ROUND(K16*I16,0)</f>
        <v>60420</v>
      </c>
    </row>
    <row r="17" spans="2:14" x14ac:dyDescent="0.25">
      <c r="B17" s="240"/>
      <c r="C17" s="236"/>
      <c r="D17" s="4">
        <v>1.9</v>
      </c>
      <c r="E17" s="4" t="s">
        <v>370</v>
      </c>
      <c r="F17" s="4">
        <v>72151900</v>
      </c>
      <c r="G17" s="62" t="s">
        <v>369</v>
      </c>
      <c r="H17" s="116" t="s">
        <v>60</v>
      </c>
      <c r="I17" s="199">
        <f>+I15</f>
        <v>175.7</v>
      </c>
      <c r="J17" s="200">
        <v>6371.19</v>
      </c>
      <c r="K17" s="200">
        <f>ROUND(J17*1.3,2)</f>
        <v>8282.5499999999993</v>
      </c>
      <c r="L17" s="200">
        <f>ROUND(K17*I17,0)</f>
        <v>1455244</v>
      </c>
    </row>
    <row r="18" spans="2:14" ht="16.5" customHeight="1" thickBot="1" x14ac:dyDescent="0.3">
      <c r="B18" s="241"/>
      <c r="C18" s="242"/>
      <c r="D18" s="211"/>
      <c r="E18" s="212"/>
      <c r="F18" s="212"/>
      <c r="G18" s="212"/>
      <c r="H18" s="212"/>
      <c r="I18" s="212"/>
      <c r="J18" s="212"/>
      <c r="K18" s="198" t="s">
        <v>16</v>
      </c>
      <c r="L18" s="24">
        <f>L8</f>
        <v>4674027</v>
      </c>
    </row>
    <row r="19" spans="2:14" ht="30.6" customHeight="1" thickBot="1" x14ac:dyDescent="0.3">
      <c r="B19" s="5"/>
      <c r="C19" s="5"/>
      <c r="D19" s="5"/>
      <c r="E19" s="5"/>
      <c r="F19" s="5"/>
      <c r="G19" s="47"/>
      <c r="H19" s="5"/>
      <c r="I19" s="56"/>
      <c r="J19" s="5"/>
      <c r="K19" s="5"/>
      <c r="L19" s="5"/>
    </row>
    <row r="20" spans="2:14" ht="43.5" customHeight="1" x14ac:dyDescent="0.25">
      <c r="B20" s="20" t="s">
        <v>10</v>
      </c>
      <c r="C20" s="21" t="s">
        <v>9</v>
      </c>
      <c r="D20" s="21" t="s">
        <v>29</v>
      </c>
      <c r="E20" s="21" t="s">
        <v>30</v>
      </c>
      <c r="F20" s="21" t="s">
        <v>386</v>
      </c>
      <c r="G20" s="21" t="s">
        <v>13</v>
      </c>
      <c r="H20" s="21" t="s">
        <v>9</v>
      </c>
      <c r="I20" s="55" t="s">
        <v>23</v>
      </c>
      <c r="J20" s="21" t="s">
        <v>11</v>
      </c>
      <c r="K20" s="21" t="s">
        <v>20</v>
      </c>
      <c r="L20" s="22" t="s">
        <v>21</v>
      </c>
    </row>
    <row r="21" spans="2:14" ht="16.5" customHeight="1" x14ac:dyDescent="0.25">
      <c r="B21" s="233" t="s">
        <v>371</v>
      </c>
      <c r="C21" s="236" t="s">
        <v>14</v>
      </c>
      <c r="D21" s="229" t="s">
        <v>25</v>
      </c>
      <c r="E21" s="230"/>
      <c r="F21" s="218"/>
      <c r="G21" s="208" t="s">
        <v>371</v>
      </c>
      <c r="H21" s="209"/>
      <c r="I21" s="209"/>
      <c r="J21" s="209"/>
      <c r="K21" s="210"/>
      <c r="L21" s="23">
        <f>+SUM(L22:L29)</f>
        <v>27805917</v>
      </c>
    </row>
    <row r="22" spans="2:14" ht="14.4" customHeight="1" x14ac:dyDescent="0.25">
      <c r="B22" s="234"/>
      <c r="C22" s="237"/>
      <c r="D22" s="221">
        <v>2.1</v>
      </c>
      <c r="E22" s="222" t="s">
        <v>220</v>
      </c>
      <c r="F22" s="222">
        <v>72101500</v>
      </c>
      <c r="G22" s="223" t="s">
        <v>372</v>
      </c>
      <c r="H22" s="222" t="s">
        <v>32</v>
      </c>
      <c r="I22" s="224">
        <f>172.2*0.15</f>
        <v>25.83</v>
      </c>
      <c r="J22" s="225">
        <v>51943.58</v>
      </c>
      <c r="K22" s="226">
        <f>ROUND(J22*1.3,2)</f>
        <v>67526.649999999994</v>
      </c>
      <c r="L22" s="227">
        <f>ROUND(K22*I22,0)</f>
        <v>1744213</v>
      </c>
    </row>
    <row r="23" spans="2:14" ht="14.4" customHeight="1" x14ac:dyDescent="0.25">
      <c r="B23" s="234"/>
      <c r="C23" s="237"/>
      <c r="D23" s="201">
        <v>2.2000000000000002</v>
      </c>
      <c r="E23" s="4" t="s">
        <v>379</v>
      </c>
      <c r="F23" s="4">
        <v>72101500</v>
      </c>
      <c r="G23" s="219" t="s">
        <v>378</v>
      </c>
      <c r="H23" s="4" t="s">
        <v>32</v>
      </c>
      <c r="I23" s="199">
        <f>154.7*0.15</f>
        <v>23.204999999999998</v>
      </c>
      <c r="J23" s="200">
        <v>90646.13</v>
      </c>
      <c r="K23" s="117">
        <f t="shared" ref="K23" si="2">ROUND(J23*1.3,2)</f>
        <v>117839.97</v>
      </c>
      <c r="L23" s="119">
        <f t="shared" ref="L23:L29" si="3">ROUND(K23*I23,0)</f>
        <v>2734477</v>
      </c>
    </row>
    <row r="24" spans="2:14" ht="14.4" customHeight="1" x14ac:dyDescent="0.25">
      <c r="B24" s="234"/>
      <c r="C24" s="237"/>
      <c r="D24" s="203">
        <v>2.2999999999999998</v>
      </c>
      <c r="E24" s="4" t="s">
        <v>381</v>
      </c>
      <c r="F24" s="4">
        <v>72101500</v>
      </c>
      <c r="G24" s="62" t="s">
        <v>380</v>
      </c>
      <c r="H24" s="4" t="s">
        <v>60</v>
      </c>
      <c r="I24" s="199">
        <v>34.5</v>
      </c>
      <c r="J24" s="200">
        <v>76977.97</v>
      </c>
      <c r="K24" s="117">
        <f t="shared" ref="K24:K28" si="4">ROUND(J24*1.3,2)</f>
        <v>100071.36</v>
      </c>
      <c r="L24" s="119">
        <f t="shared" ref="L24:L28" si="5">ROUND(K24*I24,0)</f>
        <v>3452462</v>
      </c>
    </row>
    <row r="25" spans="2:14" ht="27.6" x14ac:dyDescent="0.25">
      <c r="B25" s="234"/>
      <c r="C25" s="237"/>
      <c r="D25" s="201">
        <v>2.4</v>
      </c>
      <c r="E25" s="4" t="s">
        <v>374</v>
      </c>
      <c r="F25" s="4">
        <v>72101500</v>
      </c>
      <c r="G25" s="62" t="s">
        <v>373</v>
      </c>
      <c r="H25" s="4" t="s">
        <v>282</v>
      </c>
      <c r="I25" s="202">
        <v>82.72</v>
      </c>
      <c r="J25" s="200">
        <v>7349.45</v>
      </c>
      <c r="K25" s="117">
        <f t="shared" si="4"/>
        <v>9554.2900000000009</v>
      </c>
      <c r="L25" s="119">
        <f t="shared" si="5"/>
        <v>790331</v>
      </c>
    </row>
    <row r="26" spans="2:14" ht="14.4" customHeight="1" x14ac:dyDescent="0.25">
      <c r="B26" s="234"/>
      <c r="C26" s="237"/>
      <c r="D26" s="203">
        <v>2.5</v>
      </c>
      <c r="E26" s="4" t="s">
        <v>375</v>
      </c>
      <c r="F26" s="4">
        <v>72101500</v>
      </c>
      <c r="G26" s="62" t="s">
        <v>376</v>
      </c>
      <c r="H26" s="4" t="s">
        <v>60</v>
      </c>
      <c r="I26" s="199">
        <f>+I24+(2.2*6)</f>
        <v>47.7</v>
      </c>
      <c r="J26" s="204">
        <v>28505</v>
      </c>
      <c r="K26" s="117">
        <f t="shared" si="4"/>
        <v>37056.5</v>
      </c>
      <c r="L26" s="119">
        <f t="shared" si="5"/>
        <v>1767595</v>
      </c>
    </row>
    <row r="27" spans="2:14" ht="27.6" x14ac:dyDescent="0.25">
      <c r="B27" s="234"/>
      <c r="C27" s="237"/>
      <c r="D27" s="201">
        <v>2.6</v>
      </c>
      <c r="E27" s="4" t="s">
        <v>375</v>
      </c>
      <c r="F27" s="4">
        <v>72101500</v>
      </c>
      <c r="G27" s="220" t="s">
        <v>382</v>
      </c>
      <c r="H27" s="205" t="s">
        <v>60</v>
      </c>
      <c r="I27" s="202">
        <f>183-I26</f>
        <v>135.30000000000001</v>
      </c>
      <c r="J27" s="204">
        <f>77700*1.1</f>
        <v>85470</v>
      </c>
      <c r="K27" s="118">
        <f t="shared" si="4"/>
        <v>111111</v>
      </c>
      <c r="L27" s="206">
        <f t="shared" si="5"/>
        <v>15033318</v>
      </c>
    </row>
    <row r="28" spans="2:14" x14ac:dyDescent="0.25">
      <c r="B28" s="234"/>
      <c r="C28" s="237"/>
      <c r="D28" s="203">
        <v>2.7</v>
      </c>
      <c r="E28" s="4" t="s">
        <v>307</v>
      </c>
      <c r="F28" s="4">
        <v>72101500</v>
      </c>
      <c r="G28" s="113" t="s">
        <v>377</v>
      </c>
      <c r="H28" s="205" t="s">
        <v>65</v>
      </c>
      <c r="I28" s="202">
        <f>10.1</f>
        <v>10.1</v>
      </c>
      <c r="J28" s="204">
        <v>24674.73</v>
      </c>
      <c r="K28" s="118">
        <f t="shared" si="4"/>
        <v>32077.15</v>
      </c>
      <c r="L28" s="206">
        <f t="shared" si="5"/>
        <v>323979</v>
      </c>
    </row>
    <row r="29" spans="2:14" ht="28.2" customHeight="1" x14ac:dyDescent="0.25">
      <c r="B29" s="234"/>
      <c r="C29" s="237"/>
      <c r="D29" s="201">
        <v>2.8</v>
      </c>
      <c r="E29" s="205" t="s">
        <v>385</v>
      </c>
      <c r="F29" s="4">
        <v>72101500</v>
      </c>
      <c r="G29" s="113" t="s">
        <v>384</v>
      </c>
      <c r="H29" s="205" t="s">
        <v>65</v>
      </c>
      <c r="I29" s="202">
        <v>28.55</v>
      </c>
      <c r="J29" s="204">
        <v>52796.51</v>
      </c>
      <c r="K29" s="118">
        <f>ROUND(J29*1.3,2)</f>
        <v>68635.460000000006</v>
      </c>
      <c r="L29" s="206">
        <f t="shared" si="3"/>
        <v>1959542</v>
      </c>
    </row>
    <row r="30" spans="2:14" ht="16.5" customHeight="1" thickBot="1" x14ac:dyDescent="0.3">
      <c r="B30" s="235"/>
      <c r="C30" s="238"/>
      <c r="D30" s="213"/>
      <c r="E30" s="212"/>
      <c r="F30" s="212"/>
      <c r="G30" s="212"/>
      <c r="H30" s="212"/>
      <c r="I30" s="212"/>
      <c r="J30" s="212"/>
      <c r="K30" s="198" t="s">
        <v>16</v>
      </c>
      <c r="L30" s="24">
        <f>+L21</f>
        <v>27805917</v>
      </c>
    </row>
    <row r="31" spans="2:14" ht="30" customHeight="1" thickBot="1" x14ac:dyDescent="0.3">
      <c r="B31" s="5"/>
      <c r="C31" s="5"/>
      <c r="D31" s="5"/>
      <c r="E31" s="5"/>
      <c r="F31" s="5"/>
      <c r="G31" s="47"/>
      <c r="H31" s="5"/>
      <c r="I31" s="56"/>
      <c r="J31" s="5"/>
      <c r="K31" s="5"/>
      <c r="L31" s="5"/>
    </row>
    <row r="32" spans="2:14" ht="16.5" customHeight="1" thickBot="1" x14ac:dyDescent="0.3">
      <c r="B32" s="214"/>
      <c r="C32" s="215"/>
      <c r="D32" s="215"/>
      <c r="E32" s="215"/>
      <c r="F32" s="215"/>
      <c r="G32" s="215"/>
      <c r="H32" s="215"/>
      <c r="I32" s="215"/>
      <c r="J32" s="215"/>
      <c r="K32" s="216" t="s">
        <v>68</v>
      </c>
      <c r="L32" s="217">
        <f>+L18+L30</f>
        <v>32479944</v>
      </c>
      <c r="M32" s="207">
        <f>+L32/1160000</f>
        <v>27.999951724137929</v>
      </c>
      <c r="N32" s="7">
        <f>+L32*1.5</f>
        <v>48719916</v>
      </c>
    </row>
    <row r="33" spans="2:13" x14ac:dyDescent="0.25">
      <c r="M33" s="90"/>
    </row>
    <row r="34" spans="2:13" ht="16.5" customHeight="1" x14ac:dyDescent="0.25">
      <c r="B34" s="47"/>
      <c r="C34" s="5"/>
      <c r="D34" s="48"/>
      <c r="E34" s="48"/>
      <c r="F34" s="48"/>
      <c r="G34" s="63"/>
      <c r="H34" s="48"/>
      <c r="I34" s="57"/>
      <c r="J34" s="48"/>
      <c r="K34" s="48"/>
      <c r="L34" s="49"/>
    </row>
    <row r="35" spans="2:13" ht="30.75" customHeight="1" x14ac:dyDescent="0.25">
      <c r="B35" s="239" t="s">
        <v>383</v>
      </c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07"/>
    </row>
    <row r="36" spans="2:13" ht="16.5" customHeight="1" x14ac:dyDescent="0.25">
      <c r="B36" s="232" t="s">
        <v>27</v>
      </c>
      <c r="C36" s="232"/>
      <c r="D36" s="232"/>
      <c r="E36" s="232"/>
      <c r="F36" s="232"/>
      <c r="G36" s="232"/>
      <c r="H36" s="232"/>
      <c r="I36" s="232"/>
      <c r="J36" s="232"/>
      <c r="K36" s="232"/>
      <c r="L36" s="232"/>
    </row>
    <row r="37" spans="2:13" ht="33.75" customHeight="1" x14ac:dyDescent="0.25">
      <c r="B37" s="239" t="s">
        <v>22</v>
      </c>
      <c r="C37" s="239"/>
      <c r="D37" s="239"/>
      <c r="E37" s="239"/>
      <c r="F37" s="239"/>
      <c r="G37" s="239"/>
      <c r="H37" s="239"/>
      <c r="I37" s="239"/>
      <c r="J37" s="239"/>
      <c r="K37" s="239"/>
      <c r="L37" s="239"/>
    </row>
    <row r="38" spans="2:13" ht="16.5" customHeight="1" x14ac:dyDescent="0.25"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</row>
    <row r="39" spans="2:13" ht="72" customHeight="1" x14ac:dyDescent="0.35">
      <c r="B39" s="1" t="s">
        <v>17</v>
      </c>
      <c r="J39" s="1" t="s">
        <v>18</v>
      </c>
      <c r="K39" s="7" t="s">
        <v>12</v>
      </c>
      <c r="L39" s="178"/>
    </row>
    <row r="40" spans="2:13" s="11" customFormat="1" ht="18" x14ac:dyDescent="0.3">
      <c r="B40" s="8" t="s">
        <v>28</v>
      </c>
      <c r="C40" s="9"/>
      <c r="D40" s="9"/>
      <c r="E40" s="9"/>
      <c r="F40" s="9"/>
      <c r="G40" s="64"/>
      <c r="H40" s="10"/>
      <c r="I40" s="59"/>
      <c r="J40" s="8" t="s">
        <v>28</v>
      </c>
      <c r="L40" s="9"/>
    </row>
    <row r="41" spans="2:13" ht="15.6" x14ac:dyDescent="0.25">
      <c r="B41" s="16" t="s">
        <v>7</v>
      </c>
      <c r="C41" s="13"/>
      <c r="D41" s="13"/>
      <c r="E41" s="13"/>
      <c r="F41" s="13"/>
      <c r="G41" s="65"/>
      <c r="H41" s="13"/>
      <c r="I41" s="60"/>
      <c r="J41" s="16" t="s">
        <v>7</v>
      </c>
      <c r="L41" s="13"/>
    </row>
    <row r="42" spans="2:13" ht="15.75" customHeight="1" x14ac:dyDescent="0.25">
      <c r="B42" s="14" t="s">
        <v>19</v>
      </c>
      <c r="C42" s="12"/>
      <c r="D42" s="12"/>
      <c r="E42" s="15"/>
      <c r="F42" s="15"/>
      <c r="G42" s="65"/>
      <c r="H42" s="13"/>
      <c r="I42" s="60"/>
      <c r="J42" s="14" t="s">
        <v>19</v>
      </c>
      <c r="L42" s="15"/>
    </row>
    <row r="43" spans="2:13" ht="15.6" x14ac:dyDescent="0.25">
      <c r="B43" s="16"/>
      <c r="C43" s="17"/>
      <c r="D43" s="17"/>
      <c r="E43" s="17"/>
      <c r="F43" s="17"/>
      <c r="G43" s="66"/>
      <c r="H43" s="17"/>
      <c r="I43" s="61"/>
      <c r="J43" s="17"/>
      <c r="K43" s="18"/>
      <c r="L43" s="19"/>
    </row>
  </sheetData>
  <mergeCells count="21">
    <mergeCell ref="B1:L1"/>
    <mergeCell ref="B2:C2"/>
    <mergeCell ref="B5:C5"/>
    <mergeCell ref="B3:C3"/>
    <mergeCell ref="B4:C4"/>
    <mergeCell ref="K5:L5"/>
    <mergeCell ref="D2:J2"/>
    <mergeCell ref="D3:J3"/>
    <mergeCell ref="D4:J4"/>
    <mergeCell ref="D5:J5"/>
    <mergeCell ref="B6:L6"/>
    <mergeCell ref="D8:E8"/>
    <mergeCell ref="B38:L38"/>
    <mergeCell ref="B36:L36"/>
    <mergeCell ref="B21:B30"/>
    <mergeCell ref="C21:C30"/>
    <mergeCell ref="D21:E21"/>
    <mergeCell ref="B37:L37"/>
    <mergeCell ref="B35:L35"/>
    <mergeCell ref="B8:B18"/>
    <mergeCell ref="C8:C18"/>
  </mergeCells>
  <phoneticPr fontId="7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Preparado por FREDY CONTRERAS  &amp;D&amp;RPágina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1EA46-C5AC-4BD7-96A6-CCCC8CFAF0F6}">
  <dimension ref="A1:I424"/>
  <sheetViews>
    <sheetView view="pageBreakPreview" topLeftCell="A363" zoomScale="130" zoomScaleNormal="55" zoomScaleSheetLayoutView="130" workbookViewId="0">
      <selection activeCell="B371" sqref="B371:G371"/>
    </sheetView>
  </sheetViews>
  <sheetFormatPr baseColWidth="10" defaultRowHeight="14.4" x14ac:dyDescent="0.3"/>
  <cols>
    <col min="3" max="3" width="25.5546875" customWidth="1"/>
    <col min="6" max="6" width="33.88671875" customWidth="1"/>
    <col min="7" max="7" width="17" customWidth="1"/>
    <col min="8" max="8" width="17.44140625" bestFit="1" customWidth="1"/>
    <col min="9" max="9" width="13.6640625" bestFit="1" customWidth="1"/>
  </cols>
  <sheetData>
    <row r="1" spans="1:9" ht="21" thickBot="1" x14ac:dyDescent="0.35">
      <c r="A1" s="317" t="s">
        <v>70</v>
      </c>
      <c r="B1" s="317"/>
      <c r="C1" s="317"/>
      <c r="D1" s="317"/>
      <c r="E1" s="317"/>
      <c r="F1" s="317"/>
      <c r="G1" s="317"/>
      <c r="H1" s="317"/>
      <c r="I1" s="317"/>
    </row>
    <row r="2" spans="1:9" ht="18" x14ac:dyDescent="0.3">
      <c r="A2" s="67"/>
      <c r="B2" s="68" t="s">
        <v>71</v>
      </c>
      <c r="C2" s="280" t="s">
        <v>72</v>
      </c>
      <c r="D2" s="281"/>
      <c r="E2" s="281"/>
      <c r="F2" s="282"/>
      <c r="G2" s="283" t="s">
        <v>9</v>
      </c>
      <c r="H2" s="284"/>
      <c r="I2" s="67"/>
    </row>
    <row r="3" spans="1:9" x14ac:dyDescent="0.3">
      <c r="A3" s="67"/>
      <c r="B3" s="69" t="s">
        <v>64</v>
      </c>
      <c r="C3" s="285" t="str">
        <f>'FORMATO PRESUPUESTO'!G9</f>
        <v>CORTE DE ARBUSTO</v>
      </c>
      <c r="D3" s="286"/>
      <c r="E3" s="286"/>
      <c r="F3" s="287"/>
      <c r="G3" s="288" t="s">
        <v>121</v>
      </c>
      <c r="H3" s="289"/>
      <c r="I3" s="67"/>
    </row>
    <row r="4" spans="1:9" ht="15.6" x14ac:dyDescent="0.3">
      <c r="A4" s="67"/>
      <c r="B4" s="290" t="s">
        <v>73</v>
      </c>
      <c r="C4" s="291"/>
      <c r="D4" s="291"/>
      <c r="E4" s="291"/>
      <c r="F4" s="291"/>
      <c r="G4" s="291"/>
      <c r="H4" s="292"/>
      <c r="I4" s="67"/>
    </row>
    <row r="5" spans="1:9" x14ac:dyDescent="0.3">
      <c r="A5" s="67"/>
      <c r="B5" s="303" t="s">
        <v>74</v>
      </c>
      <c r="C5" s="304"/>
      <c r="D5" s="305" t="s">
        <v>75</v>
      </c>
      <c r="E5" s="305"/>
      <c r="F5" s="70" t="s">
        <v>76</v>
      </c>
      <c r="G5" s="71" t="s">
        <v>77</v>
      </c>
      <c r="H5" s="72" t="s">
        <v>78</v>
      </c>
      <c r="I5" s="67"/>
    </row>
    <row r="6" spans="1:9" x14ac:dyDescent="0.3">
      <c r="A6" s="67"/>
      <c r="B6" s="298" t="s">
        <v>79</v>
      </c>
      <c r="C6" s="267"/>
      <c r="D6" s="268" t="s">
        <v>80</v>
      </c>
      <c r="E6" s="268"/>
      <c r="F6" s="73">
        <v>5</v>
      </c>
      <c r="G6" s="74">
        <f>2508327.66/100</f>
        <v>25083.276600000001</v>
      </c>
      <c r="H6" s="72">
        <f>+F6*G6</f>
        <v>125416.383</v>
      </c>
      <c r="I6" s="92"/>
    </row>
    <row r="7" spans="1:9" x14ac:dyDescent="0.3">
      <c r="A7" s="67"/>
      <c r="B7" s="298" t="s">
        <v>89</v>
      </c>
      <c r="C7" s="267"/>
      <c r="D7" s="299" t="s">
        <v>92</v>
      </c>
      <c r="E7" s="299"/>
      <c r="F7" s="75">
        <v>24</v>
      </c>
      <c r="G7" s="76">
        <v>6250</v>
      </c>
      <c r="H7" s="72">
        <f>+F7*G7</f>
        <v>150000</v>
      </c>
      <c r="I7" s="67"/>
    </row>
    <row r="8" spans="1:9" x14ac:dyDescent="0.3">
      <c r="A8" s="67"/>
      <c r="B8" s="300" t="s">
        <v>81</v>
      </c>
      <c r="C8" s="301"/>
      <c r="D8" s="301"/>
      <c r="E8" s="301"/>
      <c r="F8" s="301"/>
      <c r="G8" s="302"/>
      <c r="H8" s="77">
        <f>SUM(H6:H7)</f>
        <v>275416.38300000003</v>
      </c>
      <c r="I8" s="67"/>
    </row>
    <row r="9" spans="1:9" ht="15.6" x14ac:dyDescent="0.3">
      <c r="A9" s="67"/>
      <c r="B9" s="258" t="s">
        <v>82</v>
      </c>
      <c r="C9" s="259"/>
      <c r="D9" s="259"/>
      <c r="E9" s="259"/>
      <c r="F9" s="259"/>
      <c r="G9" s="259"/>
      <c r="H9" s="260"/>
      <c r="I9" s="67"/>
    </row>
    <row r="10" spans="1:9" x14ac:dyDescent="0.3">
      <c r="A10" s="67"/>
      <c r="B10" s="273" t="s">
        <v>74</v>
      </c>
      <c r="C10" s="274"/>
      <c r="D10" s="275" t="s">
        <v>75</v>
      </c>
      <c r="E10" s="276"/>
      <c r="F10" s="78" t="s">
        <v>76</v>
      </c>
      <c r="G10" s="79" t="s">
        <v>77</v>
      </c>
      <c r="H10" s="80" t="s">
        <v>78</v>
      </c>
      <c r="I10" s="67"/>
    </row>
    <row r="11" spans="1:9" ht="14.4" customHeight="1" x14ac:dyDescent="0.3">
      <c r="A11" s="67"/>
      <c r="B11" s="265" t="s">
        <v>91</v>
      </c>
      <c r="C11" s="266"/>
      <c r="D11" s="253" t="s">
        <v>92</v>
      </c>
      <c r="E11" s="254"/>
      <c r="F11" s="81">
        <v>1</v>
      </c>
      <c r="G11" s="82">
        <v>29333</v>
      </c>
      <c r="H11" s="83">
        <f>+F11*G11</f>
        <v>29333</v>
      </c>
      <c r="I11" s="67"/>
    </row>
    <row r="12" spans="1:9" x14ac:dyDescent="0.3">
      <c r="A12" s="67"/>
      <c r="B12" s="265"/>
      <c r="C12" s="266"/>
      <c r="D12" s="253"/>
      <c r="E12" s="254"/>
      <c r="F12" s="81"/>
      <c r="G12" s="82"/>
      <c r="H12" s="83"/>
      <c r="I12" s="67"/>
    </row>
    <row r="13" spans="1:9" x14ac:dyDescent="0.3">
      <c r="A13" s="67"/>
      <c r="B13" s="265"/>
      <c r="C13" s="266"/>
      <c r="D13" s="253"/>
      <c r="E13" s="254"/>
      <c r="F13" s="81"/>
      <c r="G13" s="82"/>
      <c r="H13" s="83"/>
      <c r="I13" s="67"/>
    </row>
    <row r="14" spans="1:9" x14ac:dyDescent="0.3">
      <c r="A14" s="67"/>
      <c r="B14" s="265"/>
      <c r="C14" s="266"/>
      <c r="D14" s="253"/>
      <c r="E14" s="254"/>
      <c r="F14" s="81"/>
      <c r="G14" s="82"/>
      <c r="H14" s="83"/>
      <c r="I14" s="67"/>
    </row>
    <row r="15" spans="1:9" x14ac:dyDescent="0.3">
      <c r="A15" s="67"/>
      <c r="B15" s="255" t="s">
        <v>83</v>
      </c>
      <c r="C15" s="256"/>
      <c r="D15" s="256"/>
      <c r="E15" s="256"/>
      <c r="F15" s="256"/>
      <c r="G15" s="257"/>
      <c r="H15" s="84">
        <f>SUM(H11:H14)</f>
        <v>29333</v>
      </c>
      <c r="I15" s="67"/>
    </row>
    <row r="16" spans="1:9" ht="15.6" x14ac:dyDescent="0.3">
      <c r="A16" s="67"/>
      <c r="B16" s="258" t="s">
        <v>84</v>
      </c>
      <c r="C16" s="259"/>
      <c r="D16" s="259"/>
      <c r="E16" s="259"/>
      <c r="F16" s="259"/>
      <c r="G16" s="259"/>
      <c r="H16" s="260"/>
      <c r="I16" s="67"/>
    </row>
    <row r="17" spans="1:9" x14ac:dyDescent="0.3">
      <c r="A17" s="67"/>
      <c r="B17" s="273" t="s">
        <v>74</v>
      </c>
      <c r="C17" s="274"/>
      <c r="D17" s="275" t="s">
        <v>75</v>
      </c>
      <c r="E17" s="276"/>
      <c r="F17" s="78" t="s">
        <v>76</v>
      </c>
      <c r="G17" s="79" t="s">
        <v>77</v>
      </c>
      <c r="H17" s="80" t="s">
        <v>78</v>
      </c>
      <c r="I17" s="67"/>
    </row>
    <row r="18" spans="1:9" x14ac:dyDescent="0.3">
      <c r="A18" s="67"/>
      <c r="B18" s="265" t="s">
        <v>93</v>
      </c>
      <c r="C18" s="266"/>
      <c r="D18" s="253" t="s">
        <v>98</v>
      </c>
      <c r="E18" s="254"/>
      <c r="F18" s="81">
        <v>4</v>
      </c>
      <c r="G18" s="82">
        <v>121418.06</v>
      </c>
      <c r="H18" s="83">
        <f>+F18*G18</f>
        <v>485672.24</v>
      </c>
      <c r="I18" s="67"/>
    </row>
    <row r="19" spans="1:9" x14ac:dyDescent="0.3">
      <c r="A19" s="67"/>
      <c r="B19" s="265" t="s">
        <v>94</v>
      </c>
      <c r="C19" s="266"/>
      <c r="D19" s="253" t="s">
        <v>98</v>
      </c>
      <c r="E19" s="254"/>
      <c r="F19" s="81">
        <v>4</v>
      </c>
      <c r="G19" s="82">
        <v>105563.04</v>
      </c>
      <c r="H19" s="83">
        <f t="shared" ref="H19:H22" si="0">+F19*G19</f>
        <v>422252.16</v>
      </c>
      <c r="I19" s="67"/>
    </row>
    <row r="20" spans="1:9" x14ac:dyDescent="0.3">
      <c r="A20" s="67"/>
      <c r="B20" s="265" t="s">
        <v>95</v>
      </c>
      <c r="C20" s="266"/>
      <c r="D20" s="253" t="s">
        <v>98</v>
      </c>
      <c r="E20" s="254"/>
      <c r="F20" s="81">
        <v>4</v>
      </c>
      <c r="G20" s="82">
        <v>105563.04</v>
      </c>
      <c r="H20" s="83">
        <f t="shared" si="0"/>
        <v>422252.16</v>
      </c>
      <c r="I20" s="67"/>
    </row>
    <row r="21" spans="1:9" x14ac:dyDescent="0.3">
      <c r="A21" s="67"/>
      <c r="B21" s="265" t="s">
        <v>96</v>
      </c>
      <c r="C21" s="266"/>
      <c r="D21" s="253" t="s">
        <v>98</v>
      </c>
      <c r="E21" s="254"/>
      <c r="F21" s="81">
        <v>5</v>
      </c>
      <c r="G21" s="82">
        <v>195479.38</v>
      </c>
      <c r="H21" s="83">
        <f t="shared" si="0"/>
        <v>977396.9</v>
      </c>
      <c r="I21" s="85"/>
    </row>
    <row r="22" spans="1:9" x14ac:dyDescent="0.3">
      <c r="A22" s="67"/>
      <c r="B22" s="265" t="s">
        <v>97</v>
      </c>
      <c r="C22" s="266"/>
      <c r="D22" s="253" t="s">
        <v>98</v>
      </c>
      <c r="E22" s="254"/>
      <c r="F22" s="81">
        <v>4</v>
      </c>
      <c r="G22" s="82">
        <v>50188.55</v>
      </c>
      <c r="H22" s="83">
        <f t="shared" si="0"/>
        <v>200754.2</v>
      </c>
      <c r="I22" s="85"/>
    </row>
    <row r="23" spans="1:9" x14ac:dyDescent="0.3">
      <c r="A23" s="67"/>
      <c r="B23" s="255" t="s">
        <v>85</v>
      </c>
      <c r="C23" s="256"/>
      <c r="D23" s="256"/>
      <c r="E23" s="256"/>
      <c r="F23" s="256"/>
      <c r="G23" s="257"/>
      <c r="H23" s="84">
        <f>SUM(H18:H22)</f>
        <v>2508327.66</v>
      </c>
      <c r="I23" s="85"/>
    </row>
    <row r="24" spans="1:9" ht="15.6" x14ac:dyDescent="0.3">
      <c r="A24" s="67"/>
      <c r="B24" s="258" t="s">
        <v>86</v>
      </c>
      <c r="C24" s="259"/>
      <c r="D24" s="259"/>
      <c r="E24" s="259"/>
      <c r="F24" s="259"/>
      <c r="G24" s="259"/>
      <c r="H24" s="260"/>
      <c r="I24" s="85"/>
    </row>
    <row r="25" spans="1:9" x14ac:dyDescent="0.3">
      <c r="A25" s="67"/>
      <c r="B25" s="261" t="s">
        <v>74</v>
      </c>
      <c r="C25" s="262"/>
      <c r="D25" s="263" t="s">
        <v>75</v>
      </c>
      <c r="E25" s="264"/>
      <c r="F25" s="86" t="s">
        <v>76</v>
      </c>
      <c r="G25" s="87" t="s">
        <v>77</v>
      </c>
      <c r="H25" s="80" t="s">
        <v>78</v>
      </c>
      <c r="I25" s="85"/>
    </row>
    <row r="26" spans="1:9" x14ac:dyDescent="0.3">
      <c r="A26" s="67"/>
      <c r="B26" s="306"/>
      <c r="C26" s="269"/>
      <c r="D26" s="269"/>
      <c r="E26" s="269"/>
      <c r="F26" s="269"/>
      <c r="G26" s="269"/>
      <c r="H26" s="88">
        <v>0</v>
      </c>
      <c r="I26" s="85"/>
    </row>
    <row r="27" spans="1:9" ht="16.2" thickBot="1" x14ac:dyDescent="0.35">
      <c r="A27" s="67"/>
      <c r="B27" s="277" t="s">
        <v>87</v>
      </c>
      <c r="C27" s="278"/>
      <c r="D27" s="278"/>
      <c r="E27" s="278"/>
      <c r="F27" s="278"/>
      <c r="G27" s="279"/>
      <c r="H27" s="89">
        <f>+H8+H15+H23+H26</f>
        <v>2813077.0430000001</v>
      </c>
      <c r="I27" s="85"/>
    </row>
    <row r="28" spans="1:9" ht="15" thickBot="1" x14ac:dyDescent="0.35"/>
    <row r="29" spans="1:9" ht="18" x14ac:dyDescent="0.3">
      <c r="B29" s="68" t="s">
        <v>71</v>
      </c>
      <c r="C29" s="280" t="s">
        <v>72</v>
      </c>
      <c r="D29" s="281"/>
      <c r="E29" s="281"/>
      <c r="F29" s="282"/>
      <c r="G29" s="283" t="s">
        <v>9</v>
      </c>
      <c r="H29" s="284"/>
    </row>
    <row r="30" spans="1:9" x14ac:dyDescent="0.3">
      <c r="B30" s="69" t="s">
        <v>64</v>
      </c>
      <c r="C30" s="285" t="s">
        <v>100</v>
      </c>
      <c r="D30" s="286"/>
      <c r="E30" s="286"/>
      <c r="F30" s="287"/>
      <c r="G30" s="288">
        <f>+'FORMATO PRESUPUESTO'!H44</f>
        <v>0</v>
      </c>
      <c r="H30" s="289"/>
    </row>
    <row r="31" spans="1:9" ht="15.6" x14ac:dyDescent="0.3">
      <c r="B31" s="290" t="s">
        <v>73</v>
      </c>
      <c r="C31" s="291"/>
      <c r="D31" s="291"/>
      <c r="E31" s="291"/>
      <c r="F31" s="291"/>
      <c r="G31" s="291"/>
      <c r="H31" s="292"/>
    </row>
    <row r="32" spans="1:9" x14ac:dyDescent="0.3">
      <c r="B32" s="303" t="s">
        <v>74</v>
      </c>
      <c r="C32" s="304"/>
      <c r="D32" s="305" t="s">
        <v>75</v>
      </c>
      <c r="E32" s="305"/>
      <c r="F32" s="70" t="s">
        <v>76</v>
      </c>
      <c r="G32" s="71" t="s">
        <v>77</v>
      </c>
      <c r="H32" s="72" t="s">
        <v>78</v>
      </c>
    </row>
    <row r="33" spans="2:8" x14ac:dyDescent="0.3">
      <c r="B33" s="298" t="s">
        <v>79</v>
      </c>
      <c r="C33" s="267"/>
      <c r="D33" s="268" t="s">
        <v>80</v>
      </c>
      <c r="E33" s="268"/>
      <c r="F33" s="73">
        <v>5</v>
      </c>
      <c r="G33" s="74">
        <f>H46/100</f>
        <v>122.7761</v>
      </c>
      <c r="H33" s="72">
        <f>+F33*G33</f>
        <v>613.88049999999998</v>
      </c>
    </row>
    <row r="34" spans="2:8" x14ac:dyDescent="0.3">
      <c r="B34" s="298"/>
      <c r="C34" s="267"/>
      <c r="D34" s="299"/>
      <c r="E34" s="299"/>
      <c r="F34" s="75"/>
      <c r="G34" s="76"/>
      <c r="H34" s="72"/>
    </row>
    <row r="35" spans="2:8" x14ac:dyDescent="0.3">
      <c r="B35" s="300" t="s">
        <v>81</v>
      </c>
      <c r="C35" s="301"/>
      <c r="D35" s="301"/>
      <c r="E35" s="301"/>
      <c r="F35" s="301"/>
      <c r="G35" s="302"/>
      <c r="H35" s="77">
        <f>SUM(H33:H34)</f>
        <v>613.88049999999998</v>
      </c>
    </row>
    <row r="36" spans="2:8" ht="15.6" x14ac:dyDescent="0.3">
      <c r="B36" s="258" t="s">
        <v>82</v>
      </c>
      <c r="C36" s="259"/>
      <c r="D36" s="259"/>
      <c r="E36" s="259"/>
      <c r="F36" s="259"/>
      <c r="G36" s="259"/>
      <c r="H36" s="260"/>
    </row>
    <row r="37" spans="2:8" x14ac:dyDescent="0.3">
      <c r="B37" s="273" t="s">
        <v>74</v>
      </c>
      <c r="C37" s="274"/>
      <c r="D37" s="275" t="s">
        <v>75</v>
      </c>
      <c r="E37" s="276"/>
      <c r="F37" s="78" t="s">
        <v>76</v>
      </c>
      <c r="G37" s="79" t="s">
        <v>77</v>
      </c>
      <c r="H37" s="80" t="s">
        <v>78</v>
      </c>
    </row>
    <row r="38" spans="2:8" x14ac:dyDescent="0.3">
      <c r="B38" s="265" t="s">
        <v>109</v>
      </c>
      <c r="C38" s="266"/>
      <c r="D38" s="253" t="s">
        <v>32</v>
      </c>
      <c r="E38" s="254"/>
      <c r="F38" s="81">
        <v>0.03</v>
      </c>
      <c r="G38" s="82">
        <v>82125</v>
      </c>
      <c r="H38" s="83">
        <f>+F38*G38</f>
        <v>2463.75</v>
      </c>
    </row>
    <row r="39" spans="2:8" x14ac:dyDescent="0.3">
      <c r="B39" s="265" t="s">
        <v>110</v>
      </c>
      <c r="C39" s="266"/>
      <c r="D39" s="253" t="s">
        <v>69</v>
      </c>
      <c r="E39" s="254"/>
      <c r="F39" s="81">
        <v>50</v>
      </c>
      <c r="G39" s="82">
        <v>666.67</v>
      </c>
      <c r="H39" s="83">
        <f t="shared" ref="H39:H40" si="1">+F39*G39</f>
        <v>33333.5</v>
      </c>
    </row>
    <row r="40" spans="2:8" x14ac:dyDescent="0.3">
      <c r="B40" s="265" t="s">
        <v>111</v>
      </c>
      <c r="C40" s="266"/>
      <c r="D40" s="253" t="s">
        <v>112</v>
      </c>
      <c r="E40" s="254"/>
      <c r="F40" s="81">
        <v>2.85</v>
      </c>
      <c r="G40" s="82">
        <v>21</v>
      </c>
      <c r="H40" s="83">
        <f t="shared" si="1"/>
        <v>59.85</v>
      </c>
    </row>
    <row r="41" spans="2:8" x14ac:dyDescent="0.3">
      <c r="B41" s="265"/>
      <c r="C41" s="266"/>
      <c r="D41" s="253"/>
      <c r="E41" s="254"/>
      <c r="F41" s="81"/>
      <c r="G41" s="82"/>
      <c r="H41" s="83"/>
    </row>
    <row r="42" spans="2:8" x14ac:dyDescent="0.3">
      <c r="B42" s="255" t="s">
        <v>83</v>
      </c>
      <c r="C42" s="256"/>
      <c r="D42" s="256"/>
      <c r="E42" s="256"/>
      <c r="F42" s="256"/>
      <c r="G42" s="257"/>
      <c r="H42" s="84">
        <f>SUM(H38:H41)</f>
        <v>35857.1</v>
      </c>
    </row>
    <row r="43" spans="2:8" ht="15.6" x14ac:dyDescent="0.3">
      <c r="B43" s="258" t="s">
        <v>84</v>
      </c>
      <c r="C43" s="259"/>
      <c r="D43" s="259"/>
      <c r="E43" s="259"/>
      <c r="F43" s="259"/>
      <c r="G43" s="259"/>
      <c r="H43" s="260"/>
    </row>
    <row r="44" spans="2:8" x14ac:dyDescent="0.3">
      <c r="B44" s="273" t="s">
        <v>74</v>
      </c>
      <c r="C44" s="274"/>
      <c r="D44" s="275" t="s">
        <v>75</v>
      </c>
      <c r="E44" s="276"/>
      <c r="F44" s="78" t="s">
        <v>76</v>
      </c>
      <c r="G44" s="79" t="s">
        <v>77</v>
      </c>
      <c r="H44" s="80" t="s">
        <v>78</v>
      </c>
    </row>
    <row r="45" spans="2:8" x14ac:dyDescent="0.3">
      <c r="B45" s="265" t="s">
        <v>113</v>
      </c>
      <c r="C45" s="266"/>
      <c r="D45" s="253" t="s">
        <v>114</v>
      </c>
      <c r="E45" s="254"/>
      <c r="F45" s="81">
        <v>0.5</v>
      </c>
      <c r="G45" s="82">
        <v>24555.22</v>
      </c>
      <c r="H45" s="83">
        <f>+F45*G45</f>
        <v>12277.61</v>
      </c>
    </row>
    <row r="46" spans="2:8" x14ac:dyDescent="0.3">
      <c r="B46" s="255" t="s">
        <v>85</v>
      </c>
      <c r="C46" s="256"/>
      <c r="D46" s="256"/>
      <c r="E46" s="256"/>
      <c r="F46" s="256"/>
      <c r="G46" s="257"/>
      <c r="H46" s="84">
        <f>SUM(H45:H45)</f>
        <v>12277.61</v>
      </c>
    </row>
    <row r="47" spans="2:8" ht="15.6" x14ac:dyDescent="0.3">
      <c r="B47" s="258" t="s">
        <v>86</v>
      </c>
      <c r="C47" s="259"/>
      <c r="D47" s="259"/>
      <c r="E47" s="259"/>
      <c r="F47" s="259"/>
      <c r="G47" s="259"/>
      <c r="H47" s="260"/>
    </row>
    <row r="48" spans="2:8" x14ac:dyDescent="0.3">
      <c r="B48" s="261" t="s">
        <v>74</v>
      </c>
      <c r="C48" s="262"/>
      <c r="D48" s="263" t="s">
        <v>75</v>
      </c>
      <c r="E48" s="264"/>
      <c r="F48" s="86" t="s">
        <v>76</v>
      </c>
      <c r="G48" s="87" t="s">
        <v>77</v>
      </c>
      <c r="H48" s="80" t="s">
        <v>78</v>
      </c>
    </row>
    <row r="49" spans="2:8" x14ac:dyDescent="0.3">
      <c r="B49" s="306"/>
      <c r="C49" s="269"/>
      <c r="D49" s="269"/>
      <c r="E49" s="269"/>
      <c r="F49" s="269"/>
      <c r="G49" s="269"/>
      <c r="H49" s="88">
        <v>0</v>
      </c>
    </row>
    <row r="50" spans="2:8" ht="16.2" thickBot="1" x14ac:dyDescent="0.35">
      <c r="B50" s="277" t="s">
        <v>87</v>
      </c>
      <c r="C50" s="278"/>
      <c r="D50" s="278"/>
      <c r="E50" s="278"/>
      <c r="F50" s="278"/>
      <c r="G50" s="279"/>
      <c r="H50" s="89">
        <f>+H35+H42+H46+H49</f>
        <v>48748.590499999998</v>
      </c>
    </row>
    <row r="51" spans="2:8" ht="15" thickBot="1" x14ac:dyDescent="0.35"/>
    <row r="52" spans="2:8" ht="18" x14ac:dyDescent="0.3">
      <c r="B52" s="68" t="s">
        <v>71</v>
      </c>
      <c r="C52" s="280" t="s">
        <v>72</v>
      </c>
      <c r="D52" s="281"/>
      <c r="E52" s="281"/>
      <c r="F52" s="282"/>
      <c r="G52" s="283" t="s">
        <v>9</v>
      </c>
      <c r="H52" s="284"/>
    </row>
    <row r="53" spans="2:8" x14ac:dyDescent="0.3">
      <c r="B53" s="69" t="s">
        <v>64</v>
      </c>
      <c r="C53" s="285" t="s">
        <v>115</v>
      </c>
      <c r="D53" s="286"/>
      <c r="E53" s="286"/>
      <c r="F53" s="287"/>
      <c r="G53" s="288">
        <f>+'FORMATO PRESUPUESTO'!H63</f>
        <v>0</v>
      </c>
      <c r="H53" s="289"/>
    </row>
    <row r="54" spans="2:8" ht="15.6" x14ac:dyDescent="0.3">
      <c r="B54" s="290" t="s">
        <v>73</v>
      </c>
      <c r="C54" s="291"/>
      <c r="D54" s="291"/>
      <c r="E54" s="291"/>
      <c r="F54" s="291"/>
      <c r="G54" s="291"/>
      <c r="H54" s="292"/>
    </row>
    <row r="55" spans="2:8" x14ac:dyDescent="0.3">
      <c r="B55" s="303" t="s">
        <v>74</v>
      </c>
      <c r="C55" s="304"/>
      <c r="D55" s="305" t="s">
        <v>75</v>
      </c>
      <c r="E55" s="305"/>
      <c r="F55" s="70" t="s">
        <v>76</v>
      </c>
      <c r="G55" s="71" t="s">
        <v>77</v>
      </c>
      <c r="H55" s="72" t="s">
        <v>78</v>
      </c>
    </row>
    <row r="56" spans="2:8" x14ac:dyDescent="0.3">
      <c r="B56" s="298"/>
      <c r="C56" s="267"/>
      <c r="D56" s="268"/>
      <c r="E56" s="268"/>
      <c r="F56" s="73"/>
      <c r="G56" s="74"/>
      <c r="H56" s="72">
        <v>0</v>
      </c>
    </row>
    <row r="57" spans="2:8" x14ac:dyDescent="0.3">
      <c r="B57" s="298"/>
      <c r="C57" s="267"/>
      <c r="D57" s="299"/>
      <c r="E57" s="299"/>
      <c r="F57" s="75"/>
      <c r="G57" s="76"/>
      <c r="H57" s="72"/>
    </row>
    <row r="58" spans="2:8" x14ac:dyDescent="0.3">
      <c r="B58" s="300" t="s">
        <v>81</v>
      </c>
      <c r="C58" s="301"/>
      <c r="D58" s="301"/>
      <c r="E58" s="301"/>
      <c r="F58" s="301"/>
      <c r="G58" s="302"/>
      <c r="H58" s="77">
        <f>SUM(H56:H57)</f>
        <v>0</v>
      </c>
    </row>
    <row r="59" spans="2:8" ht="15.6" x14ac:dyDescent="0.3">
      <c r="B59" s="258" t="s">
        <v>82</v>
      </c>
      <c r="C59" s="259"/>
      <c r="D59" s="259"/>
      <c r="E59" s="259"/>
      <c r="F59" s="259"/>
      <c r="G59" s="259"/>
      <c r="H59" s="260"/>
    </row>
    <row r="60" spans="2:8" x14ac:dyDescent="0.3">
      <c r="B60" s="273" t="s">
        <v>74</v>
      </c>
      <c r="C60" s="274"/>
      <c r="D60" s="275" t="s">
        <v>75</v>
      </c>
      <c r="E60" s="276"/>
      <c r="F60" s="78" t="s">
        <v>76</v>
      </c>
      <c r="G60" s="79" t="s">
        <v>77</v>
      </c>
      <c r="H60" s="80" t="s">
        <v>78</v>
      </c>
    </row>
    <row r="61" spans="2:8" x14ac:dyDescent="0.3">
      <c r="B61" s="265" t="s">
        <v>116</v>
      </c>
      <c r="C61" s="266"/>
      <c r="D61" s="253" t="s">
        <v>32</v>
      </c>
      <c r="E61" s="254"/>
      <c r="F61" s="81">
        <v>0.2</v>
      </c>
      <c r="G61" s="82">
        <v>93966.67</v>
      </c>
      <c r="H61" s="83">
        <f>+F61*G61</f>
        <v>18793.333999999999</v>
      </c>
    </row>
    <row r="62" spans="2:8" x14ac:dyDescent="0.3">
      <c r="B62" s="265" t="s">
        <v>117</v>
      </c>
      <c r="C62" s="266"/>
      <c r="D62" s="253" t="s">
        <v>60</v>
      </c>
      <c r="E62" s="254"/>
      <c r="F62" s="81">
        <v>1</v>
      </c>
      <c r="G62" s="82">
        <v>35333.33</v>
      </c>
      <c r="H62" s="83">
        <f t="shared" ref="H62:H63" si="2">+F62*G62</f>
        <v>35333.33</v>
      </c>
    </row>
    <row r="63" spans="2:8" x14ac:dyDescent="0.3">
      <c r="B63" s="265" t="s">
        <v>88</v>
      </c>
      <c r="C63" s="266"/>
      <c r="D63" s="253" t="s">
        <v>32</v>
      </c>
      <c r="E63" s="254"/>
      <c r="F63" s="81">
        <v>0.03</v>
      </c>
      <c r="G63" s="82">
        <v>409741.65</v>
      </c>
      <c r="H63" s="83">
        <f t="shared" si="2"/>
        <v>12292.2495</v>
      </c>
    </row>
    <row r="64" spans="2:8" x14ac:dyDescent="0.3">
      <c r="B64" s="265"/>
      <c r="C64" s="266"/>
      <c r="D64" s="253"/>
      <c r="E64" s="254"/>
      <c r="F64" s="81"/>
      <c r="G64" s="82"/>
      <c r="H64" s="83"/>
    </row>
    <row r="65" spans="2:8" x14ac:dyDescent="0.3">
      <c r="B65" s="255" t="s">
        <v>83</v>
      </c>
      <c r="C65" s="256"/>
      <c r="D65" s="256"/>
      <c r="E65" s="256"/>
      <c r="F65" s="256"/>
      <c r="G65" s="257"/>
      <c r="H65" s="84">
        <f>SUM(H61:H64)</f>
        <v>66418.91350000001</v>
      </c>
    </row>
    <row r="66" spans="2:8" ht="15.6" x14ac:dyDescent="0.3">
      <c r="B66" s="258" t="s">
        <v>84</v>
      </c>
      <c r="C66" s="259"/>
      <c r="D66" s="259"/>
      <c r="E66" s="259"/>
      <c r="F66" s="259"/>
      <c r="G66" s="259"/>
      <c r="H66" s="260"/>
    </row>
    <row r="67" spans="2:8" x14ac:dyDescent="0.3">
      <c r="B67" s="273" t="s">
        <v>74</v>
      </c>
      <c r="C67" s="274"/>
      <c r="D67" s="275" t="s">
        <v>75</v>
      </c>
      <c r="E67" s="276"/>
      <c r="F67" s="78" t="s">
        <v>76</v>
      </c>
      <c r="G67" s="79" t="s">
        <v>77</v>
      </c>
      <c r="H67" s="80" t="s">
        <v>78</v>
      </c>
    </row>
    <row r="68" spans="2:8" x14ac:dyDescent="0.3">
      <c r="B68" s="265" t="s">
        <v>118</v>
      </c>
      <c r="C68" s="266"/>
      <c r="D68" s="253" t="s">
        <v>120</v>
      </c>
      <c r="E68" s="254"/>
      <c r="F68" s="81">
        <v>0.6</v>
      </c>
      <c r="G68" s="82">
        <v>9037.33</v>
      </c>
      <c r="H68" s="83">
        <f>+F68*G68</f>
        <v>5422.3980000000001</v>
      </c>
    </row>
    <row r="69" spans="2:8" x14ac:dyDescent="0.3">
      <c r="B69" s="265" t="s">
        <v>119</v>
      </c>
      <c r="C69" s="266"/>
      <c r="D69" s="253" t="s">
        <v>120</v>
      </c>
      <c r="E69" s="254"/>
      <c r="F69" s="81">
        <v>0.6</v>
      </c>
      <c r="G69" s="82">
        <v>15517.89</v>
      </c>
      <c r="H69" s="83">
        <f>+F69*G69</f>
        <v>9310.7339999999986</v>
      </c>
    </row>
    <row r="70" spans="2:8" x14ac:dyDescent="0.3">
      <c r="B70" s="255" t="s">
        <v>85</v>
      </c>
      <c r="C70" s="256"/>
      <c r="D70" s="256"/>
      <c r="E70" s="256"/>
      <c r="F70" s="256"/>
      <c r="G70" s="257"/>
      <c r="H70" s="84">
        <f>SUM(H68:H69)</f>
        <v>14733.131999999998</v>
      </c>
    </row>
    <row r="71" spans="2:8" ht="15.6" x14ac:dyDescent="0.3">
      <c r="B71" s="258" t="s">
        <v>86</v>
      </c>
      <c r="C71" s="259"/>
      <c r="D71" s="259"/>
      <c r="E71" s="259"/>
      <c r="F71" s="259"/>
      <c r="G71" s="259"/>
      <c r="H71" s="260"/>
    </row>
    <row r="72" spans="2:8" x14ac:dyDescent="0.3">
      <c r="B72" s="261" t="s">
        <v>74</v>
      </c>
      <c r="C72" s="262"/>
      <c r="D72" s="263" t="s">
        <v>75</v>
      </c>
      <c r="E72" s="264"/>
      <c r="F72" s="86" t="s">
        <v>76</v>
      </c>
      <c r="G72" s="87" t="s">
        <v>77</v>
      </c>
      <c r="H72" s="80" t="s">
        <v>78</v>
      </c>
    </row>
    <row r="73" spans="2:8" x14ac:dyDescent="0.3">
      <c r="B73" s="306"/>
      <c r="C73" s="269"/>
      <c r="D73" s="269"/>
      <c r="E73" s="269"/>
      <c r="F73" s="269"/>
      <c r="G73" s="269"/>
      <c r="H73" s="88">
        <v>0</v>
      </c>
    </row>
    <row r="74" spans="2:8" ht="16.2" thickBot="1" x14ac:dyDescent="0.35">
      <c r="B74" s="277" t="s">
        <v>87</v>
      </c>
      <c r="C74" s="278"/>
      <c r="D74" s="278"/>
      <c r="E74" s="278"/>
      <c r="F74" s="278"/>
      <c r="G74" s="279"/>
      <c r="H74" s="89">
        <f>+H58+H65+H70+H73</f>
        <v>81152.045500000007</v>
      </c>
    </row>
    <row r="75" spans="2:8" ht="15" thickBot="1" x14ac:dyDescent="0.35"/>
    <row r="76" spans="2:8" ht="18" x14ac:dyDescent="0.3">
      <c r="B76" s="68" t="s">
        <v>71</v>
      </c>
      <c r="C76" s="280" t="s">
        <v>72</v>
      </c>
      <c r="D76" s="281"/>
      <c r="E76" s="281"/>
      <c r="F76" s="282"/>
      <c r="G76" s="283" t="s">
        <v>9</v>
      </c>
      <c r="H76" s="284"/>
    </row>
    <row r="77" spans="2:8" x14ac:dyDescent="0.3">
      <c r="B77" s="69" t="s">
        <v>64</v>
      </c>
      <c r="C77" s="285" t="s">
        <v>122</v>
      </c>
      <c r="D77" s="286"/>
      <c r="E77" s="286"/>
      <c r="F77" s="287"/>
      <c r="G77" s="288">
        <f>+'FORMATO PRESUPUESTO'!H87</f>
        <v>0</v>
      </c>
      <c r="H77" s="289"/>
    </row>
    <row r="78" spans="2:8" ht="15.6" x14ac:dyDescent="0.3">
      <c r="B78" s="290" t="s">
        <v>73</v>
      </c>
      <c r="C78" s="291"/>
      <c r="D78" s="291"/>
      <c r="E78" s="291"/>
      <c r="F78" s="291"/>
      <c r="G78" s="291"/>
      <c r="H78" s="292"/>
    </row>
    <row r="79" spans="2:8" x14ac:dyDescent="0.3">
      <c r="B79" s="303" t="s">
        <v>74</v>
      </c>
      <c r="C79" s="304"/>
      <c r="D79" s="305" t="s">
        <v>75</v>
      </c>
      <c r="E79" s="305"/>
      <c r="F79" s="70" t="s">
        <v>76</v>
      </c>
      <c r="G79" s="71" t="s">
        <v>77</v>
      </c>
      <c r="H79" s="72" t="s">
        <v>78</v>
      </c>
    </row>
    <row r="80" spans="2:8" x14ac:dyDescent="0.3">
      <c r="B80" s="298" t="s">
        <v>79</v>
      </c>
      <c r="C80" s="267"/>
      <c r="D80" s="268" t="s">
        <v>80</v>
      </c>
      <c r="E80" s="268"/>
      <c r="F80" s="73">
        <v>3.5</v>
      </c>
      <c r="G80" s="74">
        <f>H93/100</f>
        <v>24.555219999999998</v>
      </c>
      <c r="H80" s="72">
        <f>+F80*G80</f>
        <v>85.943269999999998</v>
      </c>
    </row>
    <row r="81" spans="2:8" x14ac:dyDescent="0.3">
      <c r="B81" s="298"/>
      <c r="C81" s="267"/>
      <c r="D81" s="299"/>
      <c r="E81" s="299"/>
      <c r="F81" s="75"/>
      <c r="G81" s="76"/>
      <c r="H81" s="72"/>
    </row>
    <row r="82" spans="2:8" x14ac:dyDescent="0.3">
      <c r="B82" s="300" t="s">
        <v>81</v>
      </c>
      <c r="C82" s="301"/>
      <c r="D82" s="301"/>
      <c r="E82" s="301"/>
      <c r="F82" s="301"/>
      <c r="G82" s="302"/>
      <c r="H82" s="77">
        <f>SUM(H80:H81)</f>
        <v>85.943269999999998</v>
      </c>
    </row>
    <row r="83" spans="2:8" ht="15.6" x14ac:dyDescent="0.3">
      <c r="B83" s="258" t="s">
        <v>82</v>
      </c>
      <c r="C83" s="259"/>
      <c r="D83" s="259"/>
      <c r="E83" s="259"/>
      <c r="F83" s="259"/>
      <c r="G83" s="259"/>
      <c r="H83" s="260"/>
    </row>
    <row r="84" spans="2:8" x14ac:dyDescent="0.3">
      <c r="B84" s="273" t="s">
        <v>74</v>
      </c>
      <c r="C84" s="274"/>
      <c r="D84" s="275" t="s">
        <v>75</v>
      </c>
      <c r="E84" s="276"/>
      <c r="F84" s="78" t="s">
        <v>76</v>
      </c>
      <c r="G84" s="79" t="s">
        <v>77</v>
      </c>
      <c r="H84" s="80" t="s">
        <v>78</v>
      </c>
    </row>
    <row r="85" spans="2:8" x14ac:dyDescent="0.3">
      <c r="B85" s="265" t="s">
        <v>123</v>
      </c>
      <c r="C85" s="266"/>
      <c r="D85" s="253" t="s">
        <v>32</v>
      </c>
      <c r="E85" s="254"/>
      <c r="F85" s="81">
        <v>0.3</v>
      </c>
      <c r="G85" s="82">
        <v>57129.33</v>
      </c>
      <c r="H85" s="83">
        <f>+F85*G85</f>
        <v>17138.798999999999</v>
      </c>
    </row>
    <row r="86" spans="2:8" x14ac:dyDescent="0.3">
      <c r="B86" s="265" t="s">
        <v>124</v>
      </c>
      <c r="C86" s="266"/>
      <c r="D86" s="253" t="s">
        <v>69</v>
      </c>
      <c r="E86" s="254"/>
      <c r="F86" s="81">
        <v>1.1000000000000001</v>
      </c>
      <c r="G86" s="82">
        <v>8033.33</v>
      </c>
      <c r="H86" s="83">
        <f t="shared" ref="H86" si="3">+F86*G86</f>
        <v>8836.6630000000005</v>
      </c>
    </row>
    <row r="87" spans="2:8" x14ac:dyDescent="0.3">
      <c r="B87" s="265"/>
      <c r="C87" s="266"/>
      <c r="D87" s="253"/>
      <c r="E87" s="254"/>
      <c r="F87" s="81"/>
      <c r="G87" s="82"/>
      <c r="H87" s="83"/>
    </row>
    <row r="88" spans="2:8" x14ac:dyDescent="0.3">
      <c r="B88" s="255" t="s">
        <v>83</v>
      </c>
      <c r="C88" s="256"/>
      <c r="D88" s="256"/>
      <c r="E88" s="256"/>
      <c r="F88" s="256"/>
      <c r="G88" s="257"/>
      <c r="H88" s="84">
        <f>SUM(H85:H87)</f>
        <v>25975.462</v>
      </c>
    </row>
    <row r="89" spans="2:8" ht="15.6" x14ac:dyDescent="0.3">
      <c r="B89" s="258" t="s">
        <v>84</v>
      </c>
      <c r="C89" s="259"/>
      <c r="D89" s="259"/>
      <c r="E89" s="259"/>
      <c r="F89" s="259"/>
      <c r="G89" s="259"/>
      <c r="H89" s="260"/>
    </row>
    <row r="90" spans="2:8" x14ac:dyDescent="0.3">
      <c r="B90" s="273" t="s">
        <v>74</v>
      </c>
      <c r="C90" s="274"/>
      <c r="D90" s="275" t="s">
        <v>75</v>
      </c>
      <c r="E90" s="276"/>
      <c r="F90" s="78" t="s">
        <v>76</v>
      </c>
      <c r="G90" s="79" t="s">
        <v>77</v>
      </c>
      <c r="H90" s="80" t="s">
        <v>78</v>
      </c>
    </row>
    <row r="91" spans="2:8" x14ac:dyDescent="0.3">
      <c r="B91" s="265" t="s">
        <v>118</v>
      </c>
      <c r="C91" s="266"/>
      <c r="D91" s="253" t="s">
        <v>120</v>
      </c>
      <c r="E91" s="254"/>
      <c r="F91" s="81">
        <v>0.1</v>
      </c>
      <c r="G91" s="82">
        <v>9037.33</v>
      </c>
      <c r="H91" s="83">
        <f>+F91*G91</f>
        <v>903.73300000000006</v>
      </c>
    </row>
    <row r="92" spans="2:8" x14ac:dyDescent="0.3">
      <c r="B92" s="265" t="s">
        <v>119</v>
      </c>
      <c r="C92" s="266"/>
      <c r="D92" s="253" t="s">
        <v>120</v>
      </c>
      <c r="E92" s="254"/>
      <c r="F92" s="81">
        <v>0.1</v>
      </c>
      <c r="G92" s="82">
        <v>15517.89</v>
      </c>
      <c r="H92" s="83">
        <f>+F92*G92</f>
        <v>1551.789</v>
      </c>
    </row>
    <row r="93" spans="2:8" x14ac:dyDescent="0.3">
      <c r="B93" s="255" t="s">
        <v>85</v>
      </c>
      <c r="C93" s="256"/>
      <c r="D93" s="256"/>
      <c r="E93" s="256"/>
      <c r="F93" s="256"/>
      <c r="G93" s="257"/>
      <c r="H93" s="84">
        <f>SUM(H91:H92)</f>
        <v>2455.5219999999999</v>
      </c>
    </row>
    <row r="94" spans="2:8" ht="15.6" x14ac:dyDescent="0.3">
      <c r="B94" s="258" t="s">
        <v>86</v>
      </c>
      <c r="C94" s="259"/>
      <c r="D94" s="259"/>
      <c r="E94" s="259"/>
      <c r="F94" s="259"/>
      <c r="G94" s="259"/>
      <c r="H94" s="260"/>
    </row>
    <row r="95" spans="2:8" x14ac:dyDescent="0.3">
      <c r="B95" s="261" t="s">
        <v>74</v>
      </c>
      <c r="C95" s="262"/>
      <c r="D95" s="263" t="s">
        <v>75</v>
      </c>
      <c r="E95" s="264"/>
      <c r="F95" s="86" t="s">
        <v>76</v>
      </c>
      <c r="G95" s="87" t="s">
        <v>77</v>
      </c>
      <c r="H95" s="80" t="s">
        <v>78</v>
      </c>
    </row>
    <row r="96" spans="2:8" x14ac:dyDescent="0.3">
      <c r="B96" s="306"/>
      <c r="C96" s="269"/>
      <c r="D96" s="269"/>
      <c r="E96" s="269"/>
      <c r="F96" s="269"/>
      <c r="G96" s="269"/>
      <c r="H96" s="88">
        <v>0</v>
      </c>
    </row>
    <row r="97" spans="2:8" ht="16.2" thickBot="1" x14ac:dyDescent="0.35">
      <c r="B97" s="277" t="s">
        <v>87</v>
      </c>
      <c r="C97" s="278"/>
      <c r="D97" s="278"/>
      <c r="E97" s="278"/>
      <c r="F97" s="278"/>
      <c r="G97" s="279"/>
      <c r="H97" s="89">
        <f>+H82+H88+H93+H96</f>
        <v>28516.92727</v>
      </c>
    </row>
    <row r="98" spans="2:8" ht="15" thickBot="1" x14ac:dyDescent="0.35"/>
    <row r="99" spans="2:8" ht="18" x14ac:dyDescent="0.3">
      <c r="B99" s="68" t="s">
        <v>71</v>
      </c>
      <c r="C99" s="280" t="s">
        <v>72</v>
      </c>
      <c r="D99" s="281"/>
      <c r="E99" s="281"/>
      <c r="F99" s="282"/>
      <c r="G99" s="283" t="s">
        <v>9</v>
      </c>
      <c r="H99" s="284"/>
    </row>
    <row r="100" spans="2:8" x14ac:dyDescent="0.3">
      <c r="B100" s="69" t="s">
        <v>64</v>
      </c>
      <c r="C100" s="285" t="s">
        <v>115</v>
      </c>
      <c r="D100" s="286"/>
      <c r="E100" s="286"/>
      <c r="F100" s="287"/>
      <c r="G100" s="288">
        <f>+'FORMATO PRESUPUESTO'!H110</f>
        <v>0</v>
      </c>
      <c r="H100" s="289"/>
    </row>
    <row r="101" spans="2:8" ht="15.6" x14ac:dyDescent="0.3">
      <c r="B101" s="290" t="s">
        <v>73</v>
      </c>
      <c r="C101" s="291"/>
      <c r="D101" s="291"/>
      <c r="E101" s="291"/>
      <c r="F101" s="291"/>
      <c r="G101" s="291"/>
      <c r="H101" s="292"/>
    </row>
    <row r="102" spans="2:8" x14ac:dyDescent="0.3">
      <c r="B102" s="303" t="s">
        <v>74</v>
      </c>
      <c r="C102" s="304"/>
      <c r="D102" s="305" t="s">
        <v>75</v>
      </c>
      <c r="E102" s="305"/>
      <c r="F102" s="70" t="s">
        <v>76</v>
      </c>
      <c r="G102" s="71" t="s">
        <v>77</v>
      </c>
      <c r="H102" s="72" t="s">
        <v>78</v>
      </c>
    </row>
    <row r="103" spans="2:8" x14ac:dyDescent="0.3">
      <c r="B103" s="298"/>
      <c r="C103" s="267"/>
      <c r="D103" s="268"/>
      <c r="E103" s="268"/>
      <c r="F103" s="73"/>
      <c r="G103" s="74"/>
      <c r="H103" s="72">
        <v>0</v>
      </c>
    </row>
    <row r="104" spans="2:8" x14ac:dyDescent="0.3">
      <c r="B104" s="298"/>
      <c r="C104" s="267"/>
      <c r="D104" s="299"/>
      <c r="E104" s="299"/>
      <c r="F104" s="75"/>
      <c r="G104" s="76"/>
      <c r="H104" s="72"/>
    </row>
    <row r="105" spans="2:8" x14ac:dyDescent="0.3">
      <c r="B105" s="300" t="s">
        <v>81</v>
      </c>
      <c r="C105" s="301"/>
      <c r="D105" s="301"/>
      <c r="E105" s="301"/>
      <c r="F105" s="301"/>
      <c r="G105" s="302"/>
      <c r="H105" s="77">
        <f>SUM(H103:H104)</f>
        <v>0</v>
      </c>
    </row>
    <row r="106" spans="2:8" ht="15.6" x14ac:dyDescent="0.3">
      <c r="B106" s="258" t="s">
        <v>82</v>
      </c>
      <c r="C106" s="259"/>
      <c r="D106" s="259"/>
      <c r="E106" s="259"/>
      <c r="F106" s="259"/>
      <c r="G106" s="259"/>
      <c r="H106" s="260"/>
    </row>
    <row r="107" spans="2:8" x14ac:dyDescent="0.3">
      <c r="B107" s="273" t="s">
        <v>74</v>
      </c>
      <c r="C107" s="274"/>
      <c r="D107" s="275" t="s">
        <v>75</v>
      </c>
      <c r="E107" s="276"/>
      <c r="F107" s="78" t="s">
        <v>76</v>
      </c>
      <c r="G107" s="79" t="s">
        <v>77</v>
      </c>
      <c r="H107" s="80" t="s">
        <v>78</v>
      </c>
    </row>
    <row r="108" spans="2:8" x14ac:dyDescent="0.3">
      <c r="B108" s="265" t="s">
        <v>116</v>
      </c>
      <c r="C108" s="266"/>
      <c r="D108" s="253" t="s">
        <v>32</v>
      </c>
      <c r="E108" s="254"/>
      <c r="F108" s="81">
        <v>0.2</v>
      </c>
      <c r="G108" s="82">
        <v>93966.67</v>
      </c>
      <c r="H108" s="83">
        <f>+F108*G108</f>
        <v>18793.333999999999</v>
      </c>
    </row>
    <row r="109" spans="2:8" x14ac:dyDescent="0.3">
      <c r="B109" s="265" t="s">
        <v>117</v>
      </c>
      <c r="C109" s="266"/>
      <c r="D109" s="253" t="s">
        <v>60</v>
      </c>
      <c r="E109" s="254"/>
      <c r="F109" s="81">
        <v>1</v>
      </c>
      <c r="G109" s="82">
        <v>35333.33</v>
      </c>
      <c r="H109" s="83">
        <f t="shared" ref="H109:H110" si="4">+F109*G109</f>
        <v>35333.33</v>
      </c>
    </row>
    <row r="110" spans="2:8" x14ac:dyDescent="0.3">
      <c r="B110" s="265" t="s">
        <v>88</v>
      </c>
      <c r="C110" s="266"/>
      <c r="D110" s="253" t="s">
        <v>32</v>
      </c>
      <c r="E110" s="254"/>
      <c r="F110" s="81">
        <v>0.03</v>
      </c>
      <c r="G110" s="82">
        <v>409741.65</v>
      </c>
      <c r="H110" s="83">
        <f t="shared" si="4"/>
        <v>12292.2495</v>
      </c>
    </row>
    <row r="111" spans="2:8" x14ac:dyDescent="0.3">
      <c r="B111" s="265"/>
      <c r="C111" s="266"/>
      <c r="D111" s="253"/>
      <c r="E111" s="254"/>
      <c r="F111" s="81"/>
      <c r="G111" s="82"/>
      <c r="H111" s="83"/>
    </row>
    <row r="112" spans="2:8" x14ac:dyDescent="0.3">
      <c r="B112" s="255" t="s">
        <v>83</v>
      </c>
      <c r="C112" s="256"/>
      <c r="D112" s="256"/>
      <c r="E112" s="256"/>
      <c r="F112" s="256"/>
      <c r="G112" s="257"/>
      <c r="H112" s="84">
        <f>SUM(H108:H111)</f>
        <v>66418.91350000001</v>
      </c>
    </row>
    <row r="113" spans="2:8" ht="15.6" x14ac:dyDescent="0.3">
      <c r="B113" s="258" t="s">
        <v>84</v>
      </c>
      <c r="C113" s="259"/>
      <c r="D113" s="259"/>
      <c r="E113" s="259"/>
      <c r="F113" s="259"/>
      <c r="G113" s="259"/>
      <c r="H113" s="260"/>
    </row>
    <row r="114" spans="2:8" x14ac:dyDescent="0.3">
      <c r="B114" s="273" t="s">
        <v>74</v>
      </c>
      <c r="C114" s="274"/>
      <c r="D114" s="275" t="s">
        <v>75</v>
      </c>
      <c r="E114" s="276"/>
      <c r="F114" s="78" t="s">
        <v>76</v>
      </c>
      <c r="G114" s="79" t="s">
        <v>77</v>
      </c>
      <c r="H114" s="80" t="s">
        <v>78</v>
      </c>
    </row>
    <row r="115" spans="2:8" x14ac:dyDescent="0.3">
      <c r="B115" s="265" t="s">
        <v>118</v>
      </c>
      <c r="C115" s="266"/>
      <c r="D115" s="253" t="s">
        <v>120</v>
      </c>
      <c r="E115" s="254"/>
      <c r="F115" s="81">
        <v>0.6</v>
      </c>
      <c r="G115" s="82">
        <v>9037.33</v>
      </c>
      <c r="H115" s="83">
        <f>+F115*G115</f>
        <v>5422.3980000000001</v>
      </c>
    </row>
    <row r="116" spans="2:8" x14ac:dyDescent="0.3">
      <c r="B116" s="265" t="s">
        <v>119</v>
      </c>
      <c r="C116" s="266"/>
      <c r="D116" s="253" t="s">
        <v>120</v>
      </c>
      <c r="E116" s="254"/>
      <c r="F116" s="81">
        <v>0.6</v>
      </c>
      <c r="G116" s="82">
        <v>15517.89</v>
      </c>
      <c r="H116" s="83">
        <f>+F116*G116</f>
        <v>9310.7339999999986</v>
      </c>
    </row>
    <row r="117" spans="2:8" x14ac:dyDescent="0.3">
      <c r="B117" s="255" t="s">
        <v>85</v>
      </c>
      <c r="C117" s="256"/>
      <c r="D117" s="256"/>
      <c r="E117" s="256"/>
      <c r="F117" s="256"/>
      <c r="G117" s="257"/>
      <c r="H117" s="84">
        <f>SUM(H115:H116)</f>
        <v>14733.131999999998</v>
      </c>
    </row>
    <row r="118" spans="2:8" ht="15.6" x14ac:dyDescent="0.3">
      <c r="B118" s="258" t="s">
        <v>86</v>
      </c>
      <c r="C118" s="259"/>
      <c r="D118" s="259"/>
      <c r="E118" s="259"/>
      <c r="F118" s="259"/>
      <c r="G118" s="259"/>
      <c r="H118" s="260"/>
    </row>
    <row r="119" spans="2:8" x14ac:dyDescent="0.3">
      <c r="B119" s="261" t="s">
        <v>74</v>
      </c>
      <c r="C119" s="262"/>
      <c r="D119" s="263" t="s">
        <v>75</v>
      </c>
      <c r="E119" s="264"/>
      <c r="F119" s="86" t="s">
        <v>76</v>
      </c>
      <c r="G119" s="87" t="s">
        <v>77</v>
      </c>
      <c r="H119" s="80" t="s">
        <v>78</v>
      </c>
    </row>
    <row r="120" spans="2:8" x14ac:dyDescent="0.3">
      <c r="B120" s="306"/>
      <c r="C120" s="269"/>
      <c r="D120" s="269"/>
      <c r="E120" s="269"/>
      <c r="F120" s="269"/>
      <c r="G120" s="269"/>
      <c r="H120" s="88">
        <v>0</v>
      </c>
    </row>
    <row r="121" spans="2:8" ht="16.2" thickBot="1" x14ac:dyDescent="0.35">
      <c r="B121" s="277" t="s">
        <v>87</v>
      </c>
      <c r="C121" s="278"/>
      <c r="D121" s="278"/>
      <c r="E121" s="278"/>
      <c r="F121" s="278"/>
      <c r="G121" s="279"/>
      <c r="H121" s="89">
        <f>+H105+H112+H117+H120</f>
        <v>81152.045500000007</v>
      </c>
    </row>
    <row r="122" spans="2:8" ht="15" thickBot="1" x14ac:dyDescent="0.35"/>
    <row r="123" spans="2:8" ht="18" x14ac:dyDescent="0.3">
      <c r="B123" s="68" t="s">
        <v>71</v>
      </c>
      <c r="C123" s="280" t="s">
        <v>72</v>
      </c>
      <c r="D123" s="281"/>
      <c r="E123" s="281"/>
      <c r="F123" s="282"/>
      <c r="G123" s="283" t="s">
        <v>9</v>
      </c>
      <c r="H123" s="284"/>
    </row>
    <row r="124" spans="2:8" x14ac:dyDescent="0.3">
      <c r="B124" s="69" t="s">
        <v>64</v>
      </c>
      <c r="C124" s="285" t="s">
        <v>31</v>
      </c>
      <c r="D124" s="286"/>
      <c r="E124" s="286"/>
      <c r="F124" s="287"/>
      <c r="G124" s="288">
        <f>+'FORMATO PRESUPUESTO'!H134</f>
        <v>0</v>
      </c>
      <c r="H124" s="289"/>
    </row>
    <row r="125" spans="2:8" ht="15.6" x14ac:dyDescent="0.3">
      <c r="B125" s="290" t="s">
        <v>73</v>
      </c>
      <c r="C125" s="291"/>
      <c r="D125" s="291"/>
      <c r="E125" s="291"/>
      <c r="F125" s="291"/>
      <c r="G125" s="291"/>
      <c r="H125" s="292"/>
    </row>
    <row r="126" spans="2:8" x14ac:dyDescent="0.3">
      <c r="B126" s="303" t="s">
        <v>74</v>
      </c>
      <c r="C126" s="304"/>
      <c r="D126" s="305" t="s">
        <v>75</v>
      </c>
      <c r="E126" s="305"/>
      <c r="F126" s="70" t="s">
        <v>76</v>
      </c>
      <c r="G126" s="71" t="s">
        <v>77</v>
      </c>
      <c r="H126" s="72" t="s">
        <v>78</v>
      </c>
    </row>
    <row r="127" spans="2:8" x14ac:dyDescent="0.3">
      <c r="B127" s="298" t="s">
        <v>79</v>
      </c>
      <c r="C127" s="267"/>
      <c r="D127" s="268" t="s">
        <v>80</v>
      </c>
      <c r="E127" s="268"/>
      <c r="F127" s="73">
        <v>3.3</v>
      </c>
      <c r="G127" s="74">
        <f>H141/100</f>
        <v>537.47497999999996</v>
      </c>
      <c r="H127" s="72">
        <f>+F127*G127</f>
        <v>1773.6674339999997</v>
      </c>
    </row>
    <row r="128" spans="2:8" x14ac:dyDescent="0.3">
      <c r="B128" s="298"/>
      <c r="C128" s="267"/>
      <c r="D128" s="299"/>
      <c r="E128" s="299"/>
      <c r="F128" s="75"/>
      <c r="G128" s="76"/>
      <c r="H128" s="72"/>
    </row>
    <row r="129" spans="2:8" x14ac:dyDescent="0.3">
      <c r="B129" s="300" t="s">
        <v>81</v>
      </c>
      <c r="C129" s="301"/>
      <c r="D129" s="301"/>
      <c r="E129" s="301"/>
      <c r="F129" s="301"/>
      <c r="G129" s="302"/>
      <c r="H129" s="77">
        <f>SUM(H127:H128)</f>
        <v>1773.6674339999997</v>
      </c>
    </row>
    <row r="130" spans="2:8" ht="15.6" x14ac:dyDescent="0.3">
      <c r="B130" s="258" t="s">
        <v>82</v>
      </c>
      <c r="C130" s="259"/>
      <c r="D130" s="259"/>
      <c r="E130" s="259"/>
      <c r="F130" s="259"/>
      <c r="G130" s="259"/>
      <c r="H130" s="260"/>
    </row>
    <row r="131" spans="2:8" x14ac:dyDescent="0.3">
      <c r="B131" s="273" t="s">
        <v>74</v>
      </c>
      <c r="C131" s="274"/>
      <c r="D131" s="275" t="s">
        <v>75</v>
      </c>
      <c r="E131" s="276"/>
      <c r="F131" s="78" t="s">
        <v>76</v>
      </c>
      <c r="G131" s="79" t="s">
        <v>77</v>
      </c>
      <c r="H131" s="80" t="s">
        <v>78</v>
      </c>
    </row>
    <row r="132" spans="2:8" x14ac:dyDescent="0.3">
      <c r="B132" s="265"/>
      <c r="C132" s="266"/>
      <c r="D132" s="253"/>
      <c r="E132" s="254"/>
      <c r="F132" s="81"/>
      <c r="G132" s="82"/>
      <c r="H132" s="83"/>
    </row>
    <row r="133" spans="2:8" x14ac:dyDescent="0.3">
      <c r="B133" s="265"/>
      <c r="C133" s="266"/>
      <c r="D133" s="253"/>
      <c r="E133" s="254"/>
      <c r="F133" s="81"/>
      <c r="G133" s="82"/>
      <c r="H133" s="83"/>
    </row>
    <row r="134" spans="2:8" x14ac:dyDescent="0.3">
      <c r="B134" s="265"/>
      <c r="C134" s="266"/>
      <c r="D134" s="253"/>
      <c r="E134" s="254"/>
      <c r="F134" s="81"/>
      <c r="G134" s="82"/>
      <c r="H134" s="83"/>
    </row>
    <row r="135" spans="2:8" x14ac:dyDescent="0.3">
      <c r="B135" s="265"/>
      <c r="C135" s="266"/>
      <c r="D135" s="253"/>
      <c r="E135" s="254"/>
      <c r="F135" s="81"/>
      <c r="G135" s="82"/>
      <c r="H135" s="83"/>
    </row>
    <row r="136" spans="2:8" x14ac:dyDescent="0.3">
      <c r="B136" s="255" t="s">
        <v>83</v>
      </c>
      <c r="C136" s="256"/>
      <c r="D136" s="256"/>
      <c r="E136" s="256"/>
      <c r="F136" s="256"/>
      <c r="G136" s="257"/>
      <c r="H136" s="84">
        <f>SUM(H132:H135)</f>
        <v>0</v>
      </c>
    </row>
    <row r="137" spans="2:8" ht="15.6" x14ac:dyDescent="0.3">
      <c r="B137" s="258" t="s">
        <v>84</v>
      </c>
      <c r="C137" s="259"/>
      <c r="D137" s="259"/>
      <c r="E137" s="259"/>
      <c r="F137" s="259"/>
      <c r="G137" s="259"/>
      <c r="H137" s="260"/>
    </row>
    <row r="138" spans="2:8" x14ac:dyDescent="0.3">
      <c r="B138" s="273" t="s">
        <v>74</v>
      </c>
      <c r="C138" s="274"/>
      <c r="D138" s="275" t="s">
        <v>75</v>
      </c>
      <c r="E138" s="276"/>
      <c r="F138" s="78" t="s">
        <v>76</v>
      </c>
      <c r="G138" s="79" t="s">
        <v>77</v>
      </c>
      <c r="H138" s="80" t="s">
        <v>78</v>
      </c>
    </row>
    <row r="139" spans="2:8" x14ac:dyDescent="0.3">
      <c r="B139" s="265" t="s">
        <v>127</v>
      </c>
      <c r="C139" s="266"/>
      <c r="D139" s="253" t="s">
        <v>120</v>
      </c>
      <c r="E139" s="254"/>
      <c r="F139" s="81">
        <v>0.4</v>
      </c>
      <c r="G139" s="82">
        <v>72300.17</v>
      </c>
      <c r="H139" s="83">
        <f>+F139*G139</f>
        <v>28920.067999999999</v>
      </c>
    </row>
    <row r="140" spans="2:8" x14ac:dyDescent="0.3">
      <c r="B140" s="265" t="s">
        <v>119</v>
      </c>
      <c r="C140" s="266"/>
      <c r="D140" s="253" t="s">
        <v>120</v>
      </c>
      <c r="E140" s="254"/>
      <c r="F140" s="81">
        <v>0.2</v>
      </c>
      <c r="G140" s="82">
        <v>124137.15</v>
      </c>
      <c r="H140" s="83">
        <f>+F140*G140</f>
        <v>24827.43</v>
      </c>
    </row>
    <row r="141" spans="2:8" x14ac:dyDescent="0.3">
      <c r="B141" s="255" t="s">
        <v>85</v>
      </c>
      <c r="C141" s="256"/>
      <c r="D141" s="256"/>
      <c r="E141" s="256"/>
      <c r="F141" s="256"/>
      <c r="G141" s="257"/>
      <c r="H141" s="84">
        <f>SUM(H139:H140)</f>
        <v>53747.498</v>
      </c>
    </row>
    <row r="142" spans="2:8" ht="15.6" x14ac:dyDescent="0.3">
      <c r="B142" s="258" t="s">
        <v>86</v>
      </c>
      <c r="C142" s="259"/>
      <c r="D142" s="259"/>
      <c r="E142" s="259"/>
      <c r="F142" s="259"/>
      <c r="G142" s="259"/>
      <c r="H142" s="260"/>
    </row>
    <row r="143" spans="2:8" x14ac:dyDescent="0.3">
      <c r="B143" s="261" t="s">
        <v>74</v>
      </c>
      <c r="C143" s="262"/>
      <c r="D143" s="263" t="s">
        <v>75</v>
      </c>
      <c r="E143" s="264"/>
      <c r="F143" s="86" t="s">
        <v>76</v>
      </c>
      <c r="G143" s="87" t="s">
        <v>77</v>
      </c>
      <c r="H143" s="80" t="s">
        <v>78</v>
      </c>
    </row>
    <row r="144" spans="2:8" ht="14.4" customHeight="1" x14ac:dyDescent="0.3">
      <c r="B144" s="265" t="s">
        <v>128</v>
      </c>
      <c r="C144" s="266"/>
      <c r="D144" s="253" t="s">
        <v>129</v>
      </c>
      <c r="E144" s="254"/>
      <c r="F144" s="81">
        <v>0.16669999999999999</v>
      </c>
      <c r="G144" s="82">
        <v>63714</v>
      </c>
      <c r="H144" s="83">
        <f>G144*F144</f>
        <v>10621.123799999999</v>
      </c>
    </row>
    <row r="145" spans="2:9" x14ac:dyDescent="0.3">
      <c r="B145" s="306"/>
      <c r="C145" s="269"/>
      <c r="D145" s="269"/>
      <c r="E145" s="269"/>
      <c r="F145" s="269"/>
      <c r="G145" s="269"/>
      <c r="H145" s="88">
        <f>H144</f>
        <v>10621.123799999999</v>
      </c>
    </row>
    <row r="146" spans="2:9" ht="16.2" thickBot="1" x14ac:dyDescent="0.35">
      <c r="B146" s="277" t="s">
        <v>87</v>
      </c>
      <c r="C146" s="278"/>
      <c r="D146" s="278"/>
      <c r="E146" s="278"/>
      <c r="F146" s="278"/>
      <c r="G146" s="279"/>
      <c r="H146" s="89">
        <f>+H129+H136+H141+H145</f>
        <v>66142.289233999996</v>
      </c>
    </row>
    <row r="147" spans="2:9" ht="15" thickBot="1" x14ac:dyDescent="0.35"/>
    <row r="148" spans="2:9" ht="18" x14ac:dyDescent="0.3">
      <c r="B148" s="68" t="s">
        <v>71</v>
      </c>
      <c r="C148" s="280" t="s">
        <v>72</v>
      </c>
      <c r="D148" s="281"/>
      <c r="E148" s="281"/>
      <c r="F148" s="282"/>
      <c r="G148" s="283" t="s">
        <v>9</v>
      </c>
      <c r="H148" s="284"/>
    </row>
    <row r="149" spans="2:9" x14ac:dyDescent="0.3">
      <c r="B149" s="69" t="s">
        <v>64</v>
      </c>
      <c r="C149" s="285" t="s">
        <v>104</v>
      </c>
      <c r="D149" s="286"/>
      <c r="E149" s="286"/>
      <c r="F149" s="287"/>
      <c r="G149" s="288">
        <f>+'FORMATO PRESUPUESTO'!H159</f>
        <v>0</v>
      </c>
      <c r="H149" s="289"/>
    </row>
    <row r="150" spans="2:9" ht="15.6" x14ac:dyDescent="0.3">
      <c r="B150" s="290" t="s">
        <v>73</v>
      </c>
      <c r="C150" s="291"/>
      <c r="D150" s="291"/>
      <c r="E150" s="291"/>
      <c r="F150" s="291"/>
      <c r="G150" s="291"/>
      <c r="H150" s="292"/>
    </row>
    <row r="151" spans="2:9" x14ac:dyDescent="0.3">
      <c r="B151" s="303" t="s">
        <v>74</v>
      </c>
      <c r="C151" s="304"/>
      <c r="D151" s="305" t="s">
        <v>75</v>
      </c>
      <c r="E151" s="305"/>
      <c r="F151" s="70" t="s">
        <v>76</v>
      </c>
      <c r="G151" s="71" t="s">
        <v>77</v>
      </c>
      <c r="H151" s="72" t="s">
        <v>78</v>
      </c>
    </row>
    <row r="152" spans="2:9" x14ac:dyDescent="0.3">
      <c r="B152" s="298" t="s">
        <v>79</v>
      </c>
      <c r="C152" s="267"/>
      <c r="D152" s="268" t="s">
        <v>80</v>
      </c>
      <c r="E152" s="268"/>
      <c r="F152" s="73">
        <v>5</v>
      </c>
      <c r="G152" s="74">
        <f>H167/100</f>
        <v>2.1498999200000002</v>
      </c>
      <c r="H152" s="72">
        <f>+F152*G152</f>
        <v>10.7494996</v>
      </c>
    </row>
    <row r="153" spans="2:9" x14ac:dyDescent="0.3">
      <c r="B153" s="307" t="s">
        <v>142</v>
      </c>
      <c r="C153" s="308"/>
      <c r="D153" s="318" t="s">
        <v>90</v>
      </c>
      <c r="E153" s="319"/>
      <c r="F153" s="75">
        <v>8.0000000000000004E-4</v>
      </c>
      <c r="G153" s="76">
        <v>48758.93</v>
      </c>
      <c r="H153" s="72">
        <f t="shared" ref="H153:H154" si="5">+F153*G153</f>
        <v>39.007144000000004</v>
      </c>
      <c r="I153">
        <v>128.86000000000001</v>
      </c>
    </row>
    <row r="154" spans="2:9" x14ac:dyDescent="0.3">
      <c r="B154" s="307" t="s">
        <v>143</v>
      </c>
      <c r="C154" s="308"/>
      <c r="D154" s="318" t="s">
        <v>90</v>
      </c>
      <c r="E154" s="319"/>
      <c r="F154" s="75">
        <v>1.1999999999999999E-3</v>
      </c>
      <c r="G154" s="76">
        <v>107382.63</v>
      </c>
      <c r="H154" s="72">
        <f t="shared" si="5"/>
        <v>128.85915599999998</v>
      </c>
    </row>
    <row r="155" spans="2:9" x14ac:dyDescent="0.3">
      <c r="B155" s="300" t="s">
        <v>81</v>
      </c>
      <c r="C155" s="301"/>
      <c r="D155" s="301"/>
      <c r="E155" s="301"/>
      <c r="F155" s="301"/>
      <c r="G155" s="302"/>
      <c r="H155" s="77">
        <f>SUM(H152:H154)</f>
        <v>178.6157996</v>
      </c>
    </row>
    <row r="156" spans="2:9" ht="15.6" x14ac:dyDescent="0.3">
      <c r="B156" s="258" t="s">
        <v>82</v>
      </c>
      <c r="C156" s="259"/>
      <c r="D156" s="259"/>
      <c r="E156" s="259"/>
      <c r="F156" s="259"/>
      <c r="G156" s="259"/>
      <c r="H156" s="260"/>
    </row>
    <row r="157" spans="2:9" x14ac:dyDescent="0.3">
      <c r="B157" s="273" t="s">
        <v>74</v>
      </c>
      <c r="C157" s="274"/>
      <c r="D157" s="275" t="s">
        <v>75</v>
      </c>
      <c r="E157" s="276"/>
      <c r="F157" s="78" t="s">
        <v>76</v>
      </c>
      <c r="G157" s="79" t="s">
        <v>77</v>
      </c>
      <c r="H157" s="80" t="s">
        <v>78</v>
      </c>
    </row>
    <row r="158" spans="2:9" x14ac:dyDescent="0.3">
      <c r="B158" s="265" t="s">
        <v>137</v>
      </c>
      <c r="C158" s="266"/>
      <c r="D158" s="253" t="s">
        <v>140</v>
      </c>
      <c r="E158" s="254"/>
      <c r="F158" s="81">
        <v>4.0000000000000002E-4</v>
      </c>
      <c r="G158" s="82">
        <v>20966.669999999998</v>
      </c>
      <c r="H158" s="83">
        <f>+G158*F158</f>
        <v>8.3866680000000002</v>
      </c>
    </row>
    <row r="159" spans="2:9" x14ac:dyDescent="0.3">
      <c r="B159" s="265" t="s">
        <v>138</v>
      </c>
      <c r="C159" s="266"/>
      <c r="D159" s="253" t="s">
        <v>141</v>
      </c>
      <c r="E159" s="254"/>
      <c r="F159" s="81">
        <v>0.05</v>
      </c>
      <c r="G159" s="82">
        <v>3589.03</v>
      </c>
      <c r="H159" s="83">
        <f t="shared" ref="H159:H160" si="6">+G159*F159</f>
        <v>179.45150000000001</v>
      </c>
    </row>
    <row r="160" spans="2:9" x14ac:dyDescent="0.3">
      <c r="B160" s="265" t="s">
        <v>139</v>
      </c>
      <c r="C160" s="266"/>
      <c r="D160" s="253" t="s">
        <v>140</v>
      </c>
      <c r="E160" s="254"/>
      <c r="F160" s="81">
        <v>0.02</v>
      </c>
      <c r="G160" s="82">
        <v>87340</v>
      </c>
      <c r="H160" s="83">
        <f t="shared" si="6"/>
        <v>1746.8</v>
      </c>
    </row>
    <row r="161" spans="2:8" x14ac:dyDescent="0.3">
      <c r="B161" s="265"/>
      <c r="C161" s="266"/>
      <c r="D161" s="253"/>
      <c r="E161" s="254"/>
      <c r="F161" s="81"/>
      <c r="G161" s="82"/>
      <c r="H161" s="83"/>
    </row>
    <row r="162" spans="2:8" x14ac:dyDescent="0.3">
      <c r="B162" s="255" t="s">
        <v>83</v>
      </c>
      <c r="C162" s="256"/>
      <c r="D162" s="256"/>
      <c r="E162" s="256"/>
      <c r="F162" s="256"/>
      <c r="G162" s="257"/>
      <c r="H162" s="84">
        <f>SUM(H158:H161)</f>
        <v>1934.638168</v>
      </c>
    </row>
    <row r="163" spans="2:8" ht="15.6" x14ac:dyDescent="0.3">
      <c r="B163" s="258" t="s">
        <v>84</v>
      </c>
      <c r="C163" s="259"/>
      <c r="D163" s="259"/>
      <c r="E163" s="259"/>
      <c r="F163" s="259"/>
      <c r="G163" s="259"/>
      <c r="H163" s="260"/>
    </row>
    <row r="164" spans="2:8" x14ac:dyDescent="0.3">
      <c r="B164" s="273" t="s">
        <v>74</v>
      </c>
      <c r="C164" s="274"/>
      <c r="D164" s="275" t="s">
        <v>75</v>
      </c>
      <c r="E164" s="276"/>
      <c r="F164" s="78" t="s">
        <v>76</v>
      </c>
      <c r="G164" s="79" t="s">
        <v>77</v>
      </c>
      <c r="H164" s="80" t="s">
        <v>78</v>
      </c>
    </row>
    <row r="165" spans="2:8" x14ac:dyDescent="0.3">
      <c r="B165" s="265" t="s">
        <v>127</v>
      </c>
      <c r="C165" s="266"/>
      <c r="D165" s="253" t="s">
        <v>145</v>
      </c>
      <c r="E165" s="254"/>
      <c r="F165" s="81">
        <v>1.6000000000000001E-3</v>
      </c>
      <c r="G165" s="82">
        <v>72300.17</v>
      </c>
      <c r="H165" s="83">
        <f>+F165*G165</f>
        <v>115.680272</v>
      </c>
    </row>
    <row r="166" spans="2:8" x14ac:dyDescent="0.3">
      <c r="B166" s="265" t="s">
        <v>119</v>
      </c>
      <c r="C166" s="266"/>
      <c r="D166" s="253" t="s">
        <v>145</v>
      </c>
      <c r="E166" s="254"/>
      <c r="F166" s="81">
        <v>8.0000000000000004E-4</v>
      </c>
      <c r="G166" s="82">
        <v>124137.15</v>
      </c>
      <c r="H166" s="83">
        <f>+F166*G166</f>
        <v>99.309719999999999</v>
      </c>
    </row>
    <row r="167" spans="2:8" x14ac:dyDescent="0.3">
      <c r="B167" s="311" t="s">
        <v>144</v>
      </c>
      <c r="C167" s="312"/>
      <c r="D167" s="312"/>
      <c r="E167" s="312"/>
      <c r="F167" s="312"/>
      <c r="G167" s="313"/>
      <c r="H167" s="84">
        <f>SUM(H165:H166)</f>
        <v>214.989992</v>
      </c>
    </row>
    <row r="168" spans="2:8" ht="15.6" x14ac:dyDescent="0.3">
      <c r="B168" s="258" t="s">
        <v>86</v>
      </c>
      <c r="C168" s="259"/>
      <c r="D168" s="259"/>
      <c r="E168" s="259"/>
      <c r="F168" s="259"/>
      <c r="G168" s="259"/>
      <c r="H168" s="260"/>
    </row>
    <row r="169" spans="2:8" x14ac:dyDescent="0.3">
      <c r="B169" s="261" t="s">
        <v>74</v>
      </c>
      <c r="C169" s="262"/>
      <c r="D169" s="263" t="s">
        <v>75</v>
      </c>
      <c r="E169" s="264"/>
      <c r="F169" s="86" t="s">
        <v>76</v>
      </c>
      <c r="G169" s="87" t="s">
        <v>77</v>
      </c>
      <c r="H169" s="80" t="s">
        <v>78</v>
      </c>
    </row>
    <row r="170" spans="2:8" x14ac:dyDescent="0.3">
      <c r="B170" s="265"/>
      <c r="C170" s="266"/>
      <c r="D170" s="253"/>
      <c r="E170" s="254"/>
      <c r="F170" s="81"/>
      <c r="G170" s="82"/>
      <c r="H170" s="83"/>
    </row>
    <row r="171" spans="2:8" x14ac:dyDescent="0.3">
      <c r="B171" s="306"/>
      <c r="C171" s="269"/>
      <c r="D171" s="269"/>
      <c r="E171" s="269"/>
      <c r="F171" s="269"/>
      <c r="G171" s="269"/>
      <c r="H171" s="88">
        <f>H170</f>
        <v>0</v>
      </c>
    </row>
    <row r="172" spans="2:8" ht="15.6" x14ac:dyDescent="0.3">
      <c r="B172" s="277" t="s">
        <v>87</v>
      </c>
      <c r="C172" s="278"/>
      <c r="D172" s="278"/>
      <c r="E172" s="278"/>
      <c r="F172" s="278"/>
      <c r="G172" s="279"/>
      <c r="H172" s="89">
        <f>+H155+H162+H167+H171</f>
        <v>2328.2439595999999</v>
      </c>
    </row>
    <row r="174" spans="2:8" ht="15" thickBot="1" x14ac:dyDescent="0.35"/>
    <row r="175" spans="2:8" ht="18" x14ac:dyDescent="0.3">
      <c r="B175" s="68" t="s">
        <v>71</v>
      </c>
      <c r="C175" s="280" t="s">
        <v>72</v>
      </c>
      <c r="D175" s="281"/>
      <c r="E175" s="281"/>
      <c r="F175" s="282"/>
      <c r="G175" s="283" t="s">
        <v>9</v>
      </c>
      <c r="H175" s="284"/>
    </row>
    <row r="176" spans="2:8" x14ac:dyDescent="0.3">
      <c r="B176" s="69" t="s">
        <v>64</v>
      </c>
      <c r="C176" s="285" t="s">
        <v>147</v>
      </c>
      <c r="D176" s="286"/>
      <c r="E176" s="286"/>
      <c r="F176" s="287"/>
      <c r="G176" s="288">
        <f>+'FORMATO PRESUPUESTO'!H186</f>
        <v>0</v>
      </c>
      <c r="H176" s="289"/>
    </row>
    <row r="177" spans="2:8" ht="15.6" x14ac:dyDescent="0.3">
      <c r="B177" s="290" t="s">
        <v>73</v>
      </c>
      <c r="C177" s="291"/>
      <c r="D177" s="291"/>
      <c r="E177" s="291"/>
      <c r="F177" s="291"/>
      <c r="G177" s="291"/>
      <c r="H177" s="292"/>
    </row>
    <row r="178" spans="2:8" x14ac:dyDescent="0.3">
      <c r="B178" s="303" t="s">
        <v>74</v>
      </c>
      <c r="C178" s="304"/>
      <c r="D178" s="305" t="s">
        <v>75</v>
      </c>
      <c r="E178" s="305"/>
      <c r="F178" s="70" t="s">
        <v>76</v>
      </c>
      <c r="G178" s="71" t="s">
        <v>77</v>
      </c>
      <c r="H178" s="72" t="s">
        <v>78</v>
      </c>
    </row>
    <row r="179" spans="2:8" x14ac:dyDescent="0.3">
      <c r="B179" s="298" t="s">
        <v>79</v>
      </c>
      <c r="C179" s="267"/>
      <c r="D179" s="268" t="s">
        <v>80</v>
      </c>
      <c r="E179" s="268"/>
      <c r="F179" s="73">
        <v>3</v>
      </c>
      <c r="G179" s="74">
        <f>H191/100</f>
        <v>162.06445199999999</v>
      </c>
      <c r="H179" s="72">
        <f>+F179*G179</f>
        <v>486.19335599999999</v>
      </c>
    </row>
    <row r="180" spans="2:8" x14ac:dyDescent="0.3">
      <c r="B180" s="300" t="s">
        <v>81</v>
      </c>
      <c r="C180" s="301"/>
      <c r="D180" s="301"/>
      <c r="E180" s="301"/>
      <c r="F180" s="301"/>
      <c r="G180" s="302"/>
      <c r="H180" s="77">
        <f>SUM(H179:H179)</f>
        <v>486.19335599999999</v>
      </c>
    </row>
    <row r="181" spans="2:8" ht="15.6" x14ac:dyDescent="0.3">
      <c r="B181" s="258" t="s">
        <v>82</v>
      </c>
      <c r="C181" s="259"/>
      <c r="D181" s="259"/>
      <c r="E181" s="259"/>
      <c r="F181" s="259"/>
      <c r="G181" s="259"/>
      <c r="H181" s="260"/>
    </row>
    <row r="182" spans="2:8" x14ac:dyDescent="0.3">
      <c r="B182" s="273" t="s">
        <v>74</v>
      </c>
      <c r="C182" s="274"/>
      <c r="D182" s="275" t="s">
        <v>75</v>
      </c>
      <c r="E182" s="276"/>
      <c r="F182" s="78" t="s">
        <v>76</v>
      </c>
      <c r="G182" s="79" t="s">
        <v>77</v>
      </c>
      <c r="H182" s="80" t="s">
        <v>78</v>
      </c>
    </row>
    <row r="183" spans="2:8" x14ac:dyDescent="0.3">
      <c r="B183" s="265" t="s">
        <v>148</v>
      </c>
      <c r="C183" s="266"/>
      <c r="D183" s="253" t="s">
        <v>129</v>
      </c>
      <c r="E183" s="254"/>
      <c r="F183" s="81">
        <v>0.105</v>
      </c>
      <c r="G183" s="82">
        <v>450245.66</v>
      </c>
      <c r="H183" s="83">
        <f>+G183*F183</f>
        <v>47275.794299999994</v>
      </c>
    </row>
    <row r="184" spans="2:8" x14ac:dyDescent="0.3">
      <c r="B184" s="265" t="s">
        <v>149</v>
      </c>
      <c r="C184" s="266"/>
      <c r="D184" s="253" t="s">
        <v>150</v>
      </c>
      <c r="E184" s="254"/>
      <c r="F184" s="81">
        <v>0.51</v>
      </c>
      <c r="G184" s="82">
        <v>5823.14</v>
      </c>
      <c r="H184" s="83">
        <f t="shared" ref="H184" si="7">+G184*F184</f>
        <v>2969.8014000000003</v>
      </c>
    </row>
    <row r="185" spans="2:8" x14ac:dyDescent="0.3">
      <c r="B185" s="265"/>
      <c r="C185" s="266"/>
      <c r="D185" s="253"/>
      <c r="E185" s="254"/>
      <c r="F185" s="81"/>
      <c r="G185" s="82"/>
      <c r="H185" s="83"/>
    </row>
    <row r="186" spans="2:8" x14ac:dyDescent="0.3">
      <c r="B186" s="255" t="s">
        <v>83</v>
      </c>
      <c r="C186" s="256"/>
      <c r="D186" s="256"/>
      <c r="E186" s="256"/>
      <c r="F186" s="256"/>
      <c r="G186" s="257"/>
      <c r="H186" s="84">
        <f>SUM(H183:H185)</f>
        <v>50245.595699999991</v>
      </c>
    </row>
    <row r="187" spans="2:8" ht="15.6" x14ac:dyDescent="0.3">
      <c r="B187" s="258" t="s">
        <v>84</v>
      </c>
      <c r="C187" s="259"/>
      <c r="D187" s="259"/>
      <c r="E187" s="259"/>
      <c r="F187" s="259"/>
      <c r="G187" s="259"/>
      <c r="H187" s="260"/>
    </row>
    <row r="188" spans="2:8" x14ac:dyDescent="0.3">
      <c r="B188" s="273" t="s">
        <v>74</v>
      </c>
      <c r="C188" s="274"/>
      <c r="D188" s="275" t="s">
        <v>75</v>
      </c>
      <c r="E188" s="276"/>
      <c r="F188" s="78" t="s">
        <v>76</v>
      </c>
      <c r="G188" s="79" t="s">
        <v>77</v>
      </c>
      <c r="H188" s="80" t="s">
        <v>78</v>
      </c>
    </row>
    <row r="189" spans="2:8" x14ac:dyDescent="0.3">
      <c r="B189" s="265" t="s">
        <v>127</v>
      </c>
      <c r="C189" s="266"/>
      <c r="D189" s="253" t="s">
        <v>145</v>
      </c>
      <c r="E189" s="254"/>
      <c r="F189" s="81">
        <v>0.66</v>
      </c>
      <c r="G189" s="82">
        <v>9037.33</v>
      </c>
      <c r="H189" s="83">
        <f>+F189*G189</f>
        <v>5964.6378000000004</v>
      </c>
    </row>
    <row r="190" spans="2:8" x14ac:dyDescent="0.3">
      <c r="B190" s="265" t="s">
        <v>119</v>
      </c>
      <c r="C190" s="266"/>
      <c r="D190" s="253" t="s">
        <v>145</v>
      </c>
      <c r="E190" s="254"/>
      <c r="F190" s="81">
        <v>0.66</v>
      </c>
      <c r="G190" s="82">
        <v>15517.89</v>
      </c>
      <c r="H190" s="83">
        <f>+F190*G190</f>
        <v>10241.8074</v>
      </c>
    </row>
    <row r="191" spans="2:8" x14ac:dyDescent="0.3">
      <c r="B191" s="311" t="s">
        <v>144</v>
      </c>
      <c r="C191" s="312"/>
      <c r="D191" s="312"/>
      <c r="E191" s="312"/>
      <c r="F191" s="312"/>
      <c r="G191" s="313"/>
      <c r="H191" s="84">
        <f>SUM(H189:H190)</f>
        <v>16206.4452</v>
      </c>
    </row>
    <row r="192" spans="2:8" ht="15.6" x14ac:dyDescent="0.3">
      <c r="B192" s="258" t="s">
        <v>86</v>
      </c>
      <c r="C192" s="259"/>
      <c r="D192" s="259"/>
      <c r="E192" s="259"/>
      <c r="F192" s="259"/>
      <c r="G192" s="259"/>
      <c r="H192" s="260"/>
    </row>
    <row r="193" spans="2:8" x14ac:dyDescent="0.3">
      <c r="B193" s="261" t="s">
        <v>74</v>
      </c>
      <c r="C193" s="262"/>
      <c r="D193" s="263" t="s">
        <v>75</v>
      </c>
      <c r="E193" s="264"/>
      <c r="F193" s="86" t="s">
        <v>76</v>
      </c>
      <c r="G193" s="87" t="s">
        <v>77</v>
      </c>
      <c r="H193" s="80" t="s">
        <v>78</v>
      </c>
    </row>
    <row r="194" spans="2:8" x14ac:dyDescent="0.3">
      <c r="B194" s="265"/>
      <c r="C194" s="266"/>
      <c r="D194" s="253"/>
      <c r="E194" s="254"/>
      <c r="F194" s="81"/>
      <c r="G194" s="82"/>
      <c r="H194" s="83"/>
    </row>
    <row r="195" spans="2:8" x14ac:dyDescent="0.3">
      <c r="B195" s="306"/>
      <c r="C195" s="269"/>
      <c r="D195" s="269"/>
      <c r="E195" s="269"/>
      <c r="F195" s="269"/>
      <c r="G195" s="269"/>
      <c r="H195" s="88">
        <f>H194</f>
        <v>0</v>
      </c>
    </row>
    <row r="196" spans="2:8" ht="16.2" thickBot="1" x14ac:dyDescent="0.35">
      <c r="B196" s="277" t="s">
        <v>87</v>
      </c>
      <c r="C196" s="278"/>
      <c r="D196" s="278"/>
      <c r="E196" s="278"/>
      <c r="F196" s="278"/>
      <c r="G196" s="279"/>
      <c r="H196" s="89">
        <f>+H180+H186+H191+H195</f>
        <v>66938.234255999996</v>
      </c>
    </row>
    <row r="198" spans="2:8" ht="15" thickBot="1" x14ac:dyDescent="0.35"/>
    <row r="199" spans="2:8" ht="18" x14ac:dyDescent="0.3">
      <c r="B199" s="68" t="s">
        <v>71</v>
      </c>
      <c r="C199" s="280" t="s">
        <v>72</v>
      </c>
      <c r="D199" s="281"/>
      <c r="E199" s="281"/>
      <c r="F199" s="282"/>
      <c r="G199" s="283" t="s">
        <v>9</v>
      </c>
      <c r="H199" s="284"/>
    </row>
    <row r="200" spans="2:8" x14ac:dyDescent="0.3">
      <c r="B200" s="69" t="s">
        <v>64</v>
      </c>
      <c r="C200" s="285" t="s">
        <v>99</v>
      </c>
      <c r="D200" s="286"/>
      <c r="E200" s="286"/>
      <c r="F200" s="287"/>
      <c r="G200" s="288" t="s">
        <v>32</v>
      </c>
      <c r="H200" s="289"/>
    </row>
    <row r="201" spans="2:8" ht="15.6" x14ac:dyDescent="0.3">
      <c r="B201" s="290" t="s">
        <v>73</v>
      </c>
      <c r="C201" s="291"/>
      <c r="D201" s="291"/>
      <c r="E201" s="291"/>
      <c r="F201" s="291"/>
      <c r="G201" s="291"/>
      <c r="H201" s="292"/>
    </row>
    <row r="202" spans="2:8" x14ac:dyDescent="0.3">
      <c r="B202" s="303" t="s">
        <v>74</v>
      </c>
      <c r="C202" s="304"/>
      <c r="D202" s="305" t="s">
        <v>75</v>
      </c>
      <c r="E202" s="305"/>
      <c r="F202" s="70" t="s">
        <v>76</v>
      </c>
      <c r="G202" s="71" t="s">
        <v>77</v>
      </c>
      <c r="H202" s="72" t="s">
        <v>78</v>
      </c>
    </row>
    <row r="203" spans="2:8" x14ac:dyDescent="0.3">
      <c r="B203" s="298" t="s">
        <v>79</v>
      </c>
      <c r="C203" s="267"/>
      <c r="D203" s="268" t="s">
        <v>80</v>
      </c>
      <c r="E203" s="268"/>
      <c r="F203" s="73">
        <v>5</v>
      </c>
      <c r="G203" s="74">
        <f>H217/100</f>
        <v>122.7761</v>
      </c>
      <c r="H203" s="72">
        <f>+F203*G203</f>
        <v>613.88049999999998</v>
      </c>
    </row>
    <row r="204" spans="2:8" x14ac:dyDescent="0.3">
      <c r="B204" s="298" t="s">
        <v>156</v>
      </c>
      <c r="C204" s="267"/>
      <c r="D204" s="268" t="s">
        <v>90</v>
      </c>
      <c r="E204" s="268"/>
      <c r="F204" s="73">
        <v>3.3000000000000002E-2</v>
      </c>
      <c r="G204" s="74">
        <v>74712.95</v>
      </c>
      <c r="H204" s="72">
        <f>+F204*G204</f>
        <v>2465.5273499999998</v>
      </c>
    </row>
    <row r="205" spans="2:8" x14ac:dyDescent="0.3">
      <c r="B205" s="298" t="s">
        <v>157</v>
      </c>
      <c r="C205" s="267"/>
      <c r="D205" s="268" t="s">
        <v>90</v>
      </c>
      <c r="E205" s="268"/>
      <c r="F205" s="73">
        <v>3.3000000000000002E-2</v>
      </c>
      <c r="G205" s="74">
        <v>157100</v>
      </c>
      <c r="H205" s="72">
        <f>+F205*G205</f>
        <v>5184.3</v>
      </c>
    </row>
    <row r="206" spans="2:8" x14ac:dyDescent="0.3">
      <c r="B206" s="298" t="s">
        <v>158</v>
      </c>
      <c r="C206" s="267"/>
      <c r="D206" s="268" t="s">
        <v>90</v>
      </c>
      <c r="E206" s="268"/>
      <c r="F206" s="73">
        <v>0.5</v>
      </c>
      <c r="G206" s="74">
        <v>8333.33</v>
      </c>
      <c r="H206" s="72">
        <f>+F206*G206</f>
        <v>4166.665</v>
      </c>
    </row>
    <row r="207" spans="2:8" x14ac:dyDescent="0.3">
      <c r="B207" s="314" t="s">
        <v>81</v>
      </c>
      <c r="C207" s="315"/>
      <c r="D207" s="315"/>
      <c r="E207" s="315"/>
      <c r="F207" s="315"/>
      <c r="G207" s="316"/>
      <c r="H207" s="77">
        <f>SUM(H203:H206)</f>
        <v>12430.37285</v>
      </c>
    </row>
    <row r="208" spans="2:8" ht="15.6" x14ac:dyDescent="0.3">
      <c r="B208" s="258" t="s">
        <v>82</v>
      </c>
      <c r="C208" s="259"/>
      <c r="D208" s="259"/>
      <c r="E208" s="259"/>
      <c r="F208" s="259"/>
      <c r="G208" s="259"/>
      <c r="H208" s="260"/>
    </row>
    <row r="209" spans="2:8" x14ac:dyDescent="0.3">
      <c r="B209" s="273" t="s">
        <v>74</v>
      </c>
      <c r="C209" s="274"/>
      <c r="D209" s="275" t="s">
        <v>75</v>
      </c>
      <c r="E209" s="276"/>
      <c r="F209" s="78" t="s">
        <v>76</v>
      </c>
      <c r="G209" s="79" t="s">
        <v>77</v>
      </c>
      <c r="H209" s="80" t="s">
        <v>78</v>
      </c>
    </row>
    <row r="210" spans="2:8" x14ac:dyDescent="0.3">
      <c r="B210" s="265" t="s">
        <v>159</v>
      </c>
      <c r="C210" s="266"/>
      <c r="D210" s="253" t="s">
        <v>129</v>
      </c>
      <c r="E210" s="254"/>
      <c r="F210" s="81">
        <v>1.3</v>
      </c>
      <c r="G210" s="82">
        <v>51170</v>
      </c>
      <c r="H210" s="83">
        <f>+G210*F210</f>
        <v>66521</v>
      </c>
    </row>
    <row r="211" spans="2:8" x14ac:dyDescent="0.3">
      <c r="B211" s="265"/>
      <c r="C211" s="266"/>
      <c r="D211" s="253"/>
      <c r="E211" s="254"/>
      <c r="F211" s="81"/>
      <c r="G211" s="82"/>
      <c r="H211" s="83"/>
    </row>
    <row r="212" spans="2:8" x14ac:dyDescent="0.3">
      <c r="B212" s="255" t="s">
        <v>83</v>
      </c>
      <c r="C212" s="256"/>
      <c r="D212" s="256"/>
      <c r="E212" s="256"/>
      <c r="F212" s="256"/>
      <c r="G212" s="257"/>
      <c r="H212" s="84">
        <f>SUM(H210:H211)</f>
        <v>66521</v>
      </c>
    </row>
    <row r="213" spans="2:8" ht="15.6" x14ac:dyDescent="0.3">
      <c r="B213" s="258" t="s">
        <v>84</v>
      </c>
      <c r="C213" s="259"/>
      <c r="D213" s="259"/>
      <c r="E213" s="259"/>
      <c r="F213" s="259"/>
      <c r="G213" s="259"/>
      <c r="H213" s="260"/>
    </row>
    <row r="214" spans="2:8" x14ac:dyDescent="0.3">
      <c r="B214" s="273" t="s">
        <v>74</v>
      </c>
      <c r="C214" s="274"/>
      <c r="D214" s="275" t="s">
        <v>75</v>
      </c>
      <c r="E214" s="276"/>
      <c r="F214" s="78" t="s">
        <v>76</v>
      </c>
      <c r="G214" s="79" t="s">
        <v>77</v>
      </c>
      <c r="H214" s="80" t="s">
        <v>78</v>
      </c>
    </row>
    <row r="215" spans="2:8" x14ac:dyDescent="0.3">
      <c r="B215" s="265" t="s">
        <v>118</v>
      </c>
      <c r="C215" s="266"/>
      <c r="D215" s="253" t="s">
        <v>120</v>
      </c>
      <c r="E215" s="254"/>
      <c r="F215" s="81">
        <v>0.5</v>
      </c>
      <c r="G215" s="82">
        <v>9037.33</v>
      </c>
      <c r="H215" s="83">
        <f>+F215*G215</f>
        <v>4518.665</v>
      </c>
    </row>
    <row r="216" spans="2:8" x14ac:dyDescent="0.3">
      <c r="B216" s="265" t="s">
        <v>119</v>
      </c>
      <c r="C216" s="266"/>
      <c r="D216" s="253" t="s">
        <v>120</v>
      </c>
      <c r="E216" s="254"/>
      <c r="F216" s="81">
        <v>0.5</v>
      </c>
      <c r="G216" s="82">
        <v>15517.89</v>
      </c>
      <c r="H216" s="83">
        <f>+F216*G216</f>
        <v>7758.9449999999997</v>
      </c>
    </row>
    <row r="217" spans="2:8" x14ac:dyDescent="0.3">
      <c r="B217" s="311" t="s">
        <v>85</v>
      </c>
      <c r="C217" s="312"/>
      <c r="D217" s="312"/>
      <c r="E217" s="312"/>
      <c r="F217" s="312"/>
      <c r="G217" s="313"/>
      <c r="H217" s="84">
        <f>SUM(H215:H216)</f>
        <v>12277.61</v>
      </c>
    </row>
    <row r="218" spans="2:8" ht="15.6" x14ac:dyDescent="0.3">
      <c r="B218" s="258" t="s">
        <v>86</v>
      </c>
      <c r="C218" s="259"/>
      <c r="D218" s="259"/>
      <c r="E218" s="259"/>
      <c r="F218" s="259"/>
      <c r="G218" s="259"/>
      <c r="H218" s="260"/>
    </row>
    <row r="219" spans="2:8" x14ac:dyDescent="0.3">
      <c r="B219" s="261" t="s">
        <v>74</v>
      </c>
      <c r="C219" s="262"/>
      <c r="D219" s="263" t="s">
        <v>75</v>
      </c>
      <c r="E219" s="264"/>
      <c r="F219" s="86" t="s">
        <v>76</v>
      </c>
      <c r="G219" s="87" t="s">
        <v>77</v>
      </c>
      <c r="H219" s="80" t="s">
        <v>78</v>
      </c>
    </row>
    <row r="220" spans="2:8" x14ac:dyDescent="0.3">
      <c r="B220" s="265"/>
      <c r="C220" s="266"/>
      <c r="D220" s="253"/>
      <c r="E220" s="254"/>
      <c r="F220" s="81"/>
      <c r="G220" s="82"/>
      <c r="H220" s="83"/>
    </row>
    <row r="221" spans="2:8" x14ac:dyDescent="0.3">
      <c r="B221" s="306"/>
      <c r="C221" s="269"/>
      <c r="D221" s="269"/>
      <c r="E221" s="269"/>
      <c r="F221" s="269"/>
      <c r="G221" s="269"/>
      <c r="H221" s="88">
        <f>H220</f>
        <v>0</v>
      </c>
    </row>
    <row r="222" spans="2:8" ht="16.2" thickBot="1" x14ac:dyDescent="0.35">
      <c r="B222" s="277" t="s">
        <v>87</v>
      </c>
      <c r="C222" s="278"/>
      <c r="D222" s="278"/>
      <c r="E222" s="278"/>
      <c r="F222" s="278"/>
      <c r="G222" s="279"/>
      <c r="H222" s="89">
        <f>+H207+H212+H217+H221</f>
        <v>91228.98285</v>
      </c>
    </row>
    <row r="224" spans="2:8" ht="15" thickBot="1" x14ac:dyDescent="0.35"/>
    <row r="225" spans="2:8" ht="18" x14ac:dyDescent="0.3">
      <c r="B225" s="68" t="s">
        <v>71</v>
      </c>
      <c r="C225" s="280" t="s">
        <v>72</v>
      </c>
      <c r="D225" s="281"/>
      <c r="E225" s="281"/>
      <c r="F225" s="282"/>
      <c r="G225" s="283" t="s">
        <v>9</v>
      </c>
      <c r="H225" s="284"/>
    </row>
    <row r="226" spans="2:8" x14ac:dyDescent="0.3">
      <c r="B226" s="69" t="s">
        <v>64</v>
      </c>
      <c r="C226" s="285" t="s">
        <v>162</v>
      </c>
      <c r="D226" s="286"/>
      <c r="E226" s="286"/>
      <c r="F226" s="287"/>
      <c r="G226" s="288" t="s">
        <v>150</v>
      </c>
      <c r="H226" s="289"/>
    </row>
    <row r="227" spans="2:8" ht="15.6" x14ac:dyDescent="0.3">
      <c r="B227" s="290" t="s">
        <v>73</v>
      </c>
      <c r="C227" s="291"/>
      <c r="D227" s="291"/>
      <c r="E227" s="291"/>
      <c r="F227" s="291"/>
      <c r="G227" s="291"/>
      <c r="H227" s="292"/>
    </row>
    <row r="228" spans="2:8" x14ac:dyDescent="0.3">
      <c r="B228" s="303" t="s">
        <v>74</v>
      </c>
      <c r="C228" s="304"/>
      <c r="D228" s="305" t="s">
        <v>75</v>
      </c>
      <c r="E228" s="305"/>
      <c r="F228" s="70" t="s">
        <v>76</v>
      </c>
      <c r="G228" s="71" t="s">
        <v>77</v>
      </c>
      <c r="H228" s="72" t="s">
        <v>78</v>
      </c>
    </row>
    <row r="229" spans="2:8" x14ac:dyDescent="0.3">
      <c r="B229" s="298" t="s">
        <v>79</v>
      </c>
      <c r="C229" s="267"/>
      <c r="D229" s="268" t="s">
        <v>80</v>
      </c>
      <c r="E229" s="268"/>
      <c r="F229" s="73">
        <v>3.3</v>
      </c>
      <c r="G229" s="74">
        <f>H240/100</f>
        <v>82.667580576980001</v>
      </c>
      <c r="H229" s="72">
        <f>+F229*G229</f>
        <v>272.803015904034</v>
      </c>
    </row>
    <row r="230" spans="2:8" x14ac:dyDescent="0.3">
      <c r="B230" s="314" t="s">
        <v>81</v>
      </c>
      <c r="C230" s="315"/>
      <c r="D230" s="315"/>
      <c r="E230" s="315"/>
      <c r="F230" s="315"/>
      <c r="G230" s="316"/>
      <c r="H230" s="77">
        <f>SUM(H229:H229)</f>
        <v>272.803015904034</v>
      </c>
    </row>
    <row r="231" spans="2:8" ht="15.6" x14ac:dyDescent="0.3">
      <c r="B231" s="258" t="s">
        <v>82</v>
      </c>
      <c r="C231" s="259"/>
      <c r="D231" s="259"/>
      <c r="E231" s="259"/>
      <c r="F231" s="259"/>
      <c r="G231" s="259"/>
      <c r="H231" s="260"/>
    </row>
    <row r="232" spans="2:8" x14ac:dyDescent="0.3">
      <c r="B232" s="273" t="s">
        <v>74</v>
      </c>
      <c r="C232" s="274"/>
      <c r="D232" s="275" t="s">
        <v>75</v>
      </c>
      <c r="E232" s="276"/>
      <c r="F232" s="78" t="s">
        <v>76</v>
      </c>
      <c r="G232" s="79" t="s">
        <v>77</v>
      </c>
      <c r="H232" s="80" t="s">
        <v>78</v>
      </c>
    </row>
    <row r="233" spans="2:8" x14ac:dyDescent="0.3">
      <c r="B233" s="265" t="s">
        <v>163</v>
      </c>
      <c r="C233" s="266"/>
      <c r="D233" s="253" t="s">
        <v>129</v>
      </c>
      <c r="E233" s="254"/>
      <c r="F233" s="81">
        <v>7.4999999999999997E-3</v>
      </c>
      <c r="G233" s="82">
        <v>470829.15</v>
      </c>
      <c r="H233" s="83">
        <f>+G233*F233</f>
        <v>3531.218625</v>
      </c>
    </row>
    <row r="234" spans="2:8" x14ac:dyDescent="0.3">
      <c r="B234" s="265" t="s">
        <v>164</v>
      </c>
      <c r="C234" s="266"/>
      <c r="D234" s="253" t="s">
        <v>150</v>
      </c>
      <c r="E234" s="254"/>
      <c r="F234" s="81">
        <v>1.25</v>
      </c>
      <c r="G234" s="82">
        <v>31780</v>
      </c>
      <c r="H234" s="83">
        <f>+G234*F234</f>
        <v>39725</v>
      </c>
    </row>
    <row r="235" spans="2:8" x14ac:dyDescent="0.3">
      <c r="B235" s="255" t="s">
        <v>83</v>
      </c>
      <c r="C235" s="256"/>
      <c r="D235" s="256"/>
      <c r="E235" s="256"/>
      <c r="F235" s="256"/>
      <c r="G235" s="257"/>
      <c r="H235" s="84">
        <f>SUM(H233:H234)</f>
        <v>43256.218625000001</v>
      </c>
    </row>
    <row r="236" spans="2:8" ht="15.6" x14ac:dyDescent="0.3">
      <c r="B236" s="258" t="s">
        <v>84</v>
      </c>
      <c r="C236" s="259"/>
      <c r="D236" s="259"/>
      <c r="E236" s="259"/>
      <c r="F236" s="259"/>
      <c r="G236" s="259"/>
      <c r="H236" s="260"/>
    </row>
    <row r="237" spans="2:8" x14ac:dyDescent="0.3">
      <c r="B237" s="273" t="s">
        <v>74</v>
      </c>
      <c r="C237" s="274"/>
      <c r="D237" s="275" t="s">
        <v>75</v>
      </c>
      <c r="E237" s="276"/>
      <c r="F237" s="78" t="s">
        <v>76</v>
      </c>
      <c r="G237" s="79" t="s">
        <v>77</v>
      </c>
      <c r="H237" s="80" t="s">
        <v>78</v>
      </c>
    </row>
    <row r="238" spans="2:8" x14ac:dyDescent="0.3">
      <c r="B238" s="265" t="s">
        <v>127</v>
      </c>
      <c r="C238" s="266"/>
      <c r="D238" s="253" t="s">
        <v>98</v>
      </c>
      <c r="E238" s="254"/>
      <c r="F238" s="81">
        <v>0.08</v>
      </c>
      <c r="G238" s="82">
        <v>72300.17</v>
      </c>
      <c r="H238" s="83">
        <f>+F238*G238</f>
        <v>5784.0136000000002</v>
      </c>
    </row>
    <row r="239" spans="2:8" x14ac:dyDescent="0.3">
      <c r="B239" s="265" t="s">
        <v>144</v>
      </c>
      <c r="C239" s="266"/>
      <c r="D239" s="253" t="s">
        <v>145</v>
      </c>
      <c r="E239" s="254"/>
      <c r="F239" s="81">
        <v>3.4339399999999999E-2</v>
      </c>
      <c r="G239" s="82">
        <v>72300.17</v>
      </c>
      <c r="H239" s="83">
        <f>+F239*G239</f>
        <v>2482.7444576979997</v>
      </c>
    </row>
    <row r="240" spans="2:8" x14ac:dyDescent="0.3">
      <c r="B240" s="311" t="s">
        <v>85</v>
      </c>
      <c r="C240" s="312"/>
      <c r="D240" s="312"/>
      <c r="E240" s="312"/>
      <c r="F240" s="312"/>
      <c r="G240" s="313"/>
      <c r="H240" s="84">
        <f>SUM(H238:H239)</f>
        <v>8266.7580576979999</v>
      </c>
    </row>
    <row r="241" spans="2:8" ht="15.6" x14ac:dyDescent="0.3">
      <c r="B241" s="258" t="s">
        <v>86</v>
      </c>
      <c r="C241" s="259"/>
      <c r="D241" s="259"/>
      <c r="E241" s="259"/>
      <c r="F241" s="259"/>
      <c r="G241" s="259"/>
      <c r="H241" s="260"/>
    </row>
    <row r="242" spans="2:8" x14ac:dyDescent="0.3">
      <c r="B242" s="261" t="s">
        <v>74</v>
      </c>
      <c r="C242" s="262"/>
      <c r="D242" s="263" t="s">
        <v>75</v>
      </c>
      <c r="E242" s="264"/>
      <c r="F242" s="86" t="s">
        <v>76</v>
      </c>
      <c r="G242" s="87" t="s">
        <v>77</v>
      </c>
      <c r="H242" s="80" t="s">
        <v>78</v>
      </c>
    </row>
    <row r="243" spans="2:8" x14ac:dyDescent="0.3">
      <c r="B243" s="265"/>
      <c r="C243" s="266"/>
      <c r="D243" s="253"/>
      <c r="E243" s="254"/>
      <c r="F243" s="81"/>
      <c r="G243" s="82"/>
      <c r="H243" s="83"/>
    </row>
    <row r="244" spans="2:8" x14ac:dyDescent="0.3">
      <c r="B244" s="306"/>
      <c r="C244" s="269"/>
      <c r="D244" s="269"/>
      <c r="E244" s="269"/>
      <c r="F244" s="269"/>
      <c r="G244" s="269"/>
      <c r="H244" s="88">
        <f>H243</f>
        <v>0</v>
      </c>
    </row>
    <row r="245" spans="2:8" ht="16.2" thickBot="1" x14ac:dyDescent="0.35">
      <c r="B245" s="277" t="s">
        <v>87</v>
      </c>
      <c r="C245" s="278"/>
      <c r="D245" s="278"/>
      <c r="E245" s="278"/>
      <c r="F245" s="278"/>
      <c r="G245" s="279"/>
      <c r="H245" s="89">
        <f>+H230+H235+H240+H244</f>
        <v>51795.77969860204</v>
      </c>
    </row>
    <row r="246" spans="2:8" ht="15" thickBot="1" x14ac:dyDescent="0.35"/>
    <row r="247" spans="2:8" ht="18" x14ac:dyDescent="0.3">
      <c r="B247" s="68" t="s">
        <v>71</v>
      </c>
      <c r="C247" s="280" t="s">
        <v>72</v>
      </c>
      <c r="D247" s="281"/>
      <c r="E247" s="281"/>
      <c r="F247" s="282"/>
      <c r="G247" s="283" t="s">
        <v>9</v>
      </c>
      <c r="H247" s="284"/>
    </row>
    <row r="248" spans="2:8" ht="44.4" customHeight="1" x14ac:dyDescent="0.3">
      <c r="B248" s="69" t="s">
        <v>64</v>
      </c>
      <c r="C248" s="285" t="s">
        <v>170</v>
      </c>
      <c r="D248" s="286"/>
      <c r="E248" s="286"/>
      <c r="F248" s="287"/>
      <c r="G248" s="288" t="s">
        <v>129</v>
      </c>
      <c r="H248" s="289"/>
    </row>
    <row r="249" spans="2:8" ht="15.6" x14ac:dyDescent="0.3">
      <c r="B249" s="290" t="s">
        <v>73</v>
      </c>
      <c r="C249" s="291"/>
      <c r="D249" s="291"/>
      <c r="E249" s="291"/>
      <c r="F249" s="291"/>
      <c r="G249" s="291"/>
      <c r="H249" s="292"/>
    </row>
    <row r="250" spans="2:8" x14ac:dyDescent="0.3">
      <c r="B250" s="303" t="s">
        <v>74</v>
      </c>
      <c r="C250" s="304"/>
      <c r="D250" s="305" t="s">
        <v>75</v>
      </c>
      <c r="E250" s="305"/>
      <c r="F250" s="70" t="s">
        <v>76</v>
      </c>
      <c r="G250" s="71" t="s">
        <v>77</v>
      </c>
      <c r="H250" s="72" t="s">
        <v>78</v>
      </c>
    </row>
    <row r="251" spans="2:8" x14ac:dyDescent="0.3">
      <c r="B251" s="298" t="s">
        <v>79</v>
      </c>
      <c r="C251" s="267"/>
      <c r="D251" s="268" t="s">
        <v>80</v>
      </c>
      <c r="E251" s="268"/>
      <c r="F251" s="73">
        <v>3.3</v>
      </c>
      <c r="G251" s="74">
        <f>+H265/100</f>
        <v>196.43732</v>
      </c>
      <c r="H251" s="72">
        <f>+F251*G251</f>
        <v>648.243156</v>
      </c>
    </row>
    <row r="252" spans="2:8" x14ac:dyDescent="0.3">
      <c r="B252" s="298" t="s">
        <v>172</v>
      </c>
      <c r="C252" s="267"/>
      <c r="D252" s="268" t="s">
        <v>90</v>
      </c>
      <c r="E252" s="268"/>
      <c r="F252" s="73">
        <v>0.1</v>
      </c>
      <c r="G252" s="74">
        <v>145366.67000000001</v>
      </c>
      <c r="H252" s="72">
        <f>+F252*G252</f>
        <v>14536.667000000001</v>
      </c>
    </row>
    <row r="253" spans="2:8" x14ac:dyDescent="0.3">
      <c r="B253" s="298" t="s">
        <v>156</v>
      </c>
      <c r="C253" s="267"/>
      <c r="D253" s="268" t="s">
        <v>90</v>
      </c>
      <c r="E253" s="268"/>
      <c r="F253" s="73">
        <v>0.1</v>
      </c>
      <c r="G253" s="74">
        <v>74712.95</v>
      </c>
      <c r="H253" s="72">
        <f>+F253*G253</f>
        <v>7471.2950000000001</v>
      </c>
    </row>
    <row r="254" spans="2:8" x14ac:dyDescent="0.3">
      <c r="B254" s="298" t="s">
        <v>158</v>
      </c>
      <c r="C254" s="267"/>
      <c r="D254" s="268" t="s">
        <v>90</v>
      </c>
      <c r="E254" s="268"/>
      <c r="F254" s="73">
        <v>0.33300000000000002</v>
      </c>
      <c r="G254" s="74">
        <v>8333.33</v>
      </c>
      <c r="H254" s="72">
        <f>+F254*G254</f>
        <v>2774.9988900000003</v>
      </c>
    </row>
    <row r="255" spans="2:8" x14ac:dyDescent="0.3">
      <c r="B255" s="314" t="s">
        <v>81</v>
      </c>
      <c r="C255" s="315"/>
      <c r="D255" s="315"/>
      <c r="E255" s="315"/>
      <c r="F255" s="315"/>
      <c r="G255" s="316"/>
      <c r="H255" s="77">
        <f>SUM(H251:H254)</f>
        <v>25431.204046000003</v>
      </c>
    </row>
    <row r="256" spans="2:8" ht="15.6" x14ac:dyDescent="0.3">
      <c r="B256" s="258" t="s">
        <v>82</v>
      </c>
      <c r="C256" s="259"/>
      <c r="D256" s="259"/>
      <c r="E256" s="259"/>
      <c r="F256" s="259"/>
      <c r="G256" s="259"/>
      <c r="H256" s="260"/>
    </row>
    <row r="257" spans="2:8" x14ac:dyDescent="0.3">
      <c r="B257" s="273" t="s">
        <v>74</v>
      </c>
      <c r="C257" s="274"/>
      <c r="D257" s="275" t="s">
        <v>75</v>
      </c>
      <c r="E257" s="276"/>
      <c r="F257" s="78" t="s">
        <v>76</v>
      </c>
      <c r="G257" s="79" t="s">
        <v>77</v>
      </c>
      <c r="H257" s="80" t="s">
        <v>78</v>
      </c>
    </row>
    <row r="258" spans="2:8" x14ac:dyDescent="0.3">
      <c r="B258" s="265" t="s">
        <v>171</v>
      </c>
      <c r="C258" s="266"/>
      <c r="D258" s="253" t="s">
        <v>129</v>
      </c>
      <c r="E258" s="254"/>
      <c r="F258" s="81">
        <v>1.3</v>
      </c>
      <c r="G258" s="82">
        <v>28333.33</v>
      </c>
      <c r="H258" s="83">
        <f>+G258*F258</f>
        <v>36833.329000000005</v>
      </c>
    </row>
    <row r="259" spans="2:8" x14ac:dyDescent="0.3">
      <c r="B259" s="265" t="s">
        <v>111</v>
      </c>
      <c r="C259" s="266"/>
      <c r="D259" s="253" t="s">
        <v>169</v>
      </c>
      <c r="E259" s="254"/>
      <c r="F259" s="81">
        <v>25</v>
      </c>
      <c r="G259" s="82">
        <v>21</v>
      </c>
      <c r="H259" s="83">
        <f>+G259*F259</f>
        <v>525</v>
      </c>
    </row>
    <row r="260" spans="2:8" x14ac:dyDescent="0.3">
      <c r="B260" s="255" t="s">
        <v>83</v>
      </c>
      <c r="C260" s="256"/>
      <c r="D260" s="256"/>
      <c r="E260" s="256"/>
      <c r="F260" s="256"/>
      <c r="G260" s="257"/>
      <c r="H260" s="84">
        <f>SUM(H258:H259)</f>
        <v>37358.329000000005</v>
      </c>
    </row>
    <row r="261" spans="2:8" ht="15.6" x14ac:dyDescent="0.3">
      <c r="B261" s="258" t="s">
        <v>84</v>
      </c>
      <c r="C261" s="259"/>
      <c r="D261" s="259"/>
      <c r="E261" s="259"/>
      <c r="F261" s="259"/>
      <c r="G261" s="259"/>
      <c r="H261" s="260"/>
    </row>
    <row r="262" spans="2:8" x14ac:dyDescent="0.3">
      <c r="B262" s="273" t="s">
        <v>74</v>
      </c>
      <c r="C262" s="274"/>
      <c r="D262" s="275" t="s">
        <v>75</v>
      </c>
      <c r="E262" s="276"/>
      <c r="F262" s="78" t="s">
        <v>76</v>
      </c>
      <c r="G262" s="79" t="s">
        <v>77</v>
      </c>
      <c r="H262" s="80" t="s">
        <v>78</v>
      </c>
    </row>
    <row r="263" spans="2:8" x14ac:dyDescent="0.3">
      <c r="B263" s="265" t="s">
        <v>127</v>
      </c>
      <c r="C263" s="266"/>
      <c r="D263" s="253" t="s">
        <v>145</v>
      </c>
      <c r="E263" s="254"/>
      <c r="F263" s="81">
        <v>0.1</v>
      </c>
      <c r="G263" s="82">
        <v>72300.17</v>
      </c>
      <c r="H263" s="83">
        <f>+F263*G263</f>
        <v>7230.0169999999998</v>
      </c>
    </row>
    <row r="264" spans="2:8" x14ac:dyDescent="0.3">
      <c r="B264" s="265" t="s">
        <v>144</v>
      </c>
      <c r="C264" s="266"/>
      <c r="D264" s="253" t="s">
        <v>145</v>
      </c>
      <c r="E264" s="254"/>
      <c r="F264" s="81">
        <v>0.1</v>
      </c>
      <c r="G264" s="82">
        <v>124137.15</v>
      </c>
      <c r="H264" s="83">
        <f>+F264*G264</f>
        <v>12413.715</v>
      </c>
    </row>
    <row r="265" spans="2:8" x14ac:dyDescent="0.3">
      <c r="B265" s="311" t="s">
        <v>85</v>
      </c>
      <c r="C265" s="312"/>
      <c r="D265" s="312"/>
      <c r="E265" s="312"/>
      <c r="F265" s="312"/>
      <c r="G265" s="313"/>
      <c r="H265" s="84">
        <f>SUM(H263:H264)</f>
        <v>19643.732</v>
      </c>
    </row>
    <row r="266" spans="2:8" ht="15.6" x14ac:dyDescent="0.3">
      <c r="B266" s="258" t="s">
        <v>86</v>
      </c>
      <c r="C266" s="259"/>
      <c r="D266" s="259"/>
      <c r="E266" s="259"/>
      <c r="F266" s="259"/>
      <c r="G266" s="259"/>
      <c r="H266" s="260"/>
    </row>
    <row r="267" spans="2:8" x14ac:dyDescent="0.3">
      <c r="B267" s="261" t="s">
        <v>74</v>
      </c>
      <c r="C267" s="262"/>
      <c r="D267" s="263" t="s">
        <v>75</v>
      </c>
      <c r="E267" s="264"/>
      <c r="F267" s="86" t="s">
        <v>76</v>
      </c>
      <c r="G267" s="87" t="s">
        <v>77</v>
      </c>
      <c r="H267" s="80" t="s">
        <v>78</v>
      </c>
    </row>
    <row r="268" spans="2:8" x14ac:dyDescent="0.3">
      <c r="B268" s="265"/>
      <c r="C268" s="266"/>
      <c r="D268" s="253"/>
      <c r="E268" s="254"/>
      <c r="F268" s="81"/>
      <c r="G268" s="82"/>
      <c r="H268" s="83"/>
    </row>
    <row r="269" spans="2:8" x14ac:dyDescent="0.3">
      <c r="B269" s="306"/>
      <c r="C269" s="269"/>
      <c r="D269" s="269"/>
      <c r="E269" s="269"/>
      <c r="F269" s="269"/>
      <c r="G269" s="269"/>
      <c r="H269" s="88">
        <f>H268</f>
        <v>0</v>
      </c>
    </row>
    <row r="270" spans="2:8" ht="16.2" thickBot="1" x14ac:dyDescent="0.35">
      <c r="B270" s="277" t="s">
        <v>87</v>
      </c>
      <c r="C270" s="278"/>
      <c r="D270" s="278"/>
      <c r="E270" s="278"/>
      <c r="F270" s="278"/>
      <c r="G270" s="279"/>
      <c r="H270" s="89">
        <f>+H255+H260+H265+H269</f>
        <v>82433.265046000015</v>
      </c>
    </row>
    <row r="272" spans="2:8" ht="15" thickBot="1" x14ac:dyDescent="0.35"/>
    <row r="273" spans="2:8" ht="18" x14ac:dyDescent="0.3">
      <c r="B273" s="68" t="s">
        <v>71</v>
      </c>
      <c r="C273" s="280" t="s">
        <v>72</v>
      </c>
      <c r="D273" s="281"/>
      <c r="E273" s="281"/>
      <c r="F273" s="282"/>
      <c r="G273" s="283" t="s">
        <v>9</v>
      </c>
      <c r="H273" s="284"/>
    </row>
    <row r="274" spans="2:8" x14ac:dyDescent="0.3">
      <c r="B274" s="69" t="s">
        <v>64</v>
      </c>
      <c r="C274" s="285" t="s">
        <v>182</v>
      </c>
      <c r="D274" s="286"/>
      <c r="E274" s="286"/>
      <c r="F274" s="287"/>
      <c r="G274" s="288">
        <f>+'FORMATO PRESUPUESTO'!H284</f>
        <v>0</v>
      </c>
      <c r="H274" s="289"/>
    </row>
    <row r="275" spans="2:8" ht="15.6" x14ac:dyDescent="0.3">
      <c r="B275" s="290" t="s">
        <v>73</v>
      </c>
      <c r="C275" s="291"/>
      <c r="D275" s="291"/>
      <c r="E275" s="291"/>
      <c r="F275" s="291"/>
      <c r="G275" s="291"/>
      <c r="H275" s="292"/>
    </row>
    <row r="276" spans="2:8" x14ac:dyDescent="0.3">
      <c r="B276" s="303" t="s">
        <v>74</v>
      </c>
      <c r="C276" s="304"/>
      <c r="D276" s="305" t="s">
        <v>75</v>
      </c>
      <c r="E276" s="305"/>
      <c r="F276" s="70" t="s">
        <v>76</v>
      </c>
      <c r="G276" s="71" t="s">
        <v>77</v>
      </c>
      <c r="H276" s="72" t="s">
        <v>78</v>
      </c>
    </row>
    <row r="277" spans="2:8" ht="14.4" customHeight="1" x14ac:dyDescent="0.3">
      <c r="B277" s="307"/>
      <c r="C277" s="308"/>
      <c r="D277" s="309"/>
      <c r="E277" s="310"/>
      <c r="F277" s="73"/>
      <c r="G277" s="74"/>
      <c r="H277" s="72">
        <v>0</v>
      </c>
    </row>
    <row r="278" spans="2:8" x14ac:dyDescent="0.3">
      <c r="B278" s="298"/>
      <c r="C278" s="267"/>
      <c r="D278" s="299"/>
      <c r="E278" s="299"/>
      <c r="F278" s="75"/>
      <c r="G278" s="76"/>
      <c r="H278" s="72"/>
    </row>
    <row r="279" spans="2:8" x14ac:dyDescent="0.3">
      <c r="B279" s="300" t="s">
        <v>81</v>
      </c>
      <c r="C279" s="301"/>
      <c r="D279" s="301"/>
      <c r="E279" s="301"/>
      <c r="F279" s="301"/>
      <c r="G279" s="302"/>
      <c r="H279" s="77">
        <f>SUM(H277:H278)</f>
        <v>0</v>
      </c>
    </row>
    <row r="280" spans="2:8" ht="15.6" x14ac:dyDescent="0.3">
      <c r="B280" s="258" t="s">
        <v>82</v>
      </c>
      <c r="C280" s="259"/>
      <c r="D280" s="259"/>
      <c r="E280" s="259"/>
      <c r="F280" s="259"/>
      <c r="G280" s="259"/>
      <c r="H280" s="260"/>
    </row>
    <row r="281" spans="2:8" x14ac:dyDescent="0.3">
      <c r="B281" s="273" t="s">
        <v>74</v>
      </c>
      <c r="C281" s="274"/>
      <c r="D281" s="275" t="s">
        <v>75</v>
      </c>
      <c r="E281" s="276"/>
      <c r="F281" s="78" t="s">
        <v>76</v>
      </c>
      <c r="G281" s="79" t="s">
        <v>77</v>
      </c>
      <c r="H281" s="80" t="s">
        <v>78</v>
      </c>
    </row>
    <row r="282" spans="2:8" x14ac:dyDescent="0.3">
      <c r="B282" s="265" t="s">
        <v>109</v>
      </c>
      <c r="C282" s="266"/>
      <c r="D282" s="253" t="s">
        <v>32</v>
      </c>
      <c r="E282" s="254"/>
      <c r="F282" s="81">
        <v>0.04</v>
      </c>
      <c r="G282" s="82">
        <v>82125</v>
      </c>
      <c r="H282" s="83">
        <f>+F282*G282</f>
        <v>3285</v>
      </c>
    </row>
    <row r="283" spans="2:8" x14ac:dyDescent="0.3">
      <c r="B283" s="265" t="s">
        <v>183</v>
      </c>
      <c r="C283" s="266"/>
      <c r="D283" s="253" t="s">
        <v>60</v>
      </c>
      <c r="E283" s="254"/>
      <c r="F283" s="81">
        <v>1</v>
      </c>
      <c r="G283" s="82">
        <v>58649</v>
      </c>
      <c r="H283" s="83">
        <f t="shared" ref="H283:H284" si="8">+F283*G283</f>
        <v>58649</v>
      </c>
    </row>
    <row r="284" spans="2:8" x14ac:dyDescent="0.3">
      <c r="B284" s="265" t="s">
        <v>88</v>
      </c>
      <c r="C284" s="266"/>
      <c r="D284" s="253" t="s">
        <v>32</v>
      </c>
      <c r="E284" s="254"/>
      <c r="F284" s="81">
        <v>0.01</v>
      </c>
      <c r="G284" s="82">
        <v>409741.65</v>
      </c>
      <c r="H284" s="83">
        <f t="shared" si="8"/>
        <v>4097.4165000000003</v>
      </c>
    </row>
    <row r="285" spans="2:8" x14ac:dyDescent="0.3">
      <c r="B285" s="265"/>
      <c r="C285" s="266"/>
      <c r="D285" s="253"/>
      <c r="E285" s="254"/>
      <c r="F285" s="81"/>
      <c r="G285" s="82"/>
      <c r="H285" s="83"/>
    </row>
    <row r="286" spans="2:8" x14ac:dyDescent="0.3">
      <c r="B286" s="255" t="s">
        <v>83</v>
      </c>
      <c r="C286" s="256"/>
      <c r="D286" s="256"/>
      <c r="E286" s="256"/>
      <c r="F286" s="256"/>
      <c r="G286" s="257"/>
      <c r="H286" s="84">
        <f>SUM(H282:H285)</f>
        <v>66031.416500000007</v>
      </c>
    </row>
    <row r="287" spans="2:8" ht="15.6" x14ac:dyDescent="0.3">
      <c r="B287" s="258" t="s">
        <v>84</v>
      </c>
      <c r="C287" s="259"/>
      <c r="D287" s="259"/>
      <c r="E287" s="259"/>
      <c r="F287" s="259"/>
      <c r="G287" s="259"/>
      <c r="H287" s="260"/>
    </row>
    <row r="288" spans="2:8" x14ac:dyDescent="0.3">
      <c r="B288" s="273" t="s">
        <v>74</v>
      </c>
      <c r="C288" s="274"/>
      <c r="D288" s="275" t="s">
        <v>75</v>
      </c>
      <c r="E288" s="276"/>
      <c r="F288" s="78" t="s">
        <v>76</v>
      </c>
      <c r="G288" s="79" t="s">
        <v>77</v>
      </c>
      <c r="H288" s="80" t="s">
        <v>78</v>
      </c>
    </row>
    <row r="289" spans="2:8" x14ac:dyDescent="0.3">
      <c r="B289" s="265" t="s">
        <v>118</v>
      </c>
      <c r="C289" s="266"/>
      <c r="D289" s="253" t="s">
        <v>120</v>
      </c>
      <c r="E289" s="254"/>
      <c r="F289" s="81">
        <v>0.7</v>
      </c>
      <c r="G289" s="82">
        <v>9037.33</v>
      </c>
      <c r="H289" s="83">
        <f>+F289*G289</f>
        <v>6326.1309999999994</v>
      </c>
    </row>
    <row r="290" spans="2:8" x14ac:dyDescent="0.3">
      <c r="B290" s="265" t="s">
        <v>119</v>
      </c>
      <c r="C290" s="266"/>
      <c r="D290" s="253" t="s">
        <v>120</v>
      </c>
      <c r="E290" s="254"/>
      <c r="F290" s="81">
        <v>0.7</v>
      </c>
      <c r="G290" s="82">
        <v>15517.89</v>
      </c>
      <c r="H290" s="83">
        <f>+F290*G290</f>
        <v>10862.522999999999</v>
      </c>
    </row>
    <row r="291" spans="2:8" x14ac:dyDescent="0.3">
      <c r="B291" s="255" t="s">
        <v>85</v>
      </c>
      <c r="C291" s="256"/>
      <c r="D291" s="256"/>
      <c r="E291" s="256"/>
      <c r="F291" s="256"/>
      <c r="G291" s="257"/>
      <c r="H291" s="84">
        <f>SUM(H289:H290)</f>
        <v>17188.653999999999</v>
      </c>
    </row>
    <row r="292" spans="2:8" ht="15.6" x14ac:dyDescent="0.3">
      <c r="B292" s="258" t="s">
        <v>86</v>
      </c>
      <c r="C292" s="259"/>
      <c r="D292" s="259"/>
      <c r="E292" s="259"/>
      <c r="F292" s="259"/>
      <c r="G292" s="259"/>
      <c r="H292" s="260"/>
    </row>
    <row r="293" spans="2:8" x14ac:dyDescent="0.3">
      <c r="B293" s="261" t="s">
        <v>74</v>
      </c>
      <c r="C293" s="262"/>
      <c r="D293" s="263" t="s">
        <v>75</v>
      </c>
      <c r="E293" s="264"/>
      <c r="F293" s="86" t="s">
        <v>76</v>
      </c>
      <c r="G293" s="87" t="s">
        <v>77</v>
      </c>
      <c r="H293" s="80" t="s">
        <v>78</v>
      </c>
    </row>
    <row r="294" spans="2:8" x14ac:dyDescent="0.3">
      <c r="B294" s="306"/>
      <c r="C294" s="269"/>
      <c r="D294" s="269"/>
      <c r="E294" s="269"/>
      <c r="F294" s="269"/>
      <c r="G294" s="269"/>
      <c r="H294" s="88">
        <v>0</v>
      </c>
    </row>
    <row r="295" spans="2:8" ht="16.2" thickBot="1" x14ac:dyDescent="0.35">
      <c r="B295" s="277" t="s">
        <v>87</v>
      </c>
      <c r="C295" s="278"/>
      <c r="D295" s="278"/>
      <c r="E295" s="278"/>
      <c r="F295" s="278"/>
      <c r="G295" s="279"/>
      <c r="H295" s="89">
        <f>+H279+H286+H291+H294</f>
        <v>83220.070500000002</v>
      </c>
    </row>
    <row r="297" spans="2:8" ht="15" thickBot="1" x14ac:dyDescent="0.35"/>
    <row r="298" spans="2:8" ht="18" x14ac:dyDescent="0.3">
      <c r="B298" s="68" t="s">
        <v>71</v>
      </c>
      <c r="C298" s="280" t="s">
        <v>72</v>
      </c>
      <c r="D298" s="281"/>
      <c r="E298" s="281"/>
      <c r="F298" s="282"/>
      <c r="G298" s="283" t="s">
        <v>9</v>
      </c>
      <c r="H298" s="284"/>
    </row>
    <row r="299" spans="2:8" x14ac:dyDescent="0.3">
      <c r="B299" s="69" t="s">
        <v>64</v>
      </c>
      <c r="C299" s="285" t="s">
        <v>184</v>
      </c>
      <c r="D299" s="286"/>
      <c r="E299" s="286"/>
      <c r="F299" s="287"/>
      <c r="G299" s="288" t="s">
        <v>103</v>
      </c>
      <c r="H299" s="289"/>
    </row>
    <row r="300" spans="2:8" ht="15.6" x14ac:dyDescent="0.3">
      <c r="B300" s="290" t="s">
        <v>73</v>
      </c>
      <c r="C300" s="291"/>
      <c r="D300" s="291"/>
      <c r="E300" s="291"/>
      <c r="F300" s="291"/>
      <c r="G300" s="291"/>
      <c r="H300" s="292"/>
    </row>
    <row r="301" spans="2:8" x14ac:dyDescent="0.3">
      <c r="B301" s="303" t="s">
        <v>74</v>
      </c>
      <c r="C301" s="304"/>
      <c r="D301" s="305" t="s">
        <v>75</v>
      </c>
      <c r="E301" s="305"/>
      <c r="F301" s="70" t="s">
        <v>76</v>
      </c>
      <c r="G301" s="71" t="s">
        <v>77</v>
      </c>
      <c r="H301" s="72" t="s">
        <v>78</v>
      </c>
    </row>
    <row r="302" spans="2:8" x14ac:dyDescent="0.3">
      <c r="B302" s="298" t="s">
        <v>79</v>
      </c>
      <c r="C302" s="267"/>
      <c r="D302" s="268" t="s">
        <v>80</v>
      </c>
      <c r="E302" s="268"/>
      <c r="F302" s="73">
        <v>3.3</v>
      </c>
      <c r="G302" s="74">
        <f>+H321/100</f>
        <v>2160.81052</v>
      </c>
      <c r="H302" s="72">
        <f>+F302*G302</f>
        <v>7130.6747159999995</v>
      </c>
    </row>
    <row r="303" spans="2:8" x14ac:dyDescent="0.3">
      <c r="B303" s="298" t="s">
        <v>193</v>
      </c>
      <c r="C303" s="267"/>
      <c r="D303" s="299" t="s">
        <v>90</v>
      </c>
      <c r="E303" s="299"/>
      <c r="F303" s="75">
        <v>0.6</v>
      </c>
      <c r="G303" s="76">
        <v>3510.83</v>
      </c>
      <c r="H303" s="72">
        <f>+F303*G303</f>
        <v>2106.498</v>
      </c>
    </row>
    <row r="304" spans="2:8" x14ac:dyDescent="0.3">
      <c r="B304" s="300" t="s">
        <v>81</v>
      </c>
      <c r="C304" s="301"/>
      <c r="D304" s="301"/>
      <c r="E304" s="301"/>
      <c r="F304" s="301"/>
      <c r="G304" s="302"/>
      <c r="H304" s="77">
        <f>SUM(H302:H303)</f>
        <v>9237.1727159999991</v>
      </c>
    </row>
    <row r="305" spans="2:8" ht="15.6" x14ac:dyDescent="0.3">
      <c r="B305" s="258" t="s">
        <v>82</v>
      </c>
      <c r="C305" s="259"/>
      <c r="D305" s="259"/>
      <c r="E305" s="259"/>
      <c r="F305" s="259"/>
      <c r="G305" s="259"/>
      <c r="H305" s="260"/>
    </row>
    <row r="306" spans="2:8" x14ac:dyDescent="0.3">
      <c r="B306" s="273" t="s">
        <v>74</v>
      </c>
      <c r="C306" s="274"/>
      <c r="D306" s="275" t="s">
        <v>75</v>
      </c>
      <c r="E306" s="276"/>
      <c r="F306" s="78" t="s">
        <v>76</v>
      </c>
      <c r="G306" s="79" t="s">
        <v>77</v>
      </c>
      <c r="H306" s="80" t="s">
        <v>78</v>
      </c>
    </row>
    <row r="307" spans="2:8" x14ac:dyDescent="0.3">
      <c r="B307" s="265" t="s">
        <v>185</v>
      </c>
      <c r="C307" s="266"/>
      <c r="D307" s="253" t="s">
        <v>103</v>
      </c>
      <c r="E307" s="254"/>
      <c r="F307" s="81">
        <v>1</v>
      </c>
      <c r="G307" s="82">
        <v>391210</v>
      </c>
      <c r="H307" s="83">
        <f>+F307*G307</f>
        <v>391210</v>
      </c>
    </row>
    <row r="308" spans="2:8" x14ac:dyDescent="0.3">
      <c r="B308" s="265" t="s">
        <v>186</v>
      </c>
      <c r="C308" s="266"/>
      <c r="D308" s="253" t="s">
        <v>103</v>
      </c>
      <c r="E308" s="254"/>
      <c r="F308" s="81">
        <v>2</v>
      </c>
      <c r="G308" s="82">
        <v>279560</v>
      </c>
      <c r="H308" s="83">
        <f t="shared" ref="H308:H314" si="9">+F308*G308</f>
        <v>559120</v>
      </c>
    </row>
    <row r="309" spans="2:8" x14ac:dyDescent="0.3">
      <c r="B309" s="265" t="s">
        <v>187</v>
      </c>
      <c r="C309" s="266"/>
      <c r="D309" s="253" t="s">
        <v>103</v>
      </c>
      <c r="E309" s="254"/>
      <c r="F309" s="81">
        <v>1</v>
      </c>
      <c r="G309" s="82">
        <v>412490</v>
      </c>
      <c r="H309" s="83">
        <f t="shared" si="9"/>
        <v>412490</v>
      </c>
    </row>
    <row r="310" spans="2:8" x14ac:dyDescent="0.3">
      <c r="B310" s="265" t="s">
        <v>188</v>
      </c>
      <c r="C310" s="266"/>
      <c r="D310" s="253" t="s">
        <v>65</v>
      </c>
      <c r="E310" s="254"/>
      <c r="F310" s="81">
        <v>8</v>
      </c>
      <c r="G310" s="82">
        <v>326009</v>
      </c>
      <c r="H310" s="83">
        <f t="shared" si="9"/>
        <v>2608072</v>
      </c>
    </row>
    <row r="311" spans="2:8" x14ac:dyDescent="0.3">
      <c r="B311" s="265" t="s">
        <v>189</v>
      </c>
      <c r="C311" s="266"/>
      <c r="D311" s="253" t="s">
        <v>65</v>
      </c>
      <c r="E311" s="254"/>
      <c r="F311" s="81">
        <v>1</v>
      </c>
      <c r="G311" s="82">
        <v>642115</v>
      </c>
      <c r="H311" s="83">
        <f t="shared" si="9"/>
        <v>642115</v>
      </c>
    </row>
    <row r="312" spans="2:8" x14ac:dyDescent="0.3">
      <c r="B312" s="265" t="s">
        <v>190</v>
      </c>
      <c r="C312" s="266"/>
      <c r="D312" s="253" t="s">
        <v>65</v>
      </c>
      <c r="E312" s="254"/>
      <c r="F312" s="81">
        <v>6</v>
      </c>
      <c r="G312" s="82">
        <v>208150.296</v>
      </c>
      <c r="H312" s="83">
        <f t="shared" si="9"/>
        <v>1248901.7760000001</v>
      </c>
    </row>
    <row r="313" spans="2:8" x14ac:dyDescent="0.3">
      <c r="B313" s="265" t="s">
        <v>191</v>
      </c>
      <c r="C313" s="266"/>
      <c r="D313" s="253" t="s">
        <v>69</v>
      </c>
      <c r="E313" s="254"/>
      <c r="F313" s="99">
        <v>1</v>
      </c>
      <c r="G313" s="98">
        <v>478400</v>
      </c>
      <c r="H313" s="83">
        <f t="shared" si="9"/>
        <v>478400</v>
      </c>
    </row>
    <row r="314" spans="2:8" x14ac:dyDescent="0.3">
      <c r="B314" s="265" t="s">
        <v>192</v>
      </c>
      <c r="C314" s="266"/>
      <c r="D314" s="253" t="s">
        <v>69</v>
      </c>
      <c r="E314" s="254"/>
      <c r="F314" s="81">
        <v>1</v>
      </c>
      <c r="G314" s="82">
        <v>856403</v>
      </c>
      <c r="H314" s="83">
        <f t="shared" si="9"/>
        <v>856403</v>
      </c>
    </row>
    <row r="315" spans="2:8" x14ac:dyDescent="0.3">
      <c r="B315" s="265" t="s">
        <v>217</v>
      </c>
      <c r="C315" s="266"/>
      <c r="D315" s="253" t="s">
        <v>69</v>
      </c>
      <c r="E315" s="254"/>
      <c r="F315" s="81">
        <v>3</v>
      </c>
      <c r="G315" s="82">
        <v>1300000</v>
      </c>
      <c r="H315" s="83">
        <f t="shared" ref="H315" si="10">+F315*G315</f>
        <v>3900000</v>
      </c>
    </row>
    <row r="316" spans="2:8" x14ac:dyDescent="0.3">
      <c r="B316" s="255" t="s">
        <v>83</v>
      </c>
      <c r="C316" s="256"/>
      <c r="D316" s="256"/>
      <c r="E316" s="256"/>
      <c r="F316" s="256"/>
      <c r="G316" s="257"/>
      <c r="H316" s="84">
        <f>SUM(H307:H315)</f>
        <v>11096711.776000001</v>
      </c>
    </row>
    <row r="317" spans="2:8" ht="15.6" x14ac:dyDescent="0.3">
      <c r="B317" s="258" t="s">
        <v>84</v>
      </c>
      <c r="C317" s="259"/>
      <c r="D317" s="259"/>
      <c r="E317" s="259"/>
      <c r="F317" s="259"/>
      <c r="G317" s="259"/>
      <c r="H317" s="260"/>
    </row>
    <row r="318" spans="2:8" x14ac:dyDescent="0.3">
      <c r="B318" s="273" t="s">
        <v>74</v>
      </c>
      <c r="C318" s="274"/>
      <c r="D318" s="275" t="s">
        <v>75</v>
      </c>
      <c r="E318" s="276"/>
      <c r="F318" s="78" t="s">
        <v>76</v>
      </c>
      <c r="G318" s="79" t="s">
        <v>77</v>
      </c>
      <c r="H318" s="80" t="s">
        <v>78</v>
      </c>
    </row>
    <row r="319" spans="2:8" x14ac:dyDescent="0.3">
      <c r="B319" s="265" t="s">
        <v>118</v>
      </c>
      <c r="C319" s="266"/>
      <c r="D319" s="253" t="s">
        <v>145</v>
      </c>
      <c r="E319" s="254"/>
      <c r="F319" s="81">
        <v>1.1000000000000001</v>
      </c>
      <c r="G319" s="82">
        <v>72300.17</v>
      </c>
      <c r="H319" s="83">
        <f>+F319*G319</f>
        <v>79530.187000000005</v>
      </c>
    </row>
    <row r="320" spans="2:8" x14ac:dyDescent="0.3">
      <c r="B320" s="265" t="s">
        <v>119</v>
      </c>
      <c r="C320" s="266"/>
      <c r="D320" s="253" t="s">
        <v>145</v>
      </c>
      <c r="E320" s="254"/>
      <c r="F320" s="81">
        <v>1.1000000000000001</v>
      </c>
      <c r="G320" s="82">
        <v>124137.15</v>
      </c>
      <c r="H320" s="83">
        <f>+F320*G320</f>
        <v>136550.86499999999</v>
      </c>
    </row>
    <row r="321" spans="2:8" x14ac:dyDescent="0.3">
      <c r="B321" s="255" t="s">
        <v>85</v>
      </c>
      <c r="C321" s="256"/>
      <c r="D321" s="256"/>
      <c r="E321" s="256"/>
      <c r="F321" s="256"/>
      <c r="G321" s="257"/>
      <c r="H321" s="84">
        <f>SUM(H319:H320)</f>
        <v>216081.052</v>
      </c>
    </row>
    <row r="322" spans="2:8" ht="15.6" x14ac:dyDescent="0.3">
      <c r="B322" s="258" t="s">
        <v>86</v>
      </c>
      <c r="C322" s="259"/>
      <c r="D322" s="259"/>
      <c r="E322" s="259"/>
      <c r="F322" s="259"/>
      <c r="G322" s="259"/>
      <c r="H322" s="260"/>
    </row>
    <row r="323" spans="2:8" x14ac:dyDescent="0.3">
      <c r="B323" s="261" t="s">
        <v>74</v>
      </c>
      <c r="C323" s="262"/>
      <c r="D323" s="263" t="s">
        <v>75</v>
      </c>
      <c r="E323" s="264"/>
      <c r="F323" s="86" t="s">
        <v>76</v>
      </c>
      <c r="G323" s="87" t="s">
        <v>77</v>
      </c>
      <c r="H323" s="80" t="s">
        <v>78</v>
      </c>
    </row>
    <row r="324" spans="2:8" x14ac:dyDescent="0.3">
      <c r="B324" s="100"/>
      <c r="C324" s="101"/>
      <c r="D324" s="102"/>
      <c r="E324" s="102"/>
      <c r="F324" s="103"/>
      <c r="G324" s="104"/>
      <c r="H324" s="105"/>
    </row>
    <row r="325" spans="2:8" ht="83.4" customHeight="1" x14ac:dyDescent="0.3">
      <c r="B325" s="265" t="s">
        <v>194</v>
      </c>
      <c r="C325" s="266"/>
      <c r="D325" s="253" t="s">
        <v>145</v>
      </c>
      <c r="E325" s="254"/>
      <c r="F325" s="81">
        <v>1</v>
      </c>
      <c r="G325" s="82">
        <v>1650000</v>
      </c>
      <c r="H325" s="83">
        <f>+F325*G325</f>
        <v>1650000</v>
      </c>
    </row>
    <row r="326" spans="2:8" ht="16.2" thickBot="1" x14ac:dyDescent="0.35">
      <c r="B326" s="277" t="s">
        <v>87</v>
      </c>
      <c r="C326" s="278"/>
      <c r="D326" s="278"/>
      <c r="E326" s="278"/>
      <c r="F326" s="278"/>
      <c r="G326" s="279"/>
      <c r="H326" s="89">
        <f>+H304+H316+H321+H325</f>
        <v>12972030.000715999</v>
      </c>
    </row>
    <row r="328" spans="2:8" ht="15" thickBot="1" x14ac:dyDescent="0.35"/>
    <row r="329" spans="2:8" ht="18" x14ac:dyDescent="0.3">
      <c r="B329" s="68" t="s">
        <v>71</v>
      </c>
      <c r="C329" s="280" t="s">
        <v>72</v>
      </c>
      <c r="D329" s="281"/>
      <c r="E329" s="281"/>
      <c r="F329" s="282"/>
      <c r="G329" s="283" t="s">
        <v>9</v>
      </c>
      <c r="H329" s="284"/>
    </row>
    <row r="330" spans="2:8" x14ac:dyDescent="0.3">
      <c r="B330" s="69" t="s">
        <v>64</v>
      </c>
      <c r="C330" s="285" t="s">
        <v>203</v>
      </c>
      <c r="D330" s="286"/>
      <c r="E330" s="286"/>
      <c r="F330" s="287"/>
      <c r="G330" s="288" t="s">
        <v>103</v>
      </c>
      <c r="H330" s="289"/>
    </row>
    <row r="331" spans="2:8" ht="15.6" x14ac:dyDescent="0.3">
      <c r="B331" s="290" t="s">
        <v>73</v>
      </c>
      <c r="C331" s="291"/>
      <c r="D331" s="291"/>
      <c r="E331" s="291"/>
      <c r="F331" s="291"/>
      <c r="G331" s="291"/>
      <c r="H331" s="292"/>
    </row>
    <row r="332" spans="2:8" x14ac:dyDescent="0.3">
      <c r="B332" s="303" t="s">
        <v>74</v>
      </c>
      <c r="C332" s="304"/>
      <c r="D332" s="305" t="s">
        <v>75</v>
      </c>
      <c r="E332" s="305"/>
      <c r="F332" s="70" t="s">
        <v>76</v>
      </c>
      <c r="G332" s="71" t="s">
        <v>77</v>
      </c>
      <c r="H332" s="72" t="s">
        <v>78</v>
      </c>
    </row>
    <row r="333" spans="2:8" x14ac:dyDescent="0.3">
      <c r="B333" s="298" t="s">
        <v>204</v>
      </c>
      <c r="C333" s="267"/>
      <c r="D333" s="299" t="s">
        <v>205</v>
      </c>
      <c r="E333" s="299"/>
      <c r="F333" s="75">
        <v>0.82</v>
      </c>
      <c r="G333" s="76">
        <v>1250</v>
      </c>
      <c r="H333" s="72">
        <f>+F333*G333</f>
        <v>1025</v>
      </c>
    </row>
    <row r="334" spans="2:8" x14ac:dyDescent="0.3">
      <c r="B334" s="300" t="s">
        <v>81</v>
      </c>
      <c r="C334" s="301"/>
      <c r="D334" s="301"/>
      <c r="E334" s="301"/>
      <c r="F334" s="301"/>
      <c r="G334" s="302"/>
      <c r="H334" s="77">
        <f>SUM(H333:H333)</f>
        <v>1025</v>
      </c>
    </row>
    <row r="335" spans="2:8" ht="15.6" x14ac:dyDescent="0.3">
      <c r="B335" s="258" t="s">
        <v>82</v>
      </c>
      <c r="C335" s="259"/>
      <c r="D335" s="259"/>
      <c r="E335" s="259"/>
      <c r="F335" s="259"/>
      <c r="G335" s="259"/>
      <c r="H335" s="260"/>
    </row>
    <row r="336" spans="2:8" x14ac:dyDescent="0.3">
      <c r="B336" s="273" t="s">
        <v>74</v>
      </c>
      <c r="C336" s="274"/>
      <c r="D336" s="275" t="s">
        <v>75</v>
      </c>
      <c r="E336" s="276"/>
      <c r="F336" s="78" t="s">
        <v>76</v>
      </c>
      <c r="G336" s="79" t="s">
        <v>77</v>
      </c>
      <c r="H336" s="80" t="s">
        <v>78</v>
      </c>
    </row>
    <row r="337" spans="2:8" x14ac:dyDescent="0.3">
      <c r="B337" s="265" t="s">
        <v>148</v>
      </c>
      <c r="C337" s="266"/>
      <c r="D337" s="253" t="s">
        <v>32</v>
      </c>
      <c r="E337" s="254"/>
      <c r="F337" s="81">
        <v>0.08</v>
      </c>
      <c r="G337" s="82">
        <v>450245.66</v>
      </c>
      <c r="H337" s="83">
        <f>+F337*G337</f>
        <v>36019.652799999996</v>
      </c>
    </row>
    <row r="338" spans="2:8" x14ac:dyDescent="0.3">
      <c r="B338" s="255" t="s">
        <v>83</v>
      </c>
      <c r="C338" s="256"/>
      <c r="D338" s="256"/>
      <c r="E338" s="256"/>
      <c r="F338" s="256"/>
      <c r="G338" s="257"/>
      <c r="H338" s="84">
        <f>SUM(H337:H337)</f>
        <v>36019.652799999996</v>
      </c>
    </row>
    <row r="339" spans="2:8" ht="15.6" x14ac:dyDescent="0.3">
      <c r="B339" s="258" t="s">
        <v>84</v>
      </c>
      <c r="C339" s="259"/>
      <c r="D339" s="259"/>
      <c r="E339" s="259"/>
      <c r="F339" s="259"/>
      <c r="G339" s="259"/>
      <c r="H339" s="260"/>
    </row>
    <row r="340" spans="2:8" x14ac:dyDescent="0.3">
      <c r="B340" s="273" t="s">
        <v>74</v>
      </c>
      <c r="C340" s="274"/>
      <c r="D340" s="275" t="s">
        <v>75</v>
      </c>
      <c r="E340" s="276"/>
      <c r="F340" s="78" t="s">
        <v>76</v>
      </c>
      <c r="G340" s="79" t="s">
        <v>77</v>
      </c>
      <c r="H340" s="80" t="s">
        <v>78</v>
      </c>
    </row>
    <row r="341" spans="2:8" x14ac:dyDescent="0.3">
      <c r="B341" s="265" t="s">
        <v>118</v>
      </c>
      <c r="C341" s="266"/>
      <c r="D341" s="253" t="s">
        <v>120</v>
      </c>
      <c r="E341" s="254"/>
      <c r="F341" s="81">
        <v>0.79</v>
      </c>
      <c r="G341" s="82">
        <v>9037.33</v>
      </c>
      <c r="H341" s="83">
        <f>+F341*G341</f>
        <v>7139.4907000000003</v>
      </c>
    </row>
    <row r="342" spans="2:8" x14ac:dyDescent="0.3">
      <c r="B342" s="265" t="s">
        <v>119</v>
      </c>
      <c r="C342" s="266"/>
      <c r="D342" s="253" t="s">
        <v>120</v>
      </c>
      <c r="E342" s="254"/>
      <c r="F342" s="81">
        <v>0.79</v>
      </c>
      <c r="G342" s="82">
        <v>15517.89</v>
      </c>
      <c r="H342" s="83">
        <f>+F342*G342</f>
        <v>12259.133100000001</v>
      </c>
    </row>
    <row r="343" spans="2:8" x14ac:dyDescent="0.3">
      <c r="B343" s="255" t="s">
        <v>85</v>
      </c>
      <c r="C343" s="256"/>
      <c r="D343" s="256"/>
      <c r="E343" s="256"/>
      <c r="F343" s="256"/>
      <c r="G343" s="257"/>
      <c r="H343" s="84">
        <f>SUM(H341:H342)</f>
        <v>19398.623800000001</v>
      </c>
    </row>
    <row r="344" spans="2:8" ht="15.6" x14ac:dyDescent="0.3">
      <c r="B344" s="258" t="s">
        <v>86</v>
      </c>
      <c r="C344" s="259"/>
      <c r="D344" s="259"/>
      <c r="E344" s="259"/>
      <c r="F344" s="259"/>
      <c r="G344" s="259"/>
      <c r="H344" s="260"/>
    </row>
    <row r="345" spans="2:8" x14ac:dyDescent="0.3">
      <c r="B345" s="261" t="s">
        <v>74</v>
      </c>
      <c r="C345" s="262"/>
      <c r="D345" s="263" t="s">
        <v>75</v>
      </c>
      <c r="E345" s="264"/>
      <c r="F345" s="86" t="s">
        <v>76</v>
      </c>
      <c r="G345" s="87" t="s">
        <v>77</v>
      </c>
      <c r="H345" s="80" t="s">
        <v>78</v>
      </c>
    </row>
    <row r="346" spans="2:8" x14ac:dyDescent="0.3">
      <c r="B346" s="100"/>
      <c r="C346" s="101"/>
      <c r="D346" s="102"/>
      <c r="E346" s="102"/>
      <c r="F346" s="103"/>
      <c r="G346" s="104"/>
      <c r="H346" s="105"/>
    </row>
    <row r="347" spans="2:8" x14ac:dyDescent="0.3">
      <c r="B347" s="265"/>
      <c r="C347" s="266"/>
      <c r="D347" s="253"/>
      <c r="E347" s="254"/>
      <c r="F347" s="81"/>
      <c r="G347" s="82"/>
      <c r="H347" s="83"/>
    </row>
    <row r="348" spans="2:8" ht="16.2" thickBot="1" x14ac:dyDescent="0.35">
      <c r="B348" s="277" t="s">
        <v>87</v>
      </c>
      <c r="C348" s="278"/>
      <c r="D348" s="278"/>
      <c r="E348" s="278"/>
      <c r="F348" s="278"/>
      <c r="G348" s="279"/>
      <c r="H348" s="89">
        <f>+H334+H338+H343+H347</f>
        <v>56443.276599999997</v>
      </c>
    </row>
    <row r="352" spans="2:8" ht="15" thickBot="1" x14ac:dyDescent="0.35"/>
    <row r="353" spans="2:8" ht="18" x14ac:dyDescent="0.3">
      <c r="B353" s="68" t="s">
        <v>71</v>
      </c>
      <c r="C353" s="280" t="s">
        <v>72</v>
      </c>
      <c r="D353" s="281"/>
      <c r="E353" s="281"/>
      <c r="F353" s="282"/>
      <c r="G353" s="283" t="s">
        <v>9</v>
      </c>
      <c r="H353" s="284"/>
    </row>
    <row r="354" spans="2:8" x14ac:dyDescent="0.3">
      <c r="B354" s="69" t="s">
        <v>64</v>
      </c>
      <c r="C354" s="285" t="e">
        <f>+'FORMATO PRESUPUESTO'!#REF!</f>
        <v>#REF!</v>
      </c>
      <c r="D354" s="286"/>
      <c r="E354" s="286"/>
      <c r="F354" s="287"/>
      <c r="G354" s="288" t="s">
        <v>168</v>
      </c>
      <c r="H354" s="289"/>
    </row>
    <row r="355" spans="2:8" ht="15.6" x14ac:dyDescent="0.3">
      <c r="B355" s="290" t="s">
        <v>73</v>
      </c>
      <c r="C355" s="291"/>
      <c r="D355" s="291"/>
      <c r="E355" s="291"/>
      <c r="F355" s="291"/>
      <c r="G355" s="291"/>
      <c r="H355" s="292"/>
    </row>
    <row r="356" spans="2:8" x14ac:dyDescent="0.3">
      <c r="B356" s="293" t="s">
        <v>74</v>
      </c>
      <c r="C356" s="294"/>
      <c r="D356" s="295" t="s">
        <v>75</v>
      </c>
      <c r="E356" s="295"/>
      <c r="F356" s="107" t="s">
        <v>76</v>
      </c>
      <c r="G356" s="108" t="s">
        <v>77</v>
      </c>
      <c r="H356" s="109" t="s">
        <v>78</v>
      </c>
    </row>
    <row r="357" spans="2:8" x14ac:dyDescent="0.3">
      <c r="B357" s="267" t="s">
        <v>79</v>
      </c>
      <c r="C357" s="267"/>
      <c r="D357" s="268" t="s">
        <v>80</v>
      </c>
      <c r="E357" s="268"/>
      <c r="F357" s="73">
        <v>6</v>
      </c>
      <c r="G357" s="110">
        <f>+H371/100</f>
        <v>5677.5030000000006</v>
      </c>
      <c r="H357" s="71">
        <f>+F357*G357</f>
        <v>34065.018000000004</v>
      </c>
    </row>
    <row r="358" spans="2:8" x14ac:dyDescent="0.3">
      <c r="B358" s="269" t="s">
        <v>81</v>
      </c>
      <c r="C358" s="269"/>
      <c r="D358" s="269"/>
      <c r="E358" s="269"/>
      <c r="F358" s="269"/>
      <c r="G358" s="269"/>
      <c r="H358" s="111">
        <f>SUM(H357:H357)</f>
        <v>34065.018000000004</v>
      </c>
    </row>
    <row r="359" spans="2:8" ht="15.6" x14ac:dyDescent="0.3">
      <c r="B359" s="270" t="s">
        <v>82</v>
      </c>
      <c r="C359" s="271"/>
      <c r="D359" s="271"/>
      <c r="E359" s="271"/>
      <c r="F359" s="271"/>
      <c r="G359" s="271"/>
      <c r="H359" s="272"/>
    </row>
    <row r="360" spans="2:8" x14ac:dyDescent="0.3">
      <c r="B360" s="273" t="s">
        <v>74</v>
      </c>
      <c r="C360" s="274"/>
      <c r="D360" s="275" t="s">
        <v>75</v>
      </c>
      <c r="E360" s="276"/>
      <c r="F360" s="78" t="s">
        <v>76</v>
      </c>
      <c r="G360" s="79" t="s">
        <v>77</v>
      </c>
      <c r="H360" s="80" t="s">
        <v>78</v>
      </c>
    </row>
    <row r="361" spans="2:8" x14ac:dyDescent="0.3">
      <c r="B361" s="265" t="s">
        <v>209</v>
      </c>
      <c r="C361" s="266"/>
      <c r="D361" s="253" t="s">
        <v>103</v>
      </c>
      <c r="E361" s="254"/>
      <c r="F361" s="81">
        <v>1.01</v>
      </c>
      <c r="G361" s="82">
        <v>699980</v>
      </c>
      <c r="H361" s="83">
        <f>+F361*G361</f>
        <v>706979.8</v>
      </c>
    </row>
    <row r="362" spans="2:8" x14ac:dyDescent="0.3">
      <c r="B362" s="265" t="s">
        <v>210</v>
      </c>
      <c r="C362" s="266"/>
      <c r="D362" s="253" t="s">
        <v>103</v>
      </c>
      <c r="E362" s="254"/>
      <c r="F362" s="81">
        <v>1.01</v>
      </c>
      <c r="G362" s="82">
        <v>835434.73</v>
      </c>
      <c r="H362" s="83">
        <f>+F362*G362</f>
        <v>843789.0773</v>
      </c>
    </row>
    <row r="363" spans="2:8" ht="48" customHeight="1" x14ac:dyDescent="0.3">
      <c r="B363" s="265" t="s">
        <v>211</v>
      </c>
      <c r="C363" s="266"/>
      <c r="D363" s="253" t="s">
        <v>103</v>
      </c>
      <c r="E363" s="254"/>
      <c r="F363" s="81">
        <v>1.3</v>
      </c>
      <c r="G363" s="82">
        <v>885920</v>
      </c>
      <c r="H363" s="83">
        <f>+F363*G363</f>
        <v>1151696</v>
      </c>
    </row>
    <row r="364" spans="2:8" ht="21.6" hidden="1" customHeight="1" x14ac:dyDescent="0.3">
      <c r="B364" s="296"/>
      <c r="C364" s="297"/>
      <c r="D364" s="297"/>
      <c r="E364" s="297"/>
      <c r="F364" s="114"/>
      <c r="G364" s="115"/>
      <c r="H364" s="83"/>
    </row>
    <row r="365" spans="2:8" x14ac:dyDescent="0.3">
      <c r="B365" s="255" t="s">
        <v>83</v>
      </c>
      <c r="C365" s="256"/>
      <c r="D365" s="256"/>
      <c r="E365" s="256"/>
      <c r="F365" s="256"/>
      <c r="G365" s="257"/>
      <c r="H365" s="84">
        <f>SUM(H361:H363)</f>
        <v>2702464.8772999998</v>
      </c>
    </row>
    <row r="366" spans="2:8" ht="15.6" x14ac:dyDescent="0.3">
      <c r="B366" s="258" t="s">
        <v>84</v>
      </c>
      <c r="C366" s="259"/>
      <c r="D366" s="259"/>
      <c r="E366" s="259"/>
      <c r="F366" s="259"/>
      <c r="G366" s="259"/>
      <c r="H366" s="260"/>
    </row>
    <row r="367" spans="2:8" x14ac:dyDescent="0.3">
      <c r="B367" s="273" t="s">
        <v>74</v>
      </c>
      <c r="C367" s="274"/>
      <c r="D367" s="275" t="s">
        <v>75</v>
      </c>
      <c r="E367" s="276"/>
      <c r="F367" s="78" t="s">
        <v>76</v>
      </c>
      <c r="G367" s="79" t="s">
        <v>77</v>
      </c>
      <c r="H367" s="80" t="s">
        <v>78</v>
      </c>
    </row>
    <row r="368" spans="2:8" x14ac:dyDescent="0.3">
      <c r="B368" s="265" t="s">
        <v>118</v>
      </c>
      <c r="C368" s="266"/>
      <c r="D368" s="253" t="s">
        <v>120</v>
      </c>
      <c r="E368" s="254"/>
      <c r="F368" s="81">
        <v>6</v>
      </c>
      <c r="G368" s="82">
        <v>9037.33</v>
      </c>
      <c r="H368" s="83">
        <f>+F368*G368</f>
        <v>54223.979999999996</v>
      </c>
    </row>
    <row r="369" spans="2:8" x14ac:dyDescent="0.3">
      <c r="B369" s="265" t="s">
        <v>119</v>
      </c>
      <c r="C369" s="266"/>
      <c r="D369" s="253" t="s">
        <v>120</v>
      </c>
      <c r="E369" s="254"/>
      <c r="F369" s="81">
        <v>6</v>
      </c>
      <c r="G369" s="82">
        <v>15517.72</v>
      </c>
      <c r="H369" s="83">
        <f>+F369*G369</f>
        <v>93106.319999999992</v>
      </c>
    </row>
    <row r="370" spans="2:8" x14ac:dyDescent="0.3">
      <c r="B370" s="265" t="s">
        <v>222</v>
      </c>
      <c r="C370" s="266"/>
      <c r="D370" s="253" t="s">
        <v>150</v>
      </c>
      <c r="E370" s="254"/>
      <c r="F370" s="114">
        <v>11</v>
      </c>
      <c r="G370" s="115">
        <f>29400*1.3</f>
        <v>38220</v>
      </c>
      <c r="H370" s="83">
        <f>+F370*G370</f>
        <v>420420</v>
      </c>
    </row>
    <row r="371" spans="2:8" x14ac:dyDescent="0.3">
      <c r="B371" s="255" t="s">
        <v>85</v>
      </c>
      <c r="C371" s="256"/>
      <c r="D371" s="256"/>
      <c r="E371" s="256"/>
      <c r="F371" s="256"/>
      <c r="G371" s="257"/>
      <c r="H371" s="84">
        <f>SUM(H368:H370)</f>
        <v>567750.30000000005</v>
      </c>
    </row>
    <row r="372" spans="2:8" ht="15.6" x14ac:dyDescent="0.3">
      <c r="B372" s="258" t="s">
        <v>86</v>
      </c>
      <c r="C372" s="259"/>
      <c r="D372" s="259"/>
      <c r="E372" s="259"/>
      <c r="F372" s="259"/>
      <c r="G372" s="259"/>
      <c r="H372" s="260"/>
    </row>
    <row r="373" spans="2:8" x14ac:dyDescent="0.3">
      <c r="B373" s="261" t="s">
        <v>74</v>
      </c>
      <c r="C373" s="262"/>
      <c r="D373" s="263" t="s">
        <v>75</v>
      </c>
      <c r="E373" s="264"/>
      <c r="F373" s="86" t="s">
        <v>76</v>
      </c>
      <c r="G373" s="87" t="s">
        <v>77</v>
      </c>
      <c r="H373" s="80" t="s">
        <v>78</v>
      </c>
    </row>
    <row r="374" spans="2:8" x14ac:dyDescent="0.3">
      <c r="B374" s="265" t="s">
        <v>206</v>
      </c>
      <c r="C374" s="266"/>
      <c r="D374" s="253" t="s">
        <v>207</v>
      </c>
      <c r="E374" s="254"/>
      <c r="F374" s="81">
        <v>1</v>
      </c>
      <c r="G374" s="82">
        <v>1365</v>
      </c>
      <c r="H374" s="83">
        <f>+G374*F374</f>
        <v>1365</v>
      </c>
    </row>
    <row r="375" spans="2:8" x14ac:dyDescent="0.3">
      <c r="B375" s="265" t="s">
        <v>208</v>
      </c>
      <c r="C375" s="266"/>
      <c r="D375" s="253"/>
      <c r="E375" s="254"/>
      <c r="F375" s="81"/>
      <c r="G375" s="82"/>
      <c r="H375" s="83">
        <f>+H374</f>
        <v>1365</v>
      </c>
    </row>
    <row r="376" spans="2:8" ht="15.6" x14ac:dyDescent="0.3">
      <c r="B376" s="277" t="s">
        <v>87</v>
      </c>
      <c r="C376" s="278"/>
      <c r="D376" s="278"/>
      <c r="E376" s="278"/>
      <c r="F376" s="278"/>
      <c r="G376" s="279"/>
      <c r="H376" s="89">
        <f>+H358+H371+H375+H365</f>
        <v>3305645.1952999998</v>
      </c>
    </row>
    <row r="377" spans="2:8" ht="15" thickBot="1" x14ac:dyDescent="0.35"/>
    <row r="378" spans="2:8" ht="18" x14ac:dyDescent="0.3">
      <c r="B378" s="68" t="s">
        <v>71</v>
      </c>
      <c r="C378" s="280" t="s">
        <v>72</v>
      </c>
      <c r="D378" s="281"/>
      <c r="E378" s="281"/>
      <c r="F378" s="282"/>
      <c r="G378" s="283" t="s">
        <v>9</v>
      </c>
      <c r="H378" s="284"/>
    </row>
    <row r="379" spans="2:8" x14ac:dyDescent="0.3">
      <c r="B379" s="69" t="s">
        <v>64</v>
      </c>
      <c r="C379" s="285" t="str">
        <f>+'FORMATO PRESUPUESTO'!G29</f>
        <v>SUMINISTRO E INSTALACION DE SARDINEL PREFABRICADO A-10, INCLUYE MORTERO DE PEGA
SEGUN NORMA NTC-4109</v>
      </c>
      <c r="D379" s="286"/>
      <c r="E379" s="286"/>
      <c r="F379" s="287"/>
      <c r="G379" s="288" t="s">
        <v>168</v>
      </c>
      <c r="H379" s="289"/>
    </row>
    <row r="380" spans="2:8" ht="15.6" x14ac:dyDescent="0.3">
      <c r="B380" s="290" t="s">
        <v>73</v>
      </c>
      <c r="C380" s="291"/>
      <c r="D380" s="291"/>
      <c r="E380" s="291"/>
      <c r="F380" s="291"/>
      <c r="G380" s="291"/>
      <c r="H380" s="292"/>
    </row>
    <row r="381" spans="2:8" x14ac:dyDescent="0.3">
      <c r="B381" s="293" t="s">
        <v>74</v>
      </c>
      <c r="C381" s="294"/>
      <c r="D381" s="295" t="s">
        <v>75</v>
      </c>
      <c r="E381" s="295"/>
      <c r="F381" s="107" t="s">
        <v>76</v>
      </c>
      <c r="G381" s="108" t="s">
        <v>77</v>
      </c>
      <c r="H381" s="109" t="s">
        <v>78</v>
      </c>
    </row>
    <row r="382" spans="2:8" x14ac:dyDescent="0.3">
      <c r="B382" s="249"/>
      <c r="C382" s="250"/>
      <c r="D382" s="106"/>
      <c r="E382" s="106"/>
      <c r="F382" s="107"/>
      <c r="G382" s="108"/>
      <c r="H382" s="112"/>
    </row>
    <row r="383" spans="2:8" x14ac:dyDescent="0.3">
      <c r="B383" s="267" t="s">
        <v>79</v>
      </c>
      <c r="C383" s="267"/>
      <c r="D383" s="268" t="s">
        <v>80</v>
      </c>
      <c r="E383" s="268"/>
      <c r="F383" s="73">
        <v>6</v>
      </c>
      <c r="G383" s="110">
        <f>+H396/100</f>
        <v>1473.3132000000001</v>
      </c>
      <c r="H383" s="71">
        <f>+F383*G383</f>
        <v>8839.8791999999994</v>
      </c>
    </row>
    <row r="384" spans="2:8" x14ac:dyDescent="0.3">
      <c r="B384" s="269" t="s">
        <v>81</v>
      </c>
      <c r="C384" s="269"/>
      <c r="D384" s="269"/>
      <c r="E384" s="269"/>
      <c r="F384" s="269"/>
      <c r="G384" s="269"/>
      <c r="H384" s="111">
        <f>SUM(H383:H383)</f>
        <v>8839.8791999999994</v>
      </c>
    </row>
    <row r="385" spans="2:8" ht="15.6" x14ac:dyDescent="0.3">
      <c r="B385" s="270" t="s">
        <v>82</v>
      </c>
      <c r="C385" s="271"/>
      <c r="D385" s="271"/>
      <c r="E385" s="271"/>
      <c r="F385" s="271"/>
      <c r="G385" s="271"/>
      <c r="H385" s="272"/>
    </row>
    <row r="386" spans="2:8" x14ac:dyDescent="0.3">
      <c r="B386" s="273" t="s">
        <v>74</v>
      </c>
      <c r="C386" s="274"/>
      <c r="D386" s="275" t="s">
        <v>75</v>
      </c>
      <c r="E386" s="276"/>
      <c r="F386" s="78" t="s">
        <v>76</v>
      </c>
      <c r="G386" s="79" t="s">
        <v>77</v>
      </c>
      <c r="H386" s="80" t="s">
        <v>78</v>
      </c>
    </row>
    <row r="387" spans="2:8" x14ac:dyDescent="0.3">
      <c r="B387" s="265" t="s">
        <v>212</v>
      </c>
      <c r="C387" s="266"/>
      <c r="D387" s="253" t="s">
        <v>168</v>
      </c>
      <c r="E387" s="254"/>
      <c r="F387" s="81">
        <v>1.01</v>
      </c>
      <c r="G387" s="82">
        <v>235060</v>
      </c>
      <c r="H387" s="83">
        <f>+F387*G387</f>
        <v>237410.6</v>
      </c>
    </row>
    <row r="388" spans="2:8" x14ac:dyDescent="0.3">
      <c r="B388" s="251" t="s">
        <v>213</v>
      </c>
      <c r="C388" s="252"/>
      <c r="D388" s="253" t="s">
        <v>168</v>
      </c>
      <c r="E388" s="254"/>
      <c r="F388" s="81">
        <v>1.01</v>
      </c>
      <c r="G388" s="82">
        <v>166300</v>
      </c>
      <c r="H388" s="83">
        <f>+F388*G388</f>
        <v>167963</v>
      </c>
    </row>
    <row r="389" spans="2:8" x14ac:dyDescent="0.3">
      <c r="B389" s="251" t="s">
        <v>215</v>
      </c>
      <c r="C389" s="252"/>
      <c r="D389" s="253" t="s">
        <v>168</v>
      </c>
      <c r="E389" s="254"/>
      <c r="F389" s="81">
        <v>1.3</v>
      </c>
      <c r="G389" s="82">
        <v>200641</v>
      </c>
      <c r="H389" s="83">
        <f>+F389*G389</f>
        <v>260833.30000000002</v>
      </c>
    </row>
    <row r="390" spans="2:8" x14ac:dyDescent="0.3">
      <c r="B390" s="251" t="s">
        <v>216</v>
      </c>
      <c r="C390" s="252"/>
      <c r="D390" s="253" t="s">
        <v>168</v>
      </c>
      <c r="E390" s="254"/>
      <c r="F390" s="81">
        <v>1.3</v>
      </c>
      <c r="G390" s="82">
        <v>350000</v>
      </c>
      <c r="H390" s="83">
        <f>+F390*G390</f>
        <v>455000</v>
      </c>
    </row>
    <row r="391" spans="2:8" x14ac:dyDescent="0.3">
      <c r="B391" s="255" t="s">
        <v>83</v>
      </c>
      <c r="C391" s="256"/>
      <c r="D391" s="256"/>
      <c r="E391" s="256"/>
      <c r="F391" s="256"/>
      <c r="G391" s="257"/>
      <c r="H391" s="84">
        <f>SUM(H388:H389)</f>
        <v>428796.30000000005</v>
      </c>
    </row>
    <row r="392" spans="2:8" ht="15.6" x14ac:dyDescent="0.3">
      <c r="B392" s="258" t="s">
        <v>84</v>
      </c>
      <c r="C392" s="259"/>
      <c r="D392" s="259"/>
      <c r="E392" s="259"/>
      <c r="F392" s="259"/>
      <c r="G392" s="259"/>
      <c r="H392" s="260"/>
    </row>
    <row r="393" spans="2:8" x14ac:dyDescent="0.3">
      <c r="B393" s="273" t="s">
        <v>74</v>
      </c>
      <c r="C393" s="274"/>
      <c r="D393" s="275" t="s">
        <v>75</v>
      </c>
      <c r="E393" s="276"/>
      <c r="F393" s="78" t="s">
        <v>76</v>
      </c>
      <c r="G393" s="79" t="s">
        <v>77</v>
      </c>
      <c r="H393" s="80" t="s">
        <v>78</v>
      </c>
    </row>
    <row r="394" spans="2:8" x14ac:dyDescent="0.3">
      <c r="B394" s="265" t="s">
        <v>118</v>
      </c>
      <c r="C394" s="266"/>
      <c r="D394" s="253" t="s">
        <v>120</v>
      </c>
      <c r="E394" s="254"/>
      <c r="F394" s="81">
        <v>6</v>
      </c>
      <c r="G394" s="82">
        <v>9037.33</v>
      </c>
      <c r="H394" s="83">
        <f>+F394*G394</f>
        <v>54223.979999999996</v>
      </c>
    </row>
    <row r="395" spans="2:8" x14ac:dyDescent="0.3">
      <c r="B395" s="265" t="s">
        <v>119</v>
      </c>
      <c r="C395" s="266"/>
      <c r="D395" s="253" t="s">
        <v>120</v>
      </c>
      <c r="E395" s="254"/>
      <c r="F395" s="81">
        <v>6</v>
      </c>
      <c r="G395" s="82">
        <v>15517.89</v>
      </c>
      <c r="H395" s="83">
        <f>+F395*G395</f>
        <v>93107.34</v>
      </c>
    </row>
    <row r="396" spans="2:8" x14ac:dyDescent="0.3">
      <c r="B396" s="255" t="s">
        <v>85</v>
      </c>
      <c r="C396" s="256"/>
      <c r="D396" s="256"/>
      <c r="E396" s="256"/>
      <c r="F396" s="256"/>
      <c r="G396" s="257"/>
      <c r="H396" s="84">
        <f>SUM(H394:H395)</f>
        <v>147331.32</v>
      </c>
    </row>
    <row r="397" spans="2:8" ht="15.6" x14ac:dyDescent="0.3">
      <c r="B397" s="258" t="s">
        <v>86</v>
      </c>
      <c r="C397" s="259"/>
      <c r="D397" s="259"/>
      <c r="E397" s="259"/>
      <c r="F397" s="259"/>
      <c r="G397" s="259"/>
      <c r="H397" s="260"/>
    </row>
    <row r="398" spans="2:8" x14ac:dyDescent="0.3">
      <c r="B398" s="261" t="s">
        <v>74</v>
      </c>
      <c r="C398" s="262"/>
      <c r="D398" s="263" t="s">
        <v>75</v>
      </c>
      <c r="E398" s="264"/>
      <c r="F398" s="86" t="s">
        <v>76</v>
      </c>
      <c r="G398" s="87" t="s">
        <v>77</v>
      </c>
      <c r="H398" s="80" t="s">
        <v>78</v>
      </c>
    </row>
    <row r="399" spans="2:8" x14ac:dyDescent="0.3">
      <c r="B399" s="265" t="s">
        <v>206</v>
      </c>
      <c r="C399" s="266"/>
      <c r="D399" s="253" t="s">
        <v>207</v>
      </c>
      <c r="E399" s="254"/>
      <c r="F399" s="81">
        <v>1</v>
      </c>
      <c r="G399" s="82">
        <v>180265</v>
      </c>
      <c r="H399" s="83">
        <f>+G399*F399</f>
        <v>180265</v>
      </c>
    </row>
    <row r="400" spans="2:8" x14ac:dyDescent="0.3">
      <c r="B400" s="265" t="s">
        <v>208</v>
      </c>
      <c r="C400" s="266"/>
      <c r="D400" s="253"/>
      <c r="E400" s="254"/>
      <c r="F400" s="81"/>
      <c r="G400" s="82"/>
      <c r="H400" s="83">
        <f>+H399</f>
        <v>180265</v>
      </c>
    </row>
    <row r="401" spans="2:8" ht="16.2" thickBot="1" x14ac:dyDescent="0.35">
      <c r="B401" s="277" t="s">
        <v>87</v>
      </c>
      <c r="C401" s="278"/>
      <c r="D401" s="278"/>
      <c r="E401" s="278"/>
      <c r="F401" s="278"/>
      <c r="G401" s="279"/>
      <c r="H401" s="89">
        <f>+H384+H396+H400+H391</f>
        <v>765232.49920000008</v>
      </c>
    </row>
    <row r="402" spans="2:8" ht="15" thickBot="1" x14ac:dyDescent="0.35"/>
    <row r="403" spans="2:8" ht="18" x14ac:dyDescent="0.3">
      <c r="B403" s="68" t="s">
        <v>71</v>
      </c>
      <c r="C403" s="280" t="s">
        <v>72</v>
      </c>
      <c r="D403" s="281"/>
      <c r="E403" s="281"/>
      <c r="F403" s="282"/>
      <c r="G403" s="283" t="s">
        <v>9</v>
      </c>
      <c r="H403" s="284"/>
    </row>
    <row r="404" spans="2:8" x14ac:dyDescent="0.3">
      <c r="B404" s="69" t="s">
        <v>64</v>
      </c>
      <c r="C404" s="285" t="e">
        <f>+'FORMATO PRESUPUESTO'!#REF!</f>
        <v>#REF!</v>
      </c>
      <c r="D404" s="286"/>
      <c r="E404" s="286"/>
      <c r="F404" s="287"/>
      <c r="G404" s="288" t="s">
        <v>141</v>
      </c>
      <c r="H404" s="289"/>
    </row>
    <row r="405" spans="2:8" ht="15.6" x14ac:dyDescent="0.3">
      <c r="B405" s="290" t="s">
        <v>73</v>
      </c>
      <c r="C405" s="291"/>
      <c r="D405" s="291"/>
      <c r="E405" s="291"/>
      <c r="F405" s="291"/>
      <c r="G405" s="291"/>
      <c r="H405" s="292"/>
    </row>
    <row r="406" spans="2:8" x14ac:dyDescent="0.3">
      <c r="B406" s="293" t="s">
        <v>74</v>
      </c>
      <c r="C406" s="294"/>
      <c r="D406" s="295" t="s">
        <v>75</v>
      </c>
      <c r="E406" s="295"/>
      <c r="F406" s="107" t="s">
        <v>76</v>
      </c>
      <c r="G406" s="108" t="s">
        <v>77</v>
      </c>
      <c r="H406" s="109" t="s">
        <v>78</v>
      </c>
    </row>
    <row r="407" spans="2:8" x14ac:dyDescent="0.3">
      <c r="B407" s="249"/>
      <c r="C407" s="250"/>
      <c r="D407" s="106"/>
      <c r="E407" s="106"/>
      <c r="F407" s="107"/>
      <c r="G407" s="108"/>
      <c r="H407" s="112"/>
    </row>
    <row r="408" spans="2:8" x14ac:dyDescent="0.3">
      <c r="B408" s="267" t="s">
        <v>79</v>
      </c>
      <c r="C408" s="267"/>
      <c r="D408" s="268" t="s">
        <v>80</v>
      </c>
      <c r="E408" s="268"/>
      <c r="F408" s="73">
        <v>5</v>
      </c>
      <c r="G408" s="110">
        <f>+H419/100</f>
        <v>7.3665659999999988</v>
      </c>
      <c r="H408" s="71">
        <f>+F408*G408</f>
        <v>36.832829999999994</v>
      </c>
    </row>
    <row r="409" spans="2:8" x14ac:dyDescent="0.3">
      <c r="B409" s="269" t="s">
        <v>81</v>
      </c>
      <c r="C409" s="269"/>
      <c r="D409" s="269"/>
      <c r="E409" s="269"/>
      <c r="F409" s="269"/>
      <c r="G409" s="269"/>
      <c r="H409" s="111">
        <f>SUM(H408:H408)</f>
        <v>36.832829999999994</v>
      </c>
    </row>
    <row r="410" spans="2:8" ht="15.6" x14ac:dyDescent="0.3">
      <c r="B410" s="270" t="s">
        <v>82</v>
      </c>
      <c r="C410" s="271"/>
      <c r="D410" s="271"/>
      <c r="E410" s="271"/>
      <c r="F410" s="271"/>
      <c r="G410" s="271"/>
      <c r="H410" s="272"/>
    </row>
    <row r="411" spans="2:8" x14ac:dyDescent="0.3">
      <c r="B411" s="273" t="s">
        <v>74</v>
      </c>
      <c r="C411" s="274"/>
      <c r="D411" s="275" t="s">
        <v>75</v>
      </c>
      <c r="E411" s="276"/>
      <c r="F411" s="78" t="s">
        <v>76</v>
      </c>
      <c r="G411" s="79" t="s">
        <v>77</v>
      </c>
      <c r="H411" s="80" t="s">
        <v>78</v>
      </c>
    </row>
    <row r="412" spans="2:8" x14ac:dyDescent="0.3">
      <c r="B412" s="265" t="s">
        <v>218</v>
      </c>
      <c r="C412" s="266"/>
      <c r="D412" s="253" t="s">
        <v>141</v>
      </c>
      <c r="E412" s="254"/>
      <c r="F412" s="81">
        <v>0.02</v>
      </c>
      <c r="G412" s="82">
        <v>8187</v>
      </c>
      <c r="H412" s="83">
        <f>+F412*G412</f>
        <v>163.74</v>
      </c>
    </row>
    <row r="413" spans="2:8" x14ac:dyDescent="0.3">
      <c r="B413" s="251" t="s">
        <v>219</v>
      </c>
      <c r="C413" s="252"/>
      <c r="D413" s="253" t="s">
        <v>141</v>
      </c>
      <c r="E413" s="254"/>
      <c r="F413" s="81">
        <v>1</v>
      </c>
      <c r="G413" s="82">
        <v>6182</v>
      </c>
      <c r="H413" s="83">
        <f>+F413*G413</f>
        <v>6182</v>
      </c>
    </row>
    <row r="414" spans="2:8" x14ac:dyDescent="0.3">
      <c r="B414" s="255" t="s">
        <v>83</v>
      </c>
      <c r="C414" s="256"/>
      <c r="D414" s="256"/>
      <c r="E414" s="256"/>
      <c r="F414" s="256"/>
      <c r="G414" s="257"/>
      <c r="H414" s="84">
        <f>SUM(H412:H413)</f>
        <v>6345.74</v>
      </c>
    </row>
    <row r="415" spans="2:8" ht="15.6" x14ac:dyDescent="0.3">
      <c r="B415" s="258" t="s">
        <v>84</v>
      </c>
      <c r="C415" s="259"/>
      <c r="D415" s="259"/>
      <c r="E415" s="259"/>
      <c r="F415" s="259"/>
      <c r="G415" s="259"/>
      <c r="H415" s="260"/>
    </row>
    <row r="416" spans="2:8" x14ac:dyDescent="0.3">
      <c r="B416" s="273" t="s">
        <v>74</v>
      </c>
      <c r="C416" s="274"/>
      <c r="D416" s="275" t="s">
        <v>75</v>
      </c>
      <c r="E416" s="276"/>
      <c r="F416" s="78" t="s">
        <v>76</v>
      </c>
      <c r="G416" s="79" t="s">
        <v>77</v>
      </c>
      <c r="H416" s="80" t="s">
        <v>78</v>
      </c>
    </row>
    <row r="417" spans="2:8" x14ac:dyDescent="0.3">
      <c r="B417" s="265" t="s">
        <v>118</v>
      </c>
      <c r="C417" s="266"/>
      <c r="D417" s="253" t="s">
        <v>120</v>
      </c>
      <c r="E417" s="254"/>
      <c r="F417" s="81">
        <v>0.03</v>
      </c>
      <c r="G417" s="82">
        <v>9037.33</v>
      </c>
      <c r="H417" s="83">
        <f>+F417*G417</f>
        <v>271.11989999999997</v>
      </c>
    </row>
    <row r="418" spans="2:8" x14ac:dyDescent="0.3">
      <c r="B418" s="265" t="s">
        <v>119</v>
      </c>
      <c r="C418" s="266"/>
      <c r="D418" s="253" t="s">
        <v>120</v>
      </c>
      <c r="E418" s="254"/>
      <c r="F418" s="81">
        <v>0.03</v>
      </c>
      <c r="G418" s="82">
        <v>15517.89</v>
      </c>
      <c r="H418" s="83">
        <f>+F418*G418</f>
        <v>465.53669999999994</v>
      </c>
    </row>
    <row r="419" spans="2:8" x14ac:dyDescent="0.3">
      <c r="B419" s="255" t="s">
        <v>85</v>
      </c>
      <c r="C419" s="256"/>
      <c r="D419" s="256"/>
      <c r="E419" s="256"/>
      <c r="F419" s="256"/>
      <c r="G419" s="257"/>
      <c r="H419" s="84">
        <f>SUM(H417:H418)</f>
        <v>736.65659999999991</v>
      </c>
    </row>
    <row r="420" spans="2:8" ht="15.6" x14ac:dyDescent="0.3">
      <c r="B420" s="258" t="s">
        <v>86</v>
      </c>
      <c r="C420" s="259"/>
      <c r="D420" s="259"/>
      <c r="E420" s="259"/>
      <c r="F420" s="259"/>
      <c r="G420" s="259"/>
      <c r="H420" s="260"/>
    </row>
    <row r="421" spans="2:8" x14ac:dyDescent="0.3">
      <c r="B421" s="261" t="s">
        <v>74</v>
      </c>
      <c r="C421" s="262"/>
      <c r="D421" s="263" t="s">
        <v>75</v>
      </c>
      <c r="E421" s="264"/>
      <c r="F421" s="86" t="s">
        <v>76</v>
      </c>
      <c r="G421" s="87" t="s">
        <v>77</v>
      </c>
      <c r="H421" s="80" t="s">
        <v>78</v>
      </c>
    </row>
    <row r="422" spans="2:8" x14ac:dyDescent="0.3">
      <c r="B422" s="265"/>
      <c r="C422" s="266"/>
      <c r="D422" s="253"/>
      <c r="E422" s="254"/>
      <c r="F422" s="81"/>
      <c r="G422" s="82"/>
      <c r="H422" s="83"/>
    </row>
    <row r="423" spans="2:8" x14ac:dyDescent="0.3">
      <c r="B423" s="265" t="s">
        <v>208</v>
      </c>
      <c r="C423" s="266"/>
      <c r="D423" s="253"/>
      <c r="E423" s="254"/>
      <c r="F423" s="81"/>
      <c r="G423" s="82"/>
      <c r="H423" s="83">
        <f>+H422</f>
        <v>0</v>
      </c>
    </row>
    <row r="424" spans="2:8" ht="16.2" thickBot="1" x14ac:dyDescent="0.35">
      <c r="B424" s="277" t="s">
        <v>87</v>
      </c>
      <c r="C424" s="278"/>
      <c r="D424" s="278"/>
      <c r="E424" s="278"/>
      <c r="F424" s="278"/>
      <c r="G424" s="279"/>
      <c r="H424" s="89">
        <f>+H409+H419+H423+H414</f>
        <v>7119.2294299999994</v>
      </c>
    </row>
  </sheetData>
  <mergeCells count="643">
    <mergeCell ref="B419:G419"/>
    <mergeCell ref="B420:H420"/>
    <mergeCell ref="B421:C421"/>
    <mergeCell ref="D421:E421"/>
    <mergeCell ref="B422:C422"/>
    <mergeCell ref="D422:E422"/>
    <mergeCell ref="B423:C423"/>
    <mergeCell ref="D423:E423"/>
    <mergeCell ref="B424:G424"/>
    <mergeCell ref="B414:G414"/>
    <mergeCell ref="B415:H415"/>
    <mergeCell ref="B416:C416"/>
    <mergeCell ref="D416:E416"/>
    <mergeCell ref="B417:C417"/>
    <mergeCell ref="D417:E417"/>
    <mergeCell ref="B418:C418"/>
    <mergeCell ref="D418:E418"/>
    <mergeCell ref="B409:G409"/>
    <mergeCell ref="B410:H410"/>
    <mergeCell ref="B411:C411"/>
    <mergeCell ref="D411:E411"/>
    <mergeCell ref="B412:C412"/>
    <mergeCell ref="D412:E412"/>
    <mergeCell ref="B413:C413"/>
    <mergeCell ref="D413:E413"/>
    <mergeCell ref="C403:F403"/>
    <mergeCell ref="G403:H403"/>
    <mergeCell ref="C404:F404"/>
    <mergeCell ref="G404:H404"/>
    <mergeCell ref="B405:H405"/>
    <mergeCell ref="B406:C406"/>
    <mergeCell ref="D406:E406"/>
    <mergeCell ref="B407:C407"/>
    <mergeCell ref="B408:C408"/>
    <mergeCell ref="D408:E408"/>
    <mergeCell ref="B192:H192"/>
    <mergeCell ref="B194:C194"/>
    <mergeCell ref="D194:E194"/>
    <mergeCell ref="B196:G196"/>
    <mergeCell ref="B193:C193"/>
    <mergeCell ref="D193:E193"/>
    <mergeCell ref="B195:G195"/>
    <mergeCell ref="D154:E154"/>
    <mergeCell ref="B154:C154"/>
    <mergeCell ref="C176:F176"/>
    <mergeCell ref="G176:H176"/>
    <mergeCell ref="B177:H177"/>
    <mergeCell ref="B180:G180"/>
    <mergeCell ref="B181:H181"/>
    <mergeCell ref="B185:C185"/>
    <mergeCell ref="D185:E185"/>
    <mergeCell ref="B186:G186"/>
    <mergeCell ref="B187:H187"/>
    <mergeCell ref="B190:C190"/>
    <mergeCell ref="D190:E190"/>
    <mergeCell ref="B191:G191"/>
    <mergeCell ref="B188:C188"/>
    <mergeCell ref="D188:E188"/>
    <mergeCell ref="B189:C189"/>
    <mergeCell ref="D189:E189"/>
    <mergeCell ref="B182:C182"/>
    <mergeCell ref="D182:E182"/>
    <mergeCell ref="B183:C183"/>
    <mergeCell ref="D183:E183"/>
    <mergeCell ref="B184:C184"/>
    <mergeCell ref="D184:E184"/>
    <mergeCell ref="B178:C178"/>
    <mergeCell ref="D178:E178"/>
    <mergeCell ref="B179:C179"/>
    <mergeCell ref="D179:E179"/>
    <mergeCell ref="B172:G172"/>
    <mergeCell ref="C175:F175"/>
    <mergeCell ref="G175:H175"/>
    <mergeCell ref="B165:C165"/>
    <mergeCell ref="D165:E165"/>
    <mergeCell ref="B166:C166"/>
    <mergeCell ref="D166:E166"/>
    <mergeCell ref="B167:G167"/>
    <mergeCell ref="B168:H168"/>
    <mergeCell ref="B169:C169"/>
    <mergeCell ref="D169:E169"/>
    <mergeCell ref="B170:C170"/>
    <mergeCell ref="D170:E170"/>
    <mergeCell ref="B160:C160"/>
    <mergeCell ref="D160:E160"/>
    <mergeCell ref="B161:C161"/>
    <mergeCell ref="D161:E161"/>
    <mergeCell ref="B162:G162"/>
    <mergeCell ref="B163:H163"/>
    <mergeCell ref="B164:C164"/>
    <mergeCell ref="D164:E164"/>
    <mergeCell ref="B171:G171"/>
    <mergeCell ref="B153:C153"/>
    <mergeCell ref="D153:E153"/>
    <mergeCell ref="B155:G155"/>
    <mergeCell ref="B156:H156"/>
    <mergeCell ref="B157:C157"/>
    <mergeCell ref="D157:E157"/>
    <mergeCell ref="B158:C158"/>
    <mergeCell ref="D158:E158"/>
    <mergeCell ref="B159:C159"/>
    <mergeCell ref="D159:E159"/>
    <mergeCell ref="B152:C152"/>
    <mergeCell ref="D152:E152"/>
    <mergeCell ref="C149:F149"/>
    <mergeCell ref="G149:H149"/>
    <mergeCell ref="B150:H150"/>
    <mergeCell ref="B151:C151"/>
    <mergeCell ref="D151:E151"/>
    <mergeCell ref="B140:C140"/>
    <mergeCell ref="D140:E140"/>
    <mergeCell ref="B143:C143"/>
    <mergeCell ref="D143:E143"/>
    <mergeCell ref="B145:G145"/>
    <mergeCell ref="B146:G146"/>
    <mergeCell ref="B144:C144"/>
    <mergeCell ref="D144:E144"/>
    <mergeCell ref="C148:F148"/>
    <mergeCell ref="G148:H148"/>
    <mergeCell ref="B130:H130"/>
    <mergeCell ref="B131:C131"/>
    <mergeCell ref="D131:E131"/>
    <mergeCell ref="B132:C132"/>
    <mergeCell ref="D132:E132"/>
    <mergeCell ref="B133:C133"/>
    <mergeCell ref="D133:E133"/>
    <mergeCell ref="B141:G141"/>
    <mergeCell ref="B142:H142"/>
    <mergeCell ref="B136:G136"/>
    <mergeCell ref="B137:H137"/>
    <mergeCell ref="B138:C138"/>
    <mergeCell ref="D138:E138"/>
    <mergeCell ref="B139:C139"/>
    <mergeCell ref="D139:E139"/>
    <mergeCell ref="B134:C134"/>
    <mergeCell ref="D134:E134"/>
    <mergeCell ref="B135:C135"/>
    <mergeCell ref="D135:E135"/>
    <mergeCell ref="B84:C84"/>
    <mergeCell ref="D84:E84"/>
    <mergeCell ref="B85:C85"/>
    <mergeCell ref="D85:E85"/>
    <mergeCell ref="B87:C87"/>
    <mergeCell ref="D87:E87"/>
    <mergeCell ref="B86:C86"/>
    <mergeCell ref="D86:E86"/>
    <mergeCell ref="C123:F123"/>
    <mergeCell ref="B117:G117"/>
    <mergeCell ref="B118:H118"/>
    <mergeCell ref="B121:G121"/>
    <mergeCell ref="B112:G112"/>
    <mergeCell ref="B113:H113"/>
    <mergeCell ref="B114:C114"/>
    <mergeCell ref="D114:E114"/>
    <mergeCell ref="B110:C110"/>
    <mergeCell ref="D110:E110"/>
    <mergeCell ref="B111:C111"/>
    <mergeCell ref="D111:E111"/>
    <mergeCell ref="B109:C109"/>
    <mergeCell ref="D109:E109"/>
    <mergeCell ref="B105:G105"/>
    <mergeCell ref="B103:C103"/>
    <mergeCell ref="G76:H76"/>
    <mergeCell ref="C77:F77"/>
    <mergeCell ref="G77:H77"/>
    <mergeCell ref="B80:C80"/>
    <mergeCell ref="D80:E80"/>
    <mergeCell ref="B81:C81"/>
    <mergeCell ref="D81:E81"/>
    <mergeCell ref="B82:G82"/>
    <mergeCell ref="B83:H83"/>
    <mergeCell ref="B57:C57"/>
    <mergeCell ref="D57:E57"/>
    <mergeCell ref="B58:G58"/>
    <mergeCell ref="B64:C64"/>
    <mergeCell ref="D64:E64"/>
    <mergeCell ref="B61:C61"/>
    <mergeCell ref="D61:E61"/>
    <mergeCell ref="B62:C62"/>
    <mergeCell ref="D62:E62"/>
    <mergeCell ref="B59:H59"/>
    <mergeCell ref="B60:C60"/>
    <mergeCell ref="D60:E60"/>
    <mergeCell ref="G52:H52"/>
    <mergeCell ref="B50:G50"/>
    <mergeCell ref="B45:C45"/>
    <mergeCell ref="D45:E45"/>
    <mergeCell ref="B54:H54"/>
    <mergeCell ref="B55:C55"/>
    <mergeCell ref="D55:E55"/>
    <mergeCell ref="B56:C56"/>
    <mergeCell ref="D56:E56"/>
    <mergeCell ref="D115:E115"/>
    <mergeCell ref="B127:C127"/>
    <mergeCell ref="D127:E127"/>
    <mergeCell ref="B129:G129"/>
    <mergeCell ref="B119:C119"/>
    <mergeCell ref="D119:E119"/>
    <mergeCell ref="B120:G120"/>
    <mergeCell ref="B115:C115"/>
    <mergeCell ref="B116:C116"/>
    <mergeCell ref="D116:E116"/>
    <mergeCell ref="G123:H123"/>
    <mergeCell ref="C124:F124"/>
    <mergeCell ref="G124:H124"/>
    <mergeCell ref="B125:H125"/>
    <mergeCell ref="B126:C126"/>
    <mergeCell ref="D126:E126"/>
    <mergeCell ref="B128:C128"/>
    <mergeCell ref="D128:E128"/>
    <mergeCell ref="B107:C107"/>
    <mergeCell ref="D107:E107"/>
    <mergeCell ref="B108:C108"/>
    <mergeCell ref="D108:E108"/>
    <mergeCell ref="B96:G96"/>
    <mergeCell ref="B95:C95"/>
    <mergeCell ref="D95:E95"/>
    <mergeCell ref="B93:G93"/>
    <mergeCell ref="B94:H94"/>
    <mergeCell ref="B97:G97"/>
    <mergeCell ref="C99:F99"/>
    <mergeCell ref="G99:H99"/>
    <mergeCell ref="D103:E103"/>
    <mergeCell ref="C100:F100"/>
    <mergeCell ref="G100:H100"/>
    <mergeCell ref="B101:H101"/>
    <mergeCell ref="B102:C102"/>
    <mergeCell ref="D102:E102"/>
    <mergeCell ref="B104:C104"/>
    <mergeCell ref="D104:E104"/>
    <mergeCell ref="B106:H106"/>
    <mergeCell ref="B90:C90"/>
    <mergeCell ref="D90:E90"/>
    <mergeCell ref="B91:C91"/>
    <mergeCell ref="D91:E91"/>
    <mergeCell ref="B88:G88"/>
    <mergeCell ref="B89:H89"/>
    <mergeCell ref="B92:C92"/>
    <mergeCell ref="D92:E92"/>
    <mergeCell ref="B63:C63"/>
    <mergeCell ref="D63:E63"/>
    <mergeCell ref="B78:H78"/>
    <mergeCell ref="B79:C79"/>
    <mergeCell ref="D79:E79"/>
    <mergeCell ref="B73:G73"/>
    <mergeCell ref="B69:C69"/>
    <mergeCell ref="D69:E69"/>
    <mergeCell ref="B72:C72"/>
    <mergeCell ref="D72:E72"/>
    <mergeCell ref="B67:C67"/>
    <mergeCell ref="D67:E67"/>
    <mergeCell ref="B68:C68"/>
    <mergeCell ref="D68:E68"/>
    <mergeCell ref="B65:G65"/>
    <mergeCell ref="B66:H66"/>
    <mergeCell ref="B70:G70"/>
    <mergeCell ref="B71:H71"/>
    <mergeCell ref="B74:G74"/>
    <mergeCell ref="C76:F76"/>
    <mergeCell ref="B41:C41"/>
    <mergeCell ref="D41:E41"/>
    <mergeCell ref="B44:C44"/>
    <mergeCell ref="D44:E44"/>
    <mergeCell ref="B38:C38"/>
    <mergeCell ref="D38:E38"/>
    <mergeCell ref="B39:C39"/>
    <mergeCell ref="D39:E39"/>
    <mergeCell ref="B40:C40"/>
    <mergeCell ref="D40:E40"/>
    <mergeCell ref="C53:F53"/>
    <mergeCell ref="G53:H53"/>
    <mergeCell ref="B49:G49"/>
    <mergeCell ref="B42:G42"/>
    <mergeCell ref="B43:H43"/>
    <mergeCell ref="B46:G46"/>
    <mergeCell ref="B47:H47"/>
    <mergeCell ref="B48:C48"/>
    <mergeCell ref="D48:E48"/>
    <mergeCell ref="C52:F52"/>
    <mergeCell ref="B34:C34"/>
    <mergeCell ref="D34:E34"/>
    <mergeCell ref="B35:G35"/>
    <mergeCell ref="B36:H36"/>
    <mergeCell ref="B37:C37"/>
    <mergeCell ref="D37:E37"/>
    <mergeCell ref="C30:F30"/>
    <mergeCell ref="G30:H30"/>
    <mergeCell ref="B31:H31"/>
    <mergeCell ref="B32:C32"/>
    <mergeCell ref="D32:E32"/>
    <mergeCell ref="B33:C33"/>
    <mergeCell ref="D33:E33"/>
    <mergeCell ref="B25:C25"/>
    <mergeCell ref="D25:E25"/>
    <mergeCell ref="B26:G26"/>
    <mergeCell ref="B27:G27"/>
    <mergeCell ref="C29:F29"/>
    <mergeCell ref="G29:H29"/>
    <mergeCell ref="B18:C18"/>
    <mergeCell ref="D18:E18"/>
    <mergeCell ref="B21:C21"/>
    <mergeCell ref="D21:E21"/>
    <mergeCell ref="B23:G23"/>
    <mergeCell ref="B24:H24"/>
    <mergeCell ref="B22:C22"/>
    <mergeCell ref="D22:E22"/>
    <mergeCell ref="B14:C14"/>
    <mergeCell ref="D14:E14"/>
    <mergeCell ref="B15:G15"/>
    <mergeCell ref="B16:H16"/>
    <mergeCell ref="B17:C17"/>
    <mergeCell ref="D17:E17"/>
    <mergeCell ref="B19:C19"/>
    <mergeCell ref="D19:E19"/>
    <mergeCell ref="B20:C20"/>
    <mergeCell ref="D20:E20"/>
    <mergeCell ref="B12:C12"/>
    <mergeCell ref="D12:E12"/>
    <mergeCell ref="B13:C13"/>
    <mergeCell ref="D13:E13"/>
    <mergeCell ref="B8:G8"/>
    <mergeCell ref="B9:H9"/>
    <mergeCell ref="B10:C10"/>
    <mergeCell ref="D10:E10"/>
    <mergeCell ref="B11:C11"/>
    <mergeCell ref="D11:E11"/>
    <mergeCell ref="B5:C5"/>
    <mergeCell ref="D5:E5"/>
    <mergeCell ref="B6:C6"/>
    <mergeCell ref="D6:E6"/>
    <mergeCell ref="B7:C7"/>
    <mergeCell ref="D7:E7"/>
    <mergeCell ref="A1:I1"/>
    <mergeCell ref="C2:F2"/>
    <mergeCell ref="G2:H2"/>
    <mergeCell ref="C3:F3"/>
    <mergeCell ref="G3:H3"/>
    <mergeCell ref="B4:H4"/>
    <mergeCell ref="B209:C209"/>
    <mergeCell ref="D209:E209"/>
    <mergeCell ref="B210:C210"/>
    <mergeCell ref="D210:E210"/>
    <mergeCell ref="B211:C211"/>
    <mergeCell ref="D211:E211"/>
    <mergeCell ref="C199:F199"/>
    <mergeCell ref="G199:H199"/>
    <mergeCell ref="C200:F200"/>
    <mergeCell ref="G200:H200"/>
    <mergeCell ref="B201:H201"/>
    <mergeCell ref="B202:C202"/>
    <mergeCell ref="D202:E202"/>
    <mergeCell ref="B203:C203"/>
    <mergeCell ref="D203:E203"/>
    <mergeCell ref="B218:H218"/>
    <mergeCell ref="B219:C219"/>
    <mergeCell ref="D219:E219"/>
    <mergeCell ref="B220:C220"/>
    <mergeCell ref="D220:E220"/>
    <mergeCell ref="B221:G221"/>
    <mergeCell ref="B222:G222"/>
    <mergeCell ref="B204:C204"/>
    <mergeCell ref="D204:E204"/>
    <mergeCell ref="B205:C205"/>
    <mergeCell ref="D205:E205"/>
    <mergeCell ref="B206:C206"/>
    <mergeCell ref="D206:E206"/>
    <mergeCell ref="B212:G212"/>
    <mergeCell ref="B213:H213"/>
    <mergeCell ref="B214:C214"/>
    <mergeCell ref="D214:E214"/>
    <mergeCell ref="B215:C215"/>
    <mergeCell ref="D215:E215"/>
    <mergeCell ref="B216:C216"/>
    <mergeCell ref="D216:E216"/>
    <mergeCell ref="B217:G217"/>
    <mergeCell ref="B207:G207"/>
    <mergeCell ref="B208:H208"/>
    <mergeCell ref="B230:G230"/>
    <mergeCell ref="B231:H231"/>
    <mergeCell ref="B232:C232"/>
    <mergeCell ref="D232:E232"/>
    <mergeCell ref="C225:F225"/>
    <mergeCell ref="G225:H225"/>
    <mergeCell ref="C226:F226"/>
    <mergeCell ref="G226:H226"/>
    <mergeCell ref="B227:H227"/>
    <mergeCell ref="B228:C228"/>
    <mergeCell ref="D228:E228"/>
    <mergeCell ref="B229:C229"/>
    <mergeCell ref="D229:E229"/>
    <mergeCell ref="B233:C233"/>
    <mergeCell ref="D233:E233"/>
    <mergeCell ref="B234:C234"/>
    <mergeCell ref="D234:E234"/>
    <mergeCell ref="B235:G235"/>
    <mergeCell ref="B236:H236"/>
    <mergeCell ref="B237:C237"/>
    <mergeCell ref="D237:E237"/>
    <mergeCell ref="B238:C238"/>
    <mergeCell ref="D238:E238"/>
    <mergeCell ref="B239:C239"/>
    <mergeCell ref="D239:E239"/>
    <mergeCell ref="B240:G240"/>
    <mergeCell ref="B241:H241"/>
    <mergeCell ref="B242:C242"/>
    <mergeCell ref="D242:E242"/>
    <mergeCell ref="B243:C243"/>
    <mergeCell ref="D243:E243"/>
    <mergeCell ref="B244:G244"/>
    <mergeCell ref="B256:H256"/>
    <mergeCell ref="B257:C257"/>
    <mergeCell ref="D257:E257"/>
    <mergeCell ref="B258:C258"/>
    <mergeCell ref="D258:E258"/>
    <mergeCell ref="B260:G260"/>
    <mergeCell ref="B245:G245"/>
    <mergeCell ref="C247:F247"/>
    <mergeCell ref="G247:H247"/>
    <mergeCell ref="C248:F248"/>
    <mergeCell ref="G248:H248"/>
    <mergeCell ref="B249:H249"/>
    <mergeCell ref="B250:C250"/>
    <mergeCell ref="D250:E250"/>
    <mergeCell ref="B251:C251"/>
    <mergeCell ref="D251:E251"/>
    <mergeCell ref="B267:C267"/>
    <mergeCell ref="D267:E267"/>
    <mergeCell ref="B268:C268"/>
    <mergeCell ref="D268:E268"/>
    <mergeCell ref="B269:G269"/>
    <mergeCell ref="B270:G270"/>
    <mergeCell ref="B259:C259"/>
    <mergeCell ref="D259:E259"/>
    <mergeCell ref="B252:C252"/>
    <mergeCell ref="D252:E252"/>
    <mergeCell ref="B253:C253"/>
    <mergeCell ref="D253:E253"/>
    <mergeCell ref="B254:C254"/>
    <mergeCell ref="D254:E254"/>
    <mergeCell ref="B264:C264"/>
    <mergeCell ref="D264:E264"/>
    <mergeCell ref="B261:H261"/>
    <mergeCell ref="B262:C262"/>
    <mergeCell ref="D262:E262"/>
    <mergeCell ref="B263:C263"/>
    <mergeCell ref="D263:E263"/>
    <mergeCell ref="B265:G265"/>
    <mergeCell ref="B266:H266"/>
    <mergeCell ref="B255:G255"/>
    <mergeCell ref="C273:F273"/>
    <mergeCell ref="G273:H273"/>
    <mergeCell ref="C274:F274"/>
    <mergeCell ref="G274:H274"/>
    <mergeCell ref="B275:H275"/>
    <mergeCell ref="B276:C276"/>
    <mergeCell ref="D276:E276"/>
    <mergeCell ref="B277:C277"/>
    <mergeCell ref="D277:E277"/>
    <mergeCell ref="B278:C278"/>
    <mergeCell ref="D278:E278"/>
    <mergeCell ref="B279:G279"/>
    <mergeCell ref="B280:H280"/>
    <mergeCell ref="B281:C281"/>
    <mergeCell ref="D281:E281"/>
    <mergeCell ref="B282:C282"/>
    <mergeCell ref="D282:E282"/>
    <mergeCell ref="B283:C283"/>
    <mergeCell ref="D283:E283"/>
    <mergeCell ref="B284:C284"/>
    <mergeCell ref="D284:E284"/>
    <mergeCell ref="B285:C285"/>
    <mergeCell ref="D285:E285"/>
    <mergeCell ref="B286:G286"/>
    <mergeCell ref="B287:H287"/>
    <mergeCell ref="B288:C288"/>
    <mergeCell ref="D288:E288"/>
    <mergeCell ref="B289:C289"/>
    <mergeCell ref="D289:E289"/>
    <mergeCell ref="B290:C290"/>
    <mergeCell ref="D290:E290"/>
    <mergeCell ref="B291:G291"/>
    <mergeCell ref="B292:H292"/>
    <mergeCell ref="B293:C293"/>
    <mergeCell ref="D293:E293"/>
    <mergeCell ref="B294:G294"/>
    <mergeCell ref="B295:G295"/>
    <mergeCell ref="C298:F298"/>
    <mergeCell ref="G298:H298"/>
    <mergeCell ref="C299:F299"/>
    <mergeCell ref="G299:H299"/>
    <mergeCell ref="B300:H300"/>
    <mergeCell ref="B301:C301"/>
    <mergeCell ref="D301:E301"/>
    <mergeCell ref="B302:C302"/>
    <mergeCell ref="D302:E302"/>
    <mergeCell ref="B303:C303"/>
    <mergeCell ref="D303:E303"/>
    <mergeCell ref="B304:G304"/>
    <mergeCell ref="B305:H305"/>
    <mergeCell ref="B306:C306"/>
    <mergeCell ref="D306:E306"/>
    <mergeCell ref="B307:C307"/>
    <mergeCell ref="D307:E307"/>
    <mergeCell ref="B308:C308"/>
    <mergeCell ref="D308:E308"/>
    <mergeCell ref="B310:C310"/>
    <mergeCell ref="D310:E310"/>
    <mergeCell ref="B309:C309"/>
    <mergeCell ref="B312:C312"/>
    <mergeCell ref="D312:E312"/>
    <mergeCell ref="B313:C313"/>
    <mergeCell ref="D313:E313"/>
    <mergeCell ref="B314:C314"/>
    <mergeCell ref="D314:E314"/>
    <mergeCell ref="D309:E309"/>
    <mergeCell ref="B325:C325"/>
    <mergeCell ref="D325:E325"/>
    <mergeCell ref="B311:C311"/>
    <mergeCell ref="D311:E311"/>
    <mergeCell ref="B316:G316"/>
    <mergeCell ref="B317:H317"/>
    <mergeCell ref="B318:C318"/>
    <mergeCell ref="D318:E318"/>
    <mergeCell ref="B319:C319"/>
    <mergeCell ref="D319:E319"/>
    <mergeCell ref="B320:C320"/>
    <mergeCell ref="D320:E320"/>
    <mergeCell ref="B315:C315"/>
    <mergeCell ref="D315:E315"/>
    <mergeCell ref="C329:F329"/>
    <mergeCell ref="G329:H329"/>
    <mergeCell ref="C330:F330"/>
    <mergeCell ref="G330:H330"/>
    <mergeCell ref="B331:H331"/>
    <mergeCell ref="B332:C332"/>
    <mergeCell ref="D332:E332"/>
    <mergeCell ref="B321:G321"/>
    <mergeCell ref="B322:H322"/>
    <mergeCell ref="B323:C323"/>
    <mergeCell ref="D323:E323"/>
    <mergeCell ref="B326:G326"/>
    <mergeCell ref="B338:G338"/>
    <mergeCell ref="B339:H339"/>
    <mergeCell ref="B340:C340"/>
    <mergeCell ref="D340:E340"/>
    <mergeCell ref="B341:C341"/>
    <mergeCell ref="D341:E341"/>
    <mergeCell ref="B342:C342"/>
    <mergeCell ref="D342:E342"/>
    <mergeCell ref="B333:C333"/>
    <mergeCell ref="D333:E333"/>
    <mergeCell ref="B334:G334"/>
    <mergeCell ref="B335:H335"/>
    <mergeCell ref="B336:C336"/>
    <mergeCell ref="D336:E336"/>
    <mergeCell ref="B337:C337"/>
    <mergeCell ref="D337:E337"/>
    <mergeCell ref="B343:G343"/>
    <mergeCell ref="B344:H344"/>
    <mergeCell ref="B345:C345"/>
    <mergeCell ref="D345:E345"/>
    <mergeCell ref="B347:C347"/>
    <mergeCell ref="D347:E347"/>
    <mergeCell ref="B348:G348"/>
    <mergeCell ref="B364:C364"/>
    <mergeCell ref="D364:E364"/>
    <mergeCell ref="C353:F353"/>
    <mergeCell ref="G353:H353"/>
    <mergeCell ref="C354:F354"/>
    <mergeCell ref="G354:H354"/>
    <mergeCell ref="B355:H355"/>
    <mergeCell ref="B356:C356"/>
    <mergeCell ref="D356:E356"/>
    <mergeCell ref="B363:C363"/>
    <mergeCell ref="D363:E363"/>
    <mergeCell ref="B368:C368"/>
    <mergeCell ref="D368:E368"/>
    <mergeCell ref="B357:C357"/>
    <mergeCell ref="D357:E357"/>
    <mergeCell ref="B358:G358"/>
    <mergeCell ref="B359:H359"/>
    <mergeCell ref="B360:C360"/>
    <mergeCell ref="D360:E360"/>
    <mergeCell ref="B361:C361"/>
    <mergeCell ref="D361:E361"/>
    <mergeCell ref="B362:C362"/>
    <mergeCell ref="D362:E362"/>
    <mergeCell ref="B376:G376"/>
    <mergeCell ref="B365:G365"/>
    <mergeCell ref="C378:F378"/>
    <mergeCell ref="G378:H378"/>
    <mergeCell ref="C379:F379"/>
    <mergeCell ref="G379:H379"/>
    <mergeCell ref="B380:H380"/>
    <mergeCell ref="B381:C381"/>
    <mergeCell ref="D381:E381"/>
    <mergeCell ref="B369:C369"/>
    <mergeCell ref="D369:E369"/>
    <mergeCell ref="B371:G371"/>
    <mergeCell ref="B372:H372"/>
    <mergeCell ref="B373:C373"/>
    <mergeCell ref="D373:E373"/>
    <mergeCell ref="B374:C374"/>
    <mergeCell ref="D374:E374"/>
    <mergeCell ref="B375:C375"/>
    <mergeCell ref="D375:E375"/>
    <mergeCell ref="B370:C370"/>
    <mergeCell ref="D370:E370"/>
    <mergeCell ref="B366:H366"/>
    <mergeCell ref="B367:C367"/>
    <mergeCell ref="D367:E367"/>
    <mergeCell ref="B400:C400"/>
    <mergeCell ref="D400:E400"/>
    <mergeCell ref="B401:G401"/>
    <mergeCell ref="B389:C389"/>
    <mergeCell ref="D389:E389"/>
    <mergeCell ref="B391:G391"/>
    <mergeCell ref="B392:H392"/>
    <mergeCell ref="B393:C393"/>
    <mergeCell ref="D393:E393"/>
    <mergeCell ref="B394:C394"/>
    <mergeCell ref="D394:E394"/>
    <mergeCell ref="B395:C395"/>
    <mergeCell ref="D395:E395"/>
    <mergeCell ref="B382:C382"/>
    <mergeCell ref="B390:C390"/>
    <mergeCell ref="D390:E390"/>
    <mergeCell ref="B396:G396"/>
    <mergeCell ref="B397:H397"/>
    <mergeCell ref="B398:C398"/>
    <mergeCell ref="D398:E398"/>
    <mergeCell ref="B399:C399"/>
    <mergeCell ref="D399:E399"/>
    <mergeCell ref="B383:C383"/>
    <mergeCell ref="D383:E383"/>
    <mergeCell ref="B384:G384"/>
    <mergeCell ref="B385:H385"/>
    <mergeCell ref="B386:C386"/>
    <mergeCell ref="D386:E386"/>
    <mergeCell ref="B387:C387"/>
    <mergeCell ref="D387:E387"/>
    <mergeCell ref="B388:C388"/>
    <mergeCell ref="D388:E388"/>
  </mergeCells>
  <phoneticPr fontId="7" type="noConversion"/>
  <pageMargins left="0.7" right="0.7" top="0.75" bottom="0.75" header="0.3" footer="0.3"/>
  <pageSetup paperSize="9" scale="49" orientation="portrait" r:id="rId1"/>
  <rowBreaks count="1" manualBreakCount="1"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FC01-3E26-4242-99CB-D5062BF57A40}">
  <sheetPr>
    <tabColor rgb="FFFFFF00"/>
  </sheetPr>
  <dimension ref="A1:K39"/>
  <sheetViews>
    <sheetView topLeftCell="B6" zoomScale="85" zoomScaleNormal="85" workbookViewId="0">
      <selection activeCell="K29" sqref="K29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9.4414062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2.1</v>
      </c>
      <c r="C7" s="29" t="s">
        <v>57</v>
      </c>
      <c r="D7" s="323" t="str">
        <f>'FORMATO PRESUPUESTO'!G9</f>
        <v>CORTE DE ARBUSTO</v>
      </c>
      <c r="E7" s="323"/>
      <c r="F7" s="323"/>
      <c r="G7" s="323"/>
      <c r="H7" s="323"/>
      <c r="I7" s="323"/>
      <c r="J7" s="30" t="s">
        <v>41</v>
      </c>
      <c r="K7" s="36" t="s">
        <v>121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61</v>
      </c>
      <c r="J9" s="326" t="s">
        <v>44</v>
      </c>
      <c r="K9" s="326" t="s">
        <v>131</v>
      </c>
    </row>
    <row r="10" spans="1:11" x14ac:dyDescent="0.3">
      <c r="A10" s="327"/>
      <c r="B10" s="327"/>
      <c r="C10" s="327"/>
      <c r="D10" s="327"/>
      <c r="E10" s="326"/>
      <c r="F10" s="34" t="s">
        <v>130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 t="s">
        <v>132</v>
      </c>
      <c r="F11" s="43">
        <v>1</v>
      </c>
      <c r="G11" s="43">
        <f>53/1000</f>
        <v>5.2999999999999999E-2</v>
      </c>
      <c r="H11" s="46"/>
      <c r="I11" s="33"/>
      <c r="J11" s="33">
        <v>1</v>
      </c>
      <c r="K11" s="37">
        <f>G11*J11</f>
        <v>5.2999999999999999E-2</v>
      </c>
    </row>
    <row r="12" spans="1:11" x14ac:dyDescent="0.3">
      <c r="A12" s="327"/>
      <c r="B12" s="327"/>
      <c r="C12" s="327"/>
      <c r="D12" s="327"/>
      <c r="E12" s="50" t="s">
        <v>247</v>
      </c>
      <c r="F12" s="45">
        <v>1</v>
      </c>
      <c r="G12" s="43">
        <f>79/1000</f>
        <v>7.9000000000000001E-2</v>
      </c>
      <c r="H12" s="46"/>
      <c r="I12" s="33"/>
      <c r="J12" s="33">
        <v>1</v>
      </c>
      <c r="K12" s="37"/>
    </row>
    <row r="13" spans="1:11" x14ac:dyDescent="0.3">
      <c r="A13" s="327"/>
      <c r="B13" s="327"/>
      <c r="C13" s="327"/>
      <c r="D13" s="327"/>
      <c r="E13" s="38"/>
      <c r="F13" s="43"/>
      <c r="G13" s="45"/>
      <c r="H13" s="44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1" x14ac:dyDescent="0.3">
      <c r="A15" s="327"/>
      <c r="B15" s="327"/>
      <c r="C15" s="327"/>
      <c r="D15" s="327"/>
      <c r="E15" s="33"/>
      <c r="F15" s="43"/>
      <c r="G15" s="45"/>
      <c r="H15" s="45"/>
      <c r="I15" s="32"/>
      <c r="J15" s="33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3"/>
      <c r="K16" s="37"/>
    </row>
    <row r="17" spans="1:11" x14ac:dyDescent="0.3">
      <c r="A17" s="327"/>
      <c r="B17" s="327"/>
      <c r="C17" s="327"/>
      <c r="D17" s="327"/>
      <c r="E17" s="33"/>
      <c r="F17" s="43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 t="s">
        <v>221</v>
      </c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146">
        <f>+SUM(K11:K29)</f>
        <v>5.2999999999999999E-2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CF6B8-5C0F-4D67-AB1A-AB9A1F7D6598}">
  <sheetPr>
    <tabColor rgb="FF92D050"/>
  </sheetPr>
  <dimension ref="A1:K39"/>
  <sheetViews>
    <sheetView topLeftCell="A3" zoomScale="85" zoomScaleNormal="85" workbookViewId="0">
      <selection activeCell="D48" sqref="D48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41.4" x14ac:dyDescent="0.3">
      <c r="A7" s="35" t="s">
        <v>56</v>
      </c>
      <c r="B7" s="28">
        <v>1.2</v>
      </c>
      <c r="C7" s="29" t="s">
        <v>57</v>
      </c>
      <c r="D7" s="323">
        <f>+VLOOKUP(B7,'FORMATO PRESUPUESTO'!D10:L31,3,FALSE)</f>
        <v>70111700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CORTE RAIZ D = 30 cm - 80 cm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 "(",K7,")")</f>
        <v>(i) MEDIDA PARCIAL (CORTE RAIZ D = 30 cm - 80 cm)</v>
      </c>
      <c r="J9" s="326" t="s">
        <v>44</v>
      </c>
      <c r="K9" s="326" t="str">
        <f>+CONCATENATE("(k) MEDIDA TOTAL "," ","(",K7,")")</f>
        <v>(k) MEDIDA TOTAL  (CORTE RAIZ D = 30 cm - 80 cm)</v>
      </c>
    </row>
    <row r="10" spans="1:11" x14ac:dyDescent="0.3">
      <c r="A10" s="327"/>
      <c r="B10" s="327"/>
      <c r="C10" s="327"/>
      <c r="D10" s="327"/>
      <c r="E10" s="326"/>
      <c r="F10" s="336" t="s">
        <v>126</v>
      </c>
      <c r="G10" s="337"/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50" t="s">
        <v>102</v>
      </c>
      <c r="F11" s="334">
        <v>232.2</v>
      </c>
      <c r="G11" s="335"/>
      <c r="H11" s="43">
        <v>0.3</v>
      </c>
      <c r="I11" s="33">
        <f>+F11*H11</f>
        <v>69.66</v>
      </c>
      <c r="J11" s="33">
        <v>1</v>
      </c>
      <c r="K11" s="37">
        <f>+I11*J11</f>
        <v>69.66</v>
      </c>
    </row>
    <row r="12" spans="1:11" x14ac:dyDescent="0.3">
      <c r="A12" s="327"/>
      <c r="B12" s="327"/>
      <c r="C12" s="327"/>
      <c r="D12" s="327"/>
      <c r="E12" s="50"/>
      <c r="F12" s="334"/>
      <c r="G12" s="335"/>
      <c r="H12" s="43"/>
      <c r="I12" s="33"/>
      <c r="J12" s="33"/>
      <c r="K12" s="37"/>
    </row>
    <row r="13" spans="1:11" x14ac:dyDescent="0.3">
      <c r="A13" s="327"/>
      <c r="B13" s="327"/>
      <c r="C13" s="327"/>
      <c r="D13" s="327"/>
      <c r="E13" s="93"/>
      <c r="F13" s="334"/>
      <c r="G13" s="335"/>
      <c r="H13" s="45"/>
      <c r="I13" s="33"/>
      <c r="J13" s="33"/>
      <c r="K13" s="37"/>
    </row>
    <row r="14" spans="1:11" x14ac:dyDescent="0.3">
      <c r="A14" s="327"/>
      <c r="B14" s="327"/>
      <c r="C14" s="327"/>
      <c r="D14" s="327"/>
      <c r="E14" s="94"/>
      <c r="F14" s="334"/>
      <c r="G14" s="33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3"/>
      <c r="F15" s="334"/>
      <c r="G15" s="335"/>
      <c r="H15" s="45"/>
      <c r="I15" s="33"/>
      <c r="J15" s="32"/>
      <c r="K15" s="32"/>
    </row>
    <row r="16" spans="1:11" x14ac:dyDescent="0.3">
      <c r="A16" s="327"/>
      <c r="B16" s="327"/>
      <c r="C16" s="327"/>
      <c r="D16" s="327"/>
      <c r="E16" s="33"/>
      <c r="F16" s="334"/>
      <c r="G16" s="33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334"/>
      <c r="G17" s="33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334"/>
      <c r="G18" s="33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4"/>
      <c r="G19" s="335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4"/>
      <c r="G20" s="335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4"/>
      <c r="G21" s="335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4"/>
      <c r="G22" s="335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4"/>
      <c r="G23" s="335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4"/>
      <c r="G24" s="335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4"/>
      <c r="G25" s="335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4"/>
      <c r="G26" s="335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4"/>
      <c r="G27" s="335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4"/>
      <c r="G28" s="335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4"/>
      <c r="G29" s="335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69.66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52"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F10:G10"/>
    <mergeCell ref="F11:G11"/>
    <mergeCell ref="F12:G12"/>
    <mergeCell ref="F13:G13"/>
    <mergeCell ref="F14:G14"/>
    <mergeCell ref="A38:K38"/>
    <mergeCell ref="E30:J30"/>
    <mergeCell ref="A31:B31"/>
    <mergeCell ref="C31:D31"/>
    <mergeCell ref="E31:G31"/>
    <mergeCell ref="H31:K31"/>
    <mergeCell ref="A32:B37"/>
    <mergeCell ref="C32:D37"/>
    <mergeCell ref="E32:G37"/>
    <mergeCell ref="H32:K37"/>
    <mergeCell ref="F15:G15"/>
    <mergeCell ref="F16:G16"/>
    <mergeCell ref="F17:G17"/>
    <mergeCell ref="F18:G18"/>
    <mergeCell ref="F19:G19"/>
    <mergeCell ref="K9:K10"/>
    <mergeCell ref="A10:D30"/>
    <mergeCell ref="E5:H5"/>
    <mergeCell ref="I5:K5"/>
    <mergeCell ref="A6:K6"/>
    <mergeCell ref="D7:I7"/>
    <mergeCell ref="A8:K8"/>
    <mergeCell ref="A9:D9"/>
    <mergeCell ref="E9:E10"/>
    <mergeCell ref="F9:H9"/>
    <mergeCell ref="I9:I10"/>
    <mergeCell ref="J9:J10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7749A-C466-4C75-8135-B4328D943F74}">
  <sheetPr>
    <tabColor rgb="FFFFFF00"/>
  </sheetPr>
  <dimension ref="A1:K39"/>
  <sheetViews>
    <sheetView topLeftCell="A6" zoomScale="85" zoomScaleNormal="85" workbookViewId="0">
      <selection activeCell="D51" sqref="D5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41.4" x14ac:dyDescent="0.3">
      <c r="A7" s="35" t="s">
        <v>56</v>
      </c>
      <c r="B7" s="28">
        <v>1.2</v>
      </c>
      <c r="C7" s="29" t="s">
        <v>57</v>
      </c>
      <c r="D7" s="323">
        <f>+VLOOKUP(B7,'FORMATO PRESUPUESTO'!D10:L31,3,FALSE)</f>
        <v>70111700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CORTE RAIZ D = 30 cm - 80 cm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 "(",K7,")")</f>
        <v>(i) MEDIDA PARCIAL (CORTE RAIZ D = 30 cm - 80 cm)</v>
      </c>
      <c r="J9" s="326" t="s">
        <v>44</v>
      </c>
      <c r="K9" s="326" t="str">
        <f>+CONCATENATE("(k) MEDIDA TOTAL "," ","(",K7,")")</f>
        <v>(k) MEDIDA TOTAL  (CORTE RAIZ D = 30 cm - 80 cm)</v>
      </c>
    </row>
    <row r="10" spans="1:11" x14ac:dyDescent="0.3">
      <c r="A10" s="327"/>
      <c r="B10" s="327"/>
      <c r="C10" s="327"/>
      <c r="D10" s="327"/>
      <c r="E10" s="326"/>
      <c r="F10" s="336" t="s">
        <v>126</v>
      </c>
      <c r="G10" s="337"/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50" t="s">
        <v>102</v>
      </c>
      <c r="F11" s="334">
        <v>253.53</v>
      </c>
      <c r="G11" s="335"/>
      <c r="H11" s="43">
        <v>0.3</v>
      </c>
      <c r="I11" s="33">
        <f>+F11*H11</f>
        <v>76.058999999999997</v>
      </c>
      <c r="J11" s="33">
        <v>1</v>
      </c>
      <c r="K11" s="37">
        <f>+I11*J11</f>
        <v>76.058999999999997</v>
      </c>
    </row>
    <row r="12" spans="1:11" x14ac:dyDescent="0.3">
      <c r="A12" s="327"/>
      <c r="B12" s="327"/>
      <c r="C12" s="327"/>
      <c r="D12" s="327"/>
      <c r="E12" s="50" t="s">
        <v>247</v>
      </c>
      <c r="F12" s="334">
        <v>315.63</v>
      </c>
      <c r="G12" s="335"/>
      <c r="H12" s="43">
        <v>0.5</v>
      </c>
      <c r="I12" s="33">
        <f>+F12*H12</f>
        <v>157.815</v>
      </c>
      <c r="J12" s="33">
        <v>1</v>
      </c>
      <c r="K12" s="37"/>
    </row>
    <row r="13" spans="1:11" x14ac:dyDescent="0.3">
      <c r="A13" s="327"/>
      <c r="B13" s="327"/>
      <c r="C13" s="327"/>
      <c r="D13" s="327"/>
      <c r="E13" s="33"/>
      <c r="F13" s="334"/>
      <c r="G13" s="335"/>
      <c r="H13" s="45"/>
      <c r="I13" s="33"/>
      <c r="J13" s="33"/>
      <c r="K13" s="37"/>
    </row>
    <row r="14" spans="1:11" x14ac:dyDescent="0.3">
      <c r="A14" s="327"/>
      <c r="B14" s="327"/>
      <c r="C14" s="327"/>
      <c r="D14" s="327"/>
      <c r="E14" s="33"/>
      <c r="F14" s="334"/>
      <c r="G14" s="33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3"/>
      <c r="F15" s="334"/>
      <c r="G15" s="335"/>
      <c r="H15" s="45"/>
      <c r="I15" s="33"/>
      <c r="J15" s="32"/>
      <c r="K15" s="32"/>
    </row>
    <row r="16" spans="1:11" x14ac:dyDescent="0.3">
      <c r="A16" s="327"/>
      <c r="B16" s="327"/>
      <c r="C16" s="327"/>
      <c r="D16" s="327"/>
      <c r="E16" s="33"/>
      <c r="F16" s="334"/>
      <c r="G16" s="33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334"/>
      <c r="G17" s="33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334"/>
      <c r="G18" s="33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4"/>
      <c r="G19" s="335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4"/>
      <c r="G20" s="335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4"/>
      <c r="G21" s="335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4"/>
      <c r="G22" s="335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4"/>
      <c r="G23" s="335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4"/>
      <c r="G24" s="335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4"/>
      <c r="G25" s="335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4"/>
      <c r="G26" s="335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4"/>
      <c r="G27" s="335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4"/>
      <c r="G28" s="335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4"/>
      <c r="G29" s="335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146">
        <f>+SUM(K11:K29)</f>
        <v>76.058999999999997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5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30"/>
    <mergeCell ref="F10:G10"/>
    <mergeCell ref="F11:G11"/>
    <mergeCell ref="F12:G12"/>
    <mergeCell ref="F13:G13"/>
    <mergeCell ref="F14:G14"/>
    <mergeCell ref="F15:G15"/>
    <mergeCell ref="F16:G16"/>
    <mergeCell ref="F17:G17"/>
    <mergeCell ref="A9:D9"/>
    <mergeCell ref="E9:E10"/>
    <mergeCell ref="F9:H9"/>
    <mergeCell ref="I9:I10"/>
    <mergeCell ref="J9:J10"/>
    <mergeCell ref="F29:G29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A38:K38"/>
    <mergeCell ref="E30:J30"/>
    <mergeCell ref="A31:B31"/>
    <mergeCell ref="C31:D31"/>
    <mergeCell ref="E31:G31"/>
    <mergeCell ref="H31:K31"/>
    <mergeCell ref="A32:B37"/>
    <mergeCell ref="C32:D37"/>
    <mergeCell ref="E32:G37"/>
    <mergeCell ref="H32:K37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20BEC-0BF6-47E8-B0BA-08E3FE91B86F}">
  <sheetPr>
    <tabColor rgb="FF92D050"/>
  </sheetPr>
  <dimension ref="A1:L39"/>
  <sheetViews>
    <sheetView zoomScale="85" zoomScaleNormal="85" workbookViewId="0">
      <selection activeCell="D48" sqref="D48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2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2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2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2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2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2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2" s="31" customFormat="1" ht="55.2" x14ac:dyDescent="0.3">
      <c r="A7" s="35" t="s">
        <v>56</v>
      </c>
      <c r="B7" s="28">
        <v>1.3</v>
      </c>
      <c r="C7" s="29" t="s">
        <v>57</v>
      </c>
      <c r="D7" s="323">
        <f>+VLOOKUP(B7,'FORMATO PRESUPUESTO'!D10:L31,3,FALSE)</f>
        <v>72151900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DEMOLICIÓN SARDINEL (INCLUYE RETIRO)</v>
      </c>
    </row>
    <row r="8" spans="1:12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2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62</v>
      </c>
    </row>
    <row r="10" spans="1:12" x14ac:dyDescent="0.3">
      <c r="A10" s="327"/>
      <c r="B10" s="327"/>
      <c r="C10" s="327"/>
      <c r="D10" s="327"/>
      <c r="E10" s="326"/>
      <c r="F10" s="336" t="s">
        <v>160</v>
      </c>
      <c r="G10" s="337"/>
      <c r="H10" s="34" t="s">
        <v>161</v>
      </c>
      <c r="I10" s="326"/>
      <c r="J10" s="326"/>
      <c r="K10" s="326"/>
    </row>
    <row r="11" spans="1:12" x14ac:dyDescent="0.3">
      <c r="A11" s="327"/>
      <c r="B11" s="327"/>
      <c r="C11" s="327"/>
      <c r="D11" s="327"/>
      <c r="E11" s="38" t="s">
        <v>102</v>
      </c>
      <c r="F11" s="334">
        <f>+'1.2'!F11</f>
        <v>232.2</v>
      </c>
      <c r="G11" s="335"/>
      <c r="H11" s="46">
        <v>0.2</v>
      </c>
      <c r="I11" s="33">
        <f>+F11*G11*H11</f>
        <v>0</v>
      </c>
      <c r="J11" s="33">
        <v>1</v>
      </c>
      <c r="K11" s="37">
        <f>+F11*H11*J11</f>
        <v>46.44</v>
      </c>
      <c r="L11" s="27">
        <f>F11*H11</f>
        <v>46.44</v>
      </c>
    </row>
    <row r="12" spans="1:12" x14ac:dyDescent="0.3">
      <c r="A12" s="327"/>
      <c r="B12" s="327"/>
      <c r="C12" s="327"/>
      <c r="D12" s="327"/>
      <c r="E12" s="38"/>
      <c r="F12" s="45"/>
      <c r="G12" s="45"/>
      <c r="H12" s="46"/>
      <c r="I12" s="33"/>
      <c r="J12" s="33"/>
      <c r="K12" s="37"/>
    </row>
    <row r="13" spans="1:12" x14ac:dyDescent="0.3">
      <c r="A13" s="327"/>
      <c r="B13" s="327"/>
      <c r="C13" s="327"/>
      <c r="D13" s="327"/>
      <c r="E13" s="38"/>
      <c r="F13" s="45"/>
      <c r="G13" s="45"/>
      <c r="H13" s="44"/>
      <c r="I13" s="33"/>
      <c r="J13" s="33"/>
      <c r="K13" s="37"/>
    </row>
    <row r="14" spans="1:12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2" x14ac:dyDescent="0.3">
      <c r="A15" s="327"/>
      <c r="B15" s="327"/>
      <c r="C15" s="327"/>
      <c r="D15" s="327"/>
      <c r="E15" s="33"/>
      <c r="F15" s="45"/>
      <c r="G15" s="45"/>
      <c r="H15" s="45"/>
      <c r="I15" s="32"/>
      <c r="J15" s="32"/>
      <c r="K15" s="32"/>
    </row>
    <row r="16" spans="1:12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+SUM(K11:K29)/2</f>
        <v>23.22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4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F10:G10"/>
    <mergeCell ref="F11:G11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1F337-6AF2-4771-8C69-F3D4371445D5}">
  <sheetPr>
    <tabColor rgb="FFFFFF00"/>
  </sheetPr>
  <dimension ref="A1:L39"/>
  <sheetViews>
    <sheetView zoomScale="85" zoomScaleNormal="85" workbookViewId="0">
      <selection activeCell="I24" sqref="I24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2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2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2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2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2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2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2" s="31" customFormat="1" ht="55.2" x14ac:dyDescent="0.3">
      <c r="A7" s="35" t="s">
        <v>56</v>
      </c>
      <c r="B7" s="28">
        <v>1.3</v>
      </c>
      <c r="C7" s="29" t="s">
        <v>57</v>
      </c>
      <c r="D7" s="323">
        <f>+VLOOKUP(B7,'FORMATO PRESUPUESTO'!D10:L31,3,FALSE)</f>
        <v>72151900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DEMOLICIÓN SARDINEL (INCLUYE RETIRO)</v>
      </c>
    </row>
    <row r="8" spans="1:12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2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62</v>
      </c>
    </row>
    <row r="10" spans="1:12" x14ac:dyDescent="0.3">
      <c r="A10" s="327"/>
      <c r="B10" s="327"/>
      <c r="C10" s="327"/>
      <c r="D10" s="327"/>
      <c r="E10" s="326"/>
      <c r="F10" s="336" t="s">
        <v>160</v>
      </c>
      <c r="G10" s="337"/>
      <c r="H10" s="34" t="s">
        <v>161</v>
      </c>
      <c r="I10" s="326"/>
      <c r="J10" s="326"/>
      <c r="K10" s="326"/>
    </row>
    <row r="11" spans="1:12" x14ac:dyDescent="0.3">
      <c r="A11" s="327"/>
      <c r="B11" s="327"/>
      <c r="C11" s="327"/>
      <c r="D11" s="327"/>
      <c r="E11" s="50" t="s">
        <v>102</v>
      </c>
      <c r="F11" s="334">
        <v>253.53</v>
      </c>
      <c r="G11" s="335"/>
      <c r="H11" s="43">
        <v>0.2</v>
      </c>
      <c r="I11" s="33">
        <f>+F11*H11</f>
        <v>50.706000000000003</v>
      </c>
      <c r="J11" s="33">
        <v>1</v>
      </c>
      <c r="K11" s="37">
        <f>+I11*J11</f>
        <v>50.706000000000003</v>
      </c>
      <c r="L11" s="27">
        <f>F11*H11</f>
        <v>50.706000000000003</v>
      </c>
    </row>
    <row r="12" spans="1:12" x14ac:dyDescent="0.3">
      <c r="A12" s="327"/>
      <c r="B12" s="327"/>
      <c r="C12" s="327"/>
      <c r="D12" s="327"/>
      <c r="E12" s="50" t="s">
        <v>247</v>
      </c>
      <c r="F12" s="334">
        <v>315.63</v>
      </c>
      <c r="G12" s="335"/>
      <c r="H12" s="43">
        <v>0.42</v>
      </c>
      <c r="I12" s="33">
        <f>+F12*H12</f>
        <v>132.56459999999998</v>
      </c>
      <c r="J12" s="33">
        <v>1</v>
      </c>
      <c r="K12" s="37"/>
    </row>
    <row r="13" spans="1:12" x14ac:dyDescent="0.3">
      <c r="A13" s="327"/>
      <c r="B13" s="327"/>
      <c r="C13" s="327"/>
      <c r="D13" s="327"/>
      <c r="E13" s="38"/>
      <c r="F13" s="45"/>
      <c r="G13" s="45"/>
      <c r="H13" s="44"/>
      <c r="I13" s="33"/>
      <c r="J13" s="33"/>
      <c r="K13" s="37"/>
    </row>
    <row r="14" spans="1:12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2" x14ac:dyDescent="0.3">
      <c r="A15" s="327"/>
      <c r="B15" s="327"/>
      <c r="C15" s="327"/>
      <c r="D15" s="327"/>
      <c r="E15" s="33"/>
      <c r="F15" s="45"/>
      <c r="G15" s="45"/>
      <c r="H15" s="45"/>
      <c r="I15" s="32"/>
      <c r="J15" s="32"/>
      <c r="K15" s="32"/>
    </row>
    <row r="16" spans="1:12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146">
        <f>+SUM(K11:K29)</f>
        <v>50.706000000000003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5">
    <mergeCell ref="E1:H1"/>
    <mergeCell ref="I1:K1"/>
    <mergeCell ref="E2:H2"/>
    <mergeCell ref="I2:K2"/>
    <mergeCell ref="C3:D5"/>
    <mergeCell ref="E3:K3"/>
    <mergeCell ref="E4:H4"/>
    <mergeCell ref="I4:K4"/>
    <mergeCell ref="A31:B31"/>
    <mergeCell ref="C31:D31"/>
    <mergeCell ref="E31:G31"/>
    <mergeCell ref="H31:K31"/>
    <mergeCell ref="E5:H5"/>
    <mergeCell ref="I5:K5"/>
    <mergeCell ref="A6:K6"/>
    <mergeCell ref="D7:I7"/>
    <mergeCell ref="A8:K8"/>
    <mergeCell ref="A9:D9"/>
    <mergeCell ref="E9:E10"/>
    <mergeCell ref="F9:H9"/>
    <mergeCell ref="I9:I10"/>
    <mergeCell ref="J9:J10"/>
    <mergeCell ref="A1:B5"/>
    <mergeCell ref="C1:D2"/>
    <mergeCell ref="F12:G12"/>
    <mergeCell ref="K9:K10"/>
    <mergeCell ref="A10:D30"/>
    <mergeCell ref="F10:G10"/>
    <mergeCell ref="F11:G11"/>
    <mergeCell ref="E30:J30"/>
    <mergeCell ref="A32:B37"/>
    <mergeCell ref="C32:D37"/>
    <mergeCell ref="E32:G37"/>
    <mergeCell ref="H32:K37"/>
    <mergeCell ref="A38:K38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BDB3A-BFF0-4076-8934-15636D417FD5}">
  <sheetPr>
    <tabColor rgb="FF92D050"/>
  </sheetPr>
  <dimension ref="A1:K39"/>
  <sheetViews>
    <sheetView topLeftCell="A8" zoomScale="85" zoomScaleNormal="85" workbookViewId="0">
      <selection activeCell="D48" sqref="D48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41.4" x14ac:dyDescent="0.3">
      <c r="A7" s="35" t="s">
        <v>56</v>
      </c>
      <c r="B7" s="28">
        <v>1.5</v>
      </c>
      <c r="C7" s="29" t="s">
        <v>57</v>
      </c>
      <c r="D7" s="323">
        <f>+VLOOKUP(B7,'FORMATO PRESUPUESTO'!D10:L31,3,FALSE)</f>
        <v>72151900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DEMOLICIÓN DE SUMIDEROS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63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ht="57.6" customHeight="1" x14ac:dyDescent="0.3">
      <c r="A11" s="327"/>
      <c r="B11" s="327"/>
      <c r="C11" s="327"/>
      <c r="D11" s="327"/>
      <c r="E11" s="95">
        <f>+D7</f>
        <v>72151900</v>
      </c>
      <c r="F11" s="43">
        <v>4.3</v>
      </c>
      <c r="G11" s="43">
        <v>25.2</v>
      </c>
      <c r="H11" s="46"/>
      <c r="I11" s="33">
        <f>+F11*G11*H11</f>
        <v>0</v>
      </c>
      <c r="J11" s="33">
        <v>1</v>
      </c>
      <c r="K11" s="37">
        <f>+F11*G11*J11</f>
        <v>108.36</v>
      </c>
    </row>
    <row r="12" spans="1:11" x14ac:dyDescent="0.3">
      <c r="A12" s="327"/>
      <c r="B12" s="327"/>
      <c r="C12" s="327"/>
      <c r="D12" s="327"/>
      <c r="E12" s="95">
        <f>+E11</f>
        <v>72151900</v>
      </c>
      <c r="F12" s="45">
        <v>4.3</v>
      </c>
      <c r="G12" s="45">
        <v>27.5</v>
      </c>
      <c r="H12" s="46"/>
      <c r="I12" s="33"/>
      <c r="J12" s="33">
        <v>1</v>
      </c>
      <c r="K12" s="37">
        <f>+F12*G12*J12</f>
        <v>118.25</v>
      </c>
    </row>
    <row r="13" spans="1:11" x14ac:dyDescent="0.3">
      <c r="A13" s="327"/>
      <c r="B13" s="327"/>
      <c r="C13" s="327"/>
      <c r="D13" s="327"/>
      <c r="E13" s="38"/>
      <c r="F13" s="45"/>
      <c r="G13" s="45"/>
      <c r="H13" s="44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1" x14ac:dyDescent="0.3">
      <c r="A15" s="327"/>
      <c r="B15" s="327"/>
      <c r="C15" s="327"/>
      <c r="D15" s="327"/>
      <c r="E15" s="33"/>
      <c r="F15" s="45"/>
      <c r="G15" s="45"/>
      <c r="H15" s="45"/>
      <c r="I15" s="32"/>
      <c r="J15" s="32"/>
      <c r="K15" s="32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226.61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F359C-2744-4C1C-9D2F-0A63E825330F}">
  <sheetPr>
    <tabColor rgb="FFFFFF00"/>
  </sheetPr>
  <dimension ref="A1:P39"/>
  <sheetViews>
    <sheetView topLeftCell="C1" zoomScale="85" zoomScaleNormal="85" workbookViewId="0">
      <selection activeCell="L18" sqref="L18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2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2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2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2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2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2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2" s="31" customFormat="1" ht="41.4" x14ac:dyDescent="0.3">
      <c r="A7" s="35" t="s">
        <v>56</v>
      </c>
      <c r="B7" s="28">
        <v>1.5</v>
      </c>
      <c r="C7" s="29" t="s">
        <v>57</v>
      </c>
      <c r="D7" s="323">
        <f>+VLOOKUP(B7,'FORMATO PRESUPUESTO'!D10:L31,3,FALSE)</f>
        <v>72151900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DEMOLICIÓN DE SUMIDEROS</v>
      </c>
    </row>
    <row r="8" spans="1:12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2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63</v>
      </c>
    </row>
    <row r="10" spans="1:12" x14ac:dyDescent="0.3">
      <c r="A10" s="135"/>
      <c r="B10" s="136"/>
      <c r="C10" s="137"/>
      <c r="D10" s="121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2" ht="43.2" customHeight="1" x14ac:dyDescent="0.3">
      <c r="A11" s="138"/>
      <c r="B11" s="139"/>
      <c r="C11" s="140"/>
      <c r="D11" s="121" t="s">
        <v>223</v>
      </c>
      <c r="E11" s="95">
        <f>+D7</f>
        <v>72151900</v>
      </c>
      <c r="F11" s="43">
        <v>4.3</v>
      </c>
      <c r="G11" s="43">
        <v>25.35</v>
      </c>
      <c r="H11" s="46"/>
      <c r="I11" s="33">
        <f>+F11*G11*H11</f>
        <v>0</v>
      </c>
      <c r="J11" s="33">
        <v>1</v>
      </c>
      <c r="K11" s="37"/>
    </row>
    <row r="12" spans="1:12" x14ac:dyDescent="0.3">
      <c r="A12" s="138"/>
      <c r="B12" s="139"/>
      <c r="C12" s="140"/>
      <c r="D12" s="121" t="s">
        <v>224</v>
      </c>
      <c r="E12" s="95">
        <f>+E11</f>
        <v>72151900</v>
      </c>
      <c r="F12" s="45">
        <v>4.3</v>
      </c>
      <c r="G12" s="45">
        <v>27.65</v>
      </c>
      <c r="H12" s="46"/>
      <c r="I12" s="33"/>
      <c r="J12" s="33">
        <v>1</v>
      </c>
      <c r="K12" s="37"/>
    </row>
    <row r="13" spans="1:12" x14ac:dyDescent="0.3">
      <c r="A13" s="138"/>
      <c r="B13" s="139"/>
      <c r="C13" s="139"/>
      <c r="D13" s="137"/>
      <c r="E13" s="38"/>
      <c r="F13" s="45"/>
      <c r="G13" s="45"/>
      <c r="H13" s="44"/>
      <c r="I13" s="33"/>
      <c r="J13" s="33"/>
      <c r="K13" s="37"/>
    </row>
    <row r="14" spans="1:12" x14ac:dyDescent="0.3">
      <c r="A14" s="138"/>
      <c r="B14" s="139"/>
      <c r="C14" s="139"/>
      <c r="D14" s="140"/>
      <c r="E14" s="38" t="s">
        <v>248</v>
      </c>
      <c r="F14" s="45">
        <v>4.08</v>
      </c>
      <c r="G14" s="45">
        <v>4.63</v>
      </c>
      <c r="H14" s="44"/>
      <c r="I14" s="33"/>
      <c r="J14" s="33">
        <v>13</v>
      </c>
      <c r="K14" s="37"/>
      <c r="L14" s="27">
        <v>245.5752</v>
      </c>
    </row>
    <row r="15" spans="1:12" x14ac:dyDescent="0.3">
      <c r="A15" s="138"/>
      <c r="B15" s="139"/>
      <c r="C15" s="139"/>
      <c r="D15" s="140"/>
      <c r="E15" s="38" t="s">
        <v>249</v>
      </c>
      <c r="F15" s="45">
        <v>3.93</v>
      </c>
      <c r="G15" s="45">
        <v>4.63</v>
      </c>
      <c r="H15" s="45"/>
      <c r="I15" s="32"/>
      <c r="J15" s="33">
        <v>3</v>
      </c>
      <c r="K15" s="37"/>
      <c r="L15" s="27">
        <v>54.587700000000005</v>
      </c>
    </row>
    <row r="16" spans="1:12" x14ac:dyDescent="0.3">
      <c r="A16" s="138"/>
      <c r="B16" s="139"/>
      <c r="C16" s="139"/>
      <c r="D16" s="140"/>
      <c r="E16" s="38" t="s">
        <v>249</v>
      </c>
      <c r="F16" s="45">
        <v>3.93</v>
      </c>
      <c r="G16" s="45">
        <f>(4.15+4.95)/2</f>
        <v>4.5500000000000007</v>
      </c>
      <c r="H16" s="45"/>
      <c r="I16" s="32"/>
      <c r="J16" s="33">
        <v>1</v>
      </c>
      <c r="K16" s="37"/>
      <c r="L16" s="27">
        <v>17.881500000000003</v>
      </c>
    </row>
    <row r="17" spans="1:16" x14ac:dyDescent="0.3">
      <c r="A17" s="138"/>
      <c r="B17" s="139"/>
      <c r="C17" s="139"/>
      <c r="D17" s="140"/>
      <c r="E17" s="33"/>
      <c r="F17" s="45"/>
      <c r="G17" s="45"/>
      <c r="H17" s="45"/>
      <c r="I17" s="32"/>
      <c r="J17" s="32"/>
      <c r="K17" s="32"/>
    </row>
    <row r="18" spans="1:16" x14ac:dyDescent="0.3">
      <c r="A18" s="138"/>
      <c r="B18" s="139"/>
      <c r="C18" s="139"/>
      <c r="D18" s="140"/>
      <c r="E18" s="40"/>
      <c r="F18" s="45"/>
      <c r="G18" s="45"/>
      <c r="H18" s="45"/>
      <c r="I18" s="32"/>
      <c r="J18" s="32"/>
      <c r="K18" s="32"/>
    </row>
    <row r="19" spans="1:16" x14ac:dyDescent="0.3">
      <c r="A19" s="138"/>
      <c r="B19" s="139"/>
      <c r="C19" s="139"/>
      <c r="D19" s="140"/>
      <c r="E19" s="38"/>
      <c r="F19" s="33"/>
      <c r="G19" s="33"/>
      <c r="H19" s="33"/>
      <c r="I19" s="32"/>
      <c r="J19" s="32"/>
      <c r="K19" s="39"/>
    </row>
    <row r="20" spans="1:16" x14ac:dyDescent="0.3">
      <c r="A20" s="138"/>
      <c r="B20" s="139"/>
      <c r="C20" s="139"/>
      <c r="D20" s="140"/>
      <c r="E20" s="40"/>
      <c r="F20" s="33"/>
      <c r="G20" s="33"/>
      <c r="H20" s="33"/>
      <c r="I20" s="32"/>
      <c r="J20" s="32"/>
      <c r="K20" s="32"/>
    </row>
    <row r="21" spans="1:16" x14ac:dyDescent="0.3">
      <c r="A21" s="138"/>
      <c r="B21" s="139"/>
      <c r="C21" s="139"/>
      <c r="D21" s="140"/>
      <c r="E21" s="40"/>
      <c r="F21" s="33"/>
      <c r="G21" s="33"/>
      <c r="H21" s="33"/>
      <c r="I21" s="32"/>
      <c r="J21" s="32"/>
      <c r="K21" s="32"/>
    </row>
    <row r="22" spans="1:16" x14ac:dyDescent="0.3">
      <c r="A22" s="138"/>
      <c r="B22" s="139"/>
      <c r="C22" s="139"/>
      <c r="D22" s="140"/>
      <c r="E22" s="40"/>
      <c r="F22" s="33"/>
      <c r="G22" s="33"/>
      <c r="H22" s="33"/>
      <c r="I22" s="32"/>
      <c r="J22" s="32"/>
      <c r="K22" s="32"/>
    </row>
    <row r="23" spans="1:16" x14ac:dyDescent="0.3">
      <c r="A23" s="138"/>
      <c r="B23" s="139"/>
      <c r="C23" s="139"/>
      <c r="D23" s="140"/>
      <c r="E23" s="40"/>
      <c r="F23" s="33"/>
      <c r="G23" s="33"/>
      <c r="H23" s="33"/>
      <c r="I23" s="32"/>
      <c r="J23" s="32"/>
      <c r="K23" s="32"/>
    </row>
    <row r="24" spans="1:16" x14ac:dyDescent="0.3">
      <c r="A24" s="138"/>
      <c r="B24" s="139"/>
      <c r="C24" s="139"/>
      <c r="D24" s="140"/>
      <c r="E24" s="40"/>
      <c r="F24" s="33"/>
      <c r="G24" s="33"/>
      <c r="H24" s="33"/>
      <c r="I24" s="32"/>
      <c r="J24" s="32"/>
      <c r="K24" s="32"/>
    </row>
    <row r="25" spans="1:16" x14ac:dyDescent="0.3">
      <c r="A25" s="138"/>
      <c r="B25" s="139"/>
      <c r="C25" s="139"/>
      <c r="D25" s="140"/>
      <c r="E25" s="40"/>
      <c r="F25" s="33"/>
      <c r="G25" s="33"/>
      <c r="H25" s="33"/>
      <c r="I25" s="32"/>
      <c r="J25" s="32"/>
      <c r="K25" s="32"/>
    </row>
    <row r="26" spans="1:16" x14ac:dyDescent="0.3">
      <c r="A26" s="138"/>
      <c r="B26" s="139"/>
      <c r="C26" s="139"/>
      <c r="D26" s="140"/>
      <c r="E26" s="40"/>
      <c r="F26" s="33"/>
      <c r="G26" s="33"/>
      <c r="H26" s="33"/>
      <c r="I26" s="32"/>
      <c r="J26" s="32"/>
      <c r="K26" s="32"/>
    </row>
    <row r="27" spans="1:16" x14ac:dyDescent="0.3">
      <c r="A27" s="138"/>
      <c r="B27" s="139"/>
      <c r="C27" s="139"/>
      <c r="D27" s="140"/>
      <c r="E27" s="40"/>
      <c r="F27" s="33"/>
      <c r="G27" s="33"/>
      <c r="H27" s="33"/>
      <c r="I27" s="32"/>
      <c r="J27" s="32"/>
      <c r="K27" s="32"/>
      <c r="M27" s="27">
        <v>3.88</v>
      </c>
      <c r="N27" s="27">
        <v>0.2</v>
      </c>
      <c r="O27" s="27">
        <v>14</v>
      </c>
      <c r="P27" s="27">
        <f>M27*N27*O27</f>
        <v>10.864000000000001</v>
      </c>
    </row>
    <row r="28" spans="1:16" x14ac:dyDescent="0.3">
      <c r="A28" s="138"/>
      <c r="B28" s="139"/>
      <c r="C28" s="139"/>
      <c r="D28" s="140"/>
      <c r="E28" s="40"/>
      <c r="F28" s="33"/>
      <c r="G28" s="33"/>
      <c r="H28" s="33"/>
      <c r="I28" s="32"/>
      <c r="J28" s="32"/>
      <c r="K28" s="32"/>
      <c r="M28" s="27">
        <v>3.93</v>
      </c>
      <c r="N28" s="27">
        <v>0.2</v>
      </c>
      <c r="O28" s="27">
        <v>4</v>
      </c>
      <c r="P28" s="27">
        <f>M28*N28*O28</f>
        <v>3.1440000000000001</v>
      </c>
    </row>
    <row r="29" spans="1:16" x14ac:dyDescent="0.3">
      <c r="A29" s="138"/>
      <c r="B29" s="139"/>
      <c r="C29" s="139"/>
      <c r="D29" s="140"/>
      <c r="E29" s="38"/>
      <c r="F29" s="33"/>
      <c r="G29" s="33"/>
      <c r="H29" s="33"/>
      <c r="I29" s="32"/>
      <c r="J29" s="33"/>
      <c r="K29" s="41"/>
      <c r="P29" s="27">
        <f>SUM(P27:P28)</f>
        <v>14.008000000000001</v>
      </c>
    </row>
    <row r="30" spans="1:16" x14ac:dyDescent="0.3">
      <c r="A30" s="141"/>
      <c r="B30" s="142"/>
      <c r="C30" s="142"/>
      <c r="D30" s="143"/>
      <c r="E30" s="324" t="s">
        <v>45</v>
      </c>
      <c r="F30" s="324"/>
      <c r="G30" s="324"/>
      <c r="H30" s="324"/>
      <c r="I30" s="324"/>
      <c r="J30" s="324"/>
      <c r="K30" s="146">
        <f>+SUM(K11:K29)</f>
        <v>0</v>
      </c>
      <c r="L30" s="27">
        <v>0.8</v>
      </c>
      <c r="M30" s="27">
        <f>K30/L30</f>
        <v>0</v>
      </c>
    </row>
    <row r="31" spans="1:16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6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1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A32:B37"/>
    <mergeCell ref="C32:D37"/>
    <mergeCell ref="E32:G37"/>
    <mergeCell ref="H32:K37"/>
    <mergeCell ref="A38:K38"/>
  </mergeCells>
  <phoneticPr fontId="7" type="noConversion"/>
  <pageMargins left="0.7" right="0.7" top="0.75" bottom="0.75" header="0.3" footer="0.3"/>
  <pageSetup paperSize="9" scale="5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245D6-3C9E-4C83-A5D1-1C5528F55F21}">
  <sheetPr>
    <tabColor rgb="FF92D050"/>
  </sheetPr>
  <dimension ref="A1:K39"/>
  <sheetViews>
    <sheetView topLeftCell="A6" zoomScale="85" zoomScaleNormal="85" workbookViewId="0">
      <selection activeCell="D48" sqref="D48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55.2" x14ac:dyDescent="0.3">
      <c r="A7" s="35" t="s">
        <v>56</v>
      </c>
      <c r="B7" s="28">
        <v>1.6</v>
      </c>
      <c r="C7" s="29" t="s">
        <v>57</v>
      </c>
      <c r="D7" s="323">
        <f>+VLOOKUP(B7,'FORMATO PRESUPUESTO'!D10:L31,3,FALSE)</f>
        <v>72151900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DEMOLICIÓN MUROS LADRILLO E = 0.15 mts.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166</v>
      </c>
      <c r="J9" s="326" t="s">
        <v>44</v>
      </c>
      <c r="K9" s="326" t="s">
        <v>167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 t="s">
        <v>165</v>
      </c>
      <c r="F11" s="43">
        <v>0.2</v>
      </c>
      <c r="G11" s="43">
        <v>0.8</v>
      </c>
      <c r="H11" s="46">
        <v>0.5</v>
      </c>
      <c r="I11" s="33">
        <f>55+5+5+5+1+5+7</f>
        <v>83</v>
      </c>
      <c r="K11" s="97">
        <f>+I11</f>
        <v>83</v>
      </c>
    </row>
    <row r="12" spans="1:11" x14ac:dyDescent="0.3">
      <c r="A12" s="327"/>
      <c r="B12" s="327"/>
      <c r="C12" s="327"/>
      <c r="D12" s="327"/>
      <c r="E12" s="38"/>
      <c r="F12" s="45"/>
      <c r="G12" s="45"/>
      <c r="H12" s="46"/>
      <c r="I12" s="33"/>
      <c r="J12" s="33"/>
      <c r="K12" s="37"/>
    </row>
    <row r="13" spans="1:11" x14ac:dyDescent="0.3">
      <c r="A13" s="327"/>
      <c r="B13" s="327"/>
      <c r="C13" s="327"/>
      <c r="D13" s="327"/>
      <c r="E13" s="38"/>
      <c r="F13" s="45"/>
      <c r="G13" s="122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1" x14ac:dyDescent="0.3">
      <c r="A15" s="327"/>
      <c r="B15" s="327"/>
      <c r="C15" s="327"/>
      <c r="D15" s="327"/>
      <c r="E15" s="33"/>
      <c r="F15" s="45"/>
      <c r="G15" s="45"/>
      <c r="H15" s="45"/>
      <c r="I15" s="33"/>
      <c r="J15" s="32"/>
      <c r="K15" s="32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3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3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3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3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83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5F7AD-0CD9-41AE-8E8B-E946CAAA37FA}">
  <sheetPr>
    <tabColor rgb="FFFFFF00"/>
  </sheetPr>
  <dimension ref="A1:K39"/>
  <sheetViews>
    <sheetView topLeftCell="C1" zoomScale="85" zoomScaleNormal="85" workbookViewId="0">
      <selection activeCell="G46" sqref="G46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32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55.2" x14ac:dyDescent="0.3">
      <c r="A7" s="35" t="s">
        <v>56</v>
      </c>
      <c r="B7" s="28">
        <v>1.6</v>
      </c>
      <c r="C7" s="29" t="s">
        <v>57</v>
      </c>
      <c r="D7" s="323">
        <f>+VLOOKUP(B7,'FORMATO PRESUPUESTO'!D10:L31,3,FALSE)</f>
        <v>72151900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DEMOLICIÓN MUROS LADRILLO E = 0.15 mts.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166</v>
      </c>
      <c r="J9" s="326" t="s">
        <v>44</v>
      </c>
      <c r="K9" s="326" t="s">
        <v>167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/>
      <c r="F11" s="43"/>
      <c r="G11" s="43"/>
      <c r="H11" s="46"/>
      <c r="I11" s="33"/>
      <c r="K11" s="97"/>
    </row>
    <row r="12" spans="1:11" x14ac:dyDescent="0.3">
      <c r="A12" s="327"/>
      <c r="B12" s="327"/>
      <c r="C12" s="327"/>
      <c r="D12" s="327"/>
      <c r="E12" s="38"/>
      <c r="F12" s="45"/>
      <c r="G12" s="45"/>
      <c r="H12" s="46"/>
      <c r="I12" s="33"/>
      <c r="J12" s="33"/>
      <c r="K12" s="37"/>
    </row>
    <row r="13" spans="1:11" x14ac:dyDescent="0.3">
      <c r="A13" s="327"/>
      <c r="B13" s="327"/>
      <c r="C13" s="327"/>
      <c r="D13" s="327"/>
      <c r="E13" s="38" t="s">
        <v>165</v>
      </c>
      <c r="F13" s="45"/>
      <c r="G13" s="122" t="s">
        <v>246</v>
      </c>
      <c r="I13" s="33">
        <v>55</v>
      </c>
      <c r="J13" s="33">
        <v>1</v>
      </c>
      <c r="K13" s="97"/>
    </row>
    <row r="14" spans="1:11" x14ac:dyDescent="0.3">
      <c r="A14" s="327"/>
      <c r="B14" s="327"/>
      <c r="C14" s="327"/>
      <c r="D14" s="327"/>
      <c r="E14" s="38"/>
      <c r="F14" s="45"/>
      <c r="G14" s="45" t="s">
        <v>225</v>
      </c>
      <c r="H14" s="44"/>
      <c r="I14" s="33">
        <v>5</v>
      </c>
      <c r="J14" s="33">
        <v>1</v>
      </c>
      <c r="K14" s="97"/>
    </row>
    <row r="15" spans="1:11" x14ac:dyDescent="0.3">
      <c r="A15" s="327"/>
      <c r="B15" s="327"/>
      <c r="C15" s="327"/>
      <c r="D15" s="327"/>
      <c r="E15" s="33"/>
      <c r="F15" s="45"/>
      <c r="G15" s="45" t="s">
        <v>227</v>
      </c>
      <c r="H15" s="45"/>
      <c r="I15" s="33">
        <v>5</v>
      </c>
      <c r="J15" s="33">
        <v>1</v>
      </c>
      <c r="K15" s="97"/>
    </row>
    <row r="16" spans="1:11" x14ac:dyDescent="0.3">
      <c r="A16" s="327"/>
      <c r="B16" s="327"/>
      <c r="C16" s="327"/>
      <c r="D16" s="327"/>
      <c r="E16" s="33"/>
      <c r="F16" s="45"/>
      <c r="G16" s="45" t="s">
        <v>226</v>
      </c>
      <c r="H16" s="45"/>
      <c r="I16" s="33">
        <v>5</v>
      </c>
      <c r="J16" s="33">
        <v>1</v>
      </c>
      <c r="K16" s="97"/>
    </row>
    <row r="17" spans="1:11" x14ac:dyDescent="0.3">
      <c r="A17" s="327"/>
      <c r="B17" s="327"/>
      <c r="C17" s="327"/>
      <c r="D17" s="327"/>
      <c r="E17" s="33"/>
      <c r="F17" s="45"/>
      <c r="G17" s="45" t="s">
        <v>228</v>
      </c>
      <c r="H17" s="45"/>
      <c r="I17" s="33">
        <v>1</v>
      </c>
      <c r="J17" s="33">
        <v>1</v>
      </c>
      <c r="K17" s="97"/>
    </row>
    <row r="18" spans="1:11" x14ac:dyDescent="0.3">
      <c r="A18" s="327"/>
      <c r="B18" s="327"/>
      <c r="C18" s="327"/>
      <c r="D18" s="327"/>
      <c r="E18" s="40"/>
      <c r="F18" s="45"/>
      <c r="G18" s="45" t="s">
        <v>229</v>
      </c>
      <c r="H18" s="45"/>
      <c r="I18" s="33">
        <v>5</v>
      </c>
      <c r="J18" s="33">
        <v>1</v>
      </c>
      <c r="K18" s="97"/>
    </row>
    <row r="19" spans="1:11" x14ac:dyDescent="0.3">
      <c r="A19" s="327"/>
      <c r="B19" s="327"/>
      <c r="C19" s="327"/>
      <c r="D19" s="327"/>
      <c r="E19" s="38"/>
      <c r="F19" s="33"/>
      <c r="G19" s="33" t="s">
        <v>230</v>
      </c>
      <c r="H19" s="33"/>
      <c r="I19" s="33">
        <v>7</v>
      </c>
      <c r="J19" s="33">
        <v>1</v>
      </c>
      <c r="K19" s="97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123">
        <f>+SUM(K11:K29)</f>
        <v>0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A32:B37"/>
    <mergeCell ref="C32:D37"/>
    <mergeCell ref="E32:G37"/>
    <mergeCell ref="H32:K37"/>
    <mergeCell ref="A38:K38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136E9-3663-4ED9-B7FC-669A100336C9}">
  <sheetPr>
    <tabColor rgb="FF002060"/>
  </sheetPr>
  <dimension ref="A1:K39"/>
  <sheetViews>
    <sheetView zoomScale="85" zoomScaleNormal="85" workbookViewId="0">
      <selection activeCell="E42" sqref="E42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69" x14ac:dyDescent="0.3">
      <c r="A7" s="35" t="s">
        <v>56</v>
      </c>
      <c r="B7" s="28">
        <v>1.7</v>
      </c>
      <c r="C7" s="29" t="s">
        <v>57</v>
      </c>
      <c r="D7" s="323">
        <f>+VLOOKUP(B7,'FORMATO PRESUPUESTO'!D10:L31,3,FALSE)</f>
        <v>72151900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DESCAPOTE MANUAL (HASTA 20 CM ) DISTANCIA DE 1 A 5 KM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61</v>
      </c>
      <c r="J9" s="326" t="s">
        <v>44</v>
      </c>
      <c r="K9" s="326" t="s">
        <v>63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ht="27.6" x14ac:dyDescent="0.3">
      <c r="A11" s="327"/>
      <c r="B11" s="327"/>
      <c r="C11" s="327"/>
      <c r="D11" s="327"/>
      <c r="E11" s="95" t="s">
        <v>146</v>
      </c>
      <c r="F11" s="43"/>
      <c r="G11" s="43">
        <v>4.5</v>
      </c>
      <c r="H11" s="46"/>
      <c r="I11" s="33">
        <f>+F11*G11</f>
        <v>0</v>
      </c>
      <c r="J11" s="33">
        <v>21</v>
      </c>
      <c r="K11" s="37"/>
    </row>
    <row r="12" spans="1:11" x14ac:dyDescent="0.3">
      <c r="A12" s="327"/>
      <c r="B12" s="327"/>
      <c r="C12" s="327"/>
      <c r="D12" s="327"/>
      <c r="E12" s="38"/>
      <c r="F12" s="45"/>
      <c r="G12" s="45"/>
      <c r="H12" s="46"/>
      <c r="I12" s="33"/>
      <c r="J12" s="33"/>
      <c r="K12" s="37"/>
    </row>
    <row r="13" spans="1:11" x14ac:dyDescent="0.3">
      <c r="A13" s="327"/>
      <c r="B13" s="327"/>
      <c r="C13" s="327"/>
      <c r="D13" s="327"/>
      <c r="E13" s="38"/>
      <c r="F13" s="45"/>
      <c r="G13" s="45"/>
      <c r="H13" s="44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1" x14ac:dyDescent="0.3">
      <c r="A15" s="327"/>
      <c r="B15" s="327"/>
      <c r="C15" s="327"/>
      <c r="D15" s="327"/>
      <c r="E15" s="33"/>
      <c r="F15" s="45"/>
      <c r="G15" s="45"/>
      <c r="H15" s="45"/>
      <c r="I15" s="32"/>
      <c r="J15" s="32"/>
      <c r="K15" s="32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0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2A609-5380-4F9F-9909-12FA1E68E0CF}">
  <sheetPr>
    <tabColor rgb="FF002060"/>
  </sheetPr>
  <dimension ref="A1:K39"/>
  <sheetViews>
    <sheetView zoomScale="85" zoomScaleNormal="85" workbookViewId="0">
      <selection activeCell="H26" sqref="H26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55.2" x14ac:dyDescent="0.3">
      <c r="A7" s="35" t="s">
        <v>56</v>
      </c>
      <c r="B7" s="28">
        <v>1.8</v>
      </c>
      <c r="C7" s="29" t="s">
        <v>57</v>
      </c>
      <c r="D7" s="323">
        <f>+VLOOKUP(B7,'FORMATO PRESUPUESTO'!D10:L31,3,FALSE)</f>
        <v>72151900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DESMONTE ADOQUIN PREFABRICADO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(DESMONTE ADOQUIN PREFABRICADO)</v>
      </c>
      <c r="J9" s="326" t="s">
        <v>44</v>
      </c>
      <c r="K9" s="326" t="str">
        <f>+CONCATENATE("(k) MEDIDA TOTAL"," ","(",K7,")")</f>
        <v>(k) MEDIDA TOTAL (DESMONTE ADOQUIN PREFABRICADO)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95" t="s">
        <v>250</v>
      </c>
      <c r="F11" s="43"/>
      <c r="G11" s="43">
        <v>60.4</v>
      </c>
      <c r="H11" s="43"/>
      <c r="I11" s="33">
        <f>+G11</f>
        <v>60.4</v>
      </c>
      <c r="J11" s="33">
        <v>1</v>
      </c>
      <c r="K11" s="37"/>
    </row>
    <row r="12" spans="1:11" x14ac:dyDescent="0.3">
      <c r="A12" s="327"/>
      <c r="B12" s="327"/>
      <c r="C12" s="327"/>
      <c r="D12" s="327"/>
      <c r="E12" s="38"/>
      <c r="F12" s="45"/>
      <c r="G12" s="45"/>
      <c r="H12" s="45"/>
      <c r="I12" s="33"/>
      <c r="J12" s="33"/>
      <c r="K12" s="37">
        <f>+I12*J12</f>
        <v>0</v>
      </c>
    </row>
    <row r="13" spans="1:11" x14ac:dyDescent="0.3">
      <c r="A13" s="327"/>
      <c r="B13" s="327"/>
      <c r="C13" s="327"/>
      <c r="D13" s="327"/>
      <c r="E13" s="38"/>
      <c r="F13" s="45"/>
      <c r="G13" s="45"/>
      <c r="H13" s="45"/>
      <c r="I13" s="33"/>
      <c r="J13" s="33"/>
      <c r="K13" s="37">
        <f>+I13*J13</f>
        <v>0</v>
      </c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0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C72A3-0B59-4DFE-AB3A-81CC976B900B}">
  <sheetPr>
    <tabColor rgb="FFFFFF00"/>
  </sheetPr>
  <dimension ref="A1:K43"/>
  <sheetViews>
    <sheetView zoomScale="85" zoomScaleNormal="85" workbookViewId="0">
      <selection activeCell="G45" sqref="G45:G46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9.4414062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2.1</v>
      </c>
      <c r="C7" s="29" t="s">
        <v>57</v>
      </c>
      <c r="D7" s="323" t="str">
        <f>'FORMATO PRESUPUESTO'!G9</f>
        <v>CORTE DE ARBUSTO</v>
      </c>
      <c r="E7" s="323"/>
      <c r="F7" s="323"/>
      <c r="G7" s="323"/>
      <c r="H7" s="323"/>
      <c r="I7" s="323"/>
      <c r="J7" s="30" t="s">
        <v>41</v>
      </c>
      <c r="K7" s="36" t="s">
        <v>121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61</v>
      </c>
      <c r="J9" s="326" t="s">
        <v>44</v>
      </c>
      <c r="K9" s="326" t="s">
        <v>131</v>
      </c>
    </row>
    <row r="10" spans="1:11" x14ac:dyDescent="0.3">
      <c r="A10" s="327"/>
      <c r="B10" s="327"/>
      <c r="C10" s="327"/>
      <c r="D10" s="327"/>
      <c r="E10" s="326"/>
      <c r="F10" s="34" t="s">
        <v>130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 t="str">
        <f>D7</f>
        <v>CORTE DE ARBUSTO</v>
      </c>
      <c r="F11" s="43">
        <v>1</v>
      </c>
      <c r="G11" s="43">
        <f>24.3/1000</f>
        <v>2.4300000000000002E-2</v>
      </c>
      <c r="H11" s="46"/>
      <c r="I11" s="33"/>
      <c r="J11" s="33">
        <v>1</v>
      </c>
      <c r="K11" s="37">
        <f>G11*J11</f>
        <v>2.4300000000000002E-2</v>
      </c>
    </row>
    <row r="12" spans="1:11" x14ac:dyDescent="0.3">
      <c r="A12" s="327"/>
      <c r="B12" s="327"/>
      <c r="C12" s="327"/>
      <c r="D12" s="327"/>
      <c r="E12" s="38"/>
      <c r="F12" s="43">
        <v>2</v>
      </c>
      <c r="G12" s="45">
        <v>6.5000000000000002E-2</v>
      </c>
      <c r="H12" s="46"/>
      <c r="I12" s="33"/>
      <c r="J12" s="33">
        <v>1</v>
      </c>
      <c r="K12" s="37">
        <f t="shared" ref="K12:K16" si="0">G12*J12</f>
        <v>6.5000000000000002E-2</v>
      </c>
    </row>
    <row r="13" spans="1:11" x14ac:dyDescent="0.3">
      <c r="A13" s="327"/>
      <c r="B13" s="327"/>
      <c r="C13" s="327"/>
      <c r="D13" s="327"/>
      <c r="E13" s="38"/>
      <c r="F13" s="43">
        <v>3</v>
      </c>
      <c r="G13" s="45">
        <f>21.5/1000</f>
        <v>2.1499999999999998E-2</v>
      </c>
      <c r="H13" s="44"/>
      <c r="I13" s="33"/>
      <c r="J13" s="33">
        <v>1</v>
      </c>
      <c r="K13" s="37">
        <f t="shared" si="0"/>
        <v>2.1499999999999998E-2</v>
      </c>
    </row>
    <row r="14" spans="1:11" x14ac:dyDescent="0.3">
      <c r="A14" s="327"/>
      <c r="B14" s="327"/>
      <c r="C14" s="327"/>
      <c r="D14" s="327"/>
      <c r="E14" s="38"/>
      <c r="F14" s="43">
        <v>4</v>
      </c>
      <c r="G14" s="45">
        <v>0.02</v>
      </c>
      <c r="H14" s="44"/>
      <c r="I14" s="33"/>
      <c r="J14" s="33">
        <v>1</v>
      </c>
      <c r="K14" s="37">
        <f t="shared" si="0"/>
        <v>0.02</v>
      </c>
    </row>
    <row r="15" spans="1:11" x14ac:dyDescent="0.3">
      <c r="A15" s="327"/>
      <c r="B15" s="327"/>
      <c r="C15" s="327"/>
      <c r="D15" s="327"/>
      <c r="E15" s="33"/>
      <c r="F15" s="43">
        <v>5</v>
      </c>
      <c r="G15" s="45">
        <f>2.5/1000</f>
        <v>2.5000000000000001E-3</v>
      </c>
      <c r="H15" s="45"/>
      <c r="I15" s="32"/>
      <c r="J15" s="33">
        <v>1</v>
      </c>
      <c r="K15" s="37">
        <f t="shared" si="0"/>
        <v>2.5000000000000001E-3</v>
      </c>
    </row>
    <row r="16" spans="1:11" x14ac:dyDescent="0.3">
      <c r="A16" s="327"/>
      <c r="B16" s="327"/>
      <c r="C16" s="327"/>
      <c r="D16" s="327"/>
      <c r="E16" s="33"/>
      <c r="F16" s="43">
        <v>6</v>
      </c>
      <c r="G16" s="45">
        <v>2.5000000000000001E-2</v>
      </c>
      <c r="H16" s="45"/>
      <c r="I16" s="32"/>
      <c r="J16" s="33">
        <v>1</v>
      </c>
      <c r="K16" s="37">
        <f t="shared" si="0"/>
        <v>2.5000000000000001E-2</v>
      </c>
    </row>
    <row r="17" spans="1:11" x14ac:dyDescent="0.3">
      <c r="A17" s="327"/>
      <c r="B17" s="327"/>
      <c r="C17" s="327"/>
      <c r="D17" s="327"/>
      <c r="E17" s="162" t="s">
        <v>263</v>
      </c>
      <c r="F17" s="43">
        <v>7</v>
      </c>
      <c r="G17" s="45">
        <v>8.1000000000000003E-2</v>
      </c>
      <c r="H17" s="45"/>
      <c r="I17" s="32"/>
      <c r="J17" s="33">
        <v>1</v>
      </c>
      <c r="K17" s="37">
        <f>G17*J17</f>
        <v>8.1000000000000003E-2</v>
      </c>
    </row>
    <row r="18" spans="1:11" x14ac:dyDescent="0.3">
      <c r="A18" s="327"/>
      <c r="B18" s="327"/>
      <c r="C18" s="327"/>
      <c r="D18" s="327"/>
      <c r="E18" s="163" t="s">
        <v>276</v>
      </c>
      <c r="F18" s="43">
        <v>8</v>
      </c>
      <c r="G18" s="45">
        <v>0.02</v>
      </c>
      <c r="H18" s="45"/>
      <c r="I18" s="32"/>
      <c r="J18" s="33">
        <v>1</v>
      </c>
      <c r="K18" s="37">
        <f>G18*J18</f>
        <v>0.02</v>
      </c>
    </row>
    <row r="19" spans="1:11" x14ac:dyDescent="0.3">
      <c r="A19" s="327"/>
      <c r="B19" s="327"/>
      <c r="C19" s="327"/>
      <c r="D19" s="327"/>
      <c r="E19" s="38" t="s">
        <v>308</v>
      </c>
      <c r="F19" s="33">
        <v>9</v>
      </c>
      <c r="G19" s="33">
        <f>(3.9+18.5+4.9+7.2)/1000</f>
        <v>3.4500000000000003E-2</v>
      </c>
      <c r="H19" s="33"/>
      <c r="I19" s="32"/>
      <c r="J19" s="33">
        <v>1</v>
      </c>
      <c r="K19" s="37">
        <f>G19*J19</f>
        <v>3.4500000000000003E-2</v>
      </c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0.29380000000000006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  <row r="43" spans="1:11" x14ac:dyDescent="0.3">
      <c r="G43" s="27">
        <f>18.5+4.9</f>
        <v>23.4</v>
      </c>
    </row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96889-CD0D-4573-8883-405F61364D31}">
  <sheetPr>
    <tabColor rgb="FF92D050"/>
  </sheetPr>
  <dimension ref="A1:K55"/>
  <sheetViews>
    <sheetView topLeftCell="B1" zoomScale="85" zoomScaleNormal="85" workbookViewId="0">
      <selection activeCell="F23" sqref="F23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8.33203125" style="27" customWidth="1"/>
    <col min="9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96.6" x14ac:dyDescent="0.3">
      <c r="A7" s="35" t="s">
        <v>56</v>
      </c>
      <c r="B7" s="28">
        <v>2.2000000000000002</v>
      </c>
      <c r="C7" s="29" t="s">
        <v>57</v>
      </c>
      <c r="D7" s="323">
        <f>+VLOOKUP(B7,'FORMATO PRESUPUESTO'!D10:L31,3,FALSE)</f>
        <v>72101500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RELLENO CON MATERIAL DE AFIRMADO COMPACTADO RANA Y/O VIBROCOMPACTADOR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62</v>
      </c>
    </row>
    <row r="10" spans="1:11" ht="14.4" customHeight="1" x14ac:dyDescent="0.3">
      <c r="A10" s="327"/>
      <c r="B10" s="327"/>
      <c r="C10" s="327"/>
      <c r="D10" s="327"/>
      <c r="E10" s="326"/>
      <c r="F10" s="336" t="s">
        <v>133</v>
      </c>
      <c r="G10" s="337"/>
      <c r="H10" s="34" t="s">
        <v>51</v>
      </c>
      <c r="I10" s="326"/>
      <c r="J10" s="326"/>
      <c r="K10" s="326"/>
    </row>
    <row r="11" spans="1:11" ht="14.4" customHeight="1" x14ac:dyDescent="0.3">
      <c r="A11" s="327"/>
      <c r="B11" s="327"/>
      <c r="C11" s="327"/>
      <c r="D11" s="327"/>
      <c r="E11" s="38" t="s">
        <v>134</v>
      </c>
      <c r="F11" s="334">
        <f>29.31+36.3+23.4+21.08+17.195+17.0531+36.5702+15+15+17+6.4</f>
        <v>234.3083</v>
      </c>
      <c r="G11" s="335"/>
      <c r="H11" s="46">
        <v>0.3</v>
      </c>
      <c r="I11" s="33">
        <f>+H11*F11</f>
        <v>70.292490000000001</v>
      </c>
      <c r="J11" s="33">
        <v>1</v>
      </c>
      <c r="K11" s="37">
        <f>+I11*J11</f>
        <v>70.292490000000001</v>
      </c>
    </row>
    <row r="12" spans="1:11" ht="14.4" customHeight="1" x14ac:dyDescent="0.3">
      <c r="A12" s="327"/>
      <c r="B12" s="327"/>
      <c r="C12" s="327"/>
      <c r="D12" s="327"/>
      <c r="E12" s="38" t="s">
        <v>135</v>
      </c>
      <c r="F12" s="334">
        <v>36</v>
      </c>
      <c r="G12" s="335"/>
      <c r="H12" s="46">
        <v>0.3</v>
      </c>
      <c r="I12" s="33">
        <f t="shared" ref="I12:I13" si="0">+H12*F12</f>
        <v>10.799999999999999</v>
      </c>
      <c r="J12" s="33">
        <v>4</v>
      </c>
      <c r="K12" s="37">
        <f>+I12*J12</f>
        <v>43.199999999999996</v>
      </c>
    </row>
    <row r="13" spans="1:11" x14ac:dyDescent="0.3">
      <c r="A13" s="327"/>
      <c r="B13" s="327"/>
      <c r="C13" s="327"/>
      <c r="D13" s="327"/>
      <c r="E13" s="38" t="s">
        <v>136</v>
      </c>
      <c r="F13" s="334">
        <v>3.88</v>
      </c>
      <c r="G13" s="335"/>
      <c r="H13" s="44">
        <v>0.3</v>
      </c>
      <c r="I13" s="33">
        <f t="shared" si="0"/>
        <v>1.1639999999999999</v>
      </c>
      <c r="J13" s="33">
        <v>6</v>
      </c>
      <c r="K13" s="37">
        <f t="shared" ref="K13" si="1">+I13*J13</f>
        <v>6.984</v>
      </c>
    </row>
    <row r="14" spans="1:11" x14ac:dyDescent="0.3">
      <c r="A14" s="327"/>
      <c r="B14" s="327"/>
      <c r="C14" s="327"/>
      <c r="D14" s="327"/>
      <c r="E14" s="38"/>
      <c r="F14" s="125"/>
      <c r="G14" s="126"/>
      <c r="H14" s="127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33"/>
      <c r="G15" s="45"/>
      <c r="H15" s="45"/>
      <c r="I15" s="32"/>
      <c r="J15" s="32"/>
      <c r="K15" s="32"/>
    </row>
    <row r="16" spans="1:11" x14ac:dyDescent="0.3">
      <c r="A16" s="327"/>
      <c r="B16" s="327"/>
      <c r="C16" s="327"/>
      <c r="D16" s="327"/>
      <c r="E16" s="33"/>
      <c r="F16" s="33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33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33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45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38"/>
      <c r="F27" s="124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124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40"/>
      <c r="F29" s="124"/>
      <c r="G29" s="33"/>
      <c r="H29" s="33"/>
      <c r="I29" s="32"/>
      <c r="J29" s="32"/>
      <c r="K29" s="32"/>
    </row>
    <row r="30" spans="1:11" x14ac:dyDescent="0.3">
      <c r="A30" s="327"/>
      <c r="B30" s="327"/>
      <c r="C30" s="327"/>
      <c r="D30" s="327"/>
      <c r="E30" s="40"/>
      <c r="F30" s="124"/>
      <c r="G30" s="33"/>
      <c r="H30" s="33"/>
      <c r="I30" s="32"/>
      <c r="J30" s="32"/>
      <c r="K30" s="32"/>
    </row>
    <row r="31" spans="1:11" x14ac:dyDescent="0.3">
      <c r="A31" s="327"/>
      <c r="B31" s="327"/>
      <c r="C31" s="327"/>
      <c r="D31" s="327"/>
      <c r="E31" s="40"/>
      <c r="F31" s="124"/>
      <c r="G31" s="33"/>
      <c r="H31" s="33"/>
      <c r="I31" s="32"/>
      <c r="J31" s="32"/>
      <c r="K31" s="32"/>
    </row>
    <row r="32" spans="1:11" x14ac:dyDescent="0.3">
      <c r="A32" s="327"/>
      <c r="B32" s="327"/>
      <c r="C32" s="327"/>
      <c r="D32" s="327"/>
      <c r="E32" s="38"/>
      <c r="F32" s="124"/>
      <c r="G32" s="33"/>
      <c r="H32" s="33"/>
      <c r="I32" s="32"/>
      <c r="J32" s="32"/>
      <c r="K32" s="32"/>
    </row>
    <row r="33" spans="1:11" x14ac:dyDescent="0.3">
      <c r="A33" s="327"/>
      <c r="B33" s="327"/>
      <c r="C33" s="327"/>
      <c r="D33" s="327"/>
      <c r="E33" s="40"/>
      <c r="F33" s="124"/>
      <c r="G33" s="33"/>
      <c r="H33" s="33"/>
      <c r="I33" s="32"/>
      <c r="J33" s="32"/>
      <c r="K33" s="32"/>
    </row>
    <row r="34" spans="1:11" x14ac:dyDescent="0.3">
      <c r="A34" s="327"/>
      <c r="B34" s="327"/>
      <c r="C34" s="327"/>
      <c r="D34" s="327"/>
      <c r="E34" s="40"/>
      <c r="F34" s="124"/>
      <c r="G34" s="33"/>
      <c r="H34" s="33"/>
      <c r="I34" s="32"/>
      <c r="J34" s="32"/>
      <c r="K34" s="32"/>
    </row>
    <row r="35" spans="1:11" x14ac:dyDescent="0.3">
      <c r="A35" s="327"/>
      <c r="B35" s="327"/>
      <c r="C35" s="327"/>
      <c r="D35" s="327"/>
      <c r="E35" s="40"/>
      <c r="F35" s="124"/>
      <c r="G35" s="33"/>
      <c r="H35" s="33"/>
      <c r="I35" s="32"/>
      <c r="J35" s="32"/>
      <c r="K35" s="32"/>
    </row>
    <row r="36" spans="1:11" x14ac:dyDescent="0.3">
      <c r="A36" s="327"/>
      <c r="B36" s="327"/>
      <c r="C36" s="327"/>
      <c r="D36" s="327"/>
      <c r="E36" s="40"/>
      <c r="F36" s="124"/>
      <c r="G36" s="33"/>
      <c r="H36" s="33"/>
      <c r="I36" s="32"/>
      <c r="J36" s="32"/>
      <c r="K36" s="32"/>
    </row>
    <row r="37" spans="1:11" x14ac:dyDescent="0.3">
      <c r="A37" s="327"/>
      <c r="B37" s="327"/>
      <c r="C37" s="327"/>
      <c r="D37" s="327"/>
      <c r="E37" s="40"/>
      <c r="F37" s="124"/>
      <c r="G37" s="33"/>
      <c r="H37" s="33"/>
      <c r="I37" s="32"/>
      <c r="J37" s="32"/>
      <c r="K37" s="32"/>
    </row>
    <row r="38" spans="1:11" x14ac:dyDescent="0.3">
      <c r="A38" s="327"/>
      <c r="B38" s="327"/>
      <c r="C38" s="327"/>
      <c r="D38" s="327"/>
      <c r="E38" s="40"/>
      <c r="F38" s="124"/>
      <c r="G38" s="33"/>
      <c r="H38" s="33"/>
      <c r="I38" s="32"/>
      <c r="J38" s="32"/>
      <c r="K38" s="32"/>
    </row>
    <row r="39" spans="1:11" x14ac:dyDescent="0.3">
      <c r="A39" s="327"/>
      <c r="B39" s="327"/>
      <c r="C39" s="327"/>
      <c r="D39" s="327"/>
      <c r="E39" s="40"/>
      <c r="F39" s="124"/>
      <c r="G39" s="33"/>
      <c r="H39" s="33"/>
      <c r="I39" s="32"/>
      <c r="J39" s="32"/>
      <c r="K39" s="32"/>
    </row>
    <row r="40" spans="1:11" x14ac:dyDescent="0.3">
      <c r="A40" s="327"/>
      <c r="B40" s="327"/>
      <c r="C40" s="327"/>
      <c r="D40" s="327"/>
      <c r="E40" s="40"/>
      <c r="F40" s="33"/>
      <c r="G40" s="33"/>
      <c r="H40" s="33"/>
      <c r="I40" s="32"/>
      <c r="J40" s="32"/>
      <c r="K40" s="32"/>
    </row>
    <row r="41" spans="1:11" x14ac:dyDescent="0.3">
      <c r="A41" s="327"/>
      <c r="B41" s="327"/>
      <c r="C41" s="327"/>
      <c r="D41" s="327"/>
      <c r="E41" s="40"/>
      <c r="F41" s="33"/>
      <c r="G41" s="33"/>
      <c r="H41" s="33"/>
      <c r="I41" s="32"/>
      <c r="J41" s="32"/>
      <c r="K41" s="32"/>
    </row>
    <row r="42" spans="1:11" x14ac:dyDescent="0.3">
      <c r="A42" s="327"/>
      <c r="B42" s="327"/>
      <c r="C42" s="327"/>
      <c r="D42" s="327"/>
      <c r="E42" s="40"/>
      <c r="F42" s="33"/>
      <c r="G42" s="33"/>
      <c r="H42" s="33"/>
      <c r="I42" s="32"/>
      <c r="J42" s="32"/>
      <c r="K42" s="32"/>
    </row>
    <row r="43" spans="1:11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1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1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1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42">
        <f>+SUM(K11:K45)</f>
        <v>120.47649</v>
      </c>
    </row>
    <row r="47" spans="1:11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1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6">
    <mergeCell ref="A48:B53"/>
    <mergeCell ref="C48:D53"/>
    <mergeCell ref="E48:G53"/>
    <mergeCell ref="H48:K53"/>
    <mergeCell ref="A54:K5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F10:G10"/>
    <mergeCell ref="F11:G11"/>
    <mergeCell ref="F12:G12"/>
    <mergeCell ref="F13:G13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1D82C-CAE3-4B56-988F-F865345BAA28}">
  <sheetPr>
    <tabColor rgb="FFFFFF00"/>
  </sheetPr>
  <dimension ref="A1:S70"/>
  <sheetViews>
    <sheetView topLeftCell="A26" zoomScale="85" zoomScaleNormal="85" workbookViewId="0">
      <selection activeCell="E51" sqref="E5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8.33203125" style="27" customWidth="1"/>
    <col min="9" max="11" width="15.6640625" style="27" customWidth="1"/>
    <col min="12" max="12" width="11.44140625" style="27"/>
    <col min="13" max="13" width="18.33203125" style="27" customWidth="1"/>
    <col min="14" max="14" width="11.6640625" style="27" customWidth="1"/>
    <col min="15" max="15" width="1.88671875" style="27" customWidth="1"/>
    <col min="16" max="16384" width="11.44140625" style="27"/>
  </cols>
  <sheetData>
    <row r="1" spans="1:19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9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9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9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9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9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9" s="31" customFormat="1" ht="96.6" x14ac:dyDescent="0.3">
      <c r="A7" s="35" t="s">
        <v>56</v>
      </c>
      <c r="B7" s="28">
        <v>2.2000000000000002</v>
      </c>
      <c r="C7" s="29" t="s">
        <v>57</v>
      </c>
      <c r="D7" s="323">
        <f>+VLOOKUP(B7,'FORMATO PRESUPUESTO'!D10:L31,3,FALSE)</f>
        <v>72101500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RELLENO CON MATERIAL DE AFIRMADO COMPACTADO RANA Y/O VIBROCOMPACTADOR</v>
      </c>
    </row>
    <row r="8" spans="1:19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9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62</v>
      </c>
    </row>
    <row r="10" spans="1:19" ht="14.4" customHeight="1" x14ac:dyDescent="0.3">
      <c r="A10" s="327"/>
      <c r="B10" s="327"/>
      <c r="C10" s="327"/>
      <c r="D10" s="327"/>
      <c r="E10" s="326"/>
      <c r="F10" s="336" t="s">
        <v>133</v>
      </c>
      <c r="G10" s="337"/>
      <c r="H10" s="34" t="s">
        <v>51</v>
      </c>
      <c r="I10" s="326"/>
      <c r="J10" s="326"/>
      <c r="K10" s="326"/>
    </row>
    <row r="11" spans="1:19" ht="14.4" customHeight="1" x14ac:dyDescent="0.3">
      <c r="A11" s="327"/>
      <c r="B11" s="327"/>
      <c r="C11" s="327"/>
      <c r="D11" s="327"/>
      <c r="E11" s="38" t="s">
        <v>134</v>
      </c>
      <c r="F11" s="334">
        <f>29.31+36.3+23.4+21.08+17.195+17.0531+36.5702+15+15+17+6.4</f>
        <v>234.3083</v>
      </c>
      <c r="G11" s="335"/>
      <c r="H11" s="46">
        <v>0.3</v>
      </c>
      <c r="I11" s="33">
        <f>+H11*F11</f>
        <v>70.292490000000001</v>
      </c>
      <c r="J11" s="33">
        <v>1</v>
      </c>
      <c r="K11" s="37">
        <f>+I11*J11</f>
        <v>70.292490000000001</v>
      </c>
    </row>
    <row r="12" spans="1:19" ht="14.4" customHeight="1" x14ac:dyDescent="0.3">
      <c r="A12" s="327"/>
      <c r="B12" s="327"/>
      <c r="C12" s="327"/>
      <c r="D12" s="327"/>
      <c r="E12" s="38" t="s">
        <v>135</v>
      </c>
      <c r="F12" s="334">
        <v>36</v>
      </c>
      <c r="G12" s="335"/>
      <c r="H12" s="46">
        <v>0.3</v>
      </c>
      <c r="I12" s="33">
        <f t="shared" ref="I12:I13" si="0">+H12*F12</f>
        <v>10.799999999999999</v>
      </c>
      <c r="J12" s="33">
        <v>4</v>
      </c>
      <c r="K12" s="37">
        <f>+I12*J12</f>
        <v>43.199999999999996</v>
      </c>
    </row>
    <row r="13" spans="1:19" x14ac:dyDescent="0.3">
      <c r="A13" s="327"/>
      <c r="B13" s="327"/>
      <c r="C13" s="327"/>
      <c r="D13" s="327"/>
      <c r="E13" s="38" t="s">
        <v>136</v>
      </c>
      <c r="F13" s="334">
        <v>3.88</v>
      </c>
      <c r="G13" s="335"/>
      <c r="H13" s="44">
        <v>0.3</v>
      </c>
      <c r="I13" s="33">
        <f t="shared" si="0"/>
        <v>1.1639999999999999</v>
      </c>
      <c r="J13" s="33">
        <v>6</v>
      </c>
      <c r="K13" s="37">
        <f t="shared" ref="K13" si="1">+I13*J13</f>
        <v>6.984</v>
      </c>
    </row>
    <row r="14" spans="1:19" x14ac:dyDescent="0.3">
      <c r="A14" s="327"/>
      <c r="B14" s="327"/>
      <c r="C14" s="327"/>
      <c r="D14" s="327"/>
      <c r="E14" s="38"/>
      <c r="F14" s="131" t="s">
        <v>244</v>
      </c>
      <c r="G14" s="126" t="s">
        <v>235</v>
      </c>
      <c r="H14" s="127" t="s">
        <v>236</v>
      </c>
      <c r="I14" s="33"/>
      <c r="J14" s="33"/>
      <c r="K14" s="37"/>
    </row>
    <row r="15" spans="1:19" ht="15" customHeight="1" x14ac:dyDescent="0.25">
      <c r="A15" s="327"/>
      <c r="B15" s="327"/>
      <c r="C15" s="327"/>
      <c r="D15" s="327"/>
      <c r="E15" s="38" t="s">
        <v>134</v>
      </c>
      <c r="F15" s="144">
        <v>1</v>
      </c>
      <c r="G15" s="149">
        <v>29.31</v>
      </c>
      <c r="H15" s="151">
        <v>30.78</v>
      </c>
      <c r="I15" s="33">
        <v>0.3</v>
      </c>
      <c r="J15" s="33">
        <v>1</v>
      </c>
      <c r="K15" s="37">
        <f>H15*I15*J15</f>
        <v>9.234</v>
      </c>
      <c r="M15" s="38" t="s">
        <v>175</v>
      </c>
      <c r="N15" s="338">
        <v>23.35</v>
      </c>
      <c r="O15" s="339"/>
      <c r="P15" s="147">
        <v>3</v>
      </c>
      <c r="Q15" s="151">
        <v>13.1</v>
      </c>
      <c r="R15" s="33">
        <v>1</v>
      </c>
      <c r="S15" s="37">
        <f>Q15*R15</f>
        <v>13.1</v>
      </c>
    </row>
    <row r="16" spans="1:19" ht="15" customHeight="1" x14ac:dyDescent="0.3">
      <c r="A16" s="327"/>
      <c r="B16" s="327"/>
      <c r="C16" s="327"/>
      <c r="D16" s="327"/>
      <c r="E16" s="33"/>
      <c r="F16" s="144">
        <v>2</v>
      </c>
      <c r="G16" s="149">
        <v>36.299999999999997</v>
      </c>
      <c r="H16" s="151">
        <v>38.4</v>
      </c>
      <c r="I16" s="33">
        <v>0.3</v>
      </c>
      <c r="J16" s="33">
        <v>1</v>
      </c>
      <c r="K16" s="37">
        <f t="shared" ref="K16:K37" si="2">H16*I16*J16</f>
        <v>11.52</v>
      </c>
      <c r="M16" s="38"/>
      <c r="N16" s="338">
        <v>21.7</v>
      </c>
      <c r="O16" s="339"/>
      <c r="P16" s="144">
        <v>4</v>
      </c>
      <c r="Q16" s="151">
        <v>8.83</v>
      </c>
      <c r="R16" s="33">
        <v>1</v>
      </c>
      <c r="S16" s="37">
        <f t="shared" ref="S16:S25" si="3">Q16*R16</f>
        <v>8.83</v>
      </c>
    </row>
    <row r="17" spans="1:19" ht="15" customHeight="1" x14ac:dyDescent="0.3">
      <c r="A17" s="327"/>
      <c r="B17" s="327"/>
      <c r="C17" s="327"/>
      <c r="D17" s="327"/>
      <c r="E17" s="33"/>
      <c r="F17" s="144">
        <v>3</v>
      </c>
      <c r="G17" s="149">
        <v>23.4</v>
      </c>
      <c r="H17" s="151">
        <v>13.1</v>
      </c>
      <c r="I17" s="33">
        <v>0.3</v>
      </c>
      <c r="J17" s="33">
        <v>1</v>
      </c>
      <c r="K17" s="37">
        <f>H17*I17*J17</f>
        <v>3.9299999999999997</v>
      </c>
      <c r="M17" s="38" t="s">
        <v>177</v>
      </c>
      <c r="N17" s="338">
        <v>36.630000000000003</v>
      </c>
      <c r="O17" s="339"/>
      <c r="P17" s="144">
        <v>2</v>
      </c>
      <c r="Q17" s="151">
        <v>38.4</v>
      </c>
      <c r="R17" s="33">
        <v>1</v>
      </c>
      <c r="S17" s="37">
        <f t="shared" si="3"/>
        <v>38.4</v>
      </c>
    </row>
    <row r="18" spans="1:19" ht="15" customHeight="1" x14ac:dyDescent="0.3">
      <c r="A18" s="327"/>
      <c r="B18" s="327"/>
      <c r="C18" s="327"/>
      <c r="D18" s="327"/>
      <c r="E18" s="40"/>
      <c r="F18" s="144">
        <v>4</v>
      </c>
      <c r="G18" s="149">
        <v>21.08</v>
      </c>
      <c r="H18" s="151">
        <v>8.83</v>
      </c>
      <c r="I18" s="33">
        <v>0.3</v>
      </c>
      <c r="J18" s="33">
        <v>1</v>
      </c>
      <c r="K18" s="37">
        <f t="shared" si="2"/>
        <v>2.649</v>
      </c>
      <c r="M18" s="38"/>
      <c r="N18" s="338">
        <v>37.479999999999997</v>
      </c>
      <c r="O18" s="339"/>
      <c r="P18" s="144">
        <v>7</v>
      </c>
      <c r="Q18" s="151">
        <v>42.85</v>
      </c>
      <c r="R18" s="33">
        <v>1</v>
      </c>
      <c r="S18" s="37">
        <f t="shared" si="3"/>
        <v>42.85</v>
      </c>
    </row>
    <row r="19" spans="1:19" ht="15" customHeight="1" x14ac:dyDescent="0.3">
      <c r="A19" s="327"/>
      <c r="B19" s="327"/>
      <c r="C19" s="327"/>
      <c r="D19" s="327"/>
      <c r="E19" s="38"/>
      <c r="F19" s="144">
        <v>5</v>
      </c>
      <c r="G19" s="124">
        <v>17.195</v>
      </c>
      <c r="H19" s="151">
        <v>7.32</v>
      </c>
      <c r="I19" s="33">
        <v>0.3</v>
      </c>
      <c r="J19" s="33">
        <v>1</v>
      </c>
      <c r="K19" s="37">
        <f t="shared" si="2"/>
        <v>2.1960000000000002</v>
      </c>
      <c r="M19" s="38"/>
      <c r="N19" s="345">
        <v>17.03</v>
      </c>
      <c r="O19" s="346"/>
      <c r="P19" s="144">
        <v>10</v>
      </c>
      <c r="Q19" s="151">
        <v>22.44</v>
      </c>
      <c r="R19" s="33">
        <v>1</v>
      </c>
      <c r="S19" s="37">
        <f t="shared" si="3"/>
        <v>22.44</v>
      </c>
    </row>
    <row r="20" spans="1:19" ht="15" customHeight="1" x14ac:dyDescent="0.3">
      <c r="A20" s="327"/>
      <c r="B20" s="327"/>
      <c r="C20" s="327"/>
      <c r="D20" s="327"/>
      <c r="E20" s="40"/>
      <c r="F20" s="144">
        <v>6</v>
      </c>
      <c r="G20" s="124">
        <v>17.053100000000001</v>
      </c>
      <c r="H20" s="151">
        <v>7.12</v>
      </c>
      <c r="I20" s="33">
        <v>0.3</v>
      </c>
      <c r="J20" s="33">
        <v>1</v>
      </c>
      <c r="K20" s="37">
        <f t="shared" si="2"/>
        <v>2.1360000000000001</v>
      </c>
      <c r="M20" s="38" t="s">
        <v>178</v>
      </c>
      <c r="N20" s="345">
        <v>17.190000000000001</v>
      </c>
      <c r="O20" s="346"/>
      <c r="P20" s="144">
        <v>5</v>
      </c>
      <c r="Q20" s="151">
        <v>7.32</v>
      </c>
      <c r="R20" s="33">
        <v>1</v>
      </c>
      <c r="S20" s="37">
        <f t="shared" si="3"/>
        <v>7.32</v>
      </c>
    </row>
    <row r="21" spans="1:19" ht="15" customHeight="1" x14ac:dyDescent="0.3">
      <c r="A21" s="327"/>
      <c r="B21" s="327"/>
      <c r="C21" s="327"/>
      <c r="D21" s="327"/>
      <c r="E21" s="40"/>
      <c r="F21" s="144">
        <v>7</v>
      </c>
      <c r="G21" s="124">
        <v>36.5702</v>
      </c>
      <c r="H21" s="151">
        <v>42.85</v>
      </c>
      <c r="I21" s="33">
        <v>0.3</v>
      </c>
      <c r="J21" s="33">
        <v>1</v>
      </c>
      <c r="K21" s="37">
        <f t="shared" si="2"/>
        <v>12.855</v>
      </c>
      <c r="M21" s="38"/>
      <c r="N21" s="345">
        <v>17.059999999999999</v>
      </c>
      <c r="O21" s="346"/>
      <c r="P21" s="144">
        <v>6</v>
      </c>
      <c r="Q21" s="151">
        <v>7.12</v>
      </c>
      <c r="R21" s="33">
        <v>1</v>
      </c>
      <c r="S21" s="37">
        <f t="shared" si="3"/>
        <v>7.12</v>
      </c>
    </row>
    <row r="22" spans="1:19" ht="15" customHeight="1" x14ac:dyDescent="0.3">
      <c r="A22" s="327"/>
      <c r="B22" s="327"/>
      <c r="C22" s="327"/>
      <c r="D22" s="327"/>
      <c r="E22" s="40"/>
      <c r="F22" s="144">
        <v>8</v>
      </c>
      <c r="G22" s="124">
        <v>15</v>
      </c>
      <c r="H22" s="151">
        <v>5.0999999999999996</v>
      </c>
      <c r="I22" s="33">
        <v>0.3</v>
      </c>
      <c r="J22" s="33">
        <v>1</v>
      </c>
      <c r="K22" s="37">
        <f t="shared" si="2"/>
        <v>1.5299999999999998</v>
      </c>
      <c r="M22" s="38" t="s">
        <v>179</v>
      </c>
      <c r="N22" s="345">
        <v>15.11</v>
      </c>
      <c r="O22" s="346"/>
      <c r="P22" s="144">
        <v>8</v>
      </c>
      <c r="Q22" s="151">
        <v>5.0999999999999996</v>
      </c>
      <c r="R22" s="33">
        <v>1</v>
      </c>
      <c r="S22" s="37">
        <f t="shared" si="3"/>
        <v>5.0999999999999996</v>
      </c>
    </row>
    <row r="23" spans="1:19" ht="15" customHeight="1" x14ac:dyDescent="0.3">
      <c r="A23" s="327"/>
      <c r="B23" s="327"/>
      <c r="C23" s="327"/>
      <c r="D23" s="327"/>
      <c r="E23" s="40"/>
      <c r="F23" s="144">
        <v>9</v>
      </c>
      <c r="G23" s="124">
        <v>15</v>
      </c>
      <c r="H23" s="151">
        <v>5</v>
      </c>
      <c r="I23" s="33">
        <v>0.3</v>
      </c>
      <c r="J23" s="33">
        <v>1</v>
      </c>
      <c r="K23" s="37">
        <f t="shared" si="2"/>
        <v>1.5</v>
      </c>
      <c r="M23" s="38"/>
      <c r="N23" s="345">
        <v>14.97</v>
      </c>
      <c r="O23" s="346"/>
      <c r="P23" s="144">
        <v>9</v>
      </c>
      <c r="Q23" s="151">
        <v>5</v>
      </c>
      <c r="R23" s="33">
        <v>1</v>
      </c>
      <c r="S23" s="37">
        <f t="shared" si="3"/>
        <v>5</v>
      </c>
    </row>
    <row r="24" spans="1:19" ht="15" customHeight="1" x14ac:dyDescent="0.3">
      <c r="A24" s="327"/>
      <c r="B24" s="327"/>
      <c r="C24" s="327"/>
      <c r="D24" s="327"/>
      <c r="E24" s="40"/>
      <c r="F24" s="154">
        <v>10</v>
      </c>
      <c r="G24" s="124">
        <v>17</v>
      </c>
      <c r="H24" s="151">
        <v>22.44</v>
      </c>
      <c r="I24" s="33">
        <v>0.3</v>
      </c>
      <c r="J24" s="33">
        <v>1</v>
      </c>
      <c r="K24" s="37">
        <f t="shared" si="2"/>
        <v>6.7320000000000002</v>
      </c>
      <c r="M24" s="38" t="s">
        <v>180</v>
      </c>
      <c r="N24" s="345">
        <v>6.42</v>
      </c>
      <c r="O24" s="346"/>
      <c r="P24" s="144">
        <v>11</v>
      </c>
      <c r="Q24" s="151">
        <v>8.5500000000000007</v>
      </c>
      <c r="R24" s="33">
        <v>1</v>
      </c>
      <c r="S24" s="37">
        <f t="shared" si="3"/>
        <v>8.5500000000000007</v>
      </c>
    </row>
    <row r="25" spans="1:19" ht="15" customHeight="1" x14ac:dyDescent="0.3">
      <c r="A25" s="327"/>
      <c r="B25" s="327"/>
      <c r="C25" s="327"/>
      <c r="D25" s="327"/>
      <c r="E25" s="40"/>
      <c r="F25" s="144">
        <v>11</v>
      </c>
      <c r="G25" s="124">
        <v>6.4</v>
      </c>
      <c r="H25" s="151">
        <v>8.5500000000000007</v>
      </c>
      <c r="I25" s="33">
        <v>0.3</v>
      </c>
      <c r="J25" s="33">
        <v>1</v>
      </c>
      <c r="K25" s="37">
        <f t="shared" si="2"/>
        <v>2.5649999999999999</v>
      </c>
      <c r="M25" s="38" t="s">
        <v>181</v>
      </c>
      <c r="N25" s="338">
        <v>29.31</v>
      </c>
      <c r="O25" s="339"/>
      <c r="P25" s="144">
        <v>1</v>
      </c>
      <c r="Q25" s="151">
        <v>30.78</v>
      </c>
      <c r="R25" s="33">
        <v>1</v>
      </c>
      <c r="S25" s="37">
        <f t="shared" si="3"/>
        <v>30.78</v>
      </c>
    </row>
    <row r="26" spans="1:19" x14ac:dyDescent="0.3">
      <c r="A26" s="327"/>
      <c r="B26" s="327"/>
      <c r="C26" s="327"/>
      <c r="D26" s="327"/>
      <c r="E26" s="40"/>
      <c r="F26" s="33"/>
      <c r="G26" s="37">
        <f>SUM(G15:G25)</f>
        <v>234.3083</v>
      </c>
      <c r="H26" s="37">
        <f>SUM(H15:H25)</f>
        <v>189.49</v>
      </c>
      <c r="I26" s="32"/>
      <c r="J26" s="32"/>
      <c r="K26" s="37">
        <f t="shared" si="2"/>
        <v>0</v>
      </c>
      <c r="N26" s="343">
        <f>SUM(N15:O25)</f>
        <v>236.25</v>
      </c>
      <c r="O26" s="344"/>
    </row>
    <row r="27" spans="1:19" x14ac:dyDescent="0.3">
      <c r="A27" s="327"/>
      <c r="B27" s="327"/>
      <c r="C27" s="327"/>
      <c r="D27" s="327"/>
      <c r="E27" s="38" t="s">
        <v>135</v>
      </c>
      <c r="F27" s="128" t="s">
        <v>234</v>
      </c>
      <c r="G27" s="33">
        <f>4.53*4.53</f>
        <v>20.520900000000001</v>
      </c>
      <c r="H27" s="152">
        <f>4.53*4.53</f>
        <v>20.520900000000001</v>
      </c>
      <c r="I27" s="33">
        <v>0.3</v>
      </c>
      <c r="J27" s="33">
        <v>1</v>
      </c>
      <c r="K27" s="37">
        <f>H27*I27*J27</f>
        <v>6.1562700000000001</v>
      </c>
    </row>
    <row r="28" spans="1:19" x14ac:dyDescent="0.3">
      <c r="A28" s="327"/>
      <c r="B28" s="327"/>
      <c r="C28" s="327"/>
      <c r="D28" s="327"/>
      <c r="E28" s="40"/>
      <c r="F28" s="128" t="s">
        <v>231</v>
      </c>
      <c r="G28" s="33">
        <f t="shared" ref="G28:H30" si="4">4.53*4.53</f>
        <v>20.520900000000001</v>
      </c>
      <c r="H28" s="152">
        <f t="shared" si="4"/>
        <v>20.520900000000001</v>
      </c>
      <c r="I28" s="33">
        <v>0.3</v>
      </c>
      <c r="J28" s="33">
        <v>1</v>
      </c>
      <c r="K28" s="37">
        <f t="shared" si="2"/>
        <v>6.1562700000000001</v>
      </c>
    </row>
    <row r="29" spans="1:19" x14ac:dyDescent="0.3">
      <c r="A29" s="327"/>
      <c r="B29" s="327"/>
      <c r="C29" s="327"/>
      <c r="D29" s="327"/>
      <c r="E29" s="40"/>
      <c r="F29" s="128" t="s">
        <v>232</v>
      </c>
      <c r="G29" s="33">
        <f t="shared" si="4"/>
        <v>20.520900000000001</v>
      </c>
      <c r="H29" s="152">
        <f t="shared" si="4"/>
        <v>20.520900000000001</v>
      </c>
      <c r="I29" s="33">
        <v>0.3</v>
      </c>
      <c r="J29" s="33">
        <v>1</v>
      </c>
      <c r="K29" s="37">
        <f t="shared" si="2"/>
        <v>6.1562700000000001</v>
      </c>
    </row>
    <row r="30" spans="1:19" x14ac:dyDescent="0.3">
      <c r="A30" s="327"/>
      <c r="B30" s="327"/>
      <c r="C30" s="327"/>
      <c r="D30" s="327"/>
      <c r="E30" s="40"/>
      <c r="F30" s="128" t="s">
        <v>233</v>
      </c>
      <c r="G30" s="33">
        <f t="shared" si="4"/>
        <v>20.520900000000001</v>
      </c>
      <c r="H30" s="152">
        <f t="shared" si="4"/>
        <v>20.520900000000001</v>
      </c>
      <c r="I30" s="33">
        <v>0.3</v>
      </c>
      <c r="J30" s="33">
        <v>1</v>
      </c>
      <c r="K30" s="37">
        <f t="shared" si="2"/>
        <v>6.1562700000000001</v>
      </c>
    </row>
    <row r="31" spans="1:19" x14ac:dyDescent="0.3">
      <c r="A31" s="327"/>
      <c r="B31" s="327"/>
      <c r="C31" s="327"/>
      <c r="D31" s="327"/>
      <c r="E31" s="40"/>
      <c r="F31" s="124"/>
      <c r="G31" s="37">
        <f>SUM(G27:G30)</f>
        <v>82.083600000000004</v>
      </c>
      <c r="H31" s="37">
        <f>SUM(H27:H30)</f>
        <v>82.083600000000004</v>
      </c>
      <c r="I31" s="32"/>
      <c r="J31" s="32"/>
      <c r="K31" s="37">
        <f t="shared" si="2"/>
        <v>0</v>
      </c>
      <c r="M31" s="96">
        <v>1</v>
      </c>
      <c r="N31" s="125">
        <v>75.752399999999994</v>
      </c>
      <c r="O31" s="153"/>
    </row>
    <row r="32" spans="1:19" x14ac:dyDescent="0.3">
      <c r="A32" s="327"/>
      <c r="B32" s="327"/>
      <c r="C32" s="327"/>
      <c r="D32" s="327"/>
      <c r="E32" s="38" t="s">
        <v>136</v>
      </c>
      <c r="F32" s="129" t="s">
        <v>237</v>
      </c>
      <c r="G32" s="33">
        <v>3.88</v>
      </c>
      <c r="H32" s="33">
        <f>4.33*1.25</f>
        <v>5.4124999999999996</v>
      </c>
      <c r="I32" s="33">
        <v>0.3</v>
      </c>
      <c r="J32" s="33">
        <v>1</v>
      </c>
      <c r="K32" s="37">
        <f>H32*I32*J32</f>
        <v>1.6237499999999998</v>
      </c>
      <c r="M32" s="96">
        <v>2</v>
      </c>
      <c r="N32" s="125">
        <v>76.241699999999994</v>
      </c>
      <c r="O32" s="153"/>
    </row>
    <row r="33" spans="1:15" x14ac:dyDescent="0.3">
      <c r="A33" s="327"/>
      <c r="B33" s="327"/>
      <c r="C33" s="327"/>
      <c r="D33" s="327"/>
      <c r="E33" s="40"/>
      <c r="F33" s="129" t="s">
        <v>238</v>
      </c>
      <c r="G33" s="33">
        <v>3.88</v>
      </c>
      <c r="H33" s="33">
        <f t="shared" ref="H33:H37" si="5">4.33*1.25</f>
        <v>5.4124999999999996</v>
      </c>
      <c r="I33" s="33">
        <v>0.3</v>
      </c>
      <c r="J33" s="33">
        <v>1</v>
      </c>
      <c r="K33" s="37">
        <f t="shared" si="2"/>
        <v>1.6237499999999998</v>
      </c>
      <c r="M33" s="96">
        <v>3</v>
      </c>
      <c r="N33" s="125">
        <v>59.216700000000003</v>
      </c>
      <c r="O33" s="153"/>
    </row>
    <row r="34" spans="1:15" x14ac:dyDescent="0.3">
      <c r="A34" s="327"/>
      <c r="B34" s="327"/>
      <c r="C34" s="327"/>
      <c r="D34" s="327"/>
      <c r="E34" s="40"/>
      <c r="F34" s="129" t="s">
        <v>239</v>
      </c>
      <c r="G34" s="33">
        <v>3.88</v>
      </c>
      <c r="H34" s="33">
        <f t="shared" si="5"/>
        <v>5.4124999999999996</v>
      </c>
      <c r="I34" s="33">
        <v>0.3</v>
      </c>
      <c r="J34" s="33">
        <v>1</v>
      </c>
      <c r="K34" s="37">
        <f t="shared" si="2"/>
        <v>1.6237499999999998</v>
      </c>
      <c r="M34" s="96">
        <v>4</v>
      </c>
      <c r="N34" s="125">
        <v>59.289400000000001</v>
      </c>
      <c r="O34" s="153"/>
    </row>
    <row r="35" spans="1:15" x14ac:dyDescent="0.3">
      <c r="A35" s="327"/>
      <c r="B35" s="327"/>
      <c r="C35" s="327"/>
      <c r="D35" s="327"/>
      <c r="E35" s="40"/>
      <c r="F35" s="129" t="s">
        <v>240</v>
      </c>
      <c r="G35" s="33">
        <v>3.88</v>
      </c>
      <c r="H35" s="33">
        <f t="shared" si="5"/>
        <v>5.4124999999999996</v>
      </c>
      <c r="I35" s="33">
        <v>0.3</v>
      </c>
      <c r="J35" s="33">
        <v>1</v>
      </c>
      <c r="K35" s="37">
        <f t="shared" si="2"/>
        <v>1.6237499999999998</v>
      </c>
      <c r="M35" s="96">
        <v>5</v>
      </c>
      <c r="N35" s="125">
        <v>40.972299999999997</v>
      </c>
      <c r="O35" s="153"/>
    </row>
    <row r="36" spans="1:15" x14ac:dyDescent="0.3">
      <c r="A36" s="327"/>
      <c r="B36" s="327"/>
      <c r="C36" s="327"/>
      <c r="D36" s="327"/>
      <c r="E36" s="40"/>
      <c r="F36" s="129" t="s">
        <v>241</v>
      </c>
      <c r="G36" s="33">
        <v>3.88</v>
      </c>
      <c r="H36" s="33">
        <f t="shared" si="5"/>
        <v>5.4124999999999996</v>
      </c>
      <c r="I36" s="33">
        <v>0.3</v>
      </c>
      <c r="J36" s="33">
        <v>1</v>
      </c>
      <c r="K36" s="37">
        <f t="shared" si="2"/>
        <v>1.6237499999999998</v>
      </c>
      <c r="M36" s="96">
        <v>6</v>
      </c>
      <c r="N36" s="125">
        <v>92.568299999999994</v>
      </c>
      <c r="O36" s="153"/>
    </row>
    <row r="37" spans="1:15" x14ac:dyDescent="0.3">
      <c r="A37" s="327"/>
      <c r="B37" s="327"/>
      <c r="C37" s="327"/>
      <c r="D37" s="327"/>
      <c r="E37" s="40"/>
      <c r="F37" s="129" t="s">
        <v>242</v>
      </c>
      <c r="G37" s="33">
        <v>3.88</v>
      </c>
      <c r="H37" s="33">
        <f t="shared" si="5"/>
        <v>5.4124999999999996</v>
      </c>
      <c r="I37" s="33">
        <v>0.3</v>
      </c>
      <c r="J37" s="33">
        <v>1</v>
      </c>
      <c r="K37" s="37">
        <f t="shared" si="2"/>
        <v>1.6237499999999998</v>
      </c>
      <c r="M37" s="96">
        <v>7</v>
      </c>
      <c r="N37" s="125">
        <v>54.413400000000003</v>
      </c>
      <c r="O37" s="153"/>
    </row>
    <row r="38" spans="1:15" x14ac:dyDescent="0.3">
      <c r="A38" s="327"/>
      <c r="B38" s="327"/>
      <c r="C38" s="327"/>
      <c r="D38" s="327"/>
      <c r="E38" s="40"/>
      <c r="F38" s="124"/>
      <c r="G38" s="37">
        <f>SUM(G32:G37)</f>
        <v>23.279999999999998</v>
      </c>
      <c r="H38" s="37">
        <f>SUM(H32:H37)</f>
        <v>32.475000000000001</v>
      </c>
      <c r="I38" s="32"/>
      <c r="J38" s="32"/>
      <c r="K38" s="32"/>
      <c r="M38" s="96">
        <v>8</v>
      </c>
      <c r="N38" s="125">
        <v>11.0549</v>
      </c>
      <c r="O38" s="153"/>
    </row>
    <row r="39" spans="1:15" x14ac:dyDescent="0.3">
      <c r="A39" s="327"/>
      <c r="B39" s="327"/>
      <c r="C39" s="327"/>
      <c r="D39" s="327"/>
      <c r="E39" s="40" t="s">
        <v>251</v>
      </c>
      <c r="F39" s="155" t="s">
        <v>253</v>
      </c>
      <c r="G39" s="37"/>
      <c r="H39" s="125">
        <v>75.752399999999994</v>
      </c>
      <c r="I39" s="33">
        <v>0.25</v>
      </c>
      <c r="J39" s="33">
        <v>1</v>
      </c>
      <c r="K39" s="37">
        <f>H39*I39*J39</f>
        <v>18.938099999999999</v>
      </c>
      <c r="M39" s="96">
        <v>9</v>
      </c>
      <c r="N39" s="125">
        <v>279.36</v>
      </c>
      <c r="O39" s="153"/>
    </row>
    <row r="40" spans="1:15" x14ac:dyDescent="0.3">
      <c r="A40" s="327"/>
      <c r="B40" s="327"/>
      <c r="C40" s="327"/>
      <c r="D40" s="327"/>
      <c r="E40" s="40"/>
      <c r="F40" s="155" t="s">
        <v>254</v>
      </c>
      <c r="G40" s="37"/>
      <c r="H40" s="125">
        <v>76.241699999999994</v>
      </c>
      <c r="I40" s="33">
        <v>0.25</v>
      </c>
      <c r="J40" s="33">
        <v>1</v>
      </c>
      <c r="K40" s="37">
        <f t="shared" ref="K40:K46" si="6">H40*I40*J40</f>
        <v>19.060424999999999</v>
      </c>
      <c r="M40" s="96">
        <v>10</v>
      </c>
      <c r="N40" s="125">
        <v>3.1358000000000001</v>
      </c>
      <c r="O40" s="153"/>
    </row>
    <row r="41" spans="1:15" x14ac:dyDescent="0.3">
      <c r="A41" s="327"/>
      <c r="B41" s="327"/>
      <c r="C41" s="327"/>
      <c r="D41" s="327"/>
      <c r="E41" s="40"/>
      <c r="F41" s="155" t="s">
        <v>255</v>
      </c>
      <c r="G41" s="37"/>
      <c r="H41" s="125">
        <v>59.216700000000003</v>
      </c>
      <c r="I41" s="33">
        <v>0.2</v>
      </c>
      <c r="J41" s="33">
        <v>1</v>
      </c>
      <c r="K41" s="37">
        <f t="shared" si="6"/>
        <v>11.843340000000001</v>
      </c>
    </row>
    <row r="42" spans="1:15" x14ac:dyDescent="0.3">
      <c r="A42" s="327"/>
      <c r="B42" s="327"/>
      <c r="C42" s="327"/>
      <c r="D42" s="327"/>
      <c r="E42" s="40"/>
      <c r="F42" s="155" t="s">
        <v>256</v>
      </c>
      <c r="G42" s="37"/>
      <c r="H42" s="125">
        <v>59.289400000000001</v>
      </c>
      <c r="I42" s="33">
        <v>0.2</v>
      </c>
      <c r="J42" s="33">
        <v>1</v>
      </c>
      <c r="K42" s="37">
        <f t="shared" si="6"/>
        <v>11.857880000000002</v>
      </c>
    </row>
    <row r="43" spans="1:15" x14ac:dyDescent="0.3">
      <c r="A43" s="327"/>
      <c r="B43" s="327"/>
      <c r="C43" s="327"/>
      <c r="D43" s="327"/>
      <c r="E43" s="40"/>
      <c r="F43" s="155" t="s">
        <v>257</v>
      </c>
      <c r="G43" s="37"/>
      <c r="H43" s="125">
        <v>40.972299999999997</v>
      </c>
      <c r="I43" s="33">
        <v>0.15</v>
      </c>
      <c r="J43" s="33">
        <v>1</v>
      </c>
      <c r="K43" s="37">
        <f t="shared" si="6"/>
        <v>6.1458449999999996</v>
      </c>
    </row>
    <row r="44" spans="1:15" x14ac:dyDescent="0.3">
      <c r="A44" s="327"/>
      <c r="B44" s="327"/>
      <c r="C44" s="327"/>
      <c r="D44" s="327"/>
      <c r="E44" s="40"/>
      <c r="F44" s="155" t="s">
        <v>258</v>
      </c>
      <c r="G44" s="37"/>
      <c r="H44" s="125">
        <v>92.568299999999994</v>
      </c>
      <c r="I44" s="33">
        <v>0.18</v>
      </c>
      <c r="J44" s="33">
        <v>1</v>
      </c>
      <c r="K44" s="37">
        <f t="shared" si="6"/>
        <v>16.662293999999999</v>
      </c>
    </row>
    <row r="45" spans="1:15" x14ac:dyDescent="0.3">
      <c r="A45" s="327"/>
      <c r="B45" s="327"/>
      <c r="C45" s="327"/>
      <c r="D45" s="327"/>
      <c r="E45" s="40"/>
      <c r="F45" s="155" t="s">
        <v>259</v>
      </c>
      <c r="G45" s="37"/>
      <c r="H45" s="125">
        <v>54.413400000000003</v>
      </c>
      <c r="I45" s="33">
        <v>0.15</v>
      </c>
      <c r="J45" s="33">
        <v>1</v>
      </c>
      <c r="K45" s="37">
        <f t="shared" si="6"/>
        <v>8.1620100000000004</v>
      </c>
    </row>
    <row r="46" spans="1:15" x14ac:dyDescent="0.3">
      <c r="A46" s="327"/>
      <c r="B46" s="327"/>
      <c r="C46" s="327"/>
      <c r="D46" s="327"/>
      <c r="E46" s="40" t="s">
        <v>309</v>
      </c>
      <c r="F46" s="124"/>
      <c r="G46" s="37"/>
      <c r="H46" s="179">
        <f>72.96*1.15</f>
        <v>83.903999999999982</v>
      </c>
      <c r="I46" s="180">
        <v>0.4</v>
      </c>
      <c r="J46" s="33">
        <v>1</v>
      </c>
      <c r="K46" s="179">
        <f t="shared" si="6"/>
        <v>33.561599999999991</v>
      </c>
    </row>
    <row r="47" spans="1:15" ht="27.6" x14ac:dyDescent="0.3">
      <c r="A47" s="327"/>
      <c r="B47" s="327"/>
      <c r="C47" s="327"/>
      <c r="D47" s="327"/>
      <c r="E47" s="181" t="s">
        <v>310</v>
      </c>
      <c r="F47" s="124"/>
      <c r="G47" s="37"/>
      <c r="H47" s="179">
        <f>28.97*2</f>
        <v>57.94</v>
      </c>
      <c r="I47" s="180">
        <v>0.7</v>
      </c>
      <c r="J47" s="33">
        <v>1</v>
      </c>
      <c r="K47" s="179">
        <f t="shared" ref="K47" si="7">H47*I47*J47</f>
        <v>40.557999999999993</v>
      </c>
    </row>
    <row r="48" spans="1:15" x14ac:dyDescent="0.3">
      <c r="A48" s="327"/>
      <c r="B48" s="327"/>
      <c r="C48" s="327"/>
      <c r="D48" s="327"/>
      <c r="E48" s="163" t="s">
        <v>277</v>
      </c>
      <c r="F48" s="124"/>
      <c r="G48" s="33"/>
      <c r="H48" s="179">
        <f>(1.5+4.8)*5.3</f>
        <v>33.39</v>
      </c>
      <c r="I48" s="180">
        <v>0.6</v>
      </c>
      <c r="J48" s="33">
        <v>1</v>
      </c>
      <c r="K48" s="179">
        <f>H48*I48*J48</f>
        <v>20.033999999999999</v>
      </c>
    </row>
    <row r="49" spans="1:13" x14ac:dyDescent="0.3">
      <c r="A49" s="327"/>
      <c r="B49" s="327"/>
      <c r="C49" s="327"/>
      <c r="D49" s="327"/>
      <c r="E49" s="163" t="s">
        <v>345</v>
      </c>
      <c r="F49" s="124">
        <v>2.1</v>
      </c>
      <c r="G49" s="33">
        <v>5</v>
      </c>
      <c r="H49" s="179">
        <f>F49*G49</f>
        <v>10.5</v>
      </c>
      <c r="I49" s="180">
        <v>1</v>
      </c>
      <c r="J49" s="33">
        <v>1</v>
      </c>
      <c r="K49" s="179">
        <f t="shared" ref="K49:K50" si="8">H49*I49*J49</f>
        <v>10.5</v>
      </c>
    </row>
    <row r="50" spans="1:13" x14ac:dyDescent="0.3">
      <c r="A50" s="327"/>
      <c r="B50" s="327"/>
      <c r="C50" s="327"/>
      <c r="D50" s="327"/>
      <c r="E50" s="163" t="s">
        <v>346</v>
      </c>
      <c r="F50" s="124">
        <v>0.4</v>
      </c>
      <c r="G50" s="33">
        <v>5</v>
      </c>
      <c r="H50" s="179">
        <f>F50*G50</f>
        <v>2</v>
      </c>
      <c r="I50" s="180">
        <v>0.6</v>
      </c>
      <c r="J50" s="33">
        <v>1</v>
      </c>
      <c r="K50" s="179">
        <f t="shared" si="8"/>
        <v>1.2</v>
      </c>
    </row>
    <row r="51" spans="1:13" x14ac:dyDescent="0.3">
      <c r="A51" s="327"/>
      <c r="B51" s="327"/>
      <c r="C51" s="327"/>
      <c r="D51" s="327"/>
      <c r="E51" s="163" t="s">
        <v>347</v>
      </c>
      <c r="F51" s="124">
        <v>1.9</v>
      </c>
      <c r="G51" s="33">
        <v>5</v>
      </c>
      <c r="H51" s="179">
        <f>F51*G51</f>
        <v>9.5</v>
      </c>
      <c r="I51" s="180">
        <v>3.2</v>
      </c>
      <c r="J51" s="33">
        <v>1</v>
      </c>
      <c r="K51" s="179">
        <f t="shared" ref="K51" si="9">H51*I51*J51</f>
        <v>30.400000000000002</v>
      </c>
    </row>
    <row r="52" spans="1:13" x14ac:dyDescent="0.3">
      <c r="A52" s="327"/>
      <c r="B52" s="327"/>
      <c r="C52" s="327"/>
      <c r="D52" s="327"/>
      <c r="E52" s="40"/>
      <c r="F52" s="37" t="s">
        <v>243</v>
      </c>
      <c r="G52" s="37">
        <f>G26+G31+G38</f>
        <v>339.67189999999999</v>
      </c>
      <c r="H52" s="37">
        <f>H26+H31+H38</f>
        <v>304.04860000000002</v>
      </c>
      <c r="I52" s="32"/>
      <c r="J52" s="32"/>
      <c r="K52" s="32"/>
      <c r="M52" s="27">
        <f>0.17*19</f>
        <v>3.2300000000000004</v>
      </c>
    </row>
    <row r="53" spans="1:13" x14ac:dyDescent="0.3">
      <c r="A53" s="327"/>
      <c r="B53" s="327"/>
      <c r="C53" s="327"/>
      <c r="D53" s="327"/>
      <c r="E53" s="40"/>
      <c r="F53" s="33"/>
      <c r="G53" s="33"/>
      <c r="H53" s="33"/>
      <c r="I53" s="32"/>
      <c r="J53" s="32"/>
      <c r="K53" s="32"/>
    </row>
    <row r="54" spans="1:13" x14ac:dyDescent="0.3">
      <c r="A54" s="327"/>
      <c r="B54" s="327"/>
      <c r="C54" s="327"/>
      <c r="D54" s="327"/>
      <c r="E54" s="40"/>
      <c r="F54" s="33"/>
      <c r="G54" s="33"/>
      <c r="H54" s="33"/>
      <c r="I54" s="32"/>
      <c r="J54" s="32"/>
      <c r="K54" s="32"/>
    </row>
    <row r="55" spans="1:13" x14ac:dyDescent="0.3">
      <c r="A55" s="327"/>
      <c r="B55" s="327"/>
      <c r="C55" s="327"/>
      <c r="D55" s="327"/>
      <c r="E55" s="40"/>
      <c r="F55" s="33"/>
      <c r="G55" s="33"/>
      <c r="H55" s="33"/>
      <c r="I55" s="32"/>
      <c r="J55" s="32"/>
      <c r="K55" s="32"/>
    </row>
    <row r="56" spans="1:13" x14ac:dyDescent="0.3">
      <c r="A56" s="327"/>
      <c r="B56" s="327"/>
      <c r="C56" s="327"/>
      <c r="D56" s="327"/>
      <c r="E56" s="40"/>
      <c r="F56" s="33"/>
      <c r="G56" s="33"/>
      <c r="H56" s="33"/>
      <c r="I56" s="32"/>
      <c r="J56" s="32"/>
      <c r="K56" s="32"/>
    </row>
    <row r="57" spans="1:13" x14ac:dyDescent="0.3">
      <c r="A57" s="327"/>
      <c r="B57" s="327"/>
      <c r="C57" s="327"/>
      <c r="D57" s="327"/>
      <c r="E57" s="38"/>
      <c r="F57" s="33"/>
      <c r="G57" s="33"/>
      <c r="H57" s="33"/>
      <c r="I57" s="32"/>
      <c r="J57" s="33"/>
      <c r="K57" s="41"/>
    </row>
    <row r="58" spans="1:13" x14ac:dyDescent="0.3">
      <c r="A58" s="327"/>
      <c r="B58" s="327"/>
      <c r="C58" s="327"/>
      <c r="D58" s="327"/>
      <c r="E58" s="324" t="s">
        <v>45</v>
      </c>
      <c r="F58" s="324"/>
      <c r="G58" s="324"/>
      <c r="H58" s="324"/>
      <c r="I58" s="324"/>
      <c r="J58" s="324"/>
      <c r="K58" s="146">
        <f>+SUM(K15:K57)</f>
        <v>320.13807400000002</v>
      </c>
    </row>
    <row r="59" spans="1:13" s="31" customFormat="1" hidden="1" x14ac:dyDescent="0.3">
      <c r="A59" s="328" t="s">
        <v>46</v>
      </c>
      <c r="B59" s="328"/>
      <c r="C59" s="328" t="s">
        <v>46</v>
      </c>
      <c r="D59" s="328"/>
      <c r="E59" s="328" t="s">
        <v>47</v>
      </c>
      <c r="F59" s="328"/>
      <c r="G59" s="328"/>
      <c r="H59" s="328" t="s">
        <v>48</v>
      </c>
      <c r="I59" s="328"/>
      <c r="J59" s="328"/>
      <c r="K59" s="328"/>
    </row>
    <row r="60" spans="1:13" s="31" customFormat="1" hidden="1" x14ac:dyDescent="0.3">
      <c r="A60" s="330"/>
      <c r="B60" s="330"/>
      <c r="C60" s="330"/>
      <c r="D60" s="330"/>
      <c r="E60" s="330"/>
      <c r="F60" s="330"/>
      <c r="G60" s="330"/>
      <c r="H60" s="330"/>
      <c r="I60" s="330"/>
      <c r="J60" s="330"/>
      <c r="K60" s="330"/>
    </row>
    <row r="61" spans="1:13" s="31" customFormat="1" hidden="1" x14ac:dyDescent="0.3">
      <c r="A61" s="330"/>
      <c r="B61" s="330"/>
      <c r="C61" s="330"/>
      <c r="D61" s="330"/>
      <c r="E61" s="330"/>
      <c r="F61" s="330"/>
      <c r="G61" s="330"/>
      <c r="H61" s="330"/>
      <c r="I61" s="330"/>
      <c r="J61" s="330"/>
      <c r="K61" s="330"/>
    </row>
    <row r="62" spans="1:13" s="31" customFormat="1" hidden="1" x14ac:dyDescent="0.3">
      <c r="A62" s="330"/>
      <c r="B62" s="330"/>
      <c r="C62" s="330"/>
      <c r="D62" s="330"/>
      <c r="E62" s="330"/>
      <c r="F62" s="330"/>
      <c r="G62" s="330"/>
      <c r="H62" s="330"/>
      <c r="I62" s="330"/>
      <c r="J62" s="330"/>
      <c r="K62" s="330"/>
    </row>
    <row r="63" spans="1:13" s="31" customFormat="1" hidden="1" x14ac:dyDescent="0.3">
      <c r="A63" s="330"/>
      <c r="B63" s="330"/>
      <c r="C63" s="330"/>
      <c r="D63" s="330"/>
      <c r="E63" s="330"/>
      <c r="F63" s="330"/>
      <c r="G63" s="330"/>
      <c r="H63" s="330"/>
      <c r="I63" s="330"/>
      <c r="J63" s="330"/>
      <c r="K63" s="330"/>
    </row>
    <row r="64" spans="1:13" s="31" customFormat="1" hidden="1" x14ac:dyDescent="0.3">
      <c r="A64" s="330"/>
      <c r="B64" s="330"/>
      <c r="C64" s="330"/>
      <c r="D64" s="330"/>
      <c r="E64" s="330"/>
      <c r="F64" s="330"/>
      <c r="G64" s="330"/>
      <c r="H64" s="330"/>
      <c r="I64" s="330"/>
      <c r="J64" s="330"/>
      <c r="K64" s="330"/>
    </row>
    <row r="65" spans="1:15" s="31" customFormat="1" hidden="1" x14ac:dyDescent="0.3">
      <c r="A65" s="330"/>
      <c r="B65" s="330"/>
      <c r="C65" s="330"/>
      <c r="D65" s="330"/>
      <c r="E65" s="330"/>
      <c r="F65" s="330"/>
      <c r="G65" s="330"/>
      <c r="H65" s="330"/>
      <c r="I65" s="330"/>
      <c r="J65" s="330"/>
      <c r="K65" s="330"/>
    </row>
    <row r="66" spans="1:15" s="31" customFormat="1" ht="15.75" hidden="1" customHeight="1" thickBot="1" x14ac:dyDescent="0.35">
      <c r="A66" s="331"/>
      <c r="B66" s="332"/>
      <c r="C66" s="332"/>
      <c r="D66" s="332"/>
      <c r="E66" s="332"/>
      <c r="F66" s="332"/>
      <c r="G66" s="332"/>
      <c r="H66" s="332"/>
      <c r="I66" s="332"/>
      <c r="J66" s="332"/>
      <c r="K66" s="333"/>
    </row>
    <row r="67" spans="1:15" hidden="1" x14ac:dyDescent="0.3"/>
    <row r="69" spans="1:15" ht="14.4" x14ac:dyDescent="0.3">
      <c r="H69" s="340" t="s">
        <v>344</v>
      </c>
      <c r="I69" s="341"/>
      <c r="J69" s="342"/>
      <c r="K69" s="194">
        <v>2.1</v>
      </c>
      <c r="L69" s="194">
        <v>2.9</v>
      </c>
      <c r="M69" s="194">
        <v>0.1</v>
      </c>
      <c r="N69" s="195">
        <v>1</v>
      </c>
      <c r="O69" s="196">
        <f t="shared" ref="O69:O70" si="10">K69*L69*M69*N69</f>
        <v>0.60899999999999999</v>
      </c>
    </row>
    <row r="70" spans="1:15" ht="14.4" x14ac:dyDescent="0.3">
      <c r="H70" s="340" t="s">
        <v>344</v>
      </c>
      <c r="I70" s="341"/>
      <c r="J70" s="342"/>
      <c r="K70" s="194">
        <v>0.4</v>
      </c>
      <c r="L70" s="194">
        <v>2.9</v>
      </c>
      <c r="M70" s="194">
        <v>0.6</v>
      </c>
      <c r="N70" s="195">
        <v>1</v>
      </c>
      <c r="O70" s="196">
        <f t="shared" si="10"/>
        <v>0.69599999999999995</v>
      </c>
    </row>
  </sheetData>
  <mergeCells count="50">
    <mergeCell ref="H69:J69"/>
    <mergeCell ref="H70:J70"/>
    <mergeCell ref="N26:O26"/>
    <mergeCell ref="N25:O25"/>
    <mergeCell ref="N16:O16"/>
    <mergeCell ref="N17:O17"/>
    <mergeCell ref="N18:O18"/>
    <mergeCell ref="N19:O19"/>
    <mergeCell ref="N21:O21"/>
    <mergeCell ref="N22:O22"/>
    <mergeCell ref="N23:O23"/>
    <mergeCell ref="N24:O24"/>
    <mergeCell ref="N20:O20"/>
    <mergeCell ref="A66:K66"/>
    <mergeCell ref="A59:B59"/>
    <mergeCell ref="C59:D59"/>
    <mergeCell ref="N15:O15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58"/>
    <mergeCell ref="F10:G10"/>
    <mergeCell ref="F11:G11"/>
    <mergeCell ref="F12:G12"/>
    <mergeCell ref="F13:G13"/>
    <mergeCell ref="E58:J58"/>
    <mergeCell ref="A9:D9"/>
    <mergeCell ref="E9:E10"/>
    <mergeCell ref="F9:H9"/>
    <mergeCell ref="I9:I10"/>
    <mergeCell ref="J9:J10"/>
    <mergeCell ref="E59:G59"/>
    <mergeCell ref="H59:K59"/>
    <mergeCell ref="A60:B65"/>
    <mergeCell ref="C60:D65"/>
    <mergeCell ref="E60:G65"/>
    <mergeCell ref="H60:K65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586BB-927B-4152-ACC6-62BFD6F5A702}">
  <sheetPr>
    <tabColor rgb="FF92D050"/>
  </sheetPr>
  <dimension ref="A1:K42"/>
  <sheetViews>
    <sheetView topLeftCell="B1" zoomScale="85" zoomScaleNormal="85" workbookViewId="0">
      <selection activeCell="F23" sqref="F23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55.2" x14ac:dyDescent="0.3">
      <c r="A7" s="35" t="s">
        <v>56</v>
      </c>
      <c r="B7" s="28">
        <v>2.2999999999999998</v>
      </c>
      <c r="C7" s="29" t="s">
        <v>57</v>
      </c>
      <c r="D7" s="323">
        <f>+VLOOKUP(B7,'FORMATO PRESUPUESTO'!D10:L31,3,FALSE)</f>
        <v>72101500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PLACA BASE EN CONCRETO E= 8 CM 2500 PSI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66</v>
      </c>
      <c r="J9" s="326" t="s">
        <v>44</v>
      </c>
      <c r="K9" s="326" t="s">
        <v>67</v>
      </c>
    </row>
    <row r="10" spans="1:11" x14ac:dyDescent="0.3">
      <c r="A10" s="327"/>
      <c r="B10" s="327"/>
      <c r="C10" s="327"/>
      <c r="D10" s="327"/>
      <c r="E10" s="326"/>
      <c r="F10" s="336" t="s">
        <v>173</v>
      </c>
      <c r="G10" s="337"/>
      <c r="H10" s="34" t="s">
        <v>155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95">
        <f>+D7</f>
        <v>72101500</v>
      </c>
      <c r="F11" s="334">
        <f>23.3993+144+21.0727+36.3011+23.1084+17.195+17.0531+36.5702+15.1008+15.0025+17.0785+6.4079+29.3097</f>
        <v>401.5992</v>
      </c>
      <c r="G11" s="335"/>
      <c r="H11" s="46">
        <v>0.2</v>
      </c>
      <c r="I11" s="33"/>
      <c r="J11" s="33">
        <v>1</v>
      </c>
      <c r="K11" s="37">
        <f>+F11*H11*J11</f>
        <v>80.319839999999999</v>
      </c>
    </row>
    <row r="12" spans="1:11" x14ac:dyDescent="0.3">
      <c r="A12" s="327"/>
      <c r="B12" s="327"/>
      <c r="C12" s="327"/>
      <c r="D12" s="327"/>
      <c r="E12" s="38"/>
      <c r="F12" s="43"/>
      <c r="G12" s="43"/>
      <c r="H12" s="46"/>
      <c r="I12" s="33"/>
      <c r="J12" s="33"/>
      <c r="K12" s="37"/>
    </row>
    <row r="13" spans="1:11" x14ac:dyDescent="0.3">
      <c r="A13" s="327"/>
      <c r="B13" s="327"/>
      <c r="C13" s="327"/>
      <c r="D13" s="327"/>
      <c r="E13" s="38"/>
      <c r="F13" s="45"/>
      <c r="G13" s="45"/>
      <c r="H13" s="46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4"/>
      <c r="I15" s="33"/>
      <c r="J15" s="33"/>
      <c r="K15" s="37"/>
    </row>
    <row r="16" spans="1:11" x14ac:dyDescent="0.3">
      <c r="A16" s="327"/>
      <c r="B16" s="327"/>
      <c r="C16" s="327"/>
      <c r="D16" s="327"/>
      <c r="E16" s="38"/>
      <c r="F16" s="45"/>
      <c r="G16" s="45"/>
      <c r="H16" s="44"/>
      <c r="I16" s="33"/>
      <c r="J16" s="33"/>
      <c r="K16" s="37"/>
    </row>
    <row r="17" spans="1:11" x14ac:dyDescent="0.3">
      <c r="A17" s="327"/>
      <c r="B17" s="327"/>
      <c r="C17" s="327"/>
      <c r="D17" s="327"/>
      <c r="E17" s="37"/>
      <c r="F17" s="45"/>
      <c r="G17" s="45"/>
      <c r="H17" s="45"/>
      <c r="I17" s="33"/>
      <c r="J17" s="32"/>
      <c r="K17" s="37"/>
    </row>
    <row r="18" spans="1:11" x14ac:dyDescent="0.3">
      <c r="A18" s="327"/>
      <c r="B18" s="327"/>
      <c r="C18" s="327"/>
      <c r="D18" s="327"/>
      <c r="E18" s="37"/>
      <c r="F18" s="45"/>
      <c r="G18" s="45"/>
      <c r="H18" s="45"/>
      <c r="I18" s="33"/>
      <c r="J18" s="32"/>
      <c r="K18" s="37"/>
    </row>
    <row r="19" spans="1:11" x14ac:dyDescent="0.3">
      <c r="A19" s="327"/>
      <c r="B19" s="327"/>
      <c r="C19" s="327"/>
      <c r="D19" s="327"/>
      <c r="E19" s="37"/>
      <c r="F19" s="45"/>
      <c r="G19" s="45"/>
      <c r="H19" s="45"/>
      <c r="I19" s="33"/>
      <c r="J19" s="32"/>
      <c r="K19" s="37"/>
    </row>
    <row r="20" spans="1:11" x14ac:dyDescent="0.3">
      <c r="A20" s="327"/>
      <c r="B20" s="327"/>
      <c r="C20" s="327"/>
      <c r="D20" s="327"/>
      <c r="E20" s="37"/>
      <c r="F20" s="45"/>
      <c r="G20" s="45"/>
      <c r="H20" s="45"/>
      <c r="I20" s="33"/>
      <c r="J20" s="32"/>
      <c r="K20" s="37"/>
    </row>
    <row r="21" spans="1:11" x14ac:dyDescent="0.3">
      <c r="A21" s="327"/>
      <c r="B21" s="327"/>
      <c r="C21" s="327"/>
      <c r="D21" s="327"/>
      <c r="E21" s="38"/>
      <c r="F21" s="45"/>
      <c r="G21" s="45"/>
      <c r="H21" s="45"/>
      <c r="I21" s="33"/>
      <c r="J21" s="32"/>
      <c r="K21" s="37"/>
    </row>
    <row r="22" spans="1:11" x14ac:dyDescent="0.3">
      <c r="A22" s="327"/>
      <c r="B22" s="327"/>
      <c r="C22" s="327"/>
      <c r="D22" s="327"/>
      <c r="E22" s="38"/>
      <c r="F22" s="33"/>
      <c r="G22" s="33"/>
      <c r="H22" s="45"/>
      <c r="I22" s="33"/>
      <c r="J22" s="32"/>
      <c r="K22" s="37"/>
    </row>
    <row r="23" spans="1:11" x14ac:dyDescent="0.3">
      <c r="A23" s="327"/>
      <c r="B23" s="327"/>
      <c r="C23" s="327"/>
      <c r="D23" s="327"/>
      <c r="E23" s="38"/>
      <c r="F23" s="33"/>
      <c r="G23" s="33"/>
      <c r="H23" s="45"/>
      <c r="I23" s="33"/>
      <c r="J23" s="32"/>
      <c r="K23" s="37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40"/>
      <c r="F29" s="33"/>
      <c r="G29" s="33"/>
      <c r="H29" s="33"/>
      <c r="I29" s="32"/>
      <c r="J29" s="32"/>
      <c r="K29" s="32"/>
    </row>
    <row r="30" spans="1:11" x14ac:dyDescent="0.3">
      <c r="A30" s="327"/>
      <c r="B30" s="327"/>
      <c r="C30" s="327"/>
      <c r="D30" s="327"/>
      <c r="E30" s="40"/>
      <c r="F30" s="33"/>
      <c r="G30" s="33"/>
      <c r="H30" s="33"/>
      <c r="I30" s="32"/>
      <c r="J30" s="32"/>
      <c r="K30" s="32"/>
    </row>
    <row r="31" spans="1:11" x14ac:dyDescent="0.3">
      <c r="A31" s="327"/>
      <c r="B31" s="327"/>
      <c r="C31" s="327"/>
      <c r="D31" s="327"/>
      <c r="E31" s="40"/>
      <c r="F31" s="33"/>
      <c r="G31" s="33"/>
      <c r="H31" s="33"/>
      <c r="I31" s="32"/>
      <c r="J31" s="32"/>
      <c r="K31" s="32"/>
    </row>
    <row r="32" spans="1:11" x14ac:dyDescent="0.3">
      <c r="A32" s="327"/>
      <c r="B32" s="327"/>
      <c r="C32" s="327"/>
      <c r="D32" s="327"/>
      <c r="E32" s="38"/>
      <c r="F32" s="33"/>
      <c r="G32" s="33"/>
      <c r="H32" s="33"/>
      <c r="I32" s="32"/>
      <c r="J32" s="33"/>
      <c r="K32" s="41"/>
    </row>
    <row r="33" spans="1:11" x14ac:dyDescent="0.3">
      <c r="A33" s="327"/>
      <c r="B33" s="327"/>
      <c r="C33" s="327"/>
      <c r="D33" s="327"/>
      <c r="E33" s="324" t="s">
        <v>45</v>
      </c>
      <c r="F33" s="324"/>
      <c r="G33" s="324"/>
      <c r="H33" s="324"/>
      <c r="I33" s="324"/>
      <c r="J33" s="324"/>
      <c r="K33" s="42">
        <f>+SUM(K11:K32)</f>
        <v>80.319839999999999</v>
      </c>
    </row>
    <row r="34" spans="1:11" s="31" customFormat="1" hidden="1" x14ac:dyDescent="0.3">
      <c r="A34" s="328" t="s">
        <v>46</v>
      </c>
      <c r="B34" s="328"/>
      <c r="C34" s="328" t="s">
        <v>46</v>
      </c>
      <c r="D34" s="328"/>
      <c r="E34" s="328" t="s">
        <v>47</v>
      </c>
      <c r="F34" s="328"/>
      <c r="G34" s="328"/>
      <c r="H34" s="328" t="s">
        <v>48</v>
      </c>
      <c r="I34" s="328"/>
      <c r="J34" s="328"/>
      <c r="K34" s="328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idden="1" x14ac:dyDescent="0.3">
      <c r="A38" s="330"/>
      <c r="B38" s="330"/>
      <c r="C38" s="330"/>
      <c r="D38" s="330"/>
      <c r="E38" s="330"/>
      <c r="F38" s="330"/>
      <c r="G38" s="330"/>
      <c r="H38" s="330"/>
      <c r="I38" s="330"/>
      <c r="J38" s="330"/>
      <c r="K38" s="330"/>
    </row>
    <row r="39" spans="1:11" s="31" customFormat="1" hidden="1" x14ac:dyDescent="0.3">
      <c r="A39" s="330"/>
      <c r="B39" s="330"/>
      <c r="C39" s="330"/>
      <c r="D39" s="330"/>
      <c r="E39" s="330"/>
      <c r="F39" s="330"/>
      <c r="G39" s="330"/>
      <c r="H39" s="330"/>
      <c r="I39" s="330"/>
      <c r="J39" s="330"/>
      <c r="K39" s="330"/>
    </row>
    <row r="40" spans="1:11" s="31" customFormat="1" hidden="1" x14ac:dyDescent="0.3">
      <c r="A40" s="330"/>
      <c r="B40" s="330"/>
      <c r="C40" s="330"/>
      <c r="D40" s="330"/>
      <c r="E40" s="330"/>
      <c r="F40" s="330"/>
      <c r="G40" s="330"/>
      <c r="H40" s="330"/>
      <c r="I40" s="330"/>
      <c r="J40" s="330"/>
      <c r="K40" s="330"/>
    </row>
    <row r="41" spans="1:11" s="31" customFormat="1" ht="15.75" hidden="1" customHeight="1" thickBot="1" x14ac:dyDescent="0.35">
      <c r="A41" s="331"/>
      <c r="B41" s="332"/>
      <c r="C41" s="332"/>
      <c r="D41" s="332"/>
      <c r="E41" s="332"/>
      <c r="F41" s="332"/>
      <c r="G41" s="332"/>
      <c r="H41" s="332"/>
      <c r="I41" s="332"/>
      <c r="J41" s="332"/>
      <c r="K41" s="333"/>
    </row>
    <row r="42" spans="1:11" hidden="1" x14ac:dyDescent="0.3"/>
  </sheetData>
  <mergeCells count="34">
    <mergeCell ref="A35:B40"/>
    <mergeCell ref="C35:D40"/>
    <mergeCell ref="E35:G40"/>
    <mergeCell ref="H35:K40"/>
    <mergeCell ref="A41:K41"/>
    <mergeCell ref="K9:K10"/>
    <mergeCell ref="A10:D33"/>
    <mergeCell ref="E33:J33"/>
    <mergeCell ref="A34:B34"/>
    <mergeCell ref="C34:D34"/>
    <mergeCell ref="E34:G34"/>
    <mergeCell ref="H34:K34"/>
    <mergeCell ref="A9:D9"/>
    <mergeCell ref="E9:E10"/>
    <mergeCell ref="F9:H9"/>
    <mergeCell ref="I9:I10"/>
    <mergeCell ref="J9:J10"/>
    <mergeCell ref="F11:G11"/>
    <mergeCell ref="F10:G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0A77A-5CEF-468D-A6B7-D27E0760D5B9}">
  <sheetPr>
    <tabColor rgb="FFFFFF00"/>
  </sheetPr>
  <dimension ref="A1:M64"/>
  <sheetViews>
    <sheetView topLeftCell="A26" zoomScale="85" zoomScaleNormal="85" workbookViewId="0">
      <selection activeCell="I52" sqref="I52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55.2" x14ac:dyDescent="0.3">
      <c r="A7" s="35" t="s">
        <v>56</v>
      </c>
      <c r="B7" s="28">
        <v>2.2999999999999998</v>
      </c>
      <c r="C7" s="29" t="s">
        <v>57</v>
      </c>
      <c r="D7" s="323">
        <f>+VLOOKUP(B7,'FORMATO PRESUPUESTO'!D10:L31,3,FALSE)</f>
        <v>72101500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PLACA BASE EN CONCRETO E= 8 CM 2500 PSI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66</v>
      </c>
      <c r="J9" s="326" t="s">
        <v>44</v>
      </c>
      <c r="K9" s="326" t="s">
        <v>67</v>
      </c>
    </row>
    <row r="10" spans="1:11" x14ac:dyDescent="0.3">
      <c r="A10" s="327"/>
      <c r="B10" s="327"/>
      <c r="C10" s="327"/>
      <c r="D10" s="327"/>
      <c r="E10" s="326"/>
      <c r="F10" s="336" t="s">
        <v>173</v>
      </c>
      <c r="G10" s="337"/>
      <c r="H10" s="34" t="s">
        <v>155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95">
        <f>+D7</f>
        <v>72101500</v>
      </c>
      <c r="F11" s="334">
        <f>23.3993+144+21.0727+36.3011+23.1084+17.195+17.0531+36.5702+15.1008+15.0025+17.0785+6.4079+29.3097</f>
        <v>401.5992</v>
      </c>
      <c r="G11" s="335"/>
      <c r="H11" s="46">
        <v>0.2</v>
      </c>
      <c r="I11" s="33"/>
      <c r="J11" s="33">
        <v>1</v>
      </c>
      <c r="K11" s="37">
        <f>+F11*H11*J11</f>
        <v>80.319839999999999</v>
      </c>
    </row>
    <row r="12" spans="1:11" x14ac:dyDescent="0.3">
      <c r="A12" s="327"/>
      <c r="B12" s="327"/>
      <c r="C12" s="327"/>
      <c r="D12" s="327"/>
      <c r="E12" s="38"/>
      <c r="F12" s="43"/>
      <c r="G12" s="43"/>
      <c r="H12" s="46"/>
      <c r="I12" s="33"/>
      <c r="J12" s="33"/>
      <c r="K12" s="37"/>
    </row>
    <row r="13" spans="1:11" x14ac:dyDescent="0.3">
      <c r="A13" s="327"/>
      <c r="B13" s="327"/>
      <c r="C13" s="327"/>
      <c r="D13" s="327"/>
      <c r="E13" s="38"/>
      <c r="F13" s="131" t="s">
        <v>244</v>
      </c>
      <c r="G13" s="126" t="s">
        <v>235</v>
      </c>
      <c r="H13" s="127" t="s">
        <v>236</v>
      </c>
      <c r="I13" s="33"/>
      <c r="J13" s="33"/>
      <c r="K13" s="37"/>
    </row>
    <row r="14" spans="1:11" x14ac:dyDescent="0.3">
      <c r="A14" s="327"/>
      <c r="B14" s="327"/>
      <c r="C14" s="327"/>
      <c r="D14" s="327"/>
      <c r="E14" s="38" t="s">
        <v>134</v>
      </c>
      <c r="F14" s="144">
        <v>1</v>
      </c>
      <c r="G14" s="149">
        <v>29.31</v>
      </c>
      <c r="H14" s="151">
        <v>30.78</v>
      </c>
      <c r="I14" s="33">
        <v>0.2</v>
      </c>
      <c r="J14" s="33">
        <v>1</v>
      </c>
      <c r="K14" s="37">
        <f>H14*I14*J14</f>
        <v>6.1560000000000006</v>
      </c>
    </row>
    <row r="15" spans="1:11" x14ac:dyDescent="0.3">
      <c r="A15" s="327"/>
      <c r="B15" s="327"/>
      <c r="C15" s="327"/>
      <c r="D15" s="327"/>
      <c r="E15" s="33"/>
      <c r="F15" s="144">
        <v>2</v>
      </c>
      <c r="G15" s="149">
        <v>36.299999999999997</v>
      </c>
      <c r="H15" s="151">
        <v>38.4</v>
      </c>
      <c r="I15" s="33">
        <v>0.2</v>
      </c>
      <c r="J15" s="33">
        <v>1</v>
      </c>
      <c r="K15" s="37">
        <f t="shared" ref="K15:K36" si="0">H15*I15*J15</f>
        <v>7.68</v>
      </c>
    </row>
    <row r="16" spans="1:11" x14ac:dyDescent="0.3">
      <c r="A16" s="327"/>
      <c r="B16" s="327"/>
      <c r="C16" s="327"/>
      <c r="D16" s="327"/>
      <c r="E16" s="33"/>
      <c r="F16" s="144">
        <v>3</v>
      </c>
      <c r="G16" s="149">
        <v>23.4</v>
      </c>
      <c r="H16" s="151">
        <v>13.1</v>
      </c>
      <c r="I16" s="33">
        <v>0.2</v>
      </c>
      <c r="J16" s="33">
        <v>1</v>
      </c>
      <c r="K16" s="37">
        <f>H16*I16*J16</f>
        <v>2.62</v>
      </c>
    </row>
    <row r="17" spans="1:11" x14ac:dyDescent="0.3">
      <c r="A17" s="327"/>
      <c r="B17" s="327"/>
      <c r="C17" s="327"/>
      <c r="D17" s="327"/>
      <c r="E17" s="40"/>
      <c r="F17" s="144">
        <v>4</v>
      </c>
      <c r="G17" s="149">
        <v>21.08</v>
      </c>
      <c r="H17" s="151">
        <v>8.83</v>
      </c>
      <c r="I17" s="33">
        <v>0.2</v>
      </c>
      <c r="J17" s="33">
        <v>1</v>
      </c>
      <c r="K17" s="37">
        <f t="shared" si="0"/>
        <v>1.766</v>
      </c>
    </row>
    <row r="18" spans="1:11" x14ac:dyDescent="0.3">
      <c r="A18" s="327"/>
      <c r="B18" s="327"/>
      <c r="C18" s="327"/>
      <c r="D18" s="327"/>
      <c r="E18" s="38"/>
      <c r="F18" s="144">
        <v>5</v>
      </c>
      <c r="G18" s="124">
        <v>17.195</v>
      </c>
      <c r="H18" s="151">
        <v>7.32</v>
      </c>
      <c r="I18" s="33">
        <v>0.2</v>
      </c>
      <c r="J18" s="33">
        <v>1</v>
      </c>
      <c r="K18" s="37">
        <f t="shared" si="0"/>
        <v>1.4640000000000002</v>
      </c>
    </row>
    <row r="19" spans="1:11" x14ac:dyDescent="0.3">
      <c r="A19" s="327"/>
      <c r="B19" s="327"/>
      <c r="C19" s="327"/>
      <c r="D19" s="327"/>
      <c r="E19" s="40"/>
      <c r="F19" s="144">
        <v>6</v>
      </c>
      <c r="G19" s="124">
        <v>17.053100000000001</v>
      </c>
      <c r="H19" s="151">
        <v>7.12</v>
      </c>
      <c r="I19" s="33">
        <v>0.2</v>
      </c>
      <c r="J19" s="33">
        <v>1</v>
      </c>
      <c r="K19" s="37">
        <f t="shared" si="0"/>
        <v>1.4240000000000002</v>
      </c>
    </row>
    <row r="20" spans="1:11" x14ac:dyDescent="0.3">
      <c r="A20" s="327"/>
      <c r="B20" s="327"/>
      <c r="C20" s="327"/>
      <c r="D20" s="327"/>
      <c r="E20" s="40"/>
      <c r="F20" s="144">
        <v>7</v>
      </c>
      <c r="G20" s="124">
        <v>36.5702</v>
      </c>
      <c r="H20" s="151">
        <v>42.85</v>
      </c>
      <c r="I20" s="33">
        <v>0.2</v>
      </c>
      <c r="J20" s="33">
        <v>1</v>
      </c>
      <c r="K20" s="37">
        <f t="shared" si="0"/>
        <v>8.57</v>
      </c>
    </row>
    <row r="21" spans="1:11" x14ac:dyDescent="0.3">
      <c r="A21" s="327"/>
      <c r="B21" s="327"/>
      <c r="C21" s="327"/>
      <c r="D21" s="327"/>
      <c r="E21" s="40"/>
      <c r="F21" s="144">
        <v>8</v>
      </c>
      <c r="G21" s="124">
        <v>15</v>
      </c>
      <c r="H21" s="151">
        <v>5.0999999999999996</v>
      </c>
      <c r="I21" s="33">
        <v>0.2</v>
      </c>
      <c r="J21" s="33">
        <v>1</v>
      </c>
      <c r="K21" s="37">
        <f t="shared" si="0"/>
        <v>1.02</v>
      </c>
    </row>
    <row r="22" spans="1:11" x14ac:dyDescent="0.3">
      <c r="A22" s="327"/>
      <c r="B22" s="327"/>
      <c r="C22" s="327"/>
      <c r="D22" s="327"/>
      <c r="E22" s="40"/>
      <c r="F22" s="144">
        <v>9</v>
      </c>
      <c r="G22" s="124">
        <v>15</v>
      </c>
      <c r="H22" s="151">
        <v>5</v>
      </c>
      <c r="I22" s="33">
        <v>0.2</v>
      </c>
      <c r="J22" s="33">
        <v>1</v>
      </c>
      <c r="K22" s="37">
        <f t="shared" si="0"/>
        <v>1</v>
      </c>
    </row>
    <row r="23" spans="1:11" x14ac:dyDescent="0.3">
      <c r="A23" s="327"/>
      <c r="B23" s="327"/>
      <c r="C23" s="327"/>
      <c r="D23" s="327"/>
      <c r="E23" s="40"/>
      <c r="F23" s="154">
        <v>10</v>
      </c>
      <c r="G23" s="124">
        <v>17</v>
      </c>
      <c r="H23" s="151">
        <v>22.44</v>
      </c>
      <c r="I23" s="33">
        <v>0.2</v>
      </c>
      <c r="J23" s="33">
        <v>1</v>
      </c>
      <c r="K23" s="37">
        <f t="shared" si="0"/>
        <v>4.4880000000000004</v>
      </c>
    </row>
    <row r="24" spans="1:11" x14ac:dyDescent="0.3">
      <c r="A24" s="327"/>
      <c r="B24" s="327"/>
      <c r="C24" s="327"/>
      <c r="D24" s="327"/>
      <c r="E24" s="40"/>
      <c r="F24" s="144">
        <v>11</v>
      </c>
      <c r="G24" s="124">
        <v>6.4</v>
      </c>
      <c r="H24" s="151">
        <v>8.5500000000000007</v>
      </c>
      <c r="I24" s="33">
        <v>0.2</v>
      </c>
      <c r="J24" s="33">
        <v>1</v>
      </c>
      <c r="K24" s="37">
        <f t="shared" si="0"/>
        <v>1.7100000000000002</v>
      </c>
    </row>
    <row r="25" spans="1:11" x14ac:dyDescent="0.3">
      <c r="A25" s="327"/>
      <c r="B25" s="327"/>
      <c r="C25" s="327"/>
      <c r="D25" s="327"/>
      <c r="E25" s="40"/>
      <c r="F25" s="33"/>
      <c r="G25" s="37">
        <f>SUM(G14:G24)</f>
        <v>234.3083</v>
      </c>
      <c r="H25" s="37">
        <f>SUM(H14:H24)</f>
        <v>189.49</v>
      </c>
      <c r="I25" s="32"/>
      <c r="J25" s="32"/>
      <c r="K25" s="37">
        <f t="shared" si="0"/>
        <v>0</v>
      </c>
    </row>
    <row r="26" spans="1:11" x14ac:dyDescent="0.3">
      <c r="A26" s="327"/>
      <c r="B26" s="327"/>
      <c r="C26" s="327"/>
      <c r="D26" s="327"/>
      <c r="E26" s="38" t="s">
        <v>135</v>
      </c>
      <c r="F26" s="128" t="s">
        <v>234</v>
      </c>
      <c r="G26" s="33">
        <f>4.53*4.53</f>
        <v>20.520900000000001</v>
      </c>
      <c r="H26" s="152">
        <f>4.53*4.53</f>
        <v>20.520900000000001</v>
      </c>
      <c r="I26" s="33">
        <v>0.2</v>
      </c>
      <c r="J26" s="33">
        <v>1</v>
      </c>
      <c r="K26" s="37">
        <f>H26*I26*J26</f>
        <v>4.1041800000000004</v>
      </c>
    </row>
    <row r="27" spans="1:11" x14ac:dyDescent="0.3">
      <c r="A27" s="327"/>
      <c r="B27" s="327"/>
      <c r="C27" s="327"/>
      <c r="D27" s="327"/>
      <c r="E27" s="40"/>
      <c r="F27" s="128" t="s">
        <v>231</v>
      </c>
      <c r="G27" s="33">
        <f t="shared" ref="G27:H29" si="1">4.53*4.53</f>
        <v>20.520900000000001</v>
      </c>
      <c r="H27" s="152">
        <f t="shared" si="1"/>
        <v>20.520900000000001</v>
      </c>
      <c r="I27" s="33">
        <v>0.2</v>
      </c>
      <c r="J27" s="33">
        <v>1</v>
      </c>
      <c r="K27" s="37">
        <f t="shared" si="0"/>
        <v>4.1041800000000004</v>
      </c>
    </row>
    <row r="28" spans="1:11" x14ac:dyDescent="0.3">
      <c r="A28" s="327"/>
      <c r="B28" s="327"/>
      <c r="C28" s="327"/>
      <c r="D28" s="327"/>
      <c r="E28" s="40"/>
      <c r="F28" s="128" t="s">
        <v>232</v>
      </c>
      <c r="G28" s="33">
        <f t="shared" si="1"/>
        <v>20.520900000000001</v>
      </c>
      <c r="H28" s="152">
        <f t="shared" si="1"/>
        <v>20.520900000000001</v>
      </c>
      <c r="I28" s="33">
        <v>0.2</v>
      </c>
      <c r="J28" s="33">
        <v>1</v>
      </c>
      <c r="K28" s="37">
        <f t="shared" si="0"/>
        <v>4.1041800000000004</v>
      </c>
    </row>
    <row r="29" spans="1:11" x14ac:dyDescent="0.3">
      <c r="A29" s="327"/>
      <c r="B29" s="327"/>
      <c r="C29" s="327"/>
      <c r="D29" s="327"/>
      <c r="E29" s="40"/>
      <c r="F29" s="128" t="s">
        <v>233</v>
      </c>
      <c r="G29" s="33">
        <f t="shared" si="1"/>
        <v>20.520900000000001</v>
      </c>
      <c r="H29" s="152">
        <f t="shared" si="1"/>
        <v>20.520900000000001</v>
      </c>
      <c r="I29" s="33">
        <v>0.2</v>
      </c>
      <c r="J29" s="33">
        <v>1</v>
      </c>
      <c r="K29" s="37">
        <f t="shared" si="0"/>
        <v>4.1041800000000004</v>
      </c>
    </row>
    <row r="30" spans="1:11" x14ac:dyDescent="0.3">
      <c r="A30" s="327"/>
      <c r="B30" s="327"/>
      <c r="C30" s="327"/>
      <c r="D30" s="327"/>
      <c r="E30" s="40"/>
      <c r="F30" s="124"/>
      <c r="G30" s="37">
        <f>SUM(G26:G29)</f>
        <v>82.083600000000004</v>
      </c>
      <c r="H30" s="37">
        <f>SUM(H26:H29)</f>
        <v>82.083600000000004</v>
      </c>
      <c r="I30" s="32"/>
      <c r="J30" s="32"/>
      <c r="K30" s="37">
        <f t="shared" si="0"/>
        <v>0</v>
      </c>
    </row>
    <row r="31" spans="1:11" x14ac:dyDescent="0.3">
      <c r="A31" s="327"/>
      <c r="B31" s="327"/>
      <c r="C31" s="327"/>
      <c r="D31" s="327"/>
      <c r="E31" s="38" t="s">
        <v>136</v>
      </c>
      <c r="F31" s="129" t="s">
        <v>237</v>
      </c>
      <c r="G31" s="33">
        <v>3.88</v>
      </c>
      <c r="H31" s="33">
        <f>4.33*1.25</f>
        <v>5.4124999999999996</v>
      </c>
      <c r="I31" s="33">
        <v>0.2</v>
      </c>
      <c r="J31" s="33">
        <v>1</v>
      </c>
      <c r="K31" s="37">
        <f>H31*I31*J31</f>
        <v>1.0825</v>
      </c>
    </row>
    <row r="32" spans="1:11" x14ac:dyDescent="0.3">
      <c r="A32" s="327"/>
      <c r="B32" s="327"/>
      <c r="C32" s="327"/>
      <c r="D32" s="327"/>
      <c r="E32" s="40"/>
      <c r="F32" s="129" t="s">
        <v>238</v>
      </c>
      <c r="G32" s="33">
        <v>3.88</v>
      </c>
      <c r="H32" s="33">
        <f t="shared" ref="H32:H36" si="2">4.33*1.25</f>
        <v>5.4124999999999996</v>
      </c>
      <c r="I32" s="33">
        <v>0.2</v>
      </c>
      <c r="J32" s="33">
        <v>1</v>
      </c>
      <c r="K32" s="37">
        <f t="shared" si="0"/>
        <v>1.0825</v>
      </c>
    </row>
    <row r="33" spans="1:13" x14ac:dyDescent="0.3">
      <c r="A33" s="327"/>
      <c r="B33" s="327"/>
      <c r="C33" s="327"/>
      <c r="D33" s="327"/>
      <c r="E33" s="40"/>
      <c r="F33" s="129" t="s">
        <v>239</v>
      </c>
      <c r="G33" s="33">
        <v>3.88</v>
      </c>
      <c r="H33" s="33">
        <f t="shared" si="2"/>
        <v>5.4124999999999996</v>
      </c>
      <c r="I33" s="33">
        <v>0.2</v>
      </c>
      <c r="J33" s="33">
        <v>1</v>
      </c>
      <c r="K33" s="37">
        <f t="shared" si="0"/>
        <v>1.0825</v>
      </c>
    </row>
    <row r="34" spans="1:13" x14ac:dyDescent="0.3">
      <c r="A34" s="327"/>
      <c r="B34" s="327"/>
      <c r="C34" s="327"/>
      <c r="D34" s="327"/>
      <c r="E34" s="40"/>
      <c r="F34" s="129" t="s">
        <v>240</v>
      </c>
      <c r="G34" s="33">
        <v>3.88</v>
      </c>
      <c r="H34" s="33">
        <f t="shared" si="2"/>
        <v>5.4124999999999996</v>
      </c>
      <c r="I34" s="33">
        <v>0.2</v>
      </c>
      <c r="J34" s="33">
        <v>1</v>
      </c>
      <c r="K34" s="37">
        <f t="shared" si="0"/>
        <v>1.0825</v>
      </c>
    </row>
    <row r="35" spans="1:13" x14ac:dyDescent="0.3">
      <c r="A35" s="327"/>
      <c r="B35" s="327"/>
      <c r="C35" s="327"/>
      <c r="D35" s="327"/>
      <c r="E35" s="40"/>
      <c r="F35" s="129" t="s">
        <v>241</v>
      </c>
      <c r="G35" s="33">
        <v>3.88</v>
      </c>
      <c r="H35" s="33">
        <f t="shared" si="2"/>
        <v>5.4124999999999996</v>
      </c>
      <c r="I35" s="33">
        <v>0.2</v>
      </c>
      <c r="J35" s="33">
        <v>1</v>
      </c>
      <c r="K35" s="37">
        <f t="shared" si="0"/>
        <v>1.0825</v>
      </c>
    </row>
    <row r="36" spans="1:13" x14ac:dyDescent="0.3">
      <c r="A36" s="327"/>
      <c r="B36" s="327"/>
      <c r="C36" s="327"/>
      <c r="D36" s="327"/>
      <c r="E36" s="40"/>
      <c r="F36" s="129" t="s">
        <v>242</v>
      </c>
      <c r="G36" s="33">
        <v>3.88</v>
      </c>
      <c r="H36" s="33">
        <f t="shared" si="2"/>
        <v>5.4124999999999996</v>
      </c>
      <c r="I36" s="33">
        <v>0.2</v>
      </c>
      <c r="J36" s="33">
        <v>1</v>
      </c>
      <c r="K36" s="37">
        <f t="shared" si="0"/>
        <v>1.0825</v>
      </c>
    </row>
    <row r="37" spans="1:13" x14ac:dyDescent="0.3">
      <c r="A37" s="327"/>
      <c r="B37" s="327"/>
      <c r="C37" s="327"/>
      <c r="D37" s="327"/>
      <c r="E37" s="40"/>
      <c r="F37" s="124"/>
      <c r="G37" s="37">
        <f>SUM(G31:G36)</f>
        <v>23.279999999999998</v>
      </c>
      <c r="H37" s="37">
        <f>SUM(H31:H36)</f>
        <v>32.475000000000001</v>
      </c>
      <c r="I37" s="32"/>
      <c r="J37" s="32"/>
      <c r="K37" s="32"/>
    </row>
    <row r="38" spans="1:13" x14ac:dyDescent="0.3">
      <c r="A38" s="327"/>
      <c r="B38" s="327"/>
      <c r="C38" s="327"/>
      <c r="D38" s="327"/>
      <c r="E38" s="40" t="s">
        <v>251</v>
      </c>
      <c r="F38" s="155" t="s">
        <v>253</v>
      </c>
      <c r="G38" s="37"/>
      <c r="H38" s="125">
        <v>75.752399999999994</v>
      </c>
      <c r="I38" s="33">
        <v>0.2</v>
      </c>
      <c r="J38" s="33">
        <v>1</v>
      </c>
      <c r="K38" s="37">
        <f>H38*I38*J38</f>
        <v>15.15048</v>
      </c>
      <c r="M38" s="33">
        <v>0.25</v>
      </c>
    </row>
    <row r="39" spans="1:13" x14ac:dyDescent="0.3">
      <c r="A39" s="327"/>
      <c r="B39" s="327"/>
      <c r="C39" s="327"/>
      <c r="D39" s="327"/>
      <c r="E39" s="40"/>
      <c r="F39" s="155" t="s">
        <v>254</v>
      </c>
      <c r="G39" s="37"/>
      <c r="H39" s="125">
        <v>76.241699999999994</v>
      </c>
      <c r="I39" s="33">
        <v>0.2</v>
      </c>
      <c r="J39" s="33">
        <v>1</v>
      </c>
      <c r="K39" s="37">
        <f t="shared" ref="K39:K44" si="3">H39*I39*J39</f>
        <v>15.248339999999999</v>
      </c>
      <c r="M39" s="33">
        <v>0.25</v>
      </c>
    </row>
    <row r="40" spans="1:13" x14ac:dyDescent="0.3">
      <c r="A40" s="327"/>
      <c r="B40" s="327"/>
      <c r="C40" s="327"/>
      <c r="D40" s="327"/>
      <c r="E40" s="40"/>
      <c r="F40" s="155" t="s">
        <v>255</v>
      </c>
      <c r="G40" s="37"/>
      <c r="H40" s="125">
        <v>59.216700000000003</v>
      </c>
      <c r="I40" s="33">
        <v>0.15</v>
      </c>
      <c r="J40" s="33">
        <v>1</v>
      </c>
      <c r="K40" s="37">
        <f t="shared" si="3"/>
        <v>8.8825050000000001</v>
      </c>
      <c r="M40" s="33">
        <v>0.2</v>
      </c>
    </row>
    <row r="41" spans="1:13" x14ac:dyDescent="0.3">
      <c r="A41" s="327"/>
      <c r="B41" s="327"/>
      <c r="C41" s="327"/>
      <c r="D41" s="327"/>
      <c r="E41" s="40"/>
      <c r="F41" s="155" t="s">
        <v>256</v>
      </c>
      <c r="G41" s="37"/>
      <c r="H41" s="125">
        <v>59.289400000000001</v>
      </c>
      <c r="I41" s="33">
        <v>0.15</v>
      </c>
      <c r="J41" s="33">
        <v>1</v>
      </c>
      <c r="K41" s="37">
        <f t="shared" si="3"/>
        <v>8.8934099999999994</v>
      </c>
      <c r="M41" s="33">
        <v>0.2</v>
      </c>
    </row>
    <row r="42" spans="1:13" x14ac:dyDescent="0.3">
      <c r="A42" s="327"/>
      <c r="B42" s="327"/>
      <c r="C42" s="327"/>
      <c r="D42" s="327"/>
      <c r="E42" s="40"/>
      <c r="F42" s="155" t="s">
        <v>257</v>
      </c>
      <c r="G42" s="37"/>
      <c r="H42" s="125">
        <v>40.972299999999997</v>
      </c>
      <c r="I42" s="33">
        <v>0.1</v>
      </c>
      <c r="J42" s="33">
        <v>1</v>
      </c>
      <c r="K42" s="37">
        <f t="shared" si="3"/>
        <v>4.0972299999999997</v>
      </c>
      <c r="M42" s="33">
        <v>0.15</v>
      </c>
    </row>
    <row r="43" spans="1:13" x14ac:dyDescent="0.3">
      <c r="A43" s="327"/>
      <c r="B43" s="327"/>
      <c r="C43" s="327"/>
      <c r="D43" s="327"/>
      <c r="E43" s="40"/>
      <c r="F43" s="155" t="s">
        <v>258</v>
      </c>
      <c r="G43" s="37"/>
      <c r="H43" s="125">
        <v>92.568299999999994</v>
      </c>
      <c r="I43" s="33">
        <v>0.13</v>
      </c>
      <c r="J43" s="33">
        <v>1</v>
      </c>
      <c r="K43" s="37">
        <f t="shared" si="3"/>
        <v>12.033878999999999</v>
      </c>
      <c r="M43" s="33">
        <v>0.18</v>
      </c>
    </row>
    <row r="44" spans="1:13" x14ac:dyDescent="0.3">
      <c r="A44" s="327"/>
      <c r="B44" s="327"/>
      <c r="C44" s="327"/>
      <c r="D44" s="327"/>
      <c r="E44" s="40"/>
      <c r="F44" s="155" t="s">
        <v>259</v>
      </c>
      <c r="G44" s="37"/>
      <c r="H44" s="125">
        <v>54.413400000000003</v>
      </c>
      <c r="I44" s="33">
        <v>0.1</v>
      </c>
      <c r="J44" s="33">
        <v>1</v>
      </c>
      <c r="K44" s="37">
        <f t="shared" si="3"/>
        <v>5.4413400000000003</v>
      </c>
      <c r="M44" s="33">
        <v>0.15</v>
      </c>
    </row>
    <row r="45" spans="1:13" x14ac:dyDescent="0.3">
      <c r="A45" s="327"/>
      <c r="B45" s="327"/>
      <c r="C45" s="327"/>
      <c r="D45" s="327"/>
      <c r="E45" s="40" t="s">
        <v>309</v>
      </c>
      <c r="F45" s="124"/>
      <c r="G45" s="37"/>
      <c r="H45" s="179">
        <f>72.96*1.15</f>
        <v>83.903999999999982</v>
      </c>
      <c r="I45" s="33">
        <v>0.3</v>
      </c>
      <c r="J45" s="33">
        <v>1</v>
      </c>
      <c r="K45" s="179">
        <f>H45*I45*J45</f>
        <v>25.171199999999995</v>
      </c>
    </row>
    <row r="46" spans="1:13" ht="27.6" x14ac:dyDescent="0.3">
      <c r="A46" s="327"/>
      <c r="B46" s="327"/>
      <c r="C46" s="327"/>
      <c r="D46" s="327"/>
      <c r="E46" s="181" t="s">
        <v>310</v>
      </c>
      <c r="F46" s="124"/>
      <c r="G46" s="37"/>
      <c r="H46" s="179">
        <f>28.97*2</f>
        <v>57.94</v>
      </c>
      <c r="I46" s="33">
        <v>0.4</v>
      </c>
      <c r="J46" s="33">
        <v>1</v>
      </c>
      <c r="K46" s="179">
        <f>H46*I46*J46</f>
        <v>23.176000000000002</v>
      </c>
    </row>
    <row r="47" spans="1:13" x14ac:dyDescent="0.3">
      <c r="A47" s="327"/>
      <c r="B47" s="327"/>
      <c r="C47" s="327"/>
      <c r="D47" s="327"/>
      <c r="E47" s="163" t="s">
        <v>311</v>
      </c>
      <c r="F47" s="124"/>
      <c r="G47" s="33"/>
      <c r="H47" s="179">
        <f>(1.5+4.8)*5.3</f>
        <v>33.39</v>
      </c>
      <c r="I47" s="33">
        <v>0.45</v>
      </c>
      <c r="J47" s="33">
        <v>1</v>
      </c>
      <c r="K47" s="179">
        <f t="shared" ref="K47" si="4">H47*I47*J47</f>
        <v>15.025500000000001</v>
      </c>
    </row>
    <row r="48" spans="1:13" x14ac:dyDescent="0.3">
      <c r="A48" s="327"/>
      <c r="B48" s="327"/>
      <c r="C48" s="327"/>
      <c r="D48" s="327"/>
      <c r="E48" s="163" t="s">
        <v>312</v>
      </c>
      <c r="F48" s="124"/>
      <c r="G48" s="33"/>
      <c r="H48" s="179">
        <f>2.1*3.8</f>
        <v>7.9799999999999995</v>
      </c>
      <c r="I48" s="33">
        <v>0.7</v>
      </c>
      <c r="J48" s="33">
        <v>1</v>
      </c>
      <c r="K48" s="179">
        <f t="shared" ref="K48:K49" si="5">H48*I48*J48</f>
        <v>5.5859999999999994</v>
      </c>
    </row>
    <row r="49" spans="1:11" x14ac:dyDescent="0.3">
      <c r="A49" s="327"/>
      <c r="B49" s="327"/>
      <c r="C49" s="327"/>
      <c r="D49" s="327"/>
      <c r="E49" s="163" t="s">
        <v>347</v>
      </c>
      <c r="F49" s="124">
        <v>1.5</v>
      </c>
      <c r="G49" s="33">
        <v>5</v>
      </c>
      <c r="H49" s="179">
        <f>F49*G49</f>
        <v>7.5</v>
      </c>
      <c r="I49" s="180">
        <v>3.2</v>
      </c>
      <c r="J49" s="33">
        <v>1</v>
      </c>
      <c r="K49" s="179">
        <f t="shared" si="5"/>
        <v>24</v>
      </c>
    </row>
    <row r="50" spans="1:11" x14ac:dyDescent="0.3">
      <c r="A50" s="327"/>
      <c r="B50" s="327"/>
      <c r="C50" s="327"/>
      <c r="D50" s="327"/>
      <c r="E50" s="40"/>
      <c r="F50" s="37" t="s">
        <v>243</v>
      </c>
      <c r="G50" s="37">
        <f>G25+G30+G37</f>
        <v>339.67189999999999</v>
      </c>
      <c r="H50" s="33"/>
      <c r="I50" s="32"/>
      <c r="J50" s="32"/>
      <c r="K50" s="32"/>
    </row>
    <row r="51" spans="1:11" x14ac:dyDescent="0.3">
      <c r="A51" s="327"/>
      <c r="B51" s="327"/>
      <c r="C51" s="327"/>
      <c r="D51" s="327"/>
      <c r="E51" s="40"/>
      <c r="F51" s="33"/>
      <c r="G51" s="33"/>
      <c r="H51" s="33"/>
      <c r="I51" s="32"/>
      <c r="J51" s="32"/>
      <c r="K51" s="32"/>
    </row>
    <row r="52" spans="1:11" x14ac:dyDescent="0.3">
      <c r="A52" s="327"/>
      <c r="B52" s="327"/>
      <c r="C52" s="327"/>
      <c r="D52" s="327"/>
      <c r="E52" s="40"/>
      <c r="F52" s="33"/>
      <c r="G52" s="33"/>
      <c r="H52" s="33"/>
      <c r="I52" s="32"/>
      <c r="J52" s="32"/>
      <c r="K52" s="32"/>
    </row>
    <row r="53" spans="1:11" x14ac:dyDescent="0.3">
      <c r="A53" s="327"/>
      <c r="B53" s="327"/>
      <c r="C53" s="327"/>
      <c r="D53" s="327"/>
      <c r="E53" s="40"/>
      <c r="F53" s="33"/>
      <c r="G53" s="33"/>
      <c r="H53" s="33"/>
      <c r="I53" s="32"/>
      <c r="J53" s="32"/>
      <c r="K53" s="32"/>
    </row>
    <row r="54" spans="1:11" x14ac:dyDescent="0.3">
      <c r="A54" s="327"/>
      <c r="B54" s="327"/>
      <c r="C54" s="327"/>
      <c r="D54" s="327"/>
      <c r="E54" s="38"/>
      <c r="F54" s="33"/>
      <c r="G54" s="33"/>
      <c r="H54" s="33"/>
      <c r="I54" s="32"/>
      <c r="J54" s="33"/>
      <c r="K54" s="41"/>
    </row>
    <row r="55" spans="1:11" x14ac:dyDescent="0.3">
      <c r="A55" s="327"/>
      <c r="B55" s="327"/>
      <c r="C55" s="327"/>
      <c r="D55" s="327"/>
      <c r="E55" s="324" t="s">
        <v>45</v>
      </c>
      <c r="F55" s="324"/>
      <c r="G55" s="324"/>
      <c r="H55" s="324"/>
      <c r="I55" s="324"/>
      <c r="J55" s="324"/>
      <c r="K55" s="42">
        <f>+SUM(K14:K54)</f>
        <v>223.51560400000002</v>
      </c>
    </row>
    <row r="56" spans="1:11" s="31" customFormat="1" hidden="1" x14ac:dyDescent="0.3">
      <c r="A56" s="328" t="s">
        <v>46</v>
      </c>
      <c r="B56" s="328"/>
      <c r="C56" s="328" t="s">
        <v>46</v>
      </c>
      <c r="D56" s="328"/>
      <c r="E56" s="328" t="s">
        <v>47</v>
      </c>
      <c r="F56" s="328"/>
      <c r="G56" s="328"/>
      <c r="H56" s="328" t="s">
        <v>48</v>
      </c>
      <c r="I56" s="328"/>
      <c r="J56" s="328"/>
      <c r="K56" s="328"/>
    </row>
    <row r="57" spans="1:11" s="31" customFormat="1" hidden="1" x14ac:dyDescent="0.3">
      <c r="A57" s="330"/>
      <c r="B57" s="330"/>
      <c r="C57" s="330"/>
      <c r="D57" s="330"/>
      <c r="E57" s="330"/>
      <c r="F57" s="330"/>
      <c r="G57" s="330"/>
      <c r="H57" s="330"/>
      <c r="I57" s="330"/>
      <c r="J57" s="330"/>
      <c r="K57" s="330"/>
    </row>
    <row r="58" spans="1:11" s="31" customFormat="1" hidden="1" x14ac:dyDescent="0.3">
      <c r="A58" s="330"/>
      <c r="B58" s="330"/>
      <c r="C58" s="330"/>
      <c r="D58" s="330"/>
      <c r="E58" s="330"/>
      <c r="F58" s="330"/>
      <c r="G58" s="330"/>
      <c r="H58" s="330"/>
      <c r="I58" s="330"/>
      <c r="J58" s="330"/>
      <c r="K58" s="330"/>
    </row>
    <row r="59" spans="1:11" s="31" customFormat="1" hidden="1" x14ac:dyDescent="0.3">
      <c r="A59" s="330"/>
      <c r="B59" s="330"/>
      <c r="C59" s="330"/>
      <c r="D59" s="330"/>
      <c r="E59" s="330"/>
      <c r="F59" s="330"/>
      <c r="G59" s="330"/>
      <c r="H59" s="330"/>
      <c r="I59" s="330"/>
      <c r="J59" s="330"/>
      <c r="K59" s="330"/>
    </row>
    <row r="60" spans="1:11" s="31" customFormat="1" hidden="1" x14ac:dyDescent="0.3">
      <c r="A60" s="330"/>
      <c r="B60" s="330"/>
      <c r="C60" s="330"/>
      <c r="D60" s="330"/>
      <c r="E60" s="330"/>
      <c r="F60" s="330"/>
      <c r="G60" s="330"/>
      <c r="H60" s="330"/>
      <c r="I60" s="330"/>
      <c r="J60" s="330"/>
      <c r="K60" s="330"/>
    </row>
    <row r="61" spans="1:11" s="31" customFormat="1" hidden="1" x14ac:dyDescent="0.3">
      <c r="A61" s="330"/>
      <c r="B61" s="330"/>
      <c r="C61" s="330"/>
      <c r="D61" s="330"/>
      <c r="E61" s="330"/>
      <c r="F61" s="330"/>
      <c r="G61" s="330"/>
      <c r="H61" s="330"/>
      <c r="I61" s="330"/>
      <c r="J61" s="330"/>
      <c r="K61" s="330"/>
    </row>
    <row r="62" spans="1:11" s="31" customFormat="1" hidden="1" x14ac:dyDescent="0.3">
      <c r="A62" s="330"/>
      <c r="B62" s="330"/>
      <c r="C62" s="330"/>
      <c r="D62" s="330"/>
      <c r="E62" s="330"/>
      <c r="F62" s="330"/>
      <c r="G62" s="330"/>
      <c r="H62" s="330"/>
      <c r="I62" s="330"/>
      <c r="J62" s="330"/>
      <c r="K62" s="330"/>
    </row>
    <row r="63" spans="1:11" s="31" customFormat="1" ht="15.75" hidden="1" customHeight="1" thickBot="1" x14ac:dyDescent="0.35">
      <c r="A63" s="331"/>
      <c r="B63" s="332"/>
      <c r="C63" s="332"/>
      <c r="D63" s="332"/>
      <c r="E63" s="332"/>
      <c r="F63" s="332"/>
      <c r="G63" s="332"/>
      <c r="H63" s="332"/>
      <c r="I63" s="332"/>
      <c r="J63" s="332"/>
      <c r="K63" s="333"/>
    </row>
    <row r="64" spans="1:11" hidden="1" x14ac:dyDescent="0.3"/>
  </sheetData>
  <mergeCells count="34">
    <mergeCell ref="E1:H1"/>
    <mergeCell ref="I1:K1"/>
    <mergeCell ref="E2:H2"/>
    <mergeCell ref="I2:K2"/>
    <mergeCell ref="C3:D5"/>
    <mergeCell ref="E3:K3"/>
    <mergeCell ref="E4:H4"/>
    <mergeCell ref="I4:K4"/>
    <mergeCell ref="A56:B56"/>
    <mergeCell ref="C56:D56"/>
    <mergeCell ref="E56:G56"/>
    <mergeCell ref="H56:K56"/>
    <mergeCell ref="E5:H5"/>
    <mergeCell ref="I5:K5"/>
    <mergeCell ref="A6:K6"/>
    <mergeCell ref="D7:I7"/>
    <mergeCell ref="A8:K8"/>
    <mergeCell ref="A9:D9"/>
    <mergeCell ref="E9:E10"/>
    <mergeCell ref="F9:H9"/>
    <mergeCell ref="I9:I10"/>
    <mergeCell ref="J9:J10"/>
    <mergeCell ref="A1:B5"/>
    <mergeCell ref="C1:D2"/>
    <mergeCell ref="K9:K10"/>
    <mergeCell ref="A10:D55"/>
    <mergeCell ref="F10:G10"/>
    <mergeCell ref="F11:G11"/>
    <mergeCell ref="E55:J55"/>
    <mergeCell ref="A57:B62"/>
    <mergeCell ref="C57:D62"/>
    <mergeCell ref="E57:G62"/>
    <mergeCell ref="H57:K62"/>
    <mergeCell ref="A63:K63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0BAE2-E9E6-41E1-B73A-B968CEFCF695}">
  <sheetPr>
    <tabColor rgb="FF92D050"/>
  </sheetPr>
  <dimension ref="A1:K39"/>
  <sheetViews>
    <sheetView topLeftCell="A5" zoomScale="85" zoomScaleNormal="85" workbookViewId="0">
      <selection activeCell="F23" sqref="F23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 t="e">
        <f>'FORMATO PRESUPUESTO'!#REF!</f>
        <v>#REF!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36" t="e">
        <f>+VLOOKUP(B7,'FORMATO PRESUPUESTO'!D10:L31,4,FALSE)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63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50" t="s">
        <v>105</v>
      </c>
      <c r="F11" s="43">
        <v>4.2</v>
      </c>
      <c r="G11" s="43">
        <v>4.2</v>
      </c>
      <c r="H11" s="51">
        <v>0</v>
      </c>
      <c r="I11" s="52">
        <f>G11*F11</f>
        <v>17.64</v>
      </c>
      <c r="J11" s="52">
        <v>4</v>
      </c>
      <c r="K11" s="53">
        <f>+J11*I11</f>
        <v>70.56</v>
      </c>
    </row>
    <row r="12" spans="1:11" x14ac:dyDescent="0.3">
      <c r="A12" s="327"/>
      <c r="B12" s="327"/>
      <c r="C12" s="327"/>
      <c r="D12" s="327"/>
      <c r="E12" s="33"/>
      <c r="F12" s="54"/>
      <c r="G12" s="45"/>
      <c r="H12" s="46"/>
      <c r="I12" s="52"/>
      <c r="J12" s="52"/>
      <c r="K12" s="53"/>
    </row>
    <row r="13" spans="1:11" x14ac:dyDescent="0.3">
      <c r="A13" s="327"/>
      <c r="B13" s="327"/>
      <c r="C13" s="327"/>
      <c r="D13" s="327"/>
      <c r="E13" s="33"/>
      <c r="F13" s="54"/>
      <c r="G13" s="45"/>
      <c r="H13" s="46"/>
      <c r="I13" s="52"/>
      <c r="J13" s="52"/>
      <c r="K13" s="53"/>
    </row>
    <row r="14" spans="1:11" x14ac:dyDescent="0.3">
      <c r="A14" s="327"/>
      <c r="B14" s="327"/>
      <c r="C14" s="327"/>
      <c r="D14" s="327"/>
      <c r="E14" s="33"/>
      <c r="F14" s="45"/>
      <c r="G14" s="45"/>
      <c r="H14" s="44"/>
      <c r="I14" s="52"/>
      <c r="J14" s="52"/>
      <c r="K14" s="53"/>
    </row>
    <row r="15" spans="1:11" x14ac:dyDescent="0.3">
      <c r="A15" s="327"/>
      <c r="B15" s="327"/>
      <c r="C15" s="327"/>
      <c r="D15" s="327"/>
      <c r="E15" s="33"/>
      <c r="F15" s="45"/>
      <c r="G15" s="45"/>
      <c r="H15" s="45"/>
      <c r="I15" s="32"/>
      <c r="J15" s="32"/>
      <c r="K15" s="32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70.56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6C431-A248-4D9E-92F6-B8116F748C41}">
  <sheetPr>
    <tabColor rgb="FFFFFF00"/>
  </sheetPr>
  <dimension ref="A1:K39"/>
  <sheetViews>
    <sheetView zoomScale="85" zoomScaleNormal="85" workbookViewId="0">
      <selection activeCell="E21" sqref="E2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 t="e">
        <f>'FORMATO PRESUPUESTO'!#REF!</f>
        <v>#REF!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36" t="e">
        <f>+VLOOKUP(B7,'FORMATO PRESUPUESTO'!D10:L31,4,FALSE)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63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50" t="s">
        <v>105</v>
      </c>
      <c r="F11" s="43">
        <v>3.2</v>
      </c>
      <c r="G11" s="43">
        <v>3.2</v>
      </c>
      <c r="H11" s="51">
        <v>0</v>
      </c>
      <c r="I11" s="52">
        <f>G11*F11</f>
        <v>10.240000000000002</v>
      </c>
      <c r="J11" s="52">
        <v>4</v>
      </c>
      <c r="K11" s="53">
        <f>+J11*I11</f>
        <v>40.960000000000008</v>
      </c>
    </row>
    <row r="12" spans="1:11" x14ac:dyDescent="0.3">
      <c r="A12" s="327"/>
      <c r="B12" s="327"/>
      <c r="C12" s="327"/>
      <c r="D12" s="327"/>
      <c r="E12" s="33"/>
      <c r="F12" s="54"/>
      <c r="G12" s="45"/>
      <c r="H12" s="46"/>
      <c r="I12" s="52"/>
      <c r="J12" s="52"/>
      <c r="K12" s="53"/>
    </row>
    <row r="13" spans="1:11" x14ac:dyDescent="0.3">
      <c r="A13" s="327"/>
      <c r="B13" s="327"/>
      <c r="C13" s="327"/>
      <c r="D13" s="327"/>
      <c r="E13" s="33"/>
      <c r="F13" s="54"/>
      <c r="G13" s="45"/>
      <c r="H13" s="46"/>
      <c r="I13" s="52"/>
      <c r="J13" s="52"/>
      <c r="K13" s="53"/>
    </row>
    <row r="14" spans="1:11" x14ac:dyDescent="0.3">
      <c r="A14" s="327"/>
      <c r="B14" s="327"/>
      <c r="C14" s="327"/>
      <c r="D14" s="327"/>
      <c r="E14" s="33"/>
      <c r="F14" s="45"/>
      <c r="G14" s="45"/>
      <c r="H14" s="44"/>
      <c r="I14" s="52"/>
      <c r="J14" s="52"/>
      <c r="K14" s="53"/>
    </row>
    <row r="15" spans="1:11" x14ac:dyDescent="0.3">
      <c r="A15" s="327"/>
      <c r="B15" s="327"/>
      <c r="C15" s="327"/>
      <c r="D15" s="327"/>
      <c r="E15" s="33"/>
      <c r="F15" s="45"/>
      <c r="G15" s="45"/>
      <c r="H15" s="45"/>
      <c r="I15" s="32"/>
      <c r="J15" s="32"/>
      <c r="K15" s="32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40.960000000000008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scale="55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9A3B9-A73F-4F46-AF32-734EA5EAA587}">
  <sheetPr>
    <tabColor rgb="FF92D050"/>
  </sheetPr>
  <dimension ref="A1:K39"/>
  <sheetViews>
    <sheetView topLeftCell="B7" zoomScale="85" zoomScaleNormal="85" workbookViewId="0">
      <selection activeCell="F11" sqref="F11:G1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55.2" x14ac:dyDescent="0.3">
      <c r="A7" s="35" t="s">
        <v>56</v>
      </c>
      <c r="B7" s="28">
        <v>2.5</v>
      </c>
      <c r="C7" s="29" t="s">
        <v>57</v>
      </c>
      <c r="D7" s="323">
        <f>+VLOOKUP(B7,'FORMATO PRESUPUESTO'!D10:L31,3,FALSE)</f>
        <v>72101500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PINTURA EPOXICA PARA PISOS EN CONCRETO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(PINTURA EPOXICA PARA PISOS EN CONCRETO)</v>
      </c>
      <c r="J9" s="326" t="s">
        <v>44</v>
      </c>
      <c r="K9" s="326" t="str">
        <f>+CONCATENATE("(k) MEDIDA TOTAL"," ","(",K7,")")</f>
        <v>(k) MEDIDA TOTAL (PINTURA EPOXICA PARA PISOS EN CONCRETO)</v>
      </c>
    </row>
    <row r="10" spans="1:11" x14ac:dyDescent="0.3">
      <c r="A10" s="327"/>
      <c r="B10" s="327"/>
      <c r="C10" s="327"/>
      <c r="D10" s="327"/>
      <c r="E10" s="326"/>
      <c r="F10" s="336" t="s">
        <v>176</v>
      </c>
      <c r="G10" s="337"/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 t="s">
        <v>174</v>
      </c>
      <c r="F11" s="334">
        <f>4.2*4.2</f>
        <v>17.64</v>
      </c>
      <c r="G11" s="335"/>
      <c r="H11" s="43"/>
      <c r="I11" s="33">
        <f>+G11*H11</f>
        <v>0</v>
      </c>
      <c r="J11" s="33">
        <v>4</v>
      </c>
      <c r="K11" s="37">
        <f>+F11*J11</f>
        <v>70.56</v>
      </c>
    </row>
    <row r="12" spans="1:11" x14ac:dyDescent="0.3">
      <c r="A12" s="327"/>
      <c r="B12" s="327"/>
      <c r="C12" s="327"/>
      <c r="D12" s="327"/>
      <c r="E12" s="38" t="s">
        <v>175</v>
      </c>
      <c r="F12" s="334">
        <f>21.0727+23.3993</f>
        <v>44.472000000000001</v>
      </c>
      <c r="G12" s="335"/>
      <c r="H12" s="45"/>
      <c r="I12" s="33"/>
      <c r="J12" s="33">
        <v>1</v>
      </c>
      <c r="K12" s="37">
        <f>+F12*J12</f>
        <v>44.472000000000001</v>
      </c>
    </row>
    <row r="13" spans="1:11" x14ac:dyDescent="0.3">
      <c r="A13" s="327"/>
      <c r="B13" s="327"/>
      <c r="C13" s="327"/>
      <c r="D13" s="327"/>
      <c r="E13" s="38" t="s">
        <v>177</v>
      </c>
      <c r="F13" s="334">
        <f>36.3011+36.5702+17.0785</f>
        <v>89.949799999999982</v>
      </c>
      <c r="G13" s="335"/>
      <c r="H13" s="45"/>
      <c r="I13" s="33"/>
      <c r="J13" s="33">
        <v>1</v>
      </c>
      <c r="K13" s="37">
        <f>+F13*J13</f>
        <v>89.949799999999982</v>
      </c>
    </row>
    <row r="14" spans="1:11" x14ac:dyDescent="0.3">
      <c r="A14" s="327"/>
      <c r="B14" s="327"/>
      <c r="C14" s="327"/>
      <c r="D14" s="327"/>
      <c r="E14" s="38" t="s">
        <v>178</v>
      </c>
      <c r="F14" s="334">
        <f>17.195+17.0531</f>
        <v>34.248100000000001</v>
      </c>
      <c r="G14" s="335"/>
      <c r="H14" s="45"/>
      <c r="I14" s="33"/>
      <c r="J14" s="33">
        <v>1</v>
      </c>
      <c r="K14" s="37">
        <f>+F14*J14</f>
        <v>34.248100000000001</v>
      </c>
    </row>
    <row r="15" spans="1:11" x14ac:dyDescent="0.3">
      <c r="A15" s="327"/>
      <c r="B15" s="327"/>
      <c r="C15" s="327"/>
      <c r="D15" s="327"/>
      <c r="E15" s="38" t="s">
        <v>179</v>
      </c>
      <c r="F15" s="334">
        <f>15.1008+15.0025</f>
        <v>30.103299999999997</v>
      </c>
      <c r="G15" s="335"/>
      <c r="H15" s="45"/>
      <c r="I15" s="33"/>
      <c r="J15" s="32">
        <v>1</v>
      </c>
      <c r="K15" s="37">
        <f>+F15*J15</f>
        <v>30.103299999999997</v>
      </c>
    </row>
    <row r="16" spans="1:11" x14ac:dyDescent="0.3">
      <c r="A16" s="327"/>
      <c r="B16" s="327"/>
      <c r="C16" s="327"/>
      <c r="D16" s="327"/>
      <c r="E16" s="38" t="s">
        <v>180</v>
      </c>
      <c r="F16" s="334">
        <v>6.4078999999999997</v>
      </c>
      <c r="G16" s="335"/>
      <c r="H16" s="45"/>
      <c r="I16" s="32"/>
      <c r="J16" s="32">
        <v>1</v>
      </c>
      <c r="K16" s="37">
        <f t="shared" ref="K16:K17" si="0">+F16*J16</f>
        <v>6.4078999999999997</v>
      </c>
    </row>
    <row r="17" spans="1:11" x14ac:dyDescent="0.3">
      <c r="A17" s="327"/>
      <c r="B17" s="327"/>
      <c r="C17" s="327"/>
      <c r="D17" s="327"/>
      <c r="E17" s="38" t="s">
        <v>181</v>
      </c>
      <c r="F17" s="334">
        <v>29.309699999999999</v>
      </c>
      <c r="G17" s="335"/>
      <c r="H17" s="45"/>
      <c r="I17" s="32"/>
      <c r="J17" s="32">
        <v>1</v>
      </c>
      <c r="K17" s="37">
        <f t="shared" si="0"/>
        <v>29.309699999999999</v>
      </c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305.05079999999998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40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F11:G11"/>
    <mergeCell ref="F10:G10"/>
    <mergeCell ref="F12:G12"/>
    <mergeCell ref="F13:G13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F14:G14"/>
    <mergeCell ref="F15:G15"/>
    <mergeCell ref="F16:G16"/>
    <mergeCell ref="F17:G17"/>
    <mergeCell ref="E5:H5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C722C-C439-48F7-9037-FA23F588C4FF}">
  <sheetPr>
    <tabColor rgb="FFFFFF00"/>
  </sheetPr>
  <dimension ref="A1:K44"/>
  <sheetViews>
    <sheetView topLeftCell="A6" zoomScale="85" zoomScaleNormal="85" workbookViewId="0">
      <selection activeCell="F11" sqref="F11:G1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7.33203125" style="27" customWidth="1"/>
    <col min="7" max="7" width="12.66406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55.2" x14ac:dyDescent="0.3">
      <c r="A7" s="35" t="s">
        <v>56</v>
      </c>
      <c r="B7" s="28">
        <v>2.5</v>
      </c>
      <c r="C7" s="29" t="s">
        <v>57</v>
      </c>
      <c r="D7" s="323">
        <f>+VLOOKUP(B7,'FORMATO PRESUPUESTO'!D10:L31,3,FALSE)</f>
        <v>72101500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PINTURA EPOXICA PARA PISOS EN CONCRETO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(PINTURA EPOXICA PARA PISOS EN CONCRETO)</v>
      </c>
      <c r="J9" s="326" t="s">
        <v>44</v>
      </c>
      <c r="K9" s="326" t="str">
        <f>+CONCATENATE("(k) MEDIDA TOTAL"," ","(",K7,")")</f>
        <v>(k) MEDIDA TOTAL (PINTURA EPOXICA PARA PISOS EN CONCRETO)</v>
      </c>
    </row>
    <row r="10" spans="1:11" x14ac:dyDescent="0.3">
      <c r="A10" s="327"/>
      <c r="B10" s="327"/>
      <c r="C10" s="327"/>
      <c r="D10" s="327"/>
      <c r="E10" s="326"/>
      <c r="F10" s="336" t="s">
        <v>176</v>
      </c>
      <c r="G10" s="337"/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 t="s">
        <v>174</v>
      </c>
      <c r="F11" s="334">
        <f>4.2*4.2</f>
        <v>17.64</v>
      </c>
      <c r="G11" s="335"/>
      <c r="H11" s="43"/>
      <c r="I11" s="33">
        <f>+G11*H11</f>
        <v>0</v>
      </c>
      <c r="J11" s="33">
        <v>0</v>
      </c>
      <c r="K11" s="37">
        <f>+F11*J11</f>
        <v>0</v>
      </c>
    </row>
    <row r="12" spans="1:11" x14ac:dyDescent="0.3">
      <c r="A12" s="327"/>
      <c r="B12" s="327"/>
      <c r="C12" s="327"/>
      <c r="D12" s="327"/>
      <c r="E12" s="38" t="s">
        <v>175</v>
      </c>
      <c r="F12" s="347">
        <f>21.0727</f>
        <v>21.072700000000001</v>
      </c>
      <c r="G12" s="348"/>
      <c r="H12" s="130">
        <v>3</v>
      </c>
      <c r="I12" s="45">
        <v>23.35</v>
      </c>
      <c r="J12" s="33">
        <v>1</v>
      </c>
      <c r="K12" s="37">
        <f>F12*J12</f>
        <v>21.072700000000001</v>
      </c>
    </row>
    <row r="13" spans="1:11" x14ac:dyDescent="0.3">
      <c r="A13" s="327"/>
      <c r="B13" s="327"/>
      <c r="C13" s="327"/>
      <c r="D13" s="327"/>
      <c r="E13" s="38"/>
      <c r="F13" s="347">
        <v>23.3993</v>
      </c>
      <c r="G13" s="348"/>
      <c r="H13" s="130">
        <v>4</v>
      </c>
      <c r="I13" s="45">
        <v>21.7</v>
      </c>
      <c r="J13" s="33">
        <v>1</v>
      </c>
      <c r="K13" s="37">
        <f t="shared" ref="K13:K21" si="0">F13*J13</f>
        <v>23.3993</v>
      </c>
    </row>
    <row r="14" spans="1:11" x14ac:dyDescent="0.3">
      <c r="A14" s="327"/>
      <c r="B14" s="327"/>
      <c r="C14" s="327"/>
      <c r="D14" s="327"/>
      <c r="E14" s="38" t="s">
        <v>177</v>
      </c>
      <c r="F14" s="347">
        <f>36.3011</f>
        <v>36.301099999999998</v>
      </c>
      <c r="G14" s="348"/>
      <c r="H14" s="130">
        <v>2</v>
      </c>
      <c r="I14" s="45">
        <v>36.630000000000003</v>
      </c>
      <c r="J14" s="33">
        <v>1</v>
      </c>
      <c r="K14" s="37">
        <f t="shared" si="0"/>
        <v>36.301099999999998</v>
      </c>
    </row>
    <row r="15" spans="1:11" x14ac:dyDescent="0.3">
      <c r="A15" s="327"/>
      <c r="B15" s="327"/>
      <c r="C15" s="327"/>
      <c r="D15" s="327"/>
      <c r="E15" s="38"/>
      <c r="F15" s="347">
        <v>36.5702</v>
      </c>
      <c r="G15" s="348"/>
      <c r="H15" s="130">
        <v>7</v>
      </c>
      <c r="I15" s="45">
        <v>37.479999999999997</v>
      </c>
      <c r="J15" s="33">
        <v>1</v>
      </c>
      <c r="K15" s="37">
        <f t="shared" si="0"/>
        <v>36.5702</v>
      </c>
    </row>
    <row r="16" spans="1:11" x14ac:dyDescent="0.3">
      <c r="A16" s="327"/>
      <c r="B16" s="327"/>
      <c r="C16" s="327"/>
      <c r="D16" s="327"/>
      <c r="E16" s="38"/>
      <c r="F16" s="347">
        <v>17.078499999999998</v>
      </c>
      <c r="G16" s="348"/>
      <c r="H16" s="130">
        <v>10</v>
      </c>
      <c r="I16" s="33">
        <v>17.03</v>
      </c>
      <c r="J16" s="33">
        <v>1</v>
      </c>
      <c r="K16" s="37">
        <f t="shared" si="0"/>
        <v>17.078499999999998</v>
      </c>
    </row>
    <row r="17" spans="1:11" x14ac:dyDescent="0.3">
      <c r="A17" s="327"/>
      <c r="B17" s="327"/>
      <c r="C17" s="327"/>
      <c r="D17" s="327"/>
      <c r="E17" s="38" t="s">
        <v>178</v>
      </c>
      <c r="F17" s="349">
        <v>17.195</v>
      </c>
      <c r="G17" s="350"/>
      <c r="H17" s="130">
        <v>5</v>
      </c>
      <c r="I17" s="33">
        <v>17.190000000000001</v>
      </c>
      <c r="J17" s="33">
        <v>1</v>
      </c>
      <c r="K17" s="37">
        <f t="shared" si="0"/>
        <v>17.195</v>
      </c>
    </row>
    <row r="18" spans="1:11" x14ac:dyDescent="0.3">
      <c r="A18" s="327"/>
      <c r="B18" s="327"/>
      <c r="C18" s="327"/>
      <c r="D18" s="327"/>
      <c r="E18" s="38"/>
      <c r="F18" s="347">
        <v>17.053100000000001</v>
      </c>
      <c r="G18" s="348"/>
      <c r="H18" s="130">
        <v>6</v>
      </c>
      <c r="I18" s="33">
        <v>17.059999999999999</v>
      </c>
      <c r="J18" s="33">
        <v>1</v>
      </c>
      <c r="K18" s="37">
        <f t="shared" si="0"/>
        <v>17.053100000000001</v>
      </c>
    </row>
    <row r="19" spans="1:11" x14ac:dyDescent="0.3">
      <c r="A19" s="327"/>
      <c r="B19" s="327"/>
      <c r="C19" s="327"/>
      <c r="D19" s="327"/>
      <c r="E19" s="38" t="s">
        <v>179</v>
      </c>
      <c r="F19" s="347">
        <f>15.1008</f>
        <v>15.1008</v>
      </c>
      <c r="G19" s="348"/>
      <c r="H19" s="130">
        <v>8</v>
      </c>
      <c r="I19" s="33">
        <v>15.11</v>
      </c>
      <c r="J19" s="33">
        <v>1</v>
      </c>
      <c r="K19" s="37">
        <f t="shared" si="0"/>
        <v>15.1008</v>
      </c>
    </row>
    <row r="20" spans="1:11" x14ac:dyDescent="0.3">
      <c r="A20" s="327"/>
      <c r="B20" s="327"/>
      <c r="C20" s="327"/>
      <c r="D20" s="327"/>
      <c r="E20" s="38"/>
      <c r="F20" s="347">
        <v>15.0025</v>
      </c>
      <c r="G20" s="348"/>
      <c r="H20" s="130">
        <v>9</v>
      </c>
      <c r="I20" s="33">
        <v>14.97</v>
      </c>
      <c r="J20" s="33">
        <v>1</v>
      </c>
      <c r="K20" s="37">
        <f t="shared" si="0"/>
        <v>15.0025</v>
      </c>
    </row>
    <row r="21" spans="1:11" x14ac:dyDescent="0.3">
      <c r="A21" s="327"/>
      <c r="B21" s="327"/>
      <c r="C21" s="327"/>
      <c r="D21" s="327"/>
      <c r="E21" s="38" t="s">
        <v>180</v>
      </c>
      <c r="F21" s="349">
        <v>6.4078999999999997</v>
      </c>
      <c r="G21" s="350"/>
      <c r="H21" s="130">
        <v>11</v>
      </c>
      <c r="I21" s="33">
        <v>6.42</v>
      </c>
      <c r="J21" s="33">
        <v>1</v>
      </c>
      <c r="K21" s="37">
        <f t="shared" si="0"/>
        <v>6.4078999999999997</v>
      </c>
    </row>
    <row r="22" spans="1:11" x14ac:dyDescent="0.3">
      <c r="A22" s="327"/>
      <c r="B22" s="327"/>
      <c r="C22" s="327"/>
      <c r="D22" s="327"/>
      <c r="E22" s="38" t="s">
        <v>181</v>
      </c>
      <c r="F22" s="334">
        <v>29.309699999999999</v>
      </c>
      <c r="G22" s="335"/>
      <c r="H22" s="130">
        <v>2</v>
      </c>
      <c r="I22" s="45">
        <v>29.31</v>
      </c>
      <c r="J22" s="33">
        <v>1</v>
      </c>
      <c r="K22" s="37">
        <f>F22*J22</f>
        <v>29.309699999999999</v>
      </c>
    </row>
    <row r="23" spans="1:11" x14ac:dyDescent="0.3">
      <c r="A23" s="327"/>
      <c r="B23" s="327"/>
      <c r="C23" s="327"/>
      <c r="D23" s="327"/>
      <c r="E23" s="40"/>
      <c r="F23" s="45"/>
      <c r="G23" s="45"/>
      <c r="H23" s="45"/>
      <c r="I23" s="32">
        <f>SUM(I11:I22)</f>
        <v>236.25</v>
      </c>
      <c r="J23" s="32"/>
      <c r="K23" s="32"/>
    </row>
    <row r="24" spans="1:11" x14ac:dyDescent="0.3">
      <c r="A24" s="327"/>
      <c r="B24" s="327"/>
      <c r="C24" s="327"/>
      <c r="D24" s="327"/>
      <c r="E24" s="38"/>
      <c r="F24" s="33"/>
      <c r="G24" s="33"/>
      <c r="H24" s="33"/>
      <c r="I24" s="32"/>
      <c r="J24" s="32"/>
      <c r="K24" s="39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40"/>
      <c r="F29" s="33"/>
      <c r="G29" s="33"/>
      <c r="H29" s="33"/>
      <c r="I29" s="32"/>
      <c r="J29" s="32"/>
      <c r="K29" s="32"/>
    </row>
    <row r="30" spans="1:11" x14ac:dyDescent="0.3">
      <c r="A30" s="327"/>
      <c r="B30" s="327"/>
      <c r="C30" s="327"/>
      <c r="D30" s="327"/>
      <c r="E30" s="40"/>
      <c r="F30" s="33"/>
      <c r="G30" s="33"/>
      <c r="H30" s="33"/>
      <c r="I30" s="32"/>
      <c r="J30" s="32"/>
      <c r="K30" s="32"/>
    </row>
    <row r="31" spans="1:11" x14ac:dyDescent="0.3">
      <c r="A31" s="327"/>
      <c r="B31" s="327"/>
      <c r="C31" s="327"/>
      <c r="D31" s="327"/>
      <c r="E31" s="40"/>
      <c r="F31" s="33"/>
      <c r="G31" s="33"/>
      <c r="H31" s="33"/>
      <c r="I31" s="32"/>
      <c r="J31" s="32"/>
      <c r="K31" s="32"/>
    </row>
    <row r="32" spans="1:11" x14ac:dyDescent="0.3">
      <c r="A32" s="327"/>
      <c r="B32" s="327"/>
      <c r="C32" s="327"/>
      <c r="D32" s="327"/>
      <c r="E32" s="40"/>
      <c r="F32" s="33"/>
      <c r="G32" s="33"/>
      <c r="H32" s="33"/>
      <c r="I32" s="32"/>
      <c r="J32" s="32"/>
      <c r="K32" s="32"/>
    </row>
    <row r="33" spans="1:11" x14ac:dyDescent="0.3">
      <c r="A33" s="327"/>
      <c r="B33" s="327"/>
      <c r="C33" s="327"/>
      <c r="D33" s="327"/>
      <c r="E33" s="40"/>
      <c r="F33" s="33"/>
      <c r="G33" s="33"/>
      <c r="H33" s="33"/>
      <c r="I33" s="32"/>
      <c r="J33" s="32"/>
      <c r="K33" s="32"/>
    </row>
    <row r="34" spans="1:11" x14ac:dyDescent="0.3">
      <c r="A34" s="327"/>
      <c r="B34" s="327"/>
      <c r="C34" s="327"/>
      <c r="D34" s="327"/>
      <c r="E34" s="38"/>
      <c r="F34" s="33"/>
      <c r="G34" s="33"/>
      <c r="H34" s="33"/>
      <c r="I34" s="32"/>
      <c r="J34" s="33"/>
      <c r="K34" s="41"/>
    </row>
    <row r="35" spans="1:11" x14ac:dyDescent="0.3">
      <c r="A35" s="327"/>
      <c r="B35" s="327"/>
      <c r="C35" s="327"/>
      <c r="D35" s="327"/>
      <c r="E35" s="324" t="s">
        <v>45</v>
      </c>
      <c r="F35" s="324"/>
      <c r="G35" s="324"/>
      <c r="H35" s="324"/>
      <c r="I35" s="324"/>
      <c r="J35" s="324"/>
      <c r="K35" s="42">
        <f>+SUM(K11:K34)</f>
        <v>234.49079999999998</v>
      </c>
    </row>
    <row r="36" spans="1:11" s="31" customFormat="1" hidden="1" x14ac:dyDescent="0.3">
      <c r="A36" s="328" t="s">
        <v>46</v>
      </c>
      <c r="B36" s="328"/>
      <c r="C36" s="328" t="s">
        <v>46</v>
      </c>
      <c r="D36" s="328"/>
      <c r="E36" s="328" t="s">
        <v>47</v>
      </c>
      <c r="F36" s="328"/>
      <c r="G36" s="328"/>
      <c r="H36" s="328" t="s">
        <v>48</v>
      </c>
      <c r="I36" s="328"/>
      <c r="J36" s="328"/>
      <c r="K36" s="328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idden="1" x14ac:dyDescent="0.3">
      <c r="A38" s="330"/>
      <c r="B38" s="330"/>
      <c r="C38" s="330"/>
      <c r="D38" s="330"/>
      <c r="E38" s="330"/>
      <c r="F38" s="330"/>
      <c r="G38" s="330"/>
      <c r="H38" s="330"/>
      <c r="I38" s="330"/>
      <c r="J38" s="330"/>
      <c r="K38" s="330"/>
    </row>
    <row r="39" spans="1:11" s="31" customFormat="1" hidden="1" x14ac:dyDescent="0.3">
      <c r="A39" s="330"/>
      <c r="B39" s="330"/>
      <c r="C39" s="330"/>
      <c r="D39" s="330"/>
      <c r="E39" s="330"/>
      <c r="F39" s="330"/>
      <c r="G39" s="330"/>
      <c r="H39" s="330"/>
      <c r="I39" s="330"/>
      <c r="J39" s="330"/>
      <c r="K39" s="330"/>
    </row>
    <row r="40" spans="1:11" s="31" customFormat="1" hidden="1" x14ac:dyDescent="0.3">
      <c r="A40" s="330"/>
      <c r="B40" s="330"/>
      <c r="C40" s="330"/>
      <c r="D40" s="330"/>
      <c r="E40" s="330"/>
      <c r="F40" s="330"/>
      <c r="G40" s="330"/>
      <c r="H40" s="330"/>
      <c r="I40" s="330"/>
      <c r="J40" s="330"/>
      <c r="K40" s="330"/>
    </row>
    <row r="41" spans="1:11" s="31" customFormat="1" hidden="1" x14ac:dyDescent="0.3">
      <c r="A41" s="330"/>
      <c r="B41" s="330"/>
      <c r="C41" s="330"/>
      <c r="D41" s="330"/>
      <c r="E41" s="330"/>
      <c r="F41" s="330"/>
      <c r="G41" s="330"/>
      <c r="H41" s="330"/>
      <c r="I41" s="330"/>
      <c r="J41" s="330"/>
      <c r="K41" s="330"/>
    </row>
    <row r="42" spans="1:11" s="31" customFormat="1" hidden="1" x14ac:dyDescent="0.3">
      <c r="A42" s="330"/>
      <c r="B42" s="330"/>
      <c r="C42" s="330"/>
      <c r="D42" s="330"/>
      <c r="E42" s="330"/>
      <c r="F42" s="330"/>
      <c r="G42" s="330"/>
      <c r="H42" s="330"/>
      <c r="I42" s="330"/>
      <c r="J42" s="330"/>
      <c r="K42" s="330"/>
    </row>
    <row r="43" spans="1:11" s="31" customFormat="1" ht="15.75" hidden="1" customHeight="1" thickBot="1" x14ac:dyDescent="0.35">
      <c r="A43" s="331"/>
      <c r="B43" s="332"/>
      <c r="C43" s="332"/>
      <c r="D43" s="332"/>
      <c r="E43" s="332"/>
      <c r="F43" s="332"/>
      <c r="G43" s="332"/>
      <c r="H43" s="332"/>
      <c r="I43" s="332"/>
      <c r="J43" s="332"/>
      <c r="K43" s="333"/>
    </row>
    <row r="44" spans="1:11" hidden="1" x14ac:dyDescent="0.3"/>
  </sheetData>
  <mergeCells count="45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35"/>
    <mergeCell ref="F10:G10"/>
    <mergeCell ref="F11:G11"/>
    <mergeCell ref="F12:G12"/>
    <mergeCell ref="F14:G14"/>
    <mergeCell ref="F17:G17"/>
    <mergeCell ref="F19:G19"/>
    <mergeCell ref="F21:G21"/>
    <mergeCell ref="F22:G22"/>
    <mergeCell ref="A9:D9"/>
    <mergeCell ref="E9:E10"/>
    <mergeCell ref="F9:H9"/>
    <mergeCell ref="I9:I10"/>
    <mergeCell ref="J9:J10"/>
    <mergeCell ref="A43:K43"/>
    <mergeCell ref="F13:G13"/>
    <mergeCell ref="F15:G15"/>
    <mergeCell ref="F16:G16"/>
    <mergeCell ref="F18:G18"/>
    <mergeCell ref="F20:G20"/>
    <mergeCell ref="E35:J35"/>
    <mergeCell ref="A36:B36"/>
    <mergeCell ref="C36:D36"/>
    <mergeCell ref="E36:G36"/>
    <mergeCell ref="H36:K36"/>
    <mergeCell ref="A37:B42"/>
    <mergeCell ref="C37:D42"/>
    <mergeCell ref="E37:G42"/>
    <mergeCell ref="H37:K4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AB8D0-27BC-4FFB-8AA7-BA7824267B12}">
  <sheetPr>
    <tabColor rgb="FFFFFF00"/>
  </sheetPr>
  <dimension ref="A1:M44"/>
  <sheetViews>
    <sheetView zoomScale="85" zoomScaleNormal="85" workbookViewId="0">
      <selection activeCell="I34" sqref="I34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7.33203125" style="27" customWidth="1"/>
    <col min="7" max="7" width="12.66406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3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3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3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3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3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3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3" s="31" customFormat="1" ht="55.2" x14ac:dyDescent="0.3">
      <c r="A7" s="35" t="s">
        <v>56</v>
      </c>
      <c r="B7" s="28">
        <v>2.5</v>
      </c>
      <c r="C7" s="29" t="s">
        <v>57</v>
      </c>
      <c r="D7" s="323">
        <f>+VLOOKUP(B7,'FORMATO PRESUPUESTO'!D10:L31,3,FALSE)</f>
        <v>72101500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PINTURA EPOXICA PARA PISOS EN CONCRETO</v>
      </c>
    </row>
    <row r="8" spans="1:13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3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(PINTURA EPOXICA PARA PISOS EN CONCRETO)</v>
      </c>
      <c r="J9" s="326" t="s">
        <v>44</v>
      </c>
      <c r="K9" s="326" t="str">
        <f>+CONCATENATE("(k) MEDIDA TOTAL"," ","(",K7,")")</f>
        <v>(k) MEDIDA TOTAL (PINTURA EPOXICA PARA PISOS EN CONCRETO)</v>
      </c>
    </row>
    <row r="10" spans="1:13" x14ac:dyDescent="0.3">
      <c r="A10" s="327"/>
      <c r="B10" s="327"/>
      <c r="C10" s="327"/>
      <c r="D10" s="327"/>
      <c r="E10" s="326"/>
      <c r="F10" s="336" t="s">
        <v>176</v>
      </c>
      <c r="G10" s="337"/>
      <c r="H10" s="34" t="s">
        <v>51</v>
      </c>
      <c r="I10" s="326"/>
      <c r="J10" s="326"/>
      <c r="K10" s="326"/>
    </row>
    <row r="11" spans="1:13" x14ac:dyDescent="0.3">
      <c r="A11" s="327"/>
      <c r="B11" s="327"/>
      <c r="C11" s="327"/>
      <c r="D11" s="327"/>
      <c r="E11" s="38" t="s">
        <v>174</v>
      </c>
      <c r="F11" s="334">
        <f>4.2*4.2</f>
        <v>17.64</v>
      </c>
      <c r="G11" s="335"/>
      <c r="H11" s="43"/>
      <c r="I11" s="33">
        <f>+G11*H11</f>
        <v>0</v>
      </c>
      <c r="J11" s="33">
        <v>0</v>
      </c>
      <c r="K11" s="37">
        <f>+F11*J11</f>
        <v>0</v>
      </c>
    </row>
    <row r="12" spans="1:13" x14ac:dyDescent="0.25">
      <c r="A12" s="327"/>
      <c r="B12" s="327"/>
      <c r="C12" s="327"/>
      <c r="D12" s="327"/>
      <c r="E12" s="38" t="s">
        <v>175</v>
      </c>
      <c r="F12" s="334">
        <v>23.35</v>
      </c>
      <c r="G12" s="335"/>
      <c r="H12" s="156">
        <v>3</v>
      </c>
      <c r="I12" s="145">
        <v>13.1</v>
      </c>
      <c r="J12" s="158">
        <v>1</v>
      </c>
      <c r="K12" s="37">
        <f>I12*J12</f>
        <v>13.1</v>
      </c>
      <c r="M12" s="45">
        <v>23.35</v>
      </c>
    </row>
    <row r="13" spans="1:13" x14ac:dyDescent="0.3">
      <c r="A13" s="327"/>
      <c r="B13" s="327"/>
      <c r="C13" s="327"/>
      <c r="D13" s="327"/>
      <c r="E13" s="38"/>
      <c r="F13" s="334">
        <v>21.7</v>
      </c>
      <c r="G13" s="335">
        <v>21.7</v>
      </c>
      <c r="H13" s="157">
        <v>4</v>
      </c>
      <c r="I13" s="145">
        <v>8.83</v>
      </c>
      <c r="J13" s="158">
        <v>1</v>
      </c>
      <c r="K13" s="37">
        <f t="shared" ref="K13:K22" si="0">I13*J13</f>
        <v>8.83</v>
      </c>
      <c r="M13" s="45">
        <v>21.7</v>
      </c>
    </row>
    <row r="14" spans="1:13" x14ac:dyDescent="0.3">
      <c r="A14" s="327"/>
      <c r="B14" s="327"/>
      <c r="C14" s="327"/>
      <c r="D14" s="327"/>
      <c r="E14" s="38" t="s">
        <v>177</v>
      </c>
      <c r="F14" s="334">
        <v>36.630000000000003</v>
      </c>
      <c r="G14" s="335">
        <v>36.630000000000003</v>
      </c>
      <c r="H14" s="157">
        <v>2</v>
      </c>
      <c r="I14" s="145">
        <v>38.4</v>
      </c>
      <c r="J14" s="158">
        <v>1</v>
      </c>
      <c r="K14" s="37">
        <f t="shared" si="0"/>
        <v>38.4</v>
      </c>
      <c r="M14" s="45">
        <v>36.630000000000003</v>
      </c>
    </row>
    <row r="15" spans="1:13" x14ac:dyDescent="0.3">
      <c r="A15" s="327"/>
      <c r="B15" s="327"/>
      <c r="C15" s="327"/>
      <c r="D15" s="327"/>
      <c r="E15" s="38"/>
      <c r="F15" s="334">
        <v>37.479999999999997</v>
      </c>
      <c r="G15" s="335">
        <v>37.479999999999997</v>
      </c>
      <c r="H15" s="157">
        <v>7</v>
      </c>
      <c r="I15" s="145">
        <v>42.85</v>
      </c>
      <c r="J15" s="158">
        <v>1</v>
      </c>
      <c r="K15" s="37">
        <f t="shared" si="0"/>
        <v>42.85</v>
      </c>
      <c r="M15" s="45">
        <v>37.479999999999997</v>
      </c>
    </row>
    <row r="16" spans="1:13" x14ac:dyDescent="0.3">
      <c r="A16" s="327"/>
      <c r="B16" s="327"/>
      <c r="C16" s="327"/>
      <c r="D16" s="327"/>
      <c r="E16" s="38"/>
      <c r="F16" s="334">
        <v>17.03</v>
      </c>
      <c r="G16" s="335">
        <v>17.03</v>
      </c>
      <c r="H16" s="157">
        <v>10</v>
      </c>
      <c r="I16" s="145">
        <v>22.44</v>
      </c>
      <c r="J16" s="158">
        <v>1</v>
      </c>
      <c r="K16" s="37">
        <f t="shared" si="0"/>
        <v>22.44</v>
      </c>
      <c r="M16" s="33">
        <v>17.03</v>
      </c>
    </row>
    <row r="17" spans="1:13" x14ac:dyDescent="0.3">
      <c r="A17" s="327"/>
      <c r="B17" s="327"/>
      <c r="C17" s="327"/>
      <c r="D17" s="327"/>
      <c r="E17" s="38" t="s">
        <v>178</v>
      </c>
      <c r="F17" s="334">
        <v>17.190000000000001</v>
      </c>
      <c r="G17" s="335">
        <v>17.190000000000001</v>
      </c>
      <c r="H17" s="157">
        <v>5</v>
      </c>
      <c r="I17" s="145">
        <v>7.32</v>
      </c>
      <c r="J17" s="158">
        <v>1</v>
      </c>
      <c r="K17" s="37">
        <f t="shared" si="0"/>
        <v>7.32</v>
      </c>
      <c r="M17" s="33">
        <v>17.190000000000001</v>
      </c>
    </row>
    <row r="18" spans="1:13" x14ac:dyDescent="0.3">
      <c r="A18" s="327"/>
      <c r="B18" s="327"/>
      <c r="C18" s="327"/>
      <c r="D18" s="327"/>
      <c r="E18" s="38"/>
      <c r="F18" s="334">
        <v>17.059999999999999</v>
      </c>
      <c r="G18" s="335">
        <v>17.059999999999999</v>
      </c>
      <c r="H18" s="157">
        <v>6</v>
      </c>
      <c r="I18" s="145">
        <v>7.12</v>
      </c>
      <c r="J18" s="158">
        <v>1</v>
      </c>
      <c r="K18" s="37">
        <f t="shared" si="0"/>
        <v>7.12</v>
      </c>
      <c r="M18" s="33">
        <v>17.059999999999999</v>
      </c>
    </row>
    <row r="19" spans="1:13" x14ac:dyDescent="0.3">
      <c r="A19" s="327"/>
      <c r="B19" s="327"/>
      <c r="C19" s="327"/>
      <c r="D19" s="327"/>
      <c r="E19" s="38" t="s">
        <v>179</v>
      </c>
      <c r="F19" s="334">
        <v>15.11</v>
      </c>
      <c r="G19" s="335">
        <v>15.11</v>
      </c>
      <c r="H19" s="157">
        <v>8</v>
      </c>
      <c r="I19" s="145">
        <v>5.0999999999999996</v>
      </c>
      <c r="J19" s="158">
        <v>1</v>
      </c>
      <c r="K19" s="37">
        <f t="shared" si="0"/>
        <v>5.0999999999999996</v>
      </c>
      <c r="M19" s="33">
        <v>15.11</v>
      </c>
    </row>
    <row r="20" spans="1:13" x14ac:dyDescent="0.3">
      <c r="A20" s="327"/>
      <c r="B20" s="327"/>
      <c r="C20" s="327"/>
      <c r="D20" s="327"/>
      <c r="E20" s="38"/>
      <c r="F20" s="334">
        <v>14.97</v>
      </c>
      <c r="G20" s="335">
        <v>14.97</v>
      </c>
      <c r="H20" s="157">
        <v>9</v>
      </c>
      <c r="I20" s="145">
        <v>5</v>
      </c>
      <c r="J20" s="158">
        <v>1</v>
      </c>
      <c r="K20" s="37">
        <f t="shared" si="0"/>
        <v>5</v>
      </c>
      <c r="M20" s="33">
        <v>14.97</v>
      </c>
    </row>
    <row r="21" spans="1:13" x14ac:dyDescent="0.3">
      <c r="A21" s="327"/>
      <c r="B21" s="327"/>
      <c r="C21" s="327"/>
      <c r="D21" s="327"/>
      <c r="E21" s="38" t="s">
        <v>180</v>
      </c>
      <c r="F21" s="334">
        <v>6.42</v>
      </c>
      <c r="G21" s="335">
        <v>6.42</v>
      </c>
      <c r="H21" s="157">
        <v>11</v>
      </c>
      <c r="I21" s="145">
        <v>8.5500000000000007</v>
      </c>
      <c r="J21" s="158">
        <v>1</v>
      </c>
      <c r="K21" s="37">
        <f t="shared" si="0"/>
        <v>8.5500000000000007</v>
      </c>
      <c r="M21" s="33">
        <v>6.42</v>
      </c>
    </row>
    <row r="22" spans="1:13" x14ac:dyDescent="0.3">
      <c r="A22" s="327"/>
      <c r="B22" s="327"/>
      <c r="C22" s="327"/>
      <c r="D22" s="327"/>
      <c r="E22" s="38" t="s">
        <v>181</v>
      </c>
      <c r="F22" s="334">
        <v>29.31</v>
      </c>
      <c r="G22" s="335">
        <v>29.31</v>
      </c>
      <c r="H22" s="157">
        <v>1</v>
      </c>
      <c r="I22" s="145">
        <v>30.78</v>
      </c>
      <c r="J22" s="158">
        <v>1</v>
      </c>
      <c r="K22" s="37">
        <f t="shared" si="0"/>
        <v>30.78</v>
      </c>
      <c r="M22" s="45">
        <v>29.31</v>
      </c>
    </row>
    <row r="23" spans="1:13" x14ac:dyDescent="0.3">
      <c r="A23" s="327"/>
      <c r="B23" s="327"/>
      <c r="C23" s="327"/>
      <c r="D23" s="327"/>
      <c r="E23" s="40"/>
      <c r="F23" s="334">
        <f>SUM(F12:F22)</f>
        <v>236.25</v>
      </c>
      <c r="G23" s="335"/>
      <c r="H23" s="45"/>
      <c r="I23" s="32"/>
      <c r="J23" s="32"/>
      <c r="K23" s="32"/>
      <c r="M23" s="150">
        <f>SUM(M12:M22)</f>
        <v>236.25</v>
      </c>
    </row>
    <row r="24" spans="1:13" ht="27.6" x14ac:dyDescent="0.3">
      <c r="A24" s="327"/>
      <c r="B24" s="327"/>
      <c r="C24" s="327"/>
      <c r="D24" s="327"/>
      <c r="E24" s="181" t="s">
        <v>310</v>
      </c>
      <c r="F24" s="334"/>
      <c r="G24" s="335"/>
      <c r="H24" s="33"/>
      <c r="I24" s="179">
        <f>28.97*1.6</f>
        <v>46.352000000000004</v>
      </c>
      <c r="J24" s="158">
        <v>1</v>
      </c>
      <c r="K24" s="179">
        <f t="shared" ref="K24" si="1">I24*J24</f>
        <v>46.352000000000004</v>
      </c>
    </row>
    <row r="25" spans="1:13" x14ac:dyDescent="0.3">
      <c r="A25" s="327"/>
      <c r="B25" s="327"/>
      <c r="C25" s="327"/>
      <c r="D25" s="327"/>
      <c r="E25" s="40"/>
      <c r="F25" s="334"/>
      <c r="G25" s="335"/>
      <c r="H25" s="33"/>
      <c r="I25" s="32"/>
      <c r="J25" s="32"/>
      <c r="K25" s="32"/>
    </row>
    <row r="26" spans="1:13" x14ac:dyDescent="0.3">
      <c r="A26" s="327"/>
      <c r="B26" s="327"/>
      <c r="C26" s="327"/>
      <c r="D26" s="327"/>
      <c r="E26" s="40"/>
      <c r="F26" s="334"/>
      <c r="G26" s="335"/>
      <c r="H26" s="33"/>
      <c r="I26" s="32"/>
      <c r="J26" s="32"/>
      <c r="K26" s="32"/>
    </row>
    <row r="27" spans="1:13" x14ac:dyDescent="0.3">
      <c r="A27" s="327"/>
      <c r="B27" s="327"/>
      <c r="C27" s="327"/>
      <c r="D27" s="327"/>
      <c r="E27" s="40"/>
      <c r="F27" s="334"/>
      <c r="G27" s="335"/>
      <c r="H27" s="33"/>
      <c r="I27" s="32"/>
      <c r="J27" s="32"/>
      <c r="K27" s="32"/>
    </row>
    <row r="28" spans="1:13" x14ac:dyDescent="0.3">
      <c r="A28" s="327"/>
      <c r="B28" s="327"/>
      <c r="C28" s="327"/>
      <c r="D28" s="327"/>
      <c r="E28" s="40"/>
      <c r="F28" s="334"/>
      <c r="G28" s="335"/>
      <c r="H28" s="33"/>
      <c r="I28" s="32"/>
      <c r="J28" s="32"/>
      <c r="K28" s="32"/>
    </row>
    <row r="29" spans="1:13" x14ac:dyDescent="0.3">
      <c r="A29" s="327"/>
      <c r="B29" s="327"/>
      <c r="C29" s="327"/>
      <c r="D29" s="327"/>
      <c r="E29" s="40"/>
      <c r="F29" s="334"/>
      <c r="G29" s="335"/>
      <c r="H29" s="33"/>
      <c r="I29" s="32"/>
      <c r="J29" s="32"/>
      <c r="K29" s="32"/>
    </row>
    <row r="30" spans="1:13" x14ac:dyDescent="0.3">
      <c r="A30" s="327"/>
      <c r="B30" s="327"/>
      <c r="C30" s="327"/>
      <c r="D30" s="327"/>
      <c r="E30" s="40"/>
      <c r="F30" s="334"/>
      <c r="G30" s="335"/>
      <c r="H30" s="33"/>
      <c r="I30" s="32"/>
      <c r="J30" s="32"/>
      <c r="K30" s="32"/>
    </row>
    <row r="31" spans="1:13" x14ac:dyDescent="0.3">
      <c r="A31" s="327"/>
      <c r="B31" s="327"/>
      <c r="C31" s="327"/>
      <c r="D31" s="327"/>
      <c r="E31" s="40"/>
      <c r="F31" s="334"/>
      <c r="G31" s="335"/>
      <c r="H31" s="33"/>
      <c r="I31" s="32"/>
      <c r="J31" s="32"/>
      <c r="K31" s="32"/>
    </row>
    <row r="32" spans="1:13" x14ac:dyDescent="0.3">
      <c r="A32" s="327"/>
      <c r="B32" s="327"/>
      <c r="C32" s="327"/>
      <c r="D32" s="327"/>
      <c r="E32" s="40"/>
      <c r="F32" s="334"/>
      <c r="G32" s="335"/>
      <c r="H32" s="33"/>
      <c r="I32" s="32"/>
      <c r="J32" s="32"/>
      <c r="K32" s="32"/>
    </row>
    <row r="33" spans="1:13" x14ac:dyDescent="0.3">
      <c r="A33" s="327"/>
      <c r="B33" s="327"/>
      <c r="C33" s="327"/>
      <c r="D33" s="327"/>
      <c r="E33" s="40"/>
      <c r="F33" s="334"/>
      <c r="G33" s="335"/>
      <c r="H33" s="33"/>
      <c r="I33" s="32"/>
      <c r="J33" s="32"/>
      <c r="K33" s="32"/>
    </row>
    <row r="34" spans="1:13" x14ac:dyDescent="0.3">
      <c r="A34" s="327"/>
      <c r="B34" s="327"/>
      <c r="C34" s="327"/>
      <c r="D34" s="327"/>
      <c r="E34" s="38"/>
      <c r="F34" s="334"/>
      <c r="G34" s="335"/>
      <c r="H34" s="33"/>
      <c r="I34" s="32"/>
      <c r="J34" s="33"/>
      <c r="K34" s="41"/>
    </row>
    <row r="35" spans="1:13" x14ac:dyDescent="0.3">
      <c r="A35" s="327"/>
      <c r="B35" s="327"/>
      <c r="C35" s="327"/>
      <c r="D35" s="327"/>
      <c r="E35" s="324" t="s">
        <v>45</v>
      </c>
      <c r="F35" s="324"/>
      <c r="G35" s="324"/>
      <c r="H35" s="324"/>
      <c r="I35" s="324"/>
      <c r="J35" s="324"/>
      <c r="K35" s="146">
        <f>+SUM(K12:K34)</f>
        <v>235.84200000000001</v>
      </c>
      <c r="M35" s="148">
        <f>K35-F23</f>
        <v>-0.40799999999998704</v>
      </c>
    </row>
    <row r="36" spans="1:13" s="31" customFormat="1" hidden="1" x14ac:dyDescent="0.3">
      <c r="A36" s="328" t="s">
        <v>46</v>
      </c>
      <c r="B36" s="328"/>
      <c r="C36" s="328" t="s">
        <v>46</v>
      </c>
      <c r="D36" s="328"/>
      <c r="E36" s="328" t="s">
        <v>47</v>
      </c>
      <c r="F36" s="328"/>
      <c r="G36" s="328"/>
      <c r="H36" s="328" t="s">
        <v>48</v>
      </c>
      <c r="I36" s="328"/>
      <c r="J36" s="328"/>
      <c r="K36" s="328"/>
    </row>
    <row r="37" spans="1:13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3" s="31" customFormat="1" hidden="1" x14ac:dyDescent="0.3">
      <c r="A38" s="330"/>
      <c r="B38" s="330"/>
      <c r="C38" s="330"/>
      <c r="D38" s="330"/>
      <c r="E38" s="330"/>
      <c r="F38" s="330"/>
      <c r="G38" s="330"/>
      <c r="H38" s="330"/>
      <c r="I38" s="330"/>
      <c r="J38" s="330"/>
      <c r="K38" s="330"/>
    </row>
    <row r="39" spans="1:13" s="31" customFormat="1" hidden="1" x14ac:dyDescent="0.3">
      <c r="A39" s="330"/>
      <c r="B39" s="330"/>
      <c r="C39" s="330"/>
      <c r="D39" s="330"/>
      <c r="E39" s="330"/>
      <c r="F39" s="330"/>
      <c r="G39" s="330"/>
      <c r="H39" s="330"/>
      <c r="I39" s="330"/>
      <c r="J39" s="330"/>
      <c r="K39" s="330"/>
    </row>
    <row r="40" spans="1:13" s="31" customFormat="1" hidden="1" x14ac:dyDescent="0.3">
      <c r="A40" s="330"/>
      <c r="B40" s="330"/>
      <c r="C40" s="330"/>
      <c r="D40" s="330"/>
      <c r="E40" s="330"/>
      <c r="F40" s="330"/>
      <c r="G40" s="330"/>
      <c r="H40" s="330"/>
      <c r="I40" s="330"/>
      <c r="J40" s="330"/>
      <c r="K40" s="330"/>
    </row>
    <row r="41" spans="1:13" s="31" customFormat="1" hidden="1" x14ac:dyDescent="0.3">
      <c r="A41" s="330"/>
      <c r="B41" s="330"/>
      <c r="C41" s="330"/>
      <c r="D41" s="330"/>
      <c r="E41" s="330"/>
      <c r="F41" s="330"/>
      <c r="G41" s="330"/>
      <c r="H41" s="330"/>
      <c r="I41" s="330"/>
      <c r="J41" s="330"/>
      <c r="K41" s="330"/>
    </row>
    <row r="42" spans="1:13" s="31" customFormat="1" hidden="1" x14ac:dyDescent="0.3">
      <c r="A42" s="330"/>
      <c r="B42" s="330"/>
      <c r="C42" s="330"/>
      <c r="D42" s="330"/>
      <c r="E42" s="330"/>
      <c r="F42" s="330"/>
      <c r="G42" s="330"/>
      <c r="H42" s="330"/>
      <c r="I42" s="330"/>
      <c r="J42" s="330"/>
      <c r="K42" s="330"/>
    </row>
    <row r="43" spans="1:13" s="31" customFormat="1" ht="15.75" hidden="1" customHeight="1" thickBot="1" x14ac:dyDescent="0.35">
      <c r="A43" s="331"/>
      <c r="B43" s="332"/>
      <c r="C43" s="332"/>
      <c r="D43" s="332"/>
      <c r="E43" s="332"/>
      <c r="F43" s="332"/>
      <c r="G43" s="332"/>
      <c r="H43" s="332"/>
      <c r="I43" s="332"/>
      <c r="J43" s="332"/>
      <c r="K43" s="333"/>
    </row>
    <row r="44" spans="1:13" hidden="1" x14ac:dyDescent="0.3"/>
  </sheetData>
  <mergeCells count="57">
    <mergeCell ref="A43:K43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A36:B36"/>
    <mergeCell ref="C36:D36"/>
    <mergeCell ref="E36:G36"/>
    <mergeCell ref="H36:K36"/>
    <mergeCell ref="A37:B42"/>
    <mergeCell ref="C37:D42"/>
    <mergeCell ref="E37:G42"/>
    <mergeCell ref="H37:K42"/>
    <mergeCell ref="F18:G18"/>
    <mergeCell ref="F19:G19"/>
    <mergeCell ref="F20:G20"/>
    <mergeCell ref="F21:G21"/>
    <mergeCell ref="F22:G22"/>
    <mergeCell ref="E35:J35"/>
    <mergeCell ref="F32:G32"/>
    <mergeCell ref="F33:G33"/>
    <mergeCell ref="F34:G34"/>
    <mergeCell ref="K9:K10"/>
    <mergeCell ref="A10:D35"/>
    <mergeCell ref="F10:G10"/>
    <mergeCell ref="F11:G11"/>
    <mergeCell ref="F12:G12"/>
    <mergeCell ref="F13:G13"/>
    <mergeCell ref="F14:G14"/>
    <mergeCell ref="F15:G15"/>
    <mergeCell ref="F16:G16"/>
    <mergeCell ref="F17:G17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scale="50" orientation="landscape" r:id="rId1"/>
  <drawing r:id="rId2"/>
  <legacy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986FE-0256-4FBC-B8BB-0F805B5C12F6}">
  <sheetPr>
    <tabColor rgb="FF92D050"/>
  </sheetPr>
  <dimension ref="A1:K39"/>
  <sheetViews>
    <sheetView topLeftCell="A3" zoomScale="85" zoomScaleNormal="85" workbookViewId="0">
      <selection activeCell="F11" sqref="F1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 t="e">
        <f>+'FORMATO PRESUPUESTO'!#REF!</f>
        <v>#REF!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36" t="e">
        <f>'FORMATO PRESUPUESTO'!#REF!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63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ht="41.4" x14ac:dyDescent="0.3">
      <c r="A11" s="327"/>
      <c r="B11" s="327"/>
      <c r="C11" s="327"/>
      <c r="D11" s="327"/>
      <c r="E11" s="95" t="s">
        <v>106</v>
      </c>
      <c r="F11" s="43">
        <v>2.5</v>
      </c>
      <c r="G11" s="43">
        <v>2.5</v>
      </c>
      <c r="H11" s="46"/>
      <c r="I11" s="33">
        <f>+((F11*G11)/2)*2</f>
        <v>6.25</v>
      </c>
      <c r="J11" s="33">
        <v>16</v>
      </c>
      <c r="K11" s="37">
        <f>+J11*I11</f>
        <v>100</v>
      </c>
    </row>
    <row r="12" spans="1:11" ht="41.4" x14ac:dyDescent="0.3">
      <c r="A12" s="327"/>
      <c r="B12" s="327"/>
      <c r="C12" s="327"/>
      <c r="D12" s="327"/>
      <c r="E12" s="95" t="s">
        <v>107</v>
      </c>
      <c r="F12" s="45">
        <v>4.2300000000000004</v>
      </c>
      <c r="G12" s="45">
        <v>1.6</v>
      </c>
      <c r="H12" s="46">
        <v>1.85</v>
      </c>
      <c r="I12" s="33">
        <f>((F12+H12)*G12)/2</f>
        <v>4.8640000000000008</v>
      </c>
      <c r="J12" s="33">
        <v>6</v>
      </c>
      <c r="K12" s="37">
        <f>+I12*J12</f>
        <v>29.184000000000005</v>
      </c>
    </row>
    <row r="13" spans="1:11" x14ac:dyDescent="0.3">
      <c r="A13" s="327"/>
      <c r="B13" s="327"/>
      <c r="C13" s="327"/>
      <c r="D13" s="327"/>
      <c r="E13" s="38"/>
      <c r="F13" s="45"/>
      <c r="G13" s="45"/>
      <c r="H13" s="44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1" x14ac:dyDescent="0.3">
      <c r="A15" s="327"/>
      <c r="B15" s="327"/>
      <c r="C15" s="327"/>
      <c r="D15" s="327"/>
      <c r="E15" s="33"/>
      <c r="F15" s="45"/>
      <c r="G15" s="45"/>
      <c r="H15" s="45"/>
      <c r="I15" s="32"/>
      <c r="J15" s="32"/>
      <c r="K15" s="32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129.184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C50B9-8985-43C0-B6AE-A895118CBA3F}">
  <sheetPr>
    <tabColor rgb="FFFFFF00"/>
  </sheetPr>
  <dimension ref="A1:K39"/>
  <sheetViews>
    <sheetView zoomScale="85" zoomScaleNormal="85" workbookViewId="0">
      <selection activeCell="F11" sqref="F1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 t="e">
        <f>+'FORMATO PRESUPUESTO'!#REF!</f>
        <v>#REF!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36" t="e">
        <f>'FORMATO PRESUPUESTO'!#REF!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63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ht="41.4" x14ac:dyDescent="0.3">
      <c r="A11" s="327"/>
      <c r="B11" s="327"/>
      <c r="C11" s="327"/>
      <c r="D11" s="327"/>
      <c r="E11" s="95" t="s">
        <v>106</v>
      </c>
      <c r="F11" s="43">
        <v>4.29</v>
      </c>
      <c r="G11" s="43">
        <v>2.14</v>
      </c>
      <c r="H11" s="46"/>
      <c r="I11" s="33">
        <f>+((F11*G11)/2)</f>
        <v>4.5903</v>
      </c>
      <c r="J11" s="33">
        <v>16</v>
      </c>
      <c r="K11" s="37">
        <f>+J11*I11</f>
        <v>73.444800000000001</v>
      </c>
    </row>
    <row r="12" spans="1:11" ht="41.4" x14ac:dyDescent="0.3">
      <c r="A12" s="327"/>
      <c r="B12" s="327"/>
      <c r="C12" s="327"/>
      <c r="D12" s="327"/>
      <c r="E12" s="95" t="s">
        <v>107</v>
      </c>
      <c r="F12" s="45">
        <v>4.33</v>
      </c>
      <c r="G12" s="45">
        <v>1.83</v>
      </c>
      <c r="H12" s="46">
        <v>1.25</v>
      </c>
      <c r="I12" s="33">
        <f>((F12+G12)/2)*H12</f>
        <v>3.85</v>
      </c>
      <c r="J12" s="33">
        <v>6</v>
      </c>
      <c r="K12" s="37">
        <f>+I12*J12</f>
        <v>23.1</v>
      </c>
    </row>
    <row r="13" spans="1:11" x14ac:dyDescent="0.3">
      <c r="A13" s="327"/>
      <c r="B13" s="327"/>
      <c r="C13" s="327"/>
      <c r="D13" s="327"/>
      <c r="E13" s="38"/>
      <c r="F13" s="45"/>
      <c r="G13" s="45"/>
      <c r="H13" s="44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1" x14ac:dyDescent="0.3">
      <c r="A15" s="327"/>
      <c r="B15" s="327"/>
      <c r="C15" s="327"/>
      <c r="D15" s="327"/>
      <c r="E15" s="33"/>
      <c r="F15" s="45"/>
      <c r="G15" s="45"/>
      <c r="H15" s="45"/>
      <c r="I15" s="32"/>
      <c r="J15" s="32"/>
      <c r="K15" s="32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96.544800000000009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A32:B37"/>
    <mergeCell ref="C32:D37"/>
    <mergeCell ref="E32:G37"/>
    <mergeCell ref="H32:K37"/>
    <mergeCell ref="A38:K38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06DA5-9050-41CB-823A-1E5DC9F6B9C4}">
  <sheetPr>
    <tabColor rgb="FFFFFF00"/>
  </sheetPr>
  <dimension ref="A1:L39"/>
  <sheetViews>
    <sheetView topLeftCell="B8" zoomScale="85" zoomScaleNormal="85" workbookViewId="0">
      <selection activeCell="F12" sqref="F12:K12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2" width="12.109375" style="27" bestFit="1" customWidth="1"/>
    <col min="13" max="16384" width="11.44140625" style="27"/>
  </cols>
  <sheetData>
    <row r="1" spans="1:12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2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2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2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2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2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2" s="31" customFormat="1" x14ac:dyDescent="0.3">
      <c r="A7" s="35" t="s">
        <v>56</v>
      </c>
      <c r="B7" s="28" t="e">
        <f>+'FORMATO PRESUPUESTO'!#REF!</f>
        <v>#REF!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36" t="e">
        <f>'FORMATO PRESUPUESTO'!#REF!</f>
        <v>#REF!</v>
      </c>
    </row>
    <row r="8" spans="1:12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2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63</v>
      </c>
    </row>
    <row r="10" spans="1:12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2" ht="41.4" x14ac:dyDescent="0.3">
      <c r="A11" s="327"/>
      <c r="B11" s="327"/>
      <c r="C11" s="327"/>
      <c r="D11" s="327"/>
      <c r="E11" s="95" t="s">
        <v>106</v>
      </c>
      <c r="F11" s="43">
        <v>3.2</v>
      </c>
      <c r="G11" s="43">
        <v>1.6</v>
      </c>
      <c r="H11" s="46"/>
      <c r="I11" s="33">
        <f>+((F11*G11)/2)</f>
        <v>2.5600000000000005</v>
      </c>
      <c r="J11" s="33">
        <v>16</v>
      </c>
      <c r="K11" s="37">
        <f>+J11*I11</f>
        <v>40.960000000000008</v>
      </c>
    </row>
    <row r="12" spans="1:12" ht="41.4" x14ac:dyDescent="0.3">
      <c r="A12" s="327"/>
      <c r="B12" s="327"/>
      <c r="C12" s="327"/>
      <c r="D12" s="327"/>
      <c r="E12" s="95" t="s">
        <v>107</v>
      </c>
      <c r="F12" s="45">
        <v>4.33</v>
      </c>
      <c r="G12" s="45">
        <v>1.83</v>
      </c>
      <c r="H12" s="46">
        <v>1.25</v>
      </c>
      <c r="I12" s="33">
        <f>((F12+G12)/2)*H12</f>
        <v>3.85</v>
      </c>
      <c r="J12" s="33">
        <v>6</v>
      </c>
      <c r="K12" s="37">
        <f>+I12*J12</f>
        <v>23.1</v>
      </c>
    </row>
    <row r="13" spans="1:12" ht="30" customHeight="1" x14ac:dyDescent="0.3">
      <c r="A13" s="327"/>
      <c r="B13" s="327"/>
      <c r="C13" s="327"/>
      <c r="D13" s="327"/>
      <c r="E13" s="40" t="s">
        <v>315</v>
      </c>
      <c r="F13" s="182">
        <v>1</v>
      </c>
      <c r="G13" s="182">
        <v>72.959999999999994</v>
      </c>
      <c r="H13" s="44"/>
      <c r="I13" s="33">
        <f>+((F13*G13))</f>
        <v>72.959999999999994</v>
      </c>
      <c r="J13" s="33">
        <v>1</v>
      </c>
      <c r="K13" s="179">
        <f>+J13*I13</f>
        <v>72.959999999999994</v>
      </c>
      <c r="L13" s="183">
        <f>K13*50</f>
        <v>3647.9999999999995</v>
      </c>
    </row>
    <row r="14" spans="1:12" ht="30" customHeight="1" x14ac:dyDescent="0.3">
      <c r="A14" s="327"/>
      <c r="B14" s="327"/>
      <c r="C14" s="327"/>
      <c r="D14" s="327"/>
      <c r="E14" s="38" t="s">
        <v>316</v>
      </c>
      <c r="F14" s="185">
        <v>1.5</v>
      </c>
      <c r="G14" s="185">
        <v>11</v>
      </c>
      <c r="H14" s="44"/>
      <c r="I14" s="33">
        <f>+((F14*G14))</f>
        <v>16.5</v>
      </c>
      <c r="J14" s="33">
        <v>1</v>
      </c>
      <c r="K14" s="179">
        <f>+J14*I14</f>
        <v>16.5</v>
      </c>
      <c r="L14" s="183">
        <f t="shared" ref="L14:L15" si="0">K14*50</f>
        <v>825</v>
      </c>
    </row>
    <row r="15" spans="1:12" ht="30" customHeight="1" x14ac:dyDescent="0.3">
      <c r="A15" s="327"/>
      <c r="B15" s="327"/>
      <c r="C15" s="327"/>
      <c r="D15" s="327"/>
      <c r="E15" s="38" t="s">
        <v>316</v>
      </c>
      <c r="F15" s="185">
        <v>2</v>
      </c>
      <c r="G15" s="185">
        <v>4.8</v>
      </c>
      <c r="H15" s="45"/>
      <c r="I15" s="33">
        <f>+((F15*G15))</f>
        <v>9.6</v>
      </c>
      <c r="J15" s="33">
        <v>1</v>
      </c>
      <c r="K15" s="179">
        <f>+J15*I15</f>
        <v>9.6</v>
      </c>
      <c r="L15" s="183">
        <f t="shared" si="0"/>
        <v>480</v>
      </c>
    </row>
    <row r="16" spans="1:12" ht="30" customHeight="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  <c r="L16" s="183">
        <f>SUM(L13:L15)</f>
        <v>4953</v>
      </c>
    </row>
    <row r="17" spans="1:11" ht="30" customHeight="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ht="30" customHeight="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ht="30" customHeight="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ht="30" customHeight="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ht="30" customHeight="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ht="30" customHeight="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ht="30" customHeight="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ht="30" customHeight="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ht="30" customHeight="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ht="30" customHeight="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ht="30" customHeight="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ht="30" customHeight="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ht="30" customHeight="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163.11999999999998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scale="55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161FC-E9D9-4676-991C-A3D7E8769BE9}">
  <sheetPr>
    <tabColor rgb="FF92D050"/>
  </sheetPr>
  <dimension ref="A1:K39"/>
  <sheetViews>
    <sheetView topLeftCell="A4" zoomScale="85" zoomScaleNormal="85" workbookViewId="0">
      <selection activeCell="I11" sqref="I1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151.80000000000001" x14ac:dyDescent="0.3">
      <c r="A7" s="35" t="s">
        <v>56</v>
      </c>
      <c r="B7" s="28">
        <v>2.6</v>
      </c>
      <c r="C7" s="29" t="s">
        <v>57</v>
      </c>
      <c r="D7" s="323" t="s">
        <v>101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SUMINISTRO E INSTALACIÓN DE ADOQUÍN PEATONAL CONCRETO 6 CM COLOR SEGÚN ESPECIFICACIONES DE DISEÑO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63</v>
      </c>
    </row>
    <row r="10" spans="1:11" x14ac:dyDescent="0.3">
      <c r="A10" s="327"/>
      <c r="B10" s="327"/>
      <c r="C10" s="327"/>
      <c r="D10" s="327"/>
      <c r="E10" s="326"/>
      <c r="F10" s="34" t="s">
        <v>125</v>
      </c>
      <c r="G10" s="336" t="s">
        <v>126</v>
      </c>
      <c r="H10" s="337"/>
      <c r="I10" s="326"/>
      <c r="J10" s="326"/>
      <c r="K10" s="326"/>
    </row>
    <row r="11" spans="1:11" x14ac:dyDescent="0.3">
      <c r="A11" s="327"/>
      <c r="B11" s="327"/>
      <c r="C11" s="327"/>
      <c r="D11" s="327"/>
      <c r="E11" s="351" t="str">
        <f>D7</f>
        <v>PISO EN GRAMA INCL. TIERRA NEGRA</v>
      </c>
      <c r="F11" s="96">
        <v>1</v>
      </c>
      <c r="G11" s="334">
        <v>75.752399999999994</v>
      </c>
      <c r="H11" s="335"/>
      <c r="I11" s="33"/>
      <c r="J11" s="33">
        <v>1</v>
      </c>
      <c r="K11" s="37">
        <f>G11*J11</f>
        <v>75.752399999999994</v>
      </c>
    </row>
    <row r="12" spans="1:11" x14ac:dyDescent="0.3">
      <c r="A12" s="327"/>
      <c r="B12" s="327"/>
      <c r="C12" s="327"/>
      <c r="D12" s="327"/>
      <c r="E12" s="352"/>
      <c r="F12" s="96">
        <v>2</v>
      </c>
      <c r="G12" s="334">
        <v>76.241699999999994</v>
      </c>
      <c r="H12" s="335"/>
      <c r="I12" s="33"/>
      <c r="J12" s="33">
        <v>1</v>
      </c>
      <c r="K12" s="37">
        <f t="shared" ref="K12:K20" si="0">G12*J12</f>
        <v>76.241699999999994</v>
      </c>
    </row>
    <row r="13" spans="1:11" x14ac:dyDescent="0.3">
      <c r="A13" s="327"/>
      <c r="B13" s="327"/>
      <c r="C13" s="327"/>
      <c r="D13" s="327"/>
      <c r="E13" s="352"/>
      <c r="F13" s="96">
        <v>3</v>
      </c>
      <c r="G13" s="334">
        <v>59.216700000000003</v>
      </c>
      <c r="H13" s="335"/>
      <c r="I13" s="33"/>
      <c r="J13" s="33">
        <v>1</v>
      </c>
      <c r="K13" s="37">
        <f t="shared" si="0"/>
        <v>59.216700000000003</v>
      </c>
    </row>
    <row r="14" spans="1:11" x14ac:dyDescent="0.3">
      <c r="A14" s="327"/>
      <c r="B14" s="327"/>
      <c r="C14" s="327"/>
      <c r="D14" s="327"/>
      <c r="E14" s="352"/>
      <c r="F14" s="96">
        <v>4</v>
      </c>
      <c r="G14" s="334">
        <v>59.289400000000001</v>
      </c>
      <c r="H14" s="335"/>
      <c r="I14" s="33"/>
      <c r="J14" s="33">
        <v>1</v>
      </c>
      <c r="K14" s="37">
        <f t="shared" si="0"/>
        <v>59.289400000000001</v>
      </c>
    </row>
    <row r="15" spans="1:11" x14ac:dyDescent="0.3">
      <c r="A15" s="327"/>
      <c r="B15" s="327"/>
      <c r="C15" s="327"/>
      <c r="D15" s="327"/>
      <c r="E15" s="352"/>
      <c r="F15" s="96">
        <v>5</v>
      </c>
      <c r="G15" s="334">
        <v>40.972299999999997</v>
      </c>
      <c r="H15" s="335"/>
      <c r="I15" s="32"/>
      <c r="J15" s="33">
        <v>1</v>
      </c>
      <c r="K15" s="37">
        <f t="shared" si="0"/>
        <v>40.972299999999997</v>
      </c>
    </row>
    <row r="16" spans="1:11" x14ac:dyDescent="0.3">
      <c r="A16" s="327"/>
      <c r="B16" s="327"/>
      <c r="C16" s="327"/>
      <c r="D16" s="327"/>
      <c r="E16" s="352"/>
      <c r="F16" s="96">
        <v>6</v>
      </c>
      <c r="G16" s="334">
        <v>92.568299999999994</v>
      </c>
      <c r="H16" s="335"/>
      <c r="I16" s="32"/>
      <c r="J16" s="33">
        <v>1</v>
      </c>
      <c r="K16" s="37">
        <f t="shared" si="0"/>
        <v>92.568299999999994</v>
      </c>
    </row>
    <row r="17" spans="1:11" x14ac:dyDescent="0.3">
      <c r="A17" s="327"/>
      <c r="B17" s="327"/>
      <c r="C17" s="327"/>
      <c r="D17" s="327"/>
      <c r="E17" s="352"/>
      <c r="F17" s="96">
        <v>7</v>
      </c>
      <c r="G17" s="334">
        <v>54.413400000000003</v>
      </c>
      <c r="H17" s="335"/>
      <c r="I17" s="32"/>
      <c r="J17" s="33">
        <v>1</v>
      </c>
      <c r="K17" s="37">
        <f t="shared" si="0"/>
        <v>54.413400000000003</v>
      </c>
    </row>
    <row r="18" spans="1:11" x14ac:dyDescent="0.3">
      <c r="A18" s="327"/>
      <c r="B18" s="327"/>
      <c r="C18" s="327"/>
      <c r="D18" s="327"/>
      <c r="E18" s="352"/>
      <c r="F18" s="96">
        <v>8</v>
      </c>
      <c r="G18" s="334">
        <v>11.0549</v>
      </c>
      <c r="H18" s="335"/>
      <c r="I18" s="32"/>
      <c r="J18" s="33">
        <v>1</v>
      </c>
      <c r="K18" s="37">
        <f t="shared" si="0"/>
        <v>11.0549</v>
      </c>
    </row>
    <row r="19" spans="1:11" x14ac:dyDescent="0.3">
      <c r="A19" s="327"/>
      <c r="B19" s="327"/>
      <c r="C19" s="327"/>
      <c r="D19" s="327"/>
      <c r="E19" s="352"/>
      <c r="F19" s="96">
        <v>9</v>
      </c>
      <c r="G19" s="334">
        <v>279.36</v>
      </c>
      <c r="H19" s="335"/>
      <c r="I19" s="32"/>
      <c r="J19" s="33">
        <v>1</v>
      </c>
      <c r="K19" s="37">
        <f t="shared" si="0"/>
        <v>279.36</v>
      </c>
    </row>
    <row r="20" spans="1:11" x14ac:dyDescent="0.3">
      <c r="A20" s="327"/>
      <c r="B20" s="327"/>
      <c r="C20" s="327"/>
      <c r="D20" s="327"/>
      <c r="E20" s="353"/>
      <c r="F20" s="96">
        <v>10</v>
      </c>
      <c r="G20" s="334">
        <v>3.1358000000000001</v>
      </c>
      <c r="H20" s="335"/>
      <c r="I20" s="32"/>
      <c r="J20" s="33">
        <v>1</v>
      </c>
      <c r="K20" s="37">
        <f t="shared" si="0"/>
        <v>3.1358000000000001</v>
      </c>
    </row>
    <row r="21" spans="1:11" x14ac:dyDescent="0.3">
      <c r="A21" s="327"/>
      <c r="B21" s="327"/>
      <c r="C21" s="327"/>
      <c r="D21" s="327"/>
      <c r="E21" s="40"/>
      <c r="F21" s="96"/>
      <c r="G21" s="334"/>
      <c r="H21" s="335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752.00490000000002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45">
    <mergeCell ref="G19:H19"/>
    <mergeCell ref="G20:H20"/>
    <mergeCell ref="G21:H21"/>
    <mergeCell ref="E11:E20"/>
    <mergeCell ref="G14:H14"/>
    <mergeCell ref="G15:H15"/>
    <mergeCell ref="G16:H16"/>
    <mergeCell ref="G17:H17"/>
    <mergeCell ref="G18:H18"/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G10:H10"/>
    <mergeCell ref="G11:H11"/>
    <mergeCell ref="G12:H12"/>
    <mergeCell ref="G13:H13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447AF-72F0-4A9B-BD38-53AA5C4E974A}">
  <sheetPr>
    <tabColor rgb="FFFFFF00"/>
  </sheetPr>
  <dimension ref="A1:L41"/>
  <sheetViews>
    <sheetView zoomScale="85" zoomScaleNormal="85" workbookViewId="0">
      <selection activeCell="F27" sqref="F27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25.109375" style="27" customWidth="1"/>
    <col min="7" max="7" width="19.33203125" style="27" customWidth="1"/>
    <col min="8" max="8" width="15.6640625" style="27" customWidth="1"/>
    <col min="9" max="10" width="19.44140625" style="27" customWidth="1"/>
    <col min="11" max="12" width="15.6640625" style="27" customWidth="1"/>
    <col min="13" max="16384" width="11.44140625" style="27"/>
  </cols>
  <sheetData>
    <row r="1" spans="1:12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  <c r="L1" s="320"/>
    </row>
    <row r="2" spans="1:12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  <c r="L2" s="320"/>
    </row>
    <row r="3" spans="1:12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  <c r="L3" s="320"/>
    </row>
    <row r="4" spans="1:12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  <c r="L4" s="320"/>
    </row>
    <row r="5" spans="1:12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  <c r="L5" s="321"/>
    </row>
    <row r="6" spans="1:12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</row>
    <row r="7" spans="1:12" s="31" customFormat="1" ht="151.80000000000001" x14ac:dyDescent="0.3">
      <c r="A7" s="35" t="s">
        <v>56</v>
      </c>
      <c r="B7" s="28">
        <v>2.6</v>
      </c>
      <c r="C7" s="29" t="s">
        <v>57</v>
      </c>
      <c r="D7" s="323" t="s">
        <v>101</v>
      </c>
      <c r="E7" s="323"/>
      <c r="F7" s="323"/>
      <c r="G7" s="323"/>
      <c r="H7" s="323"/>
      <c r="I7" s="323"/>
      <c r="J7" s="36"/>
      <c r="K7" s="30" t="s">
        <v>41</v>
      </c>
      <c r="L7" s="36" t="str">
        <f>+VLOOKUP(B7,'FORMATO PRESUPUESTO'!D10:L31,4,FALSE)</f>
        <v>SUMINISTRO E INSTALACIÓN DE ADOQUÍN PEATONAL CONCRETO 6 CM COLOR SEGÚN ESPECIFICACIONES DE DISEÑO</v>
      </c>
    </row>
    <row r="8" spans="1:12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  <c r="L8" s="324"/>
    </row>
    <row r="9" spans="1:12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252</v>
      </c>
      <c r="K9" s="326" t="s">
        <v>44</v>
      </c>
      <c r="L9" s="326" t="s">
        <v>63</v>
      </c>
    </row>
    <row r="10" spans="1:12" x14ac:dyDescent="0.3">
      <c r="A10" s="327"/>
      <c r="B10" s="327"/>
      <c r="C10" s="327"/>
      <c r="D10" s="327"/>
      <c r="E10" s="326"/>
      <c r="F10" s="34" t="s">
        <v>125</v>
      </c>
      <c r="G10" s="336" t="s">
        <v>126</v>
      </c>
      <c r="H10" s="337"/>
      <c r="I10" s="326"/>
      <c r="J10" s="326"/>
      <c r="K10" s="326"/>
      <c r="L10" s="326"/>
    </row>
    <row r="11" spans="1:12" x14ac:dyDescent="0.3">
      <c r="A11" s="327"/>
      <c r="B11" s="327"/>
      <c r="C11" s="327"/>
      <c r="D11" s="327"/>
      <c r="E11" s="132"/>
      <c r="F11" s="34"/>
      <c r="G11" s="336" t="s">
        <v>235</v>
      </c>
      <c r="H11" s="337"/>
      <c r="I11" s="120" t="s">
        <v>236</v>
      </c>
      <c r="J11" s="120"/>
      <c r="K11" s="120"/>
      <c r="L11" s="120"/>
    </row>
    <row r="12" spans="1:12" x14ac:dyDescent="0.3">
      <c r="A12" s="327"/>
      <c r="B12" s="327"/>
      <c r="C12" s="327"/>
      <c r="D12" s="327"/>
      <c r="E12" s="351" t="str">
        <f>D7</f>
        <v>PISO EN GRAMA INCL. TIERRA NEGRA</v>
      </c>
      <c r="F12" s="96">
        <v>1</v>
      </c>
      <c r="G12" s="334">
        <v>75.752399999999994</v>
      </c>
      <c r="H12" s="335"/>
      <c r="I12" s="33">
        <v>75.78</v>
      </c>
      <c r="J12" s="33"/>
      <c r="K12" s="33">
        <v>1</v>
      </c>
      <c r="L12" s="37">
        <f>I12*K12</f>
        <v>75.78</v>
      </c>
    </row>
    <row r="13" spans="1:12" x14ac:dyDescent="0.3">
      <c r="A13" s="327"/>
      <c r="B13" s="327"/>
      <c r="C13" s="327"/>
      <c r="D13" s="327"/>
      <c r="E13" s="352"/>
      <c r="F13" s="96">
        <v>2</v>
      </c>
      <c r="G13" s="334">
        <v>76.241699999999994</v>
      </c>
      <c r="H13" s="335"/>
      <c r="I13" s="33">
        <v>76.239999999999995</v>
      </c>
      <c r="J13" s="33"/>
      <c r="K13" s="33">
        <v>1</v>
      </c>
      <c r="L13" s="37">
        <f t="shared" ref="L13:L22" si="0">I13*K13</f>
        <v>76.239999999999995</v>
      </c>
    </row>
    <row r="14" spans="1:12" x14ac:dyDescent="0.3">
      <c r="A14" s="327"/>
      <c r="B14" s="327"/>
      <c r="C14" s="327"/>
      <c r="D14" s="327"/>
      <c r="E14" s="352"/>
      <c r="F14" s="96">
        <v>3</v>
      </c>
      <c r="G14" s="334">
        <v>59.216700000000003</v>
      </c>
      <c r="H14" s="335"/>
      <c r="I14" s="33">
        <v>59.18</v>
      </c>
      <c r="J14" s="33"/>
      <c r="K14" s="33">
        <v>1</v>
      </c>
      <c r="L14" s="37">
        <f t="shared" si="0"/>
        <v>59.18</v>
      </c>
    </row>
    <row r="15" spans="1:12" x14ac:dyDescent="0.3">
      <c r="A15" s="327"/>
      <c r="B15" s="327"/>
      <c r="C15" s="327"/>
      <c r="D15" s="327"/>
      <c r="E15" s="352"/>
      <c r="F15" s="96">
        <v>4</v>
      </c>
      <c r="G15" s="334">
        <v>59.289400000000001</v>
      </c>
      <c r="H15" s="335"/>
      <c r="I15" s="33">
        <v>59.3</v>
      </c>
      <c r="J15" s="33"/>
      <c r="K15" s="33">
        <v>1</v>
      </c>
      <c r="L15" s="37">
        <f t="shared" si="0"/>
        <v>59.3</v>
      </c>
    </row>
    <row r="16" spans="1:12" x14ac:dyDescent="0.3">
      <c r="A16" s="327"/>
      <c r="B16" s="327"/>
      <c r="C16" s="327"/>
      <c r="D16" s="327"/>
      <c r="E16" s="352"/>
      <c r="F16" s="96">
        <v>5</v>
      </c>
      <c r="G16" s="334">
        <v>40.972299999999997</v>
      </c>
      <c r="H16" s="335"/>
      <c r="I16" s="33">
        <v>40.96</v>
      </c>
      <c r="J16" s="33"/>
      <c r="K16" s="33">
        <v>1</v>
      </c>
      <c r="L16" s="37">
        <f t="shared" si="0"/>
        <v>40.96</v>
      </c>
    </row>
    <row r="17" spans="1:12" x14ac:dyDescent="0.3">
      <c r="A17" s="327"/>
      <c r="B17" s="327"/>
      <c r="C17" s="327"/>
      <c r="D17" s="327"/>
      <c r="E17" s="352"/>
      <c r="F17" s="96">
        <v>6</v>
      </c>
      <c r="G17" s="334">
        <v>92.568299999999994</v>
      </c>
      <c r="H17" s="335"/>
      <c r="I17" s="33">
        <v>92.19</v>
      </c>
      <c r="J17" s="33"/>
      <c r="K17" s="33">
        <v>1</v>
      </c>
      <c r="L17" s="37">
        <f t="shared" si="0"/>
        <v>92.19</v>
      </c>
    </row>
    <row r="18" spans="1:12" x14ac:dyDescent="0.3">
      <c r="A18" s="327"/>
      <c r="B18" s="327"/>
      <c r="C18" s="327"/>
      <c r="D18" s="327"/>
      <c r="E18" s="352"/>
      <c r="F18" s="96">
        <v>7</v>
      </c>
      <c r="G18" s="334">
        <v>54.413400000000003</v>
      </c>
      <c r="H18" s="335"/>
      <c r="I18" s="33">
        <f>74.63-20.22</f>
        <v>54.41</v>
      </c>
      <c r="J18" s="33"/>
      <c r="K18" s="33">
        <v>1</v>
      </c>
      <c r="L18" s="37">
        <f t="shared" si="0"/>
        <v>54.41</v>
      </c>
    </row>
    <row r="19" spans="1:12" x14ac:dyDescent="0.3">
      <c r="A19" s="327"/>
      <c r="B19" s="327"/>
      <c r="C19" s="327"/>
      <c r="D19" s="327"/>
      <c r="E19" s="352"/>
      <c r="F19" s="96">
        <v>8</v>
      </c>
      <c r="G19" s="334">
        <v>11.0549</v>
      </c>
      <c r="H19" s="335"/>
      <c r="I19" s="33">
        <v>11.06</v>
      </c>
      <c r="J19" s="33"/>
      <c r="K19" s="33">
        <v>1</v>
      </c>
      <c r="L19" s="37">
        <f t="shared" si="0"/>
        <v>11.06</v>
      </c>
    </row>
    <row r="20" spans="1:12" x14ac:dyDescent="0.3">
      <c r="A20" s="327"/>
      <c r="B20" s="327"/>
      <c r="C20" s="327"/>
      <c r="D20" s="327"/>
      <c r="E20" s="352"/>
      <c r="F20" s="96">
        <v>9</v>
      </c>
      <c r="G20" s="334">
        <v>279.36</v>
      </c>
      <c r="H20" s="335"/>
      <c r="I20" s="33">
        <v>269.33999999999997</v>
      </c>
      <c r="J20" s="33">
        <v>47.61</v>
      </c>
      <c r="K20" s="33">
        <v>1</v>
      </c>
      <c r="L20" s="37">
        <f>I20*K20-J20</f>
        <v>221.72999999999996</v>
      </c>
    </row>
    <row r="21" spans="1:12" ht="27.6" x14ac:dyDescent="0.3">
      <c r="A21" s="327"/>
      <c r="B21" s="327"/>
      <c r="C21" s="327"/>
      <c r="D21" s="327"/>
      <c r="E21" s="352"/>
      <c r="F21" s="184" t="s">
        <v>309</v>
      </c>
      <c r="G21" s="334"/>
      <c r="H21" s="335"/>
      <c r="I21" s="33"/>
      <c r="J21" s="33">
        <v>72.959999999999994</v>
      </c>
      <c r="K21" s="33">
        <v>-1</v>
      </c>
      <c r="L21" s="37">
        <f>I21*K21-J21</f>
        <v>-72.959999999999994</v>
      </c>
    </row>
    <row r="22" spans="1:12" x14ac:dyDescent="0.3">
      <c r="A22" s="327"/>
      <c r="B22" s="327"/>
      <c r="C22" s="327"/>
      <c r="D22" s="327"/>
      <c r="E22" s="353"/>
      <c r="F22" s="96">
        <v>10</v>
      </c>
      <c r="G22" s="334">
        <v>3.1358000000000001</v>
      </c>
      <c r="H22" s="335"/>
      <c r="I22" s="33">
        <v>2.81</v>
      </c>
      <c r="J22" s="33"/>
      <c r="K22" s="33">
        <v>1</v>
      </c>
      <c r="L22" s="37">
        <f t="shared" si="0"/>
        <v>2.81</v>
      </c>
    </row>
    <row r="23" spans="1:12" x14ac:dyDescent="0.3">
      <c r="A23" s="327"/>
      <c r="B23" s="327"/>
      <c r="C23" s="327"/>
      <c r="D23" s="327"/>
      <c r="E23" s="40"/>
      <c r="F23" s="96"/>
      <c r="G23" s="334"/>
      <c r="H23" s="335"/>
      <c r="I23" s="32"/>
      <c r="J23" s="32"/>
      <c r="K23" s="32"/>
      <c r="L23" s="32"/>
    </row>
    <row r="24" spans="1:12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  <c r="L24" s="32"/>
    </row>
    <row r="25" spans="1:12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  <c r="L25" s="32"/>
    </row>
    <row r="26" spans="1:12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  <c r="L26" s="32"/>
    </row>
    <row r="27" spans="1:12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  <c r="L27" s="32"/>
    </row>
    <row r="28" spans="1:12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  <c r="L28" s="32"/>
    </row>
    <row r="29" spans="1:12" x14ac:dyDescent="0.3">
      <c r="A29" s="327"/>
      <c r="B29" s="327"/>
      <c r="C29" s="327"/>
      <c r="D29" s="327"/>
      <c r="E29" s="40"/>
      <c r="F29" s="33"/>
      <c r="G29" s="33"/>
      <c r="H29" s="33"/>
      <c r="I29" s="32"/>
      <c r="J29" s="32"/>
      <c r="K29" s="32"/>
      <c r="L29" s="32"/>
    </row>
    <row r="30" spans="1:12" x14ac:dyDescent="0.3">
      <c r="A30" s="327"/>
      <c r="B30" s="327"/>
      <c r="C30" s="327"/>
      <c r="D30" s="327"/>
      <c r="E30" s="40"/>
      <c r="F30" s="33"/>
      <c r="G30" s="33"/>
      <c r="H30" s="33"/>
      <c r="I30" s="32"/>
      <c r="J30" s="32"/>
      <c r="K30" s="32"/>
      <c r="L30" s="32"/>
    </row>
    <row r="31" spans="1:12" x14ac:dyDescent="0.3">
      <c r="A31" s="327"/>
      <c r="B31" s="327"/>
      <c r="C31" s="327"/>
      <c r="D31" s="327"/>
      <c r="E31" s="38"/>
      <c r="F31" s="33"/>
      <c r="G31" s="33"/>
      <c r="H31" s="33"/>
      <c r="I31" s="32"/>
      <c r="J31" s="32"/>
      <c r="K31" s="33"/>
      <c r="L31" s="41"/>
    </row>
    <row r="32" spans="1:12" x14ac:dyDescent="0.3">
      <c r="A32" s="327"/>
      <c r="B32" s="327"/>
      <c r="C32" s="327"/>
      <c r="D32" s="327"/>
      <c r="E32" s="324" t="s">
        <v>45</v>
      </c>
      <c r="F32" s="324"/>
      <c r="G32" s="324"/>
      <c r="H32" s="324"/>
      <c r="I32" s="324"/>
      <c r="J32" s="324"/>
      <c r="K32" s="324"/>
      <c r="L32" s="133">
        <f>+SUM(L12:L31)</f>
        <v>620.69999999999982</v>
      </c>
    </row>
    <row r="33" spans="1:12" s="31" customFormat="1" hidden="1" x14ac:dyDescent="0.3">
      <c r="A33" s="328" t="s">
        <v>46</v>
      </c>
      <c r="B33" s="328"/>
      <c r="C33" s="328" t="s">
        <v>46</v>
      </c>
      <c r="D33" s="328"/>
      <c r="E33" s="328" t="s">
        <v>47</v>
      </c>
      <c r="F33" s="328"/>
      <c r="G33" s="328"/>
      <c r="H33" s="328" t="s">
        <v>48</v>
      </c>
      <c r="I33" s="328"/>
      <c r="J33" s="328"/>
      <c r="K33" s="328"/>
      <c r="L33" s="328"/>
    </row>
    <row r="34" spans="1:12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</row>
    <row r="35" spans="1:12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</row>
    <row r="36" spans="1:12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</row>
    <row r="37" spans="1:12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</row>
    <row r="38" spans="1:12" s="31" customFormat="1" hidden="1" x14ac:dyDescent="0.3">
      <c r="A38" s="330"/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</row>
    <row r="39" spans="1:12" s="31" customFormat="1" hidden="1" x14ac:dyDescent="0.3">
      <c r="A39" s="330"/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</row>
    <row r="40" spans="1:12" s="31" customFormat="1" ht="15.75" hidden="1" customHeight="1" thickBot="1" x14ac:dyDescent="0.35">
      <c r="A40" s="331"/>
      <c r="B40" s="332"/>
      <c r="C40" s="332"/>
      <c r="D40" s="332"/>
      <c r="E40" s="332"/>
      <c r="F40" s="332"/>
      <c r="G40" s="332"/>
      <c r="H40" s="332"/>
      <c r="I40" s="332"/>
      <c r="J40" s="332"/>
      <c r="K40" s="332"/>
      <c r="L40" s="333"/>
    </row>
    <row r="41" spans="1:12" hidden="1" x14ac:dyDescent="0.3"/>
  </sheetData>
  <mergeCells count="48">
    <mergeCell ref="J9:J10"/>
    <mergeCell ref="E5:H5"/>
    <mergeCell ref="I5:L5"/>
    <mergeCell ref="A6:L6"/>
    <mergeCell ref="D7:I7"/>
    <mergeCell ref="A8:L8"/>
    <mergeCell ref="A1:B5"/>
    <mergeCell ref="C1:D2"/>
    <mergeCell ref="E1:H1"/>
    <mergeCell ref="I1:L1"/>
    <mergeCell ref="E2:H2"/>
    <mergeCell ref="I2:L2"/>
    <mergeCell ref="C3:D5"/>
    <mergeCell ref="E3:L3"/>
    <mergeCell ref="E4:H4"/>
    <mergeCell ref="I4:L4"/>
    <mergeCell ref="E32:K32"/>
    <mergeCell ref="L9:L10"/>
    <mergeCell ref="A10:D32"/>
    <mergeCell ref="G10:H10"/>
    <mergeCell ref="E12:E22"/>
    <mergeCell ref="G12:H12"/>
    <mergeCell ref="G13:H13"/>
    <mergeCell ref="G14:H14"/>
    <mergeCell ref="G15:H15"/>
    <mergeCell ref="G16:H16"/>
    <mergeCell ref="G17:H17"/>
    <mergeCell ref="A9:D9"/>
    <mergeCell ref="E9:E10"/>
    <mergeCell ref="F9:H9"/>
    <mergeCell ref="I9:I10"/>
    <mergeCell ref="K9:K10"/>
    <mergeCell ref="G21:H21"/>
    <mergeCell ref="A40:L40"/>
    <mergeCell ref="G11:H11"/>
    <mergeCell ref="A33:B33"/>
    <mergeCell ref="C33:D33"/>
    <mergeCell ref="E33:G33"/>
    <mergeCell ref="H33:L33"/>
    <mergeCell ref="A34:B39"/>
    <mergeCell ref="C34:D39"/>
    <mergeCell ref="E34:G39"/>
    <mergeCell ref="H34:L39"/>
    <mergeCell ref="G18:H18"/>
    <mergeCell ref="G19:H19"/>
    <mergeCell ref="G20:H20"/>
    <mergeCell ref="G22:H22"/>
    <mergeCell ref="G23:H23"/>
  </mergeCell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E7A2E-BB9A-496F-901A-BA55243546D3}">
  <sheetPr>
    <tabColor rgb="FF92D050"/>
  </sheetPr>
  <dimension ref="A1:K39"/>
  <sheetViews>
    <sheetView topLeftCell="C4" zoomScale="85" zoomScaleNormal="85" workbookViewId="0">
      <selection activeCell="I11" sqref="I1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165.6" x14ac:dyDescent="0.3">
      <c r="A7" s="35" t="s">
        <v>56</v>
      </c>
      <c r="B7" s="28">
        <v>2.8</v>
      </c>
      <c r="C7" s="29" t="s">
        <v>57</v>
      </c>
      <c r="D7" s="323">
        <f>+VLOOKUP(B7,'FORMATO PRESUPUESTO'!D10:L31,3,FALSE)</f>
        <v>72101500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SUMINISTRO E INSTALACION DE SARDINEL PREFABRICADO A-10, INCLUYE MORTERO DE PEGA
SEGUN NORMA NTC-4109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(SUMINISTRO E INSTALACION DE SARDINEL PREFABRICADO A-10, INCLUYE MORTERO DE PEGA
SEGUN NORMA NTC-4109)</v>
      </c>
      <c r="J9" s="326" t="s">
        <v>44</v>
      </c>
      <c r="K9" s="326" t="str">
        <f>+CONCATENATE("(k) MEDIDA TOTAL"," ","(",K7,")")</f>
        <v>(k) MEDIDA TOTAL (SUMINISTRO E INSTALACION DE SARDINEL PREFABRICADO A-10, INCLUYE MORTERO DE PEGA
SEGUN NORMA NTC-4109)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 t="s">
        <v>195</v>
      </c>
      <c r="F11" s="43"/>
      <c r="G11" s="43">
        <f>24+16.4</f>
        <v>40.4</v>
      </c>
      <c r="H11" s="43"/>
      <c r="I11" s="33"/>
      <c r="J11" s="33">
        <v>4</v>
      </c>
      <c r="K11" s="37">
        <f>+G11*J11</f>
        <v>161.6</v>
      </c>
    </row>
    <row r="12" spans="1:11" x14ac:dyDescent="0.3">
      <c r="A12" s="327"/>
      <c r="B12" s="327"/>
      <c r="C12" s="327"/>
      <c r="D12" s="327"/>
      <c r="E12" s="38" t="s">
        <v>196</v>
      </c>
      <c r="F12" s="45"/>
      <c r="G12" s="45">
        <f>9.53+7.86+10.2+9.3</f>
        <v>36.89</v>
      </c>
      <c r="H12" s="45"/>
      <c r="I12" s="33"/>
      <c r="J12" s="33">
        <v>1</v>
      </c>
      <c r="K12" s="37">
        <f t="shared" ref="K12:K18" si="0">+G12*J12</f>
        <v>36.89</v>
      </c>
    </row>
    <row r="13" spans="1:11" x14ac:dyDescent="0.3">
      <c r="A13" s="327"/>
      <c r="B13" s="327"/>
      <c r="C13" s="327"/>
      <c r="D13" s="327"/>
      <c r="E13" s="38" t="s">
        <v>197</v>
      </c>
      <c r="F13" s="45"/>
      <c r="G13" s="45">
        <f>15.4+15.4+15.8+15.8+7.9+7.9</f>
        <v>78.200000000000017</v>
      </c>
      <c r="H13" s="45"/>
      <c r="I13" s="33"/>
      <c r="J13" s="33">
        <v>1</v>
      </c>
      <c r="K13" s="37">
        <f t="shared" si="0"/>
        <v>78.200000000000017</v>
      </c>
    </row>
    <row r="14" spans="1:11" x14ac:dyDescent="0.3">
      <c r="A14" s="327"/>
      <c r="B14" s="327"/>
      <c r="C14" s="327"/>
      <c r="D14" s="327"/>
      <c r="E14" s="38" t="s">
        <v>198</v>
      </c>
      <c r="F14" s="45"/>
      <c r="G14" s="45">
        <f>7.8+7.73+8.1+7.5</f>
        <v>31.130000000000003</v>
      </c>
      <c r="H14" s="45"/>
      <c r="I14" s="33"/>
      <c r="J14" s="33">
        <v>1</v>
      </c>
      <c r="K14" s="37">
        <f t="shared" si="0"/>
        <v>31.130000000000003</v>
      </c>
    </row>
    <row r="15" spans="1:11" x14ac:dyDescent="0.3">
      <c r="A15" s="327"/>
      <c r="B15" s="327"/>
      <c r="C15" s="327"/>
      <c r="D15" s="327"/>
      <c r="E15" s="38" t="s">
        <v>199</v>
      </c>
      <c r="F15" s="45"/>
      <c r="G15" s="45">
        <f>6.9+6.9+7.2+6.6</f>
        <v>27.6</v>
      </c>
      <c r="H15" s="45"/>
      <c r="I15" s="33"/>
      <c r="J15" s="33">
        <v>1</v>
      </c>
      <c r="K15" s="37">
        <f t="shared" si="0"/>
        <v>27.6</v>
      </c>
    </row>
    <row r="16" spans="1:11" x14ac:dyDescent="0.3">
      <c r="A16" s="327"/>
      <c r="B16" s="327"/>
      <c r="C16" s="327"/>
      <c r="D16" s="327"/>
      <c r="E16" s="38" t="s">
        <v>200</v>
      </c>
      <c r="F16" s="45"/>
      <c r="G16" s="45">
        <f>3.3442+1.2</f>
        <v>4.5442</v>
      </c>
      <c r="H16" s="45"/>
      <c r="I16" s="32"/>
      <c r="J16" s="33">
        <v>1</v>
      </c>
      <c r="K16" s="37">
        <f t="shared" si="0"/>
        <v>4.5442</v>
      </c>
    </row>
    <row r="17" spans="1:11" x14ac:dyDescent="0.3">
      <c r="A17" s="327"/>
      <c r="B17" s="327"/>
      <c r="C17" s="327"/>
      <c r="D17" s="327"/>
      <c r="E17" s="38" t="s">
        <v>201</v>
      </c>
      <c r="F17" s="45"/>
      <c r="G17" s="45">
        <f>21.29+21.29+1.31</f>
        <v>43.89</v>
      </c>
      <c r="H17" s="45"/>
      <c r="I17" s="32"/>
      <c r="J17" s="33">
        <v>1</v>
      </c>
      <c r="K17" s="37">
        <f t="shared" si="0"/>
        <v>43.89</v>
      </c>
    </row>
    <row r="18" spans="1:11" x14ac:dyDescent="0.3">
      <c r="A18" s="327"/>
      <c r="B18" s="327"/>
      <c r="C18" s="327"/>
      <c r="D18" s="327"/>
      <c r="E18" s="38" t="s">
        <v>202</v>
      </c>
      <c r="F18" s="45"/>
      <c r="G18" s="45">
        <v>5.4</v>
      </c>
      <c r="H18" s="45"/>
      <c r="I18" s="32"/>
      <c r="J18" s="32">
        <v>6</v>
      </c>
      <c r="K18" s="37">
        <f t="shared" si="0"/>
        <v>32.400000000000006</v>
      </c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416.25420000000008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A9700-E085-4DED-9351-F331F56C9EA6}">
  <sheetPr>
    <tabColor rgb="FF002060"/>
  </sheetPr>
  <dimension ref="A1:K64"/>
  <sheetViews>
    <sheetView topLeftCell="A24" zoomScale="85" zoomScaleNormal="85" workbookViewId="0">
      <selection activeCell="G71" sqref="G7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165.6" x14ac:dyDescent="0.3">
      <c r="A7" s="35" t="s">
        <v>56</v>
      </c>
      <c r="B7" s="28">
        <v>2.8</v>
      </c>
      <c r="C7" s="29" t="s">
        <v>57</v>
      </c>
      <c r="D7" s="323">
        <f>+VLOOKUP(B7,'FORMATO PRESUPUESTO'!D10:L31,3,FALSE)</f>
        <v>72101500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SUMINISTRO E INSTALACION DE SARDINEL PREFABRICADO A-10, INCLUYE MORTERO DE PEGA
SEGUN NORMA NTC-4109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(SUMINISTRO E INSTALACION DE SARDINEL PREFABRICADO A-10, INCLUYE MORTERO DE PEGA
SEGUN NORMA NTC-4109)</v>
      </c>
      <c r="J9" s="326" t="s">
        <v>44</v>
      </c>
      <c r="K9" s="326" t="str">
        <f>+CONCATENATE("(k) MEDIDA TOTAL"," ","(",K7,")")</f>
        <v>(k) MEDIDA TOTAL (SUMINISTRO E INSTALACION DE SARDINEL PREFABRICADO A-10, INCLUYE MORTERO DE PEGA
SEGUN NORMA NTC-4109)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 t="s">
        <v>235</v>
      </c>
      <c r="H11" s="30" t="s">
        <v>236</v>
      </c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195</v>
      </c>
      <c r="F12" s="43" t="s">
        <v>245</v>
      </c>
      <c r="G12" s="43">
        <f>24</f>
        <v>24</v>
      </c>
      <c r="H12" s="43">
        <f>6*4</f>
        <v>24</v>
      </c>
      <c r="I12" s="33"/>
      <c r="J12" s="33"/>
      <c r="K12" s="37">
        <f>H12*J12</f>
        <v>0</v>
      </c>
    </row>
    <row r="13" spans="1:11" x14ac:dyDescent="0.3">
      <c r="A13" s="327"/>
      <c r="B13" s="327"/>
      <c r="C13" s="327"/>
      <c r="D13" s="327"/>
      <c r="E13" s="38"/>
      <c r="F13" s="43"/>
      <c r="G13" s="43">
        <v>16.399999999999999</v>
      </c>
      <c r="H13" s="43">
        <f>4.2*4</f>
        <v>16.8</v>
      </c>
      <c r="I13" s="33"/>
      <c r="J13" s="33"/>
      <c r="K13" s="37">
        <f t="shared" ref="K13" si="0">H13*J13</f>
        <v>0</v>
      </c>
    </row>
    <row r="14" spans="1:11" x14ac:dyDescent="0.3">
      <c r="A14" s="327"/>
      <c r="B14" s="327"/>
      <c r="C14" s="327"/>
      <c r="D14" s="327"/>
      <c r="E14" s="38" t="s">
        <v>196</v>
      </c>
      <c r="F14" s="45"/>
      <c r="G14" s="45">
        <f>9.53</f>
        <v>9.5299999999999994</v>
      </c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>
        <v>7.86</v>
      </c>
      <c r="H15" s="45"/>
      <c r="I15" s="33"/>
      <c r="J15" s="33"/>
      <c r="K15" s="37"/>
    </row>
    <row r="16" spans="1:11" x14ac:dyDescent="0.3">
      <c r="A16" s="327"/>
      <c r="B16" s="327"/>
      <c r="C16" s="327"/>
      <c r="D16" s="327"/>
      <c r="E16" s="38"/>
      <c r="F16" s="45"/>
      <c r="G16" s="45">
        <v>10.199999999999999</v>
      </c>
      <c r="H16" s="45"/>
      <c r="I16" s="33"/>
      <c r="J16" s="33"/>
      <c r="K16" s="37"/>
    </row>
    <row r="17" spans="1:11" x14ac:dyDescent="0.3">
      <c r="A17" s="327"/>
      <c r="B17" s="327"/>
      <c r="C17" s="327"/>
      <c r="D17" s="327"/>
      <c r="E17" s="38"/>
      <c r="F17" s="45"/>
      <c r="G17" s="45">
        <v>9.3000000000000007</v>
      </c>
      <c r="H17" s="45"/>
      <c r="I17" s="33"/>
      <c r="J17" s="33"/>
      <c r="K17" s="37"/>
    </row>
    <row r="18" spans="1:11" x14ac:dyDescent="0.3">
      <c r="A18" s="327"/>
      <c r="B18" s="327"/>
      <c r="C18" s="327"/>
      <c r="D18" s="327"/>
      <c r="E18" s="38"/>
      <c r="F18" s="45"/>
      <c r="G18" s="45">
        <f t="shared" ref="G18" si="1">9.53+7.86+10.2+9.3</f>
        <v>36.89</v>
      </c>
      <c r="H18" s="45"/>
      <c r="I18" s="33"/>
      <c r="J18" s="33"/>
      <c r="K18" s="37"/>
    </row>
    <row r="19" spans="1:11" x14ac:dyDescent="0.3">
      <c r="A19" s="327"/>
      <c r="B19" s="327"/>
      <c r="C19" s="327"/>
      <c r="D19" s="327"/>
      <c r="E19" s="38" t="s">
        <v>197</v>
      </c>
      <c r="F19" s="45"/>
      <c r="G19" s="45">
        <f>15.4</f>
        <v>15.4</v>
      </c>
      <c r="H19" s="45"/>
      <c r="I19" s="33"/>
      <c r="J19" s="33"/>
      <c r="K19" s="37"/>
    </row>
    <row r="20" spans="1:11" x14ac:dyDescent="0.3">
      <c r="A20" s="327"/>
      <c r="B20" s="327"/>
      <c r="C20" s="327"/>
      <c r="D20" s="327"/>
      <c r="E20" s="38"/>
      <c r="F20" s="45"/>
      <c r="G20" s="45">
        <v>15.4</v>
      </c>
      <c r="H20" s="45"/>
      <c r="I20" s="33"/>
      <c r="J20" s="33"/>
      <c r="K20" s="37"/>
    </row>
    <row r="21" spans="1:11" x14ac:dyDescent="0.3">
      <c r="A21" s="327"/>
      <c r="B21" s="327"/>
      <c r="C21" s="327"/>
      <c r="D21" s="327"/>
      <c r="E21" s="38"/>
      <c r="F21" s="45"/>
      <c r="G21" s="45">
        <v>15.8</v>
      </c>
      <c r="H21" s="45"/>
      <c r="I21" s="33"/>
      <c r="J21" s="33"/>
      <c r="K21" s="37"/>
    </row>
    <row r="22" spans="1:11" x14ac:dyDescent="0.3">
      <c r="A22" s="327"/>
      <c r="B22" s="327"/>
      <c r="C22" s="327"/>
      <c r="D22" s="327"/>
      <c r="E22" s="38"/>
      <c r="F22" s="45"/>
      <c r="G22" s="45">
        <v>15.8</v>
      </c>
      <c r="H22" s="45"/>
      <c r="I22" s="33"/>
      <c r="J22" s="33"/>
      <c r="K22" s="37"/>
    </row>
    <row r="23" spans="1:11" x14ac:dyDescent="0.3">
      <c r="A23" s="327"/>
      <c r="B23" s="327"/>
      <c r="C23" s="327"/>
      <c r="D23" s="327"/>
      <c r="E23" s="38"/>
      <c r="F23" s="45"/>
      <c r="G23" s="45">
        <v>7.9</v>
      </c>
      <c r="H23" s="45"/>
      <c r="I23" s="33"/>
      <c r="J23" s="33"/>
      <c r="K23" s="37"/>
    </row>
    <row r="24" spans="1:11" x14ac:dyDescent="0.3">
      <c r="A24" s="327"/>
      <c r="B24" s="327"/>
      <c r="C24" s="327"/>
      <c r="D24" s="327"/>
      <c r="E24" s="38"/>
      <c r="F24" s="45"/>
      <c r="G24" s="45">
        <v>7.9</v>
      </c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 t="s">
        <v>198</v>
      </c>
      <c r="F25" s="45"/>
      <c r="G25" s="45">
        <f>7.8</f>
        <v>7.8</v>
      </c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45"/>
      <c r="G26" s="45">
        <v>7.73</v>
      </c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45"/>
      <c r="G27" s="45">
        <v>8.1</v>
      </c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45"/>
      <c r="G28" s="45">
        <v>7.5</v>
      </c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 t="s">
        <v>199</v>
      </c>
      <c r="F29" s="45"/>
      <c r="G29" s="45">
        <f>6.9</f>
        <v>6.9</v>
      </c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45"/>
      <c r="G30" s="45">
        <f>6.9</f>
        <v>6.9</v>
      </c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45"/>
      <c r="G31" s="45">
        <v>7.2</v>
      </c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45"/>
      <c r="G32" s="45">
        <v>6.6</v>
      </c>
      <c r="H32" s="45"/>
      <c r="I32" s="33"/>
      <c r="J32" s="33"/>
      <c r="K32" s="37"/>
    </row>
    <row r="33" spans="1:11" x14ac:dyDescent="0.3">
      <c r="A33" s="327"/>
      <c r="B33" s="327"/>
      <c r="C33" s="327"/>
      <c r="D33" s="327"/>
      <c r="E33" s="38" t="s">
        <v>200</v>
      </c>
      <c r="F33" s="45"/>
      <c r="G33" s="45">
        <f>3.3442</f>
        <v>3.3441999999999998</v>
      </c>
      <c r="H33" s="45"/>
      <c r="I33" s="32"/>
      <c r="J33" s="33"/>
      <c r="K33" s="37"/>
    </row>
    <row r="34" spans="1:11" x14ac:dyDescent="0.3">
      <c r="A34" s="327"/>
      <c r="B34" s="327"/>
      <c r="C34" s="327"/>
      <c r="D34" s="327"/>
      <c r="E34" s="38"/>
      <c r="F34" s="45"/>
      <c r="G34" s="45">
        <v>1.2</v>
      </c>
      <c r="H34" s="45"/>
      <c r="I34" s="32"/>
      <c r="J34" s="33"/>
      <c r="K34" s="37"/>
    </row>
    <row r="35" spans="1:11" x14ac:dyDescent="0.3">
      <c r="A35" s="327"/>
      <c r="B35" s="327"/>
      <c r="C35" s="327"/>
      <c r="D35" s="327"/>
      <c r="E35" s="38" t="s">
        <v>201</v>
      </c>
      <c r="F35" s="45"/>
      <c r="G35" s="45">
        <f>21.29</f>
        <v>21.29</v>
      </c>
      <c r="H35" s="45"/>
      <c r="I35" s="32"/>
      <c r="J35" s="33"/>
      <c r="K35" s="37"/>
    </row>
    <row r="36" spans="1:11" x14ac:dyDescent="0.3">
      <c r="A36" s="327"/>
      <c r="B36" s="327"/>
      <c r="C36" s="327"/>
      <c r="D36" s="327"/>
      <c r="E36" s="38"/>
      <c r="F36" s="45"/>
      <c r="G36" s="45">
        <f>21.29</f>
        <v>21.29</v>
      </c>
      <c r="H36" s="45"/>
      <c r="I36" s="32"/>
      <c r="J36" s="33"/>
      <c r="K36" s="37"/>
    </row>
    <row r="37" spans="1:11" x14ac:dyDescent="0.3">
      <c r="A37" s="327"/>
      <c r="B37" s="327"/>
      <c r="C37" s="327"/>
      <c r="D37" s="327"/>
      <c r="E37" s="38"/>
      <c r="F37" s="45"/>
      <c r="G37" s="45">
        <v>1.31</v>
      </c>
      <c r="H37" s="45"/>
      <c r="I37" s="32"/>
      <c r="J37" s="33"/>
      <c r="K37" s="37"/>
    </row>
    <row r="38" spans="1:11" x14ac:dyDescent="0.3">
      <c r="A38" s="327"/>
      <c r="B38" s="327"/>
      <c r="C38" s="327"/>
      <c r="D38" s="327"/>
      <c r="E38" s="38" t="s">
        <v>202</v>
      </c>
      <c r="F38" s="45"/>
      <c r="G38" s="45">
        <v>5.4</v>
      </c>
      <c r="H38" s="45"/>
      <c r="I38" s="32"/>
      <c r="J38" s="33"/>
      <c r="K38" s="37"/>
    </row>
    <row r="39" spans="1:11" x14ac:dyDescent="0.3">
      <c r="A39" s="327"/>
      <c r="B39" s="327"/>
      <c r="C39" s="327"/>
      <c r="D39" s="327"/>
      <c r="E39" s="38"/>
      <c r="F39" s="33"/>
      <c r="G39" s="33"/>
      <c r="H39" s="33"/>
      <c r="I39" s="32"/>
      <c r="J39" s="32"/>
      <c r="K39" s="39"/>
    </row>
    <row r="40" spans="1:11" x14ac:dyDescent="0.3">
      <c r="A40" s="327"/>
      <c r="B40" s="327"/>
      <c r="C40" s="327"/>
      <c r="D40" s="327"/>
      <c r="E40" s="38"/>
      <c r="F40" s="33"/>
      <c r="G40" s="33"/>
      <c r="H40" s="33"/>
      <c r="I40" s="32"/>
      <c r="J40" s="32"/>
      <c r="K40" s="39"/>
    </row>
    <row r="41" spans="1:11" x14ac:dyDescent="0.3">
      <c r="A41" s="327"/>
      <c r="B41" s="327"/>
      <c r="C41" s="327"/>
      <c r="D41" s="327"/>
      <c r="E41" s="38"/>
      <c r="F41" s="33"/>
      <c r="G41" s="33"/>
      <c r="H41" s="33"/>
      <c r="I41" s="32"/>
      <c r="J41" s="32"/>
      <c r="K41" s="39"/>
    </row>
    <row r="42" spans="1:11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1" x14ac:dyDescent="0.3">
      <c r="A43" s="327"/>
      <c r="B43" s="327"/>
      <c r="C43" s="327"/>
      <c r="D43" s="327"/>
      <c r="E43" s="38"/>
      <c r="F43" s="33"/>
      <c r="G43" s="33"/>
      <c r="H43" s="33"/>
      <c r="I43" s="32"/>
      <c r="J43" s="32"/>
      <c r="K43" s="39"/>
    </row>
    <row r="44" spans="1:11" x14ac:dyDescent="0.3">
      <c r="A44" s="327"/>
      <c r="B44" s="327"/>
      <c r="C44" s="327"/>
      <c r="D44" s="327"/>
      <c r="E44" s="38"/>
      <c r="F44" s="33"/>
      <c r="G44" s="33"/>
      <c r="H44" s="33"/>
      <c r="I44" s="32"/>
      <c r="J44" s="32"/>
      <c r="K44" s="39"/>
    </row>
    <row r="45" spans="1:11" x14ac:dyDescent="0.3">
      <c r="A45" s="327"/>
      <c r="B45" s="327"/>
      <c r="C45" s="327"/>
      <c r="D45" s="327"/>
      <c r="E45" s="40"/>
      <c r="F45" s="33"/>
      <c r="G45" s="33"/>
      <c r="H45" s="33"/>
      <c r="I45" s="32"/>
      <c r="J45" s="32"/>
      <c r="K45" s="32"/>
    </row>
    <row r="46" spans="1:11" x14ac:dyDescent="0.3">
      <c r="A46" s="327"/>
      <c r="B46" s="327"/>
      <c r="C46" s="327"/>
      <c r="D46" s="327"/>
      <c r="E46" s="40"/>
      <c r="F46" s="33"/>
      <c r="G46" s="33"/>
      <c r="H46" s="33"/>
      <c r="I46" s="32"/>
      <c r="J46" s="32"/>
      <c r="K46" s="32"/>
    </row>
    <row r="47" spans="1:11" x14ac:dyDescent="0.3">
      <c r="A47" s="327"/>
      <c r="B47" s="327"/>
      <c r="C47" s="327"/>
      <c r="D47" s="327"/>
      <c r="E47" s="40"/>
      <c r="F47" s="33"/>
      <c r="G47" s="33"/>
      <c r="H47" s="33"/>
      <c r="I47" s="32"/>
      <c r="J47" s="32"/>
      <c r="K47" s="32"/>
    </row>
    <row r="48" spans="1:11" x14ac:dyDescent="0.3">
      <c r="A48" s="327"/>
      <c r="B48" s="327"/>
      <c r="C48" s="327"/>
      <c r="D48" s="327"/>
      <c r="E48" s="40"/>
      <c r="F48" s="33"/>
      <c r="G48" s="33"/>
      <c r="H48" s="33"/>
      <c r="I48" s="32"/>
      <c r="J48" s="32"/>
      <c r="K48" s="32"/>
    </row>
    <row r="49" spans="1:11" x14ac:dyDescent="0.3">
      <c r="A49" s="327"/>
      <c r="B49" s="327"/>
      <c r="C49" s="327"/>
      <c r="D49" s="327"/>
      <c r="E49" s="40"/>
      <c r="F49" s="33"/>
      <c r="G49" s="33"/>
      <c r="H49" s="33"/>
      <c r="I49" s="32"/>
      <c r="J49" s="32"/>
      <c r="K49" s="32"/>
    </row>
    <row r="50" spans="1:11" x14ac:dyDescent="0.3">
      <c r="A50" s="327"/>
      <c r="B50" s="327"/>
      <c r="C50" s="327"/>
      <c r="D50" s="327"/>
      <c r="E50" s="40"/>
      <c r="F50" s="33"/>
      <c r="G50" s="33"/>
      <c r="H50" s="33"/>
      <c r="I50" s="32"/>
      <c r="J50" s="32"/>
      <c r="K50" s="32"/>
    </row>
    <row r="51" spans="1:11" x14ac:dyDescent="0.3">
      <c r="A51" s="327"/>
      <c r="B51" s="327"/>
      <c r="C51" s="327"/>
      <c r="D51" s="327"/>
      <c r="E51" s="40"/>
      <c r="F51" s="33"/>
      <c r="G51" s="33"/>
      <c r="H51" s="33"/>
      <c r="I51" s="32"/>
      <c r="J51" s="32"/>
      <c r="K51" s="32"/>
    </row>
    <row r="52" spans="1:11" x14ac:dyDescent="0.3">
      <c r="A52" s="327"/>
      <c r="B52" s="327"/>
      <c r="C52" s="327"/>
      <c r="D52" s="327"/>
      <c r="E52" s="40"/>
      <c r="F52" s="33"/>
      <c r="G52" s="33"/>
      <c r="H52" s="33"/>
      <c r="I52" s="32"/>
      <c r="J52" s="32"/>
      <c r="K52" s="32"/>
    </row>
    <row r="53" spans="1:11" x14ac:dyDescent="0.3">
      <c r="A53" s="327"/>
      <c r="B53" s="327"/>
      <c r="C53" s="327"/>
      <c r="D53" s="327"/>
      <c r="E53" s="40"/>
      <c r="F53" s="33"/>
      <c r="G53" s="33"/>
      <c r="H53" s="33"/>
      <c r="I53" s="32"/>
      <c r="J53" s="32"/>
      <c r="K53" s="32"/>
    </row>
    <row r="54" spans="1:11" x14ac:dyDescent="0.3">
      <c r="A54" s="327"/>
      <c r="B54" s="327"/>
      <c r="C54" s="327"/>
      <c r="D54" s="327"/>
      <c r="E54" s="38"/>
      <c r="F54" s="33"/>
      <c r="G54" s="33"/>
      <c r="H54" s="33"/>
      <c r="I54" s="32"/>
      <c r="J54" s="33"/>
      <c r="K54" s="41"/>
    </row>
    <row r="55" spans="1:11" x14ac:dyDescent="0.3">
      <c r="A55" s="327"/>
      <c r="B55" s="327"/>
      <c r="C55" s="327"/>
      <c r="D55" s="327"/>
      <c r="E55" s="324" t="s">
        <v>45</v>
      </c>
      <c r="F55" s="324"/>
      <c r="G55" s="324"/>
      <c r="H55" s="324"/>
      <c r="I55" s="324"/>
      <c r="J55" s="324"/>
      <c r="K55" s="42"/>
    </row>
    <row r="56" spans="1:11" s="31" customFormat="1" hidden="1" x14ac:dyDescent="0.3">
      <c r="A56" s="328" t="s">
        <v>46</v>
      </c>
      <c r="B56" s="328"/>
      <c r="C56" s="328" t="s">
        <v>46</v>
      </c>
      <c r="D56" s="328"/>
      <c r="E56" s="328" t="s">
        <v>47</v>
      </c>
      <c r="F56" s="328"/>
      <c r="G56" s="328"/>
      <c r="H56" s="328" t="s">
        <v>48</v>
      </c>
      <c r="I56" s="328"/>
      <c r="J56" s="328"/>
      <c r="K56" s="328"/>
    </row>
    <row r="57" spans="1:11" s="31" customFormat="1" hidden="1" x14ac:dyDescent="0.3">
      <c r="A57" s="330"/>
      <c r="B57" s="330"/>
      <c r="C57" s="330"/>
      <c r="D57" s="330"/>
      <c r="E57" s="330"/>
      <c r="F57" s="330"/>
      <c r="G57" s="330"/>
      <c r="H57" s="330"/>
      <c r="I57" s="330"/>
      <c r="J57" s="330"/>
      <c r="K57" s="330"/>
    </row>
    <row r="58" spans="1:11" s="31" customFormat="1" hidden="1" x14ac:dyDescent="0.3">
      <c r="A58" s="330"/>
      <c r="B58" s="330"/>
      <c r="C58" s="330"/>
      <c r="D58" s="330"/>
      <c r="E58" s="330"/>
      <c r="F58" s="330"/>
      <c r="G58" s="330"/>
      <c r="H58" s="330"/>
      <c r="I58" s="330"/>
      <c r="J58" s="330"/>
      <c r="K58" s="330"/>
    </row>
    <row r="59" spans="1:11" s="31" customFormat="1" hidden="1" x14ac:dyDescent="0.3">
      <c r="A59" s="330"/>
      <c r="B59" s="330"/>
      <c r="C59" s="330"/>
      <c r="D59" s="330"/>
      <c r="E59" s="330"/>
      <c r="F59" s="330"/>
      <c r="G59" s="330"/>
      <c r="H59" s="330"/>
      <c r="I59" s="330"/>
      <c r="J59" s="330"/>
      <c r="K59" s="330"/>
    </row>
    <row r="60" spans="1:11" s="31" customFormat="1" hidden="1" x14ac:dyDescent="0.3">
      <c r="A60" s="330"/>
      <c r="B60" s="330"/>
      <c r="C60" s="330"/>
      <c r="D60" s="330"/>
      <c r="E60" s="330"/>
      <c r="F60" s="330"/>
      <c r="G60" s="330"/>
      <c r="H60" s="330"/>
      <c r="I60" s="330"/>
      <c r="J60" s="330"/>
      <c r="K60" s="330"/>
    </row>
    <row r="61" spans="1:11" s="31" customFormat="1" hidden="1" x14ac:dyDescent="0.3">
      <c r="A61" s="330"/>
      <c r="B61" s="330"/>
      <c r="C61" s="330"/>
      <c r="D61" s="330"/>
      <c r="E61" s="330"/>
      <c r="F61" s="330"/>
      <c r="G61" s="330"/>
      <c r="H61" s="330"/>
      <c r="I61" s="330"/>
      <c r="J61" s="330"/>
      <c r="K61" s="330"/>
    </row>
    <row r="62" spans="1:11" s="31" customFormat="1" hidden="1" x14ac:dyDescent="0.3">
      <c r="A62" s="330"/>
      <c r="B62" s="330"/>
      <c r="C62" s="330"/>
      <c r="D62" s="330"/>
      <c r="E62" s="330"/>
      <c r="F62" s="330"/>
      <c r="G62" s="330"/>
      <c r="H62" s="330"/>
      <c r="I62" s="330"/>
      <c r="J62" s="330"/>
      <c r="K62" s="330"/>
    </row>
    <row r="63" spans="1:11" s="31" customFormat="1" ht="15.75" hidden="1" customHeight="1" thickBot="1" x14ac:dyDescent="0.35">
      <c r="A63" s="331"/>
      <c r="B63" s="332"/>
      <c r="C63" s="332"/>
      <c r="D63" s="332"/>
      <c r="E63" s="332"/>
      <c r="F63" s="332"/>
      <c r="G63" s="332"/>
      <c r="H63" s="332"/>
      <c r="I63" s="332"/>
      <c r="J63" s="332"/>
      <c r="K63" s="333"/>
    </row>
    <row r="64" spans="1:11" hidden="1" x14ac:dyDescent="0.3"/>
  </sheetData>
  <mergeCells count="32">
    <mergeCell ref="A57:B62"/>
    <mergeCell ref="C57:D62"/>
    <mergeCell ref="E57:G62"/>
    <mergeCell ref="H57:K62"/>
    <mergeCell ref="A63:K63"/>
    <mergeCell ref="K9:K10"/>
    <mergeCell ref="A10:D55"/>
    <mergeCell ref="E55:J55"/>
    <mergeCell ref="A56:B56"/>
    <mergeCell ref="C56:D56"/>
    <mergeCell ref="E56:G56"/>
    <mergeCell ref="H56:K56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scale="50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D78E6-E619-48C7-AE95-3A43C4D1BBBB}">
  <sheetPr>
    <tabColor rgb="FFFFFF00"/>
  </sheetPr>
  <dimension ref="A1:K39"/>
  <sheetViews>
    <sheetView topLeftCell="B1" zoomScale="85" zoomScaleNormal="85" workbookViewId="0">
      <selection activeCell="D7" sqref="D7:I7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2.9</v>
      </c>
      <c r="C7" s="29" t="s">
        <v>57</v>
      </c>
      <c r="D7" s="323" t="e">
        <f>+VLOOKUP(B7,'FORMATO PRESUPUESTO'!D10:L31,3,FALSE)</f>
        <v>#N/A</v>
      </c>
      <c r="E7" s="323"/>
      <c r="F7" s="323"/>
      <c r="G7" s="323"/>
      <c r="H7" s="323"/>
      <c r="I7" s="323"/>
      <c r="J7" s="30" t="s">
        <v>41</v>
      </c>
      <c r="K7" s="36" t="e">
        <f>+VLOOKUP(B7,'FORMATO PRESUPUESTO'!D10:L31,4,FALSE)</f>
        <v>#N/A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#N/A</v>
      </c>
      <c r="J9" s="326" t="s">
        <v>44</v>
      </c>
      <c r="K9" s="326" t="e">
        <f>+CONCATENATE("(k) MEDIDA TOTAL"," ","(",K7,")")</f>
        <v>#N/A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 t="e">
        <f>D7</f>
        <v>#N/A</v>
      </c>
      <c r="F11" s="43"/>
      <c r="G11" s="43"/>
      <c r="H11" s="43"/>
      <c r="I11" s="33"/>
      <c r="J11" s="33">
        <v>16</v>
      </c>
      <c r="K11" s="37">
        <f>+J11</f>
        <v>16</v>
      </c>
    </row>
    <row r="12" spans="1:11" x14ac:dyDescent="0.3">
      <c r="A12" s="327"/>
      <c r="B12" s="327"/>
      <c r="C12" s="327"/>
      <c r="D12" s="327"/>
      <c r="E12" s="38"/>
      <c r="F12" s="45"/>
      <c r="G12" s="45"/>
      <c r="H12" s="45"/>
      <c r="I12" s="33"/>
      <c r="J12" s="33"/>
      <c r="K12" s="37">
        <f>+I12*J12</f>
        <v>0</v>
      </c>
    </row>
    <row r="13" spans="1:11" x14ac:dyDescent="0.3">
      <c r="A13" s="327"/>
      <c r="B13" s="327"/>
      <c r="C13" s="327"/>
      <c r="D13" s="327"/>
      <c r="E13" s="38"/>
      <c r="F13" s="45"/>
      <c r="G13" s="45"/>
      <c r="H13" s="45"/>
      <c r="I13" s="33"/>
      <c r="J13" s="33"/>
      <c r="K13" s="37">
        <f>+I13*J13</f>
        <v>0</v>
      </c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16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07773-4124-4FE6-985D-E008E453A352}">
  <sheetPr>
    <tabColor rgb="FF002060"/>
  </sheetPr>
  <dimension ref="A1:K39"/>
  <sheetViews>
    <sheetView zoomScale="85" zoomScaleNormal="85" workbookViewId="0">
      <selection activeCell="E44" sqref="E44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2.1</v>
      </c>
      <c r="C7" s="29" t="s">
        <v>57</v>
      </c>
      <c r="D7" s="323" t="str">
        <f>'FORMATO PRESUPUESTO'!G29</f>
        <v>SUMINISTRO E INSTALACION DE SARDINEL PREFABRICADO A-10, INCLUYE MORTERO DE PEGA
SEGUN NORMA NTC-4109</v>
      </c>
      <c r="E7" s="323"/>
      <c r="F7" s="323"/>
      <c r="G7" s="323"/>
      <c r="H7" s="323"/>
      <c r="I7" s="323"/>
      <c r="J7" s="30" t="s">
        <v>41</v>
      </c>
      <c r="K7" s="36" t="str">
        <f>'FORMATO PRESUPUESTO'!H29</f>
        <v>ML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(ML)</v>
      </c>
      <c r="J9" s="326" t="s">
        <v>44</v>
      </c>
      <c r="K9" s="326" t="s">
        <v>214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 t="s">
        <v>202</v>
      </c>
      <c r="F11" s="43"/>
      <c r="G11" s="43"/>
      <c r="H11" s="43"/>
      <c r="I11" s="33">
        <f>+G11*H11</f>
        <v>0</v>
      </c>
      <c r="J11" s="33">
        <v>0</v>
      </c>
      <c r="K11" s="37">
        <f>+J11</f>
        <v>0</v>
      </c>
    </row>
    <row r="12" spans="1:11" x14ac:dyDescent="0.3">
      <c r="A12" s="327"/>
      <c r="B12" s="327"/>
      <c r="C12" s="327"/>
      <c r="D12" s="327"/>
      <c r="E12" s="38"/>
      <c r="F12" s="45"/>
      <c r="G12" s="45"/>
      <c r="H12" s="45"/>
      <c r="I12" s="33"/>
      <c r="J12" s="33"/>
      <c r="K12" s="37">
        <f>+I12*J12</f>
        <v>0</v>
      </c>
    </row>
    <row r="13" spans="1:11" x14ac:dyDescent="0.3">
      <c r="A13" s="327"/>
      <c r="B13" s="327"/>
      <c r="C13" s="327"/>
      <c r="D13" s="327"/>
      <c r="E13" s="38"/>
      <c r="F13" s="45"/>
      <c r="G13" s="45"/>
      <c r="H13" s="45"/>
      <c r="I13" s="33"/>
      <c r="J13" s="33"/>
      <c r="K13" s="37">
        <f>+I13*J13</f>
        <v>0</v>
      </c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0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9BD6B-3A42-44B7-86BC-B10851DB821A}">
  <sheetPr>
    <tabColor rgb="FFFFFF00"/>
  </sheetPr>
  <dimension ref="A1:K39"/>
  <sheetViews>
    <sheetView topLeftCell="B1" zoomScale="85" zoomScaleNormal="85" workbookViewId="0">
      <selection activeCell="G24" sqref="G24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3.1</v>
      </c>
      <c r="C7" s="29" t="s">
        <v>57</v>
      </c>
      <c r="D7" s="323" t="e">
        <f>+VLOOKUP(B7,'FORMATO PRESUPUESTO'!D10:L31,3,FALSE)</f>
        <v>#N/A</v>
      </c>
      <c r="E7" s="323"/>
      <c r="F7" s="323"/>
      <c r="G7" s="323"/>
      <c r="H7" s="323"/>
      <c r="I7" s="323"/>
      <c r="J7" s="30" t="s">
        <v>41</v>
      </c>
      <c r="K7" s="36" t="e">
        <f>+VLOOKUP(B7,'FORMATO PRESUPUESTO'!D10:L31,4,FALSE)</f>
        <v>#N/A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#N/A</v>
      </c>
      <c r="J9" s="326" t="s">
        <v>44</v>
      </c>
      <c r="K9" s="326" t="e">
        <f>+CONCATENATE("(k) MEDIDA TOTAL"," ","(",K7,")")</f>
        <v>#N/A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 t="e">
        <f>+D7</f>
        <v>#N/A</v>
      </c>
      <c r="F11" s="43"/>
      <c r="G11" s="43"/>
      <c r="H11" s="43"/>
      <c r="I11" s="33">
        <v>1</v>
      </c>
      <c r="J11" s="33">
        <v>1</v>
      </c>
      <c r="K11" s="37">
        <f>+I11*J11</f>
        <v>1</v>
      </c>
    </row>
    <row r="12" spans="1:11" x14ac:dyDescent="0.3">
      <c r="A12" s="327"/>
      <c r="B12" s="327"/>
      <c r="C12" s="327"/>
      <c r="D12" s="327"/>
      <c r="E12" s="38"/>
      <c r="F12" s="45"/>
      <c r="G12" s="45"/>
      <c r="H12" s="45"/>
      <c r="I12" s="33"/>
      <c r="J12" s="33"/>
      <c r="K12" s="37">
        <f>+I12*J12</f>
        <v>0</v>
      </c>
    </row>
    <row r="13" spans="1:11" x14ac:dyDescent="0.3">
      <c r="A13" s="327"/>
      <c r="B13" s="327"/>
      <c r="C13" s="327"/>
      <c r="D13" s="327"/>
      <c r="E13" s="38"/>
      <c r="F13" s="45"/>
      <c r="G13" s="45"/>
      <c r="H13" s="45"/>
      <c r="I13" s="33"/>
      <c r="J13" s="33"/>
      <c r="K13" s="37">
        <f>+I13*J13</f>
        <v>0</v>
      </c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1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B143E-4D49-40CB-B40B-E4FCDF0CBD9E}">
  <sheetPr>
    <tabColor rgb="FFFFFF00"/>
  </sheetPr>
  <dimension ref="A1:K39"/>
  <sheetViews>
    <sheetView zoomScale="85" zoomScaleNormal="85" workbookViewId="0">
      <selection activeCell="F13" sqref="F13:G13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3.2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36" t="e">
        <f>+VLOOKUP(B7,'FORMATO PRESUPUESTO'!D10:L31,4,FALSE)</f>
        <v>#N/A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43</v>
      </c>
      <c r="J9" s="326" t="s">
        <v>44</v>
      </c>
      <c r="K9" s="326" t="s">
        <v>62</v>
      </c>
    </row>
    <row r="10" spans="1:11" x14ac:dyDescent="0.3">
      <c r="A10" s="327"/>
      <c r="B10" s="327"/>
      <c r="C10" s="327"/>
      <c r="D10" s="327"/>
      <c r="E10" s="326"/>
      <c r="F10" s="336" t="s">
        <v>153</v>
      </c>
      <c r="G10" s="337"/>
      <c r="H10" s="34" t="s">
        <v>152</v>
      </c>
      <c r="I10" s="326"/>
      <c r="J10" s="326"/>
      <c r="K10" s="326"/>
    </row>
    <row r="11" spans="1:11" ht="14.4" customHeight="1" x14ac:dyDescent="0.3">
      <c r="A11" s="327"/>
      <c r="B11" s="327"/>
      <c r="C11" s="327"/>
      <c r="D11" s="327"/>
      <c r="E11" s="38" t="s">
        <v>151</v>
      </c>
      <c r="F11" s="334">
        <v>8.2607999999999997</v>
      </c>
      <c r="G11" s="335"/>
      <c r="H11" s="46">
        <v>0.1</v>
      </c>
      <c r="I11" s="33">
        <f>+H11*F11</f>
        <v>0.82608000000000004</v>
      </c>
      <c r="J11" s="33">
        <v>1</v>
      </c>
      <c r="K11" s="37">
        <f>+I11*J11</f>
        <v>0.82608000000000004</v>
      </c>
    </row>
    <row r="12" spans="1:11" x14ac:dyDescent="0.3">
      <c r="A12" s="327"/>
      <c r="B12" s="327"/>
      <c r="C12" s="327"/>
      <c r="D12" s="327"/>
      <c r="E12" s="38" t="s">
        <v>154</v>
      </c>
      <c r="F12" s="334">
        <v>14.3491</v>
      </c>
      <c r="G12" s="335"/>
      <c r="H12" s="46">
        <v>0.1</v>
      </c>
      <c r="I12" s="33">
        <f>+H12*F12</f>
        <v>1.4349100000000001</v>
      </c>
      <c r="J12" s="33">
        <v>1</v>
      </c>
      <c r="K12" s="37">
        <f>+I12*J12</f>
        <v>1.4349100000000001</v>
      </c>
    </row>
    <row r="13" spans="1:11" x14ac:dyDescent="0.3">
      <c r="A13" s="327"/>
      <c r="B13" s="327"/>
      <c r="C13" s="327"/>
      <c r="D13" s="327"/>
      <c r="E13" s="38" t="s">
        <v>306</v>
      </c>
      <c r="F13" s="334">
        <v>25.5</v>
      </c>
      <c r="G13" s="335"/>
      <c r="H13" s="46">
        <v>0.1</v>
      </c>
      <c r="I13" s="33">
        <f>+H13*F13</f>
        <v>2.5500000000000003</v>
      </c>
      <c r="J13" s="33">
        <v>1</v>
      </c>
      <c r="K13" s="37">
        <f>+I13*J13</f>
        <v>2.5500000000000003</v>
      </c>
    </row>
    <row r="14" spans="1:11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2"/>
      <c r="J15" s="33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123">
        <f>+SUM(K11:K29)</f>
        <v>4.8109900000000003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6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F10:G10"/>
    <mergeCell ref="F11:G11"/>
    <mergeCell ref="F12:G12"/>
    <mergeCell ref="F13:G13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CC311-BE43-4CC8-A147-625001AD4928}">
  <sheetPr>
    <tabColor rgb="FFFFFF00"/>
  </sheetPr>
  <dimension ref="A1:K39"/>
  <sheetViews>
    <sheetView topLeftCell="B1" zoomScale="85" zoomScaleNormal="85" workbookViewId="0">
      <selection activeCell="J23" sqref="J23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3.3</v>
      </c>
      <c r="C7" s="29" t="s">
        <v>57</v>
      </c>
      <c r="D7" s="323" t="e">
        <f>+VLOOKUP(B7,'FORMATO PRESUPUESTO'!D10:L31,3,FALSE)</f>
        <v>#N/A</v>
      </c>
      <c r="E7" s="323"/>
      <c r="F7" s="323"/>
      <c r="G7" s="323"/>
      <c r="H7" s="323"/>
      <c r="I7" s="323"/>
      <c r="J7" s="30" t="s">
        <v>41</v>
      </c>
      <c r="K7" s="36" t="e">
        <f>+VLOOKUP(B7,'FORMATO PRESUPUESTO'!D10:L31,4,FALSE)</f>
        <v>#N/A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#N/A</v>
      </c>
      <c r="J9" s="326" t="s">
        <v>44</v>
      </c>
      <c r="K9" s="326" t="e">
        <f>+CONCATENATE("(k) MEDIDA TOTAL"," ","(",K7,")")</f>
        <v>#N/A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264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95" t="s">
        <v>265</v>
      </c>
      <c r="F11" s="43">
        <v>2.2999999999999998</v>
      </c>
      <c r="G11" s="43">
        <v>6</v>
      </c>
      <c r="H11" s="43"/>
      <c r="I11" s="33">
        <v>42.2</v>
      </c>
      <c r="J11" s="33">
        <v>2.5</v>
      </c>
      <c r="K11" s="37">
        <f>+I11*J11</f>
        <v>105.5</v>
      </c>
    </row>
    <row r="12" spans="1:11" x14ac:dyDescent="0.3">
      <c r="A12" s="327"/>
      <c r="B12" s="327"/>
      <c r="C12" s="327"/>
      <c r="D12" s="327"/>
      <c r="E12" s="95" t="s">
        <v>265</v>
      </c>
      <c r="F12" s="43">
        <v>25.5</v>
      </c>
      <c r="G12" s="43">
        <v>2</v>
      </c>
      <c r="H12" s="43"/>
      <c r="I12" s="33">
        <f>F12*G12</f>
        <v>51</v>
      </c>
      <c r="J12" s="33">
        <v>2.5</v>
      </c>
      <c r="K12" s="37">
        <f>+I12*J12</f>
        <v>127.5</v>
      </c>
    </row>
    <row r="13" spans="1:11" x14ac:dyDescent="0.3">
      <c r="A13" s="327"/>
      <c r="B13" s="327"/>
      <c r="C13" s="327"/>
      <c r="D13" s="327"/>
      <c r="E13" s="38" t="s">
        <v>313</v>
      </c>
      <c r="F13" s="43">
        <v>0.6</v>
      </c>
      <c r="G13" s="43">
        <v>9</v>
      </c>
      <c r="H13" s="43">
        <v>3.52</v>
      </c>
      <c r="I13" s="33">
        <f>F13*G13*H13</f>
        <v>19.007999999999999</v>
      </c>
      <c r="J13" s="33">
        <v>2</v>
      </c>
      <c r="K13" s="37">
        <f>I13*J13</f>
        <v>38.015999999999998</v>
      </c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271.01600000000002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18801-BF05-4277-B916-47FB31700C4A}">
  <sheetPr>
    <tabColor rgb="FFFFFF00"/>
  </sheetPr>
  <dimension ref="A1:L40"/>
  <sheetViews>
    <sheetView zoomScale="85" zoomScaleNormal="85" workbookViewId="0">
      <selection activeCell="H44" sqref="H44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55.2" x14ac:dyDescent="0.3">
      <c r="A7" s="35" t="s">
        <v>56</v>
      </c>
      <c r="B7" s="28">
        <v>1.8</v>
      </c>
      <c r="C7" s="29" t="s">
        <v>57</v>
      </c>
      <c r="D7" s="323" t="s">
        <v>314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DESMONTE ADOQUIN PREFABRICADO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(DESMONTE ADOQUIN PREFABRICADO)</v>
      </c>
      <c r="J9" s="326" t="s">
        <v>44</v>
      </c>
      <c r="K9" s="326" t="str">
        <f>+CONCATENATE("(k) MEDIDA TOTAL"," ","(",K7,")")</f>
        <v>(k) MEDIDA TOTAL (DESMONTE ADOQUIN PREFABRICADO)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40" t="s">
        <v>317</v>
      </c>
      <c r="F11" s="43"/>
      <c r="G11" s="179">
        <f>1.5+2+2+4.8</f>
        <v>10.3</v>
      </c>
      <c r="H11" s="43"/>
      <c r="I11" s="33">
        <f>+G11</f>
        <v>10.3</v>
      </c>
      <c r="J11" s="33">
        <v>1</v>
      </c>
      <c r="K11" s="37">
        <f>+I11*J11</f>
        <v>10.3</v>
      </c>
    </row>
    <row r="12" spans="1:11" x14ac:dyDescent="0.3">
      <c r="A12" s="327"/>
      <c r="B12" s="327"/>
      <c r="C12" s="327"/>
      <c r="D12" s="327"/>
      <c r="E12" s="40" t="s">
        <v>315</v>
      </c>
      <c r="F12" s="43"/>
      <c r="G12" s="179">
        <f>72.96+1*2</f>
        <v>74.959999999999994</v>
      </c>
      <c r="H12" s="43"/>
      <c r="I12" s="33">
        <f>+G12</f>
        <v>74.959999999999994</v>
      </c>
      <c r="J12" s="33">
        <v>1</v>
      </c>
      <c r="K12" s="37">
        <f>+I12*J12</f>
        <v>74.959999999999994</v>
      </c>
    </row>
    <row r="13" spans="1:11" ht="27.6" x14ac:dyDescent="0.3">
      <c r="A13" s="327"/>
      <c r="B13" s="327"/>
      <c r="C13" s="327"/>
      <c r="D13" s="327"/>
      <c r="E13" s="181" t="s">
        <v>310</v>
      </c>
      <c r="F13" s="45"/>
      <c r="G13" s="179">
        <f>28.97+1.4</f>
        <v>30.369999999999997</v>
      </c>
      <c r="H13" s="45"/>
      <c r="I13" s="33">
        <f>+G13</f>
        <v>30.369999999999997</v>
      </c>
      <c r="J13" s="33">
        <v>2</v>
      </c>
      <c r="K13" s="37">
        <f>+I13*J13</f>
        <v>60.739999999999995</v>
      </c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>
        <f>+I14*J14</f>
        <v>0</v>
      </c>
    </row>
    <row r="15" spans="1:11" x14ac:dyDescent="0.3">
      <c r="A15" s="327"/>
      <c r="B15" s="327"/>
      <c r="C15" s="327"/>
      <c r="D15" s="327"/>
      <c r="E15" s="95"/>
      <c r="F15" s="45"/>
      <c r="G15" s="45"/>
      <c r="H15" s="45"/>
      <c r="I15" s="33"/>
      <c r="J15" s="33"/>
      <c r="K15" s="37">
        <f t="shared" ref="K15:K16" si="0">+I15*J15</f>
        <v>0</v>
      </c>
    </row>
    <row r="16" spans="1:11" x14ac:dyDescent="0.3">
      <c r="A16" s="327"/>
      <c r="B16" s="327"/>
      <c r="C16" s="327"/>
      <c r="D16" s="327"/>
      <c r="E16" s="38"/>
      <c r="F16" s="45"/>
      <c r="G16" s="45"/>
      <c r="H16" s="45"/>
      <c r="I16" s="33"/>
      <c r="J16" s="32"/>
      <c r="K16" s="37">
        <f t="shared" si="0"/>
        <v>0</v>
      </c>
    </row>
    <row r="17" spans="1:12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2" x14ac:dyDescent="0.3">
      <c r="A18" s="327"/>
      <c r="B18" s="327"/>
      <c r="C18" s="327"/>
      <c r="D18" s="327"/>
      <c r="E18" s="33"/>
      <c r="F18" s="45"/>
      <c r="G18" s="45"/>
      <c r="H18" s="45"/>
      <c r="I18" s="32"/>
      <c r="J18" s="32"/>
      <c r="K18" s="32"/>
    </row>
    <row r="19" spans="1:12" x14ac:dyDescent="0.3">
      <c r="A19" s="327"/>
      <c r="B19" s="327"/>
      <c r="C19" s="327"/>
      <c r="D19" s="327"/>
      <c r="E19" s="40"/>
      <c r="F19" s="45"/>
      <c r="G19" s="45"/>
      <c r="H19" s="45"/>
      <c r="I19" s="32"/>
      <c r="J19" s="32"/>
      <c r="K19" s="32"/>
    </row>
    <row r="20" spans="1:12" x14ac:dyDescent="0.3">
      <c r="A20" s="327"/>
      <c r="B20" s="327"/>
      <c r="C20" s="327"/>
      <c r="D20" s="327"/>
      <c r="E20" s="38"/>
      <c r="F20" s="33"/>
      <c r="G20" s="33"/>
      <c r="H20" s="33"/>
      <c r="I20" s="32"/>
      <c r="J20" s="32"/>
      <c r="K20" s="39"/>
    </row>
    <row r="21" spans="1:12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2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2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2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2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2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2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2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2" x14ac:dyDescent="0.3">
      <c r="A29" s="327"/>
      <c r="B29" s="327"/>
      <c r="C29" s="327"/>
      <c r="D29" s="327"/>
      <c r="E29" s="40"/>
      <c r="F29" s="33"/>
      <c r="G29" s="33"/>
      <c r="H29" s="33"/>
      <c r="I29" s="32"/>
      <c r="J29" s="32"/>
      <c r="K29" s="32"/>
    </row>
    <row r="30" spans="1:12" x14ac:dyDescent="0.3">
      <c r="A30" s="327"/>
      <c r="B30" s="327"/>
      <c r="C30" s="327"/>
      <c r="D30" s="327"/>
      <c r="E30" s="38"/>
      <c r="F30" s="33"/>
      <c r="G30" s="33"/>
      <c r="H30" s="33"/>
      <c r="I30" s="32"/>
      <c r="J30" s="33"/>
      <c r="K30" s="41"/>
    </row>
    <row r="31" spans="1:12" x14ac:dyDescent="0.3">
      <c r="A31" s="327"/>
      <c r="B31" s="327"/>
      <c r="C31" s="327"/>
      <c r="D31" s="327"/>
      <c r="E31" s="324" t="s">
        <v>45</v>
      </c>
      <c r="F31" s="324"/>
      <c r="G31" s="324"/>
      <c r="H31" s="324"/>
      <c r="I31" s="324"/>
      <c r="J31" s="324"/>
      <c r="K31" s="123">
        <f>+SUM(K11:K30)</f>
        <v>146</v>
      </c>
      <c r="L31" s="27">
        <f>K31/0.8</f>
        <v>182.5</v>
      </c>
    </row>
    <row r="32" spans="1:12" s="31" customFormat="1" hidden="1" x14ac:dyDescent="0.3">
      <c r="A32" s="328" t="s">
        <v>46</v>
      </c>
      <c r="B32" s="328"/>
      <c r="C32" s="328" t="s">
        <v>46</v>
      </c>
      <c r="D32" s="328"/>
      <c r="E32" s="328" t="s">
        <v>47</v>
      </c>
      <c r="F32" s="328"/>
      <c r="G32" s="328"/>
      <c r="H32" s="328" t="s">
        <v>48</v>
      </c>
      <c r="I32" s="328"/>
      <c r="J32" s="328"/>
      <c r="K32" s="328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idden="1" x14ac:dyDescent="0.3">
      <c r="A38" s="330"/>
      <c r="B38" s="330"/>
      <c r="C38" s="330"/>
      <c r="D38" s="330"/>
      <c r="E38" s="330"/>
      <c r="F38" s="330"/>
      <c r="G38" s="330"/>
      <c r="H38" s="330"/>
      <c r="I38" s="330"/>
      <c r="J38" s="330"/>
      <c r="K38" s="330"/>
    </row>
    <row r="39" spans="1:11" s="31" customFormat="1" ht="15.75" hidden="1" customHeight="1" thickBot="1" x14ac:dyDescent="0.35">
      <c r="A39" s="331"/>
      <c r="B39" s="332"/>
      <c r="C39" s="332"/>
      <c r="D39" s="332"/>
      <c r="E39" s="332"/>
      <c r="F39" s="332"/>
      <c r="G39" s="332"/>
      <c r="H39" s="332"/>
      <c r="I39" s="332"/>
      <c r="J39" s="332"/>
      <c r="K39" s="333"/>
    </row>
    <row r="40" spans="1:11" hidden="1" x14ac:dyDescent="0.3"/>
  </sheetData>
  <mergeCells count="32">
    <mergeCell ref="A33:B38"/>
    <mergeCell ref="C33:D38"/>
    <mergeCell ref="E33:G38"/>
    <mergeCell ref="H33:K38"/>
    <mergeCell ref="A39:K39"/>
    <mergeCell ref="K9:K10"/>
    <mergeCell ref="A10:D31"/>
    <mergeCell ref="E31:J31"/>
    <mergeCell ref="A32:B32"/>
    <mergeCell ref="C32:D32"/>
    <mergeCell ref="E32:G32"/>
    <mergeCell ref="H32:K32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0E38D-47F2-4210-8D2E-E061AA3F5750}">
  <sheetPr>
    <tabColor rgb="FFFFFF00"/>
  </sheetPr>
  <dimension ref="A1:M55"/>
  <sheetViews>
    <sheetView topLeftCell="A15" zoomScale="85" zoomScaleNormal="85" workbookViewId="0">
      <selection activeCell="H56" sqref="H56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ht="165.6" x14ac:dyDescent="0.3">
      <c r="A7" s="35" t="s">
        <v>56</v>
      </c>
      <c r="B7" s="28">
        <v>2.8</v>
      </c>
      <c r="C7" s="29" t="s">
        <v>57</v>
      </c>
      <c r="D7" s="323" t="s">
        <v>262</v>
      </c>
      <c r="E7" s="323"/>
      <c r="F7" s="323"/>
      <c r="G7" s="323"/>
      <c r="H7" s="323"/>
      <c r="I7" s="323"/>
      <c r="J7" s="30" t="s">
        <v>41</v>
      </c>
      <c r="K7" s="36" t="str">
        <f>+VLOOKUP(B7,'FORMATO PRESUPUESTO'!D10:L31,4,FALSE)</f>
        <v>SUMINISTRO E INSTALACION DE SARDINEL PREFABRICADO A-10, INCLUYE MORTERO DE PEGA
SEGUN NORMA NTC-4109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(SUMINISTRO E INSTALACION DE SARDINEL PREFABRICADO A-10, INCLUYE MORTERO DE PEGA
SEGUN NORMA NTC-4109)</v>
      </c>
      <c r="J9" s="326" t="s">
        <v>44</v>
      </c>
      <c r="K9" s="326" t="str">
        <f>+CONCATENATE("(k) MEDIDA TOTAL"," ","(",K7,")")</f>
        <v>(k) MEDIDA TOTAL (SUMINISTRO E INSTALACION DE SARDINEL PREFABRICADO A-10, INCLUYE MORTERO DE PEGA
SEGUN NORMA NTC-4109)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 t="s">
        <v>235</v>
      </c>
      <c r="H11" s="30" t="s">
        <v>236</v>
      </c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195</v>
      </c>
      <c r="F12" s="43" t="s">
        <v>245</v>
      </c>
      <c r="G12" s="43">
        <f>24</f>
        <v>24</v>
      </c>
      <c r="H12" s="43">
        <f>4.53*4</f>
        <v>18.12</v>
      </c>
      <c r="I12" s="33"/>
      <c r="J12" s="33">
        <v>4</v>
      </c>
      <c r="K12" s="37">
        <f>H12*J12</f>
        <v>72.48</v>
      </c>
    </row>
    <row r="13" spans="1:11" x14ac:dyDescent="0.3">
      <c r="A13" s="327"/>
      <c r="B13" s="327"/>
      <c r="C13" s="327"/>
      <c r="D13" s="327"/>
      <c r="E13" s="38"/>
      <c r="F13" s="43" t="s">
        <v>260</v>
      </c>
      <c r="G13" s="43">
        <v>16.399999999999999</v>
      </c>
      <c r="H13" s="43">
        <f>3.2*4</f>
        <v>12.8</v>
      </c>
      <c r="I13" s="33"/>
      <c r="J13" s="33">
        <v>4</v>
      </c>
      <c r="K13" s="37">
        <f>H13*J13</f>
        <v>51.2</v>
      </c>
    </row>
    <row r="14" spans="1:11" x14ac:dyDescent="0.3">
      <c r="A14" s="327"/>
      <c r="B14" s="327"/>
      <c r="C14" s="327"/>
      <c r="D14" s="327"/>
      <c r="E14" s="38"/>
      <c r="F14" s="160" t="s">
        <v>261</v>
      </c>
      <c r="G14" s="43"/>
      <c r="H14" s="43"/>
      <c r="I14" s="33"/>
      <c r="J14" s="33"/>
      <c r="K14" s="37"/>
    </row>
    <row r="15" spans="1:11" x14ac:dyDescent="0.3">
      <c r="A15" s="327"/>
      <c r="B15" s="327"/>
      <c r="C15" s="327"/>
      <c r="D15" s="327"/>
      <c r="E15" s="38" t="s">
        <v>196</v>
      </c>
      <c r="F15" s="159">
        <v>3</v>
      </c>
      <c r="G15" s="45">
        <f>9.53</f>
        <v>9.5299999999999994</v>
      </c>
      <c r="H15" s="45">
        <v>6.51</v>
      </c>
      <c r="I15" s="33"/>
      <c r="J15" s="33">
        <v>1</v>
      </c>
      <c r="K15" s="37">
        <f t="shared" ref="K15:K39" si="0">H15*J15</f>
        <v>6.51</v>
      </c>
    </row>
    <row r="16" spans="1:11" x14ac:dyDescent="0.3">
      <c r="A16" s="327"/>
      <c r="B16" s="327"/>
      <c r="C16" s="327"/>
      <c r="D16" s="327"/>
      <c r="E16" s="38"/>
      <c r="F16" s="159">
        <v>3</v>
      </c>
      <c r="G16" s="45">
        <v>7.86</v>
      </c>
      <c r="H16" s="45">
        <v>3.75</v>
      </c>
      <c r="I16" s="33"/>
      <c r="J16" s="33">
        <v>1</v>
      </c>
      <c r="K16" s="37">
        <f t="shared" si="0"/>
        <v>3.75</v>
      </c>
    </row>
    <row r="17" spans="1:11" x14ac:dyDescent="0.3">
      <c r="A17" s="327"/>
      <c r="B17" s="327"/>
      <c r="C17" s="327"/>
      <c r="D17" s="327"/>
      <c r="E17" s="38"/>
      <c r="F17" s="159">
        <v>4</v>
      </c>
      <c r="G17" s="45">
        <v>10.199999999999999</v>
      </c>
      <c r="H17" s="45">
        <v>4.07</v>
      </c>
      <c r="I17" s="33"/>
      <c r="J17" s="33">
        <v>1</v>
      </c>
      <c r="K17" s="37">
        <f t="shared" si="0"/>
        <v>4.07</v>
      </c>
    </row>
    <row r="18" spans="1:11" x14ac:dyDescent="0.3">
      <c r="A18" s="327"/>
      <c r="B18" s="327"/>
      <c r="C18" s="327"/>
      <c r="D18" s="327"/>
      <c r="E18" s="38"/>
      <c r="F18" s="159">
        <v>4</v>
      </c>
      <c r="G18" s="45">
        <v>9.3000000000000007</v>
      </c>
      <c r="H18" s="45">
        <v>4.13</v>
      </c>
      <c r="I18" s="33"/>
      <c r="J18" s="33">
        <v>1</v>
      </c>
      <c r="K18" s="37">
        <f t="shared" si="0"/>
        <v>4.13</v>
      </c>
    </row>
    <row r="19" spans="1:11" x14ac:dyDescent="0.3">
      <c r="A19" s="327"/>
      <c r="B19" s="327"/>
      <c r="C19" s="327"/>
      <c r="D19" s="327"/>
      <c r="E19" s="38"/>
      <c r="F19" s="159"/>
      <c r="G19" s="45">
        <f t="shared" ref="G19" si="1">9.53+7.86+10.2+9.3</f>
        <v>36.89</v>
      </c>
      <c r="H19" s="45">
        <v>0</v>
      </c>
      <c r="I19" s="33"/>
      <c r="J19" s="33">
        <v>1</v>
      </c>
      <c r="K19" s="37">
        <f t="shared" si="0"/>
        <v>0</v>
      </c>
    </row>
    <row r="20" spans="1:11" x14ac:dyDescent="0.3">
      <c r="A20" s="327"/>
      <c r="B20" s="327"/>
      <c r="C20" s="327"/>
      <c r="D20" s="327"/>
      <c r="E20" s="38" t="s">
        <v>197</v>
      </c>
      <c r="F20" s="159">
        <v>2</v>
      </c>
      <c r="G20" s="45">
        <f>15.4</f>
        <v>15.4</v>
      </c>
      <c r="H20" s="45">
        <v>16.079999999999998</v>
      </c>
      <c r="I20" s="33"/>
      <c r="J20" s="33">
        <v>1</v>
      </c>
      <c r="K20" s="37">
        <f t="shared" si="0"/>
        <v>16.079999999999998</v>
      </c>
    </row>
    <row r="21" spans="1:11" x14ac:dyDescent="0.3">
      <c r="A21" s="327"/>
      <c r="B21" s="327"/>
      <c r="C21" s="327"/>
      <c r="D21" s="327"/>
      <c r="E21" s="38"/>
      <c r="F21" s="159">
        <v>2</v>
      </c>
      <c r="G21" s="45">
        <v>15.4</v>
      </c>
      <c r="H21" s="27">
        <v>16.07</v>
      </c>
      <c r="I21" s="33"/>
      <c r="J21" s="33">
        <v>1</v>
      </c>
      <c r="K21" s="37">
        <f t="shared" si="0"/>
        <v>16.07</v>
      </c>
    </row>
    <row r="22" spans="1:11" x14ac:dyDescent="0.3">
      <c r="A22" s="327"/>
      <c r="B22" s="327"/>
      <c r="C22" s="327"/>
      <c r="D22" s="327"/>
      <c r="E22" s="38"/>
      <c r="F22" s="159">
        <v>7</v>
      </c>
      <c r="G22" s="45">
        <v>15.8</v>
      </c>
      <c r="H22" s="45">
        <v>17.8</v>
      </c>
      <c r="I22" s="33"/>
      <c r="J22" s="33">
        <v>1</v>
      </c>
      <c r="K22" s="37">
        <f t="shared" si="0"/>
        <v>17.8</v>
      </c>
    </row>
    <row r="23" spans="1:11" x14ac:dyDescent="0.3">
      <c r="A23" s="327"/>
      <c r="B23" s="327"/>
      <c r="C23" s="327"/>
      <c r="D23" s="327"/>
      <c r="E23" s="38"/>
      <c r="F23" s="159">
        <v>7</v>
      </c>
      <c r="G23" s="45">
        <v>15.8</v>
      </c>
      <c r="H23" s="45">
        <v>17.809999999999999</v>
      </c>
      <c r="I23" s="33"/>
      <c r="J23" s="33">
        <v>1</v>
      </c>
      <c r="K23" s="37">
        <f t="shared" si="0"/>
        <v>17.809999999999999</v>
      </c>
    </row>
    <row r="24" spans="1:11" x14ac:dyDescent="0.3">
      <c r="A24" s="327"/>
      <c r="B24" s="327"/>
      <c r="C24" s="327"/>
      <c r="D24" s="327"/>
      <c r="E24" s="38"/>
      <c r="F24" s="159">
        <v>10</v>
      </c>
      <c r="G24" s="45">
        <v>7.9</v>
      </c>
      <c r="H24" s="45">
        <v>9.93</v>
      </c>
      <c r="I24" s="33"/>
      <c r="J24" s="33">
        <v>1</v>
      </c>
      <c r="K24" s="37">
        <f t="shared" si="0"/>
        <v>9.93</v>
      </c>
    </row>
    <row r="25" spans="1:11" x14ac:dyDescent="0.3">
      <c r="A25" s="327"/>
      <c r="B25" s="327"/>
      <c r="C25" s="327"/>
      <c r="D25" s="327"/>
      <c r="E25" s="38"/>
      <c r="F25" s="159">
        <v>10</v>
      </c>
      <c r="G25" s="45">
        <v>7.9</v>
      </c>
      <c r="H25" s="45">
        <v>9.93</v>
      </c>
      <c r="I25" s="33"/>
      <c r="J25" s="33">
        <v>1</v>
      </c>
      <c r="K25" s="37">
        <f t="shared" si="0"/>
        <v>9.93</v>
      </c>
    </row>
    <row r="26" spans="1:11" x14ac:dyDescent="0.3">
      <c r="A26" s="327"/>
      <c r="B26" s="327"/>
      <c r="C26" s="327"/>
      <c r="D26" s="327"/>
      <c r="E26" s="38" t="s">
        <v>198</v>
      </c>
      <c r="F26" s="159">
        <v>6</v>
      </c>
      <c r="G26" s="45">
        <f>7.8</f>
        <v>7.8</v>
      </c>
      <c r="H26" s="45">
        <v>3.61</v>
      </c>
      <c r="I26" s="33"/>
      <c r="J26" s="33">
        <v>1</v>
      </c>
      <c r="K26" s="37">
        <f t="shared" si="0"/>
        <v>3.61</v>
      </c>
    </row>
    <row r="27" spans="1:11" x14ac:dyDescent="0.3">
      <c r="A27" s="327"/>
      <c r="B27" s="327"/>
      <c r="C27" s="327"/>
      <c r="D27" s="327"/>
      <c r="E27" s="38"/>
      <c r="F27" s="159">
        <v>6</v>
      </c>
      <c r="G27" s="45">
        <v>7.73</v>
      </c>
      <c r="H27" s="45">
        <v>3.52</v>
      </c>
      <c r="I27" s="33"/>
      <c r="J27" s="33">
        <v>1</v>
      </c>
      <c r="K27" s="37">
        <f t="shared" si="0"/>
        <v>3.52</v>
      </c>
    </row>
    <row r="28" spans="1:11" x14ac:dyDescent="0.3">
      <c r="A28" s="327"/>
      <c r="B28" s="327"/>
      <c r="C28" s="327"/>
      <c r="D28" s="327"/>
      <c r="E28" s="38"/>
      <c r="F28" s="159">
        <v>5</v>
      </c>
      <c r="G28" s="45">
        <v>8.1</v>
      </c>
      <c r="H28" s="45">
        <v>4</v>
      </c>
      <c r="I28" s="33"/>
      <c r="J28" s="33">
        <v>1</v>
      </c>
      <c r="K28" s="37">
        <f t="shared" si="0"/>
        <v>4</v>
      </c>
    </row>
    <row r="29" spans="1:11" x14ac:dyDescent="0.3">
      <c r="A29" s="327"/>
      <c r="B29" s="327"/>
      <c r="C29" s="327"/>
      <c r="D29" s="327"/>
      <c r="E29" s="38"/>
      <c r="F29" s="159">
        <v>5</v>
      </c>
      <c r="G29" s="45">
        <v>7.5</v>
      </c>
      <c r="H29" s="45">
        <v>3.24</v>
      </c>
      <c r="I29" s="33"/>
      <c r="J29" s="33">
        <v>1</v>
      </c>
      <c r="K29" s="37">
        <f t="shared" si="0"/>
        <v>3.24</v>
      </c>
    </row>
    <row r="30" spans="1:11" x14ac:dyDescent="0.3">
      <c r="A30" s="327"/>
      <c r="B30" s="327"/>
      <c r="C30" s="327"/>
      <c r="D30" s="327"/>
      <c r="E30" s="38" t="s">
        <v>199</v>
      </c>
      <c r="F30" s="159">
        <v>9</v>
      </c>
      <c r="G30" s="45">
        <f>6.9</f>
        <v>6.9</v>
      </c>
      <c r="H30" s="45">
        <v>2.68</v>
      </c>
      <c r="I30" s="33"/>
      <c r="J30" s="33">
        <v>1</v>
      </c>
      <c r="K30" s="37">
        <f t="shared" si="0"/>
        <v>2.68</v>
      </c>
    </row>
    <row r="31" spans="1:11" x14ac:dyDescent="0.3">
      <c r="A31" s="327"/>
      <c r="B31" s="327"/>
      <c r="C31" s="327"/>
      <c r="D31" s="327"/>
      <c r="E31" s="38"/>
      <c r="F31" s="159">
        <v>9</v>
      </c>
      <c r="G31" s="45">
        <f>6.9</f>
        <v>6.9</v>
      </c>
      <c r="H31" s="45">
        <v>2.68</v>
      </c>
      <c r="I31" s="33"/>
      <c r="J31" s="33">
        <v>1</v>
      </c>
      <c r="K31" s="37">
        <f t="shared" si="0"/>
        <v>2.68</v>
      </c>
    </row>
    <row r="32" spans="1:11" x14ac:dyDescent="0.3">
      <c r="A32" s="327"/>
      <c r="B32" s="327"/>
      <c r="C32" s="327"/>
      <c r="D32" s="327"/>
      <c r="E32" s="38"/>
      <c r="F32" s="159">
        <v>8</v>
      </c>
      <c r="G32" s="45">
        <v>7.2</v>
      </c>
      <c r="H32" s="45">
        <v>3.05</v>
      </c>
      <c r="I32" s="33"/>
      <c r="J32" s="33">
        <v>1</v>
      </c>
      <c r="K32" s="37">
        <f t="shared" si="0"/>
        <v>3.05</v>
      </c>
    </row>
    <row r="33" spans="1:13" x14ac:dyDescent="0.3">
      <c r="A33" s="327"/>
      <c r="B33" s="327"/>
      <c r="C33" s="327"/>
      <c r="D33" s="327"/>
      <c r="E33" s="38"/>
      <c r="F33" s="159">
        <v>8</v>
      </c>
      <c r="G33" s="45">
        <v>6.6</v>
      </c>
      <c r="H33" s="45">
        <v>2.36</v>
      </c>
      <c r="I33" s="33"/>
      <c r="J33" s="33">
        <v>1</v>
      </c>
      <c r="K33" s="37">
        <f t="shared" si="0"/>
        <v>2.36</v>
      </c>
    </row>
    <row r="34" spans="1:13" x14ac:dyDescent="0.3">
      <c r="A34" s="327"/>
      <c r="B34" s="327"/>
      <c r="C34" s="327"/>
      <c r="D34" s="327"/>
      <c r="E34" s="38" t="s">
        <v>200</v>
      </c>
      <c r="F34" s="159"/>
      <c r="G34" s="45">
        <f>3.3442</f>
        <v>3.3441999999999998</v>
      </c>
      <c r="H34" s="45">
        <v>1</v>
      </c>
      <c r="I34" s="32"/>
      <c r="J34" s="33">
        <v>1</v>
      </c>
      <c r="K34" s="37">
        <f t="shared" si="0"/>
        <v>1</v>
      </c>
    </row>
    <row r="35" spans="1:13" x14ac:dyDescent="0.3">
      <c r="A35" s="327"/>
      <c r="B35" s="327"/>
      <c r="C35" s="327"/>
      <c r="D35" s="327"/>
      <c r="E35" s="38"/>
      <c r="F35" s="159"/>
      <c r="G35" s="45">
        <v>1.2</v>
      </c>
      <c r="H35" s="45">
        <v>3.09</v>
      </c>
      <c r="I35" s="32"/>
      <c r="J35" s="33">
        <v>1</v>
      </c>
      <c r="K35" s="37">
        <f t="shared" si="0"/>
        <v>3.09</v>
      </c>
    </row>
    <row r="36" spans="1:13" x14ac:dyDescent="0.3">
      <c r="A36" s="327"/>
      <c r="B36" s="327"/>
      <c r="C36" s="327"/>
      <c r="D36" s="327"/>
      <c r="E36" s="38"/>
      <c r="F36" s="159"/>
      <c r="G36" s="45"/>
      <c r="H36" s="45">
        <v>1.87</v>
      </c>
      <c r="I36" s="32"/>
      <c r="J36" s="33">
        <v>1</v>
      </c>
      <c r="K36" s="37">
        <f t="shared" ref="K36" si="2">H36*J36</f>
        <v>1.87</v>
      </c>
    </row>
    <row r="37" spans="1:13" x14ac:dyDescent="0.3">
      <c r="A37" s="327"/>
      <c r="B37" s="327"/>
      <c r="C37" s="327"/>
      <c r="D37" s="327"/>
      <c r="E37" s="38" t="s">
        <v>201</v>
      </c>
      <c r="F37" s="159"/>
      <c r="G37" s="45">
        <f>21.29</f>
        <v>21.29</v>
      </c>
      <c r="H37" s="45">
        <v>22.27</v>
      </c>
      <c r="I37" s="32"/>
      <c r="J37" s="33">
        <v>1</v>
      </c>
      <c r="K37" s="37">
        <f t="shared" si="0"/>
        <v>22.27</v>
      </c>
    </row>
    <row r="38" spans="1:13" x14ac:dyDescent="0.3">
      <c r="A38" s="327"/>
      <c r="B38" s="327"/>
      <c r="C38" s="327"/>
      <c r="D38" s="327"/>
      <c r="E38" s="38"/>
      <c r="F38" s="159"/>
      <c r="G38" s="45">
        <f>21.29</f>
        <v>21.29</v>
      </c>
      <c r="H38" s="45">
        <v>22.39</v>
      </c>
      <c r="I38" s="32"/>
      <c r="J38" s="33">
        <v>1</v>
      </c>
      <c r="K38" s="37">
        <f t="shared" si="0"/>
        <v>22.39</v>
      </c>
    </row>
    <row r="39" spans="1:13" x14ac:dyDescent="0.3">
      <c r="A39" s="327"/>
      <c r="B39" s="327"/>
      <c r="C39" s="327"/>
      <c r="D39" s="327"/>
      <c r="E39" s="38"/>
      <c r="F39" s="159"/>
      <c r="G39" s="45">
        <v>1.31</v>
      </c>
      <c r="H39" s="45">
        <v>1.4</v>
      </c>
      <c r="I39" s="32"/>
      <c r="J39" s="33">
        <v>1</v>
      </c>
      <c r="K39" s="37">
        <f t="shared" si="0"/>
        <v>1.4</v>
      </c>
    </row>
    <row r="40" spans="1:13" x14ac:dyDescent="0.3">
      <c r="A40" s="327"/>
      <c r="B40" s="327"/>
      <c r="C40" s="327"/>
      <c r="D40" s="327"/>
      <c r="E40" s="38" t="s">
        <v>202</v>
      </c>
      <c r="F40" s="159"/>
      <c r="G40" s="45">
        <v>5.4</v>
      </c>
      <c r="H40" s="45">
        <f>1.77*2+1.83</f>
        <v>5.37</v>
      </c>
      <c r="I40" s="32"/>
      <c r="J40" s="33">
        <v>6</v>
      </c>
      <c r="K40" s="37">
        <f>H40*J40</f>
        <v>32.22</v>
      </c>
    </row>
    <row r="41" spans="1:13" x14ac:dyDescent="0.3">
      <c r="A41" s="327"/>
      <c r="B41" s="327"/>
      <c r="C41" s="327"/>
      <c r="D41" s="327"/>
      <c r="E41" s="38"/>
      <c r="F41" s="33"/>
      <c r="G41" s="33">
        <f>SUM(G12:G40)</f>
        <v>304.94420000000002</v>
      </c>
      <c r="H41" s="33"/>
      <c r="I41" s="32"/>
      <c r="J41" s="32"/>
      <c r="K41" s="39"/>
    </row>
    <row r="42" spans="1:13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3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3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3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3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164">
        <f>SUM(K12:K45)</f>
        <v>339.14</v>
      </c>
      <c r="L46" s="27">
        <v>0.8</v>
      </c>
      <c r="M46" s="27">
        <f>K46/L46</f>
        <v>423.92499999999995</v>
      </c>
    </row>
    <row r="47" spans="1:13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3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2">
    <mergeCell ref="A48:B53"/>
    <mergeCell ref="C48:D53"/>
    <mergeCell ref="E48:G53"/>
    <mergeCell ref="H48:K53"/>
    <mergeCell ref="A54:K5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scale="50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9D173-6C34-4D69-9250-9E3B6463F92F}">
  <sheetPr>
    <tabColor rgb="FFFFFF00"/>
  </sheetPr>
  <dimension ref="A1:M55"/>
  <sheetViews>
    <sheetView zoomScale="85" zoomScaleNormal="85" workbookViewId="0">
      <selection activeCell="E15" sqref="E15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4.3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s">
        <v>108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(m2)</v>
      </c>
      <c r="J9" s="326" t="s">
        <v>44</v>
      </c>
      <c r="K9" s="326" t="str">
        <f>+CONCATENATE("(k) MEDIDA TOTAL"," ","(",K7,")")</f>
        <v>(k) MEDIDA TOTAL (m2)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322</v>
      </c>
      <c r="F12" s="45">
        <v>2.5</v>
      </c>
      <c r="G12" s="45">
        <v>0.68</v>
      </c>
      <c r="H12" s="46">
        <v>3.3</v>
      </c>
      <c r="I12" s="33">
        <f>((F12+G12)/2)*H12</f>
        <v>5.2469999999999999</v>
      </c>
      <c r="J12" s="33">
        <v>2</v>
      </c>
      <c r="K12" s="37">
        <f>+I12*J12</f>
        <v>10.494</v>
      </c>
    </row>
    <row r="13" spans="1:11" x14ac:dyDescent="0.3">
      <c r="A13" s="327"/>
      <c r="B13" s="327"/>
      <c r="C13" s="327"/>
      <c r="D13" s="327"/>
      <c r="F13" s="43"/>
      <c r="G13" s="43">
        <v>1.6</v>
      </c>
      <c r="H13" s="43">
        <v>0.38</v>
      </c>
      <c r="I13" s="33">
        <f>G13*H13</f>
        <v>0.6080000000000001</v>
      </c>
      <c r="J13" s="33">
        <v>1</v>
      </c>
      <c r="K13" s="37">
        <f t="shared" ref="K13" si="0">I13*J13</f>
        <v>0.6080000000000001</v>
      </c>
    </row>
    <row r="14" spans="1:11" x14ac:dyDescent="0.3">
      <c r="A14" s="327"/>
      <c r="B14" s="327"/>
      <c r="C14" s="327"/>
      <c r="D14" s="327"/>
      <c r="E14" s="38" t="s">
        <v>321</v>
      </c>
      <c r="F14" s="160"/>
      <c r="G14" s="43">
        <f>1.5+5+1.5</f>
        <v>8</v>
      </c>
      <c r="H14" s="43">
        <v>1.5</v>
      </c>
      <c r="I14" s="33">
        <f>G14*H14</f>
        <v>12</v>
      </c>
      <c r="J14" s="33">
        <v>1</v>
      </c>
      <c r="K14" s="37">
        <f t="shared" ref="K14" si="1">I14*J14</f>
        <v>12</v>
      </c>
    </row>
    <row r="15" spans="1:11" x14ac:dyDescent="0.3">
      <c r="A15" s="327"/>
      <c r="B15" s="327"/>
      <c r="C15" s="327"/>
      <c r="D15" s="327"/>
      <c r="E15" s="38"/>
      <c r="F15" s="45">
        <v>1.5</v>
      </c>
      <c r="G15" s="45">
        <v>0.5</v>
      </c>
      <c r="H15" s="46">
        <v>1.7</v>
      </c>
      <c r="I15" s="33">
        <f>((F15+G15)/2)*H15</f>
        <v>1.7</v>
      </c>
      <c r="J15" s="33">
        <v>6</v>
      </c>
      <c r="K15" s="37">
        <f>+I15*J15</f>
        <v>10.199999999999999</v>
      </c>
    </row>
    <row r="16" spans="1:11" x14ac:dyDescent="0.3">
      <c r="A16" s="327"/>
      <c r="B16" s="327"/>
      <c r="C16" s="327"/>
      <c r="D16" s="327"/>
      <c r="E16" s="38"/>
      <c r="F16" s="159"/>
      <c r="G16" s="43">
        <v>3.9</v>
      </c>
      <c r="H16" s="43">
        <v>0.4</v>
      </c>
      <c r="I16" s="33">
        <f>G16*H16</f>
        <v>1.56</v>
      </c>
      <c r="J16" s="33">
        <v>1</v>
      </c>
      <c r="K16" s="37">
        <f t="shared" ref="K16" si="2">I16*J16</f>
        <v>1.56</v>
      </c>
    </row>
    <row r="17" spans="1:11" x14ac:dyDescent="0.3">
      <c r="A17" s="327"/>
      <c r="B17" s="327"/>
      <c r="C17" s="327"/>
      <c r="D17" s="327"/>
      <c r="E17" s="38"/>
      <c r="F17" s="159"/>
      <c r="G17" s="45"/>
      <c r="H17" s="45"/>
      <c r="I17" s="33"/>
      <c r="J17" s="33"/>
      <c r="K17" s="37"/>
    </row>
    <row r="18" spans="1:11" x14ac:dyDescent="0.3">
      <c r="A18" s="327"/>
      <c r="B18" s="327"/>
      <c r="C18" s="327"/>
      <c r="D18" s="327"/>
      <c r="E18" s="38"/>
      <c r="F18" s="159"/>
      <c r="G18" s="45"/>
      <c r="H18" s="45"/>
      <c r="I18" s="33"/>
      <c r="J18" s="33"/>
      <c r="K18" s="37"/>
    </row>
    <row r="19" spans="1:11" x14ac:dyDescent="0.3">
      <c r="A19" s="327"/>
      <c r="B19" s="327"/>
      <c r="C19" s="327"/>
      <c r="D19" s="327"/>
      <c r="E19" s="38"/>
      <c r="F19" s="159"/>
      <c r="G19" s="45"/>
      <c r="H19" s="45"/>
      <c r="I19" s="33"/>
      <c r="J19" s="33"/>
      <c r="K19" s="37"/>
    </row>
    <row r="20" spans="1:11" x14ac:dyDescent="0.3">
      <c r="A20" s="327"/>
      <c r="B20" s="327"/>
      <c r="C20" s="327"/>
      <c r="D20" s="327"/>
      <c r="E20" s="38"/>
      <c r="F20" s="159"/>
      <c r="G20" s="45"/>
      <c r="H20" s="45"/>
      <c r="I20" s="33"/>
      <c r="J20" s="33"/>
      <c r="K20" s="37"/>
    </row>
    <row r="21" spans="1:11" x14ac:dyDescent="0.3">
      <c r="A21" s="327"/>
      <c r="B21" s="327"/>
      <c r="C21" s="327"/>
      <c r="D21" s="327"/>
      <c r="E21" s="38"/>
      <c r="F21" s="159"/>
      <c r="G21" s="45"/>
      <c r="I21" s="33"/>
      <c r="J21" s="33"/>
      <c r="K21" s="37"/>
    </row>
    <row r="22" spans="1:11" x14ac:dyDescent="0.3">
      <c r="A22" s="327"/>
      <c r="B22" s="327"/>
      <c r="C22" s="327"/>
      <c r="D22" s="327"/>
      <c r="E22" s="38"/>
      <c r="F22" s="159"/>
      <c r="G22" s="45"/>
      <c r="H22" s="45"/>
      <c r="I22" s="33"/>
      <c r="J22" s="33"/>
      <c r="K22" s="37"/>
    </row>
    <row r="23" spans="1:11" x14ac:dyDescent="0.3">
      <c r="A23" s="327"/>
      <c r="B23" s="327"/>
      <c r="C23" s="327"/>
      <c r="D23" s="327"/>
      <c r="E23" s="38"/>
      <c r="F23" s="159"/>
      <c r="G23" s="45"/>
      <c r="H23" s="45"/>
      <c r="I23" s="33"/>
      <c r="J23" s="3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3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3" x14ac:dyDescent="0.3">
      <c r="A34" s="327"/>
      <c r="B34" s="327"/>
      <c r="C34" s="327"/>
      <c r="D34" s="327"/>
      <c r="E34" s="38"/>
      <c r="F34" s="159"/>
      <c r="G34" s="45"/>
      <c r="H34" s="45"/>
      <c r="I34" s="32"/>
      <c r="J34" s="33"/>
      <c r="K34" s="37"/>
    </row>
    <row r="35" spans="1:13" x14ac:dyDescent="0.3">
      <c r="A35" s="327"/>
      <c r="B35" s="327"/>
      <c r="C35" s="327"/>
      <c r="D35" s="327"/>
      <c r="E35" s="38"/>
      <c r="F35" s="159"/>
      <c r="G35" s="45"/>
      <c r="H35" s="45"/>
      <c r="I35" s="32"/>
      <c r="J35" s="33"/>
      <c r="K35" s="37"/>
    </row>
    <row r="36" spans="1:13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3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3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3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3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3" x14ac:dyDescent="0.3">
      <c r="A41" s="327"/>
      <c r="B41" s="327"/>
      <c r="C41" s="327"/>
      <c r="D41" s="327"/>
      <c r="E41" s="38"/>
      <c r="F41" s="33"/>
      <c r="G41" s="33"/>
      <c r="H41" s="33"/>
      <c r="I41" s="32"/>
      <c r="J41" s="32"/>
      <c r="K41" s="39"/>
    </row>
    <row r="42" spans="1:13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3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3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3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3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164">
        <f>SUM(K11:K45)</f>
        <v>34.862000000000002</v>
      </c>
      <c r="L46" s="27">
        <v>118</v>
      </c>
      <c r="M46" s="27">
        <f>K46*L46</f>
        <v>4113.7160000000003</v>
      </c>
    </row>
    <row r="47" spans="1:13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3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A48:B53"/>
    <mergeCell ref="C48:D53"/>
    <mergeCell ref="E48:G53"/>
    <mergeCell ref="H48:K53"/>
    <mergeCell ref="A54:K54"/>
  </mergeCells>
  <phoneticPr fontId="7" type="noConversion"/>
  <pageMargins left="0.7" right="0.7" top="0.75" bottom="0.75" header="0.3" footer="0.3"/>
  <pageSetup paperSize="9" scale="50" orientation="landscape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63F10-223E-4606-BB22-D852EDE08E93}">
  <sheetPr>
    <tabColor rgb="FFFFFF00"/>
  </sheetPr>
  <dimension ref="A1:K55"/>
  <sheetViews>
    <sheetView zoomScale="98" zoomScaleNormal="98" workbookViewId="0">
      <selection activeCell="K56" sqref="K56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4.4000000000000004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s">
        <v>69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(UND)</v>
      </c>
      <c r="J9" s="326" t="s">
        <v>44</v>
      </c>
      <c r="K9" s="326" t="str">
        <f>+CONCATENATE("(k) MEDIDA TOTAL"," ","(",K7,")")</f>
        <v>(k) MEDIDA TOTAL (UND)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266</v>
      </c>
      <c r="F12" s="43"/>
      <c r="G12" s="43"/>
      <c r="H12" s="43"/>
      <c r="I12" s="33"/>
      <c r="J12" s="33">
        <v>2</v>
      </c>
      <c r="K12" s="37">
        <f>J12</f>
        <v>2</v>
      </c>
    </row>
    <row r="13" spans="1:11" x14ac:dyDescent="0.3">
      <c r="A13" s="327"/>
      <c r="B13" s="327"/>
      <c r="C13" s="327"/>
      <c r="D13" s="327"/>
      <c r="E13" s="38" t="s">
        <v>267</v>
      </c>
      <c r="F13" s="43"/>
      <c r="G13" s="43"/>
      <c r="H13" s="43"/>
      <c r="I13" s="33"/>
      <c r="J13" s="33">
        <v>1</v>
      </c>
      <c r="K13" s="37">
        <f t="shared" ref="K13:K21" si="0">J13</f>
        <v>1</v>
      </c>
    </row>
    <row r="14" spans="1:11" x14ac:dyDescent="0.3">
      <c r="A14" s="327"/>
      <c r="B14" s="327"/>
      <c r="C14" s="327"/>
      <c r="D14" s="327"/>
      <c r="E14" s="38" t="s">
        <v>268</v>
      </c>
      <c r="F14" s="160"/>
      <c r="G14" s="43"/>
      <c r="H14" s="43"/>
      <c r="I14" s="33"/>
      <c r="J14" s="33">
        <v>1</v>
      </c>
      <c r="K14" s="37">
        <f t="shared" si="0"/>
        <v>1</v>
      </c>
    </row>
    <row r="15" spans="1:11" x14ac:dyDescent="0.3">
      <c r="A15" s="327"/>
      <c r="B15" s="327"/>
      <c r="C15" s="327"/>
      <c r="D15" s="327"/>
      <c r="E15" s="38" t="s">
        <v>269</v>
      </c>
      <c r="F15" s="159"/>
      <c r="G15" s="45"/>
      <c r="H15" s="45"/>
      <c r="I15" s="33"/>
      <c r="J15" s="33">
        <v>1</v>
      </c>
      <c r="K15" s="37">
        <f t="shared" si="0"/>
        <v>1</v>
      </c>
    </row>
    <row r="16" spans="1:11" x14ac:dyDescent="0.3">
      <c r="A16" s="327"/>
      <c r="B16" s="327"/>
      <c r="C16" s="327"/>
      <c r="D16" s="327"/>
      <c r="E16" s="38" t="s">
        <v>270</v>
      </c>
      <c r="F16" s="159"/>
      <c r="G16" s="45"/>
      <c r="H16" s="45"/>
      <c r="I16" s="33"/>
      <c r="J16" s="33">
        <v>1</v>
      </c>
      <c r="K16" s="37">
        <f t="shared" si="0"/>
        <v>1</v>
      </c>
    </row>
    <row r="17" spans="1:11" x14ac:dyDescent="0.3">
      <c r="A17" s="327"/>
      <c r="B17" s="327"/>
      <c r="C17" s="327"/>
      <c r="D17" s="327"/>
      <c r="E17" s="38" t="s">
        <v>271</v>
      </c>
      <c r="F17" s="159"/>
      <c r="G17" s="45"/>
      <c r="H17" s="45"/>
      <c r="I17" s="33"/>
      <c r="J17" s="33">
        <v>2</v>
      </c>
      <c r="K17" s="37">
        <f t="shared" si="0"/>
        <v>2</v>
      </c>
    </row>
    <row r="18" spans="1:11" x14ac:dyDescent="0.3">
      <c r="A18" s="327"/>
      <c r="B18" s="327"/>
      <c r="C18" s="327"/>
      <c r="D18" s="327"/>
      <c r="E18" s="38"/>
      <c r="F18" s="159"/>
      <c r="G18" s="45"/>
      <c r="H18" s="45"/>
      <c r="I18" s="33"/>
      <c r="J18" s="33"/>
      <c r="K18" s="37"/>
    </row>
    <row r="19" spans="1:11" x14ac:dyDescent="0.3">
      <c r="A19" s="327"/>
      <c r="B19" s="327"/>
      <c r="C19" s="327"/>
      <c r="D19" s="327"/>
      <c r="E19" s="38" t="s">
        <v>318</v>
      </c>
      <c r="F19" s="159"/>
      <c r="G19" s="45"/>
      <c r="H19" s="45"/>
      <c r="I19" s="33"/>
      <c r="J19" s="33">
        <v>1</v>
      </c>
      <c r="K19" s="37">
        <f t="shared" si="0"/>
        <v>1</v>
      </c>
    </row>
    <row r="20" spans="1:11" x14ac:dyDescent="0.3">
      <c r="A20" s="327"/>
      <c r="B20" s="327"/>
      <c r="C20" s="327"/>
      <c r="D20" s="327"/>
      <c r="E20" s="38" t="s">
        <v>319</v>
      </c>
      <c r="F20" s="159"/>
      <c r="G20" s="45"/>
      <c r="H20" s="45"/>
      <c r="I20" s="33"/>
      <c r="J20" s="33">
        <v>1</v>
      </c>
      <c r="K20" s="37">
        <f t="shared" si="0"/>
        <v>1</v>
      </c>
    </row>
    <row r="21" spans="1:11" x14ac:dyDescent="0.3">
      <c r="A21" s="327"/>
      <c r="B21" s="327"/>
      <c r="C21" s="327"/>
      <c r="D21" s="327"/>
      <c r="E21" s="38" t="s">
        <v>320</v>
      </c>
      <c r="F21" s="159"/>
      <c r="G21" s="45"/>
      <c r="I21" s="33"/>
      <c r="J21" s="33">
        <v>1</v>
      </c>
      <c r="K21" s="37">
        <f t="shared" si="0"/>
        <v>1</v>
      </c>
    </row>
    <row r="22" spans="1:11" x14ac:dyDescent="0.3">
      <c r="A22" s="327"/>
      <c r="B22" s="327"/>
      <c r="C22" s="327"/>
      <c r="D22" s="327"/>
      <c r="E22" s="38"/>
      <c r="F22" s="159"/>
      <c r="G22" s="45"/>
      <c r="H22" s="45"/>
      <c r="I22" s="33"/>
      <c r="J22" s="33"/>
      <c r="K22" s="37"/>
    </row>
    <row r="23" spans="1:11" x14ac:dyDescent="0.3">
      <c r="A23" s="327"/>
      <c r="B23" s="327"/>
      <c r="C23" s="327"/>
      <c r="D23" s="327"/>
      <c r="E23" s="38"/>
      <c r="F23" s="159"/>
      <c r="G23" s="45"/>
      <c r="H23" s="45"/>
      <c r="I23" s="33"/>
      <c r="J23" s="3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1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1" x14ac:dyDescent="0.3">
      <c r="A34" s="327"/>
      <c r="B34" s="327"/>
      <c r="C34" s="327"/>
      <c r="D34" s="327"/>
      <c r="E34" s="38"/>
      <c r="F34" s="159"/>
      <c r="G34" s="45"/>
      <c r="H34" s="45"/>
      <c r="I34" s="32"/>
      <c r="J34" s="33"/>
      <c r="K34" s="37"/>
    </row>
    <row r="35" spans="1:11" x14ac:dyDescent="0.3">
      <c r="A35" s="327"/>
      <c r="B35" s="327"/>
      <c r="C35" s="327"/>
      <c r="D35" s="327"/>
      <c r="E35" s="38"/>
      <c r="F35" s="159"/>
      <c r="G35" s="45"/>
      <c r="H35" s="45"/>
      <c r="I35" s="32"/>
      <c r="J35" s="33"/>
      <c r="K35" s="37"/>
    </row>
    <row r="36" spans="1:11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1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1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1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1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1" x14ac:dyDescent="0.3">
      <c r="A41" s="327"/>
      <c r="B41" s="327"/>
      <c r="C41" s="327"/>
      <c r="D41" s="327"/>
      <c r="E41" s="38"/>
      <c r="F41" s="33"/>
      <c r="G41" s="33"/>
      <c r="H41" s="33"/>
      <c r="I41" s="32"/>
      <c r="J41" s="32"/>
      <c r="K41" s="39"/>
    </row>
    <row r="42" spans="1:11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1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1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1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1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164">
        <f>SUM(K11:K45)</f>
        <v>11</v>
      </c>
    </row>
    <row r="47" spans="1:11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1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A48:B53"/>
    <mergeCell ref="C48:D53"/>
    <mergeCell ref="E48:G53"/>
    <mergeCell ref="H48:K53"/>
    <mergeCell ref="A54:K54"/>
  </mergeCells>
  <pageMargins left="0.7" right="0.7" top="0.75" bottom="0.75" header="0.3" footer="0.3"/>
  <pageSetup paperSize="9" scale="50" orientation="landscape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D9D61-4532-42DE-A199-DF884A034B66}">
  <sheetPr>
    <tabColor rgb="FFFFFF00"/>
  </sheetPr>
  <dimension ref="A1:K55"/>
  <sheetViews>
    <sheetView topLeftCell="A4" zoomScale="98" zoomScaleNormal="98" workbookViewId="0">
      <selection activeCell="F23" sqref="F23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4.5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s">
        <v>69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(UND)</v>
      </c>
      <c r="J9" s="326" t="s">
        <v>44</v>
      </c>
      <c r="K9" s="326" t="str">
        <f>+CONCATENATE("(k) MEDIDA TOTAL"," ","(",K7,")")</f>
        <v>(k) MEDIDA TOTAL (UND)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272</v>
      </c>
      <c r="F12" s="43"/>
      <c r="G12" s="43"/>
      <c r="H12" s="43"/>
      <c r="I12" s="33"/>
      <c r="J12" s="33">
        <v>1</v>
      </c>
      <c r="K12" s="37">
        <f>J12</f>
        <v>1</v>
      </c>
    </row>
    <row r="13" spans="1:11" x14ac:dyDescent="0.3">
      <c r="A13" s="327"/>
      <c r="B13" s="327"/>
      <c r="C13" s="327"/>
      <c r="D13" s="327"/>
      <c r="E13" s="38" t="s">
        <v>273</v>
      </c>
      <c r="F13" s="43"/>
      <c r="G13" s="43"/>
      <c r="H13" s="43"/>
      <c r="I13" s="33"/>
      <c r="J13" s="33">
        <v>1</v>
      </c>
      <c r="K13" s="37">
        <f t="shared" ref="K13:K14" si="0">J13</f>
        <v>1</v>
      </c>
    </row>
    <row r="14" spans="1:11" x14ac:dyDescent="0.3">
      <c r="A14" s="327"/>
      <c r="B14" s="327"/>
      <c r="C14" s="327"/>
      <c r="D14" s="327"/>
      <c r="E14" s="38" t="s">
        <v>274</v>
      </c>
      <c r="F14" s="160"/>
      <c r="G14" s="43"/>
      <c r="H14" s="43"/>
      <c r="I14" s="33"/>
      <c r="J14" s="33">
        <v>1</v>
      </c>
      <c r="K14" s="37">
        <f t="shared" si="0"/>
        <v>1</v>
      </c>
    </row>
    <row r="15" spans="1:11" x14ac:dyDescent="0.3">
      <c r="A15" s="327"/>
      <c r="B15" s="327"/>
      <c r="C15" s="327"/>
      <c r="D15" s="327"/>
      <c r="E15" s="38"/>
      <c r="F15" s="159"/>
      <c r="G15" s="45"/>
      <c r="H15" s="45"/>
      <c r="I15" s="33"/>
      <c r="J15" s="33"/>
      <c r="K15" s="37"/>
    </row>
    <row r="16" spans="1:11" x14ac:dyDescent="0.3">
      <c r="A16" s="327"/>
      <c r="B16" s="327"/>
      <c r="C16" s="327"/>
      <c r="D16" s="327"/>
      <c r="E16" s="38"/>
      <c r="F16" s="159"/>
      <c r="G16" s="45"/>
      <c r="H16" s="45"/>
      <c r="I16" s="33"/>
      <c r="J16" s="33"/>
      <c r="K16" s="37"/>
    </row>
    <row r="17" spans="1:11" x14ac:dyDescent="0.3">
      <c r="A17" s="327"/>
      <c r="B17" s="327"/>
      <c r="C17" s="327"/>
      <c r="D17" s="327"/>
      <c r="E17" s="38"/>
      <c r="F17" s="159"/>
      <c r="G17" s="45"/>
      <c r="H17" s="45"/>
      <c r="I17" s="33"/>
      <c r="J17" s="33"/>
      <c r="K17" s="37"/>
    </row>
    <row r="18" spans="1:11" x14ac:dyDescent="0.3">
      <c r="A18" s="327"/>
      <c r="B18" s="327"/>
      <c r="C18" s="327"/>
      <c r="D18" s="327"/>
      <c r="E18" s="38"/>
      <c r="F18" s="159"/>
      <c r="G18" s="45"/>
      <c r="H18" s="45"/>
      <c r="I18" s="33"/>
      <c r="J18" s="33"/>
      <c r="K18" s="37"/>
    </row>
    <row r="19" spans="1:11" x14ac:dyDescent="0.3">
      <c r="A19" s="327"/>
      <c r="B19" s="327"/>
      <c r="C19" s="327"/>
      <c r="D19" s="327"/>
      <c r="E19" s="38"/>
      <c r="F19" s="159"/>
      <c r="G19" s="45"/>
      <c r="H19" s="45"/>
      <c r="I19" s="33"/>
      <c r="J19" s="33"/>
      <c r="K19" s="37"/>
    </row>
    <row r="20" spans="1:11" x14ac:dyDescent="0.3">
      <c r="A20" s="327"/>
      <c r="B20" s="327"/>
      <c r="C20" s="327"/>
      <c r="D20" s="327"/>
      <c r="E20" s="38"/>
      <c r="F20" s="159"/>
      <c r="G20" s="45"/>
      <c r="H20" s="45"/>
      <c r="I20" s="33"/>
      <c r="J20" s="33"/>
      <c r="K20" s="37"/>
    </row>
    <row r="21" spans="1:11" x14ac:dyDescent="0.3">
      <c r="A21" s="327"/>
      <c r="B21" s="327"/>
      <c r="C21" s="327"/>
      <c r="D21" s="327"/>
      <c r="E21" s="38"/>
      <c r="F21" s="159"/>
      <c r="G21" s="45"/>
      <c r="I21" s="33"/>
      <c r="J21" s="33"/>
      <c r="K21" s="37"/>
    </row>
    <row r="22" spans="1:11" x14ac:dyDescent="0.3">
      <c r="A22" s="327"/>
      <c r="B22" s="327"/>
      <c r="C22" s="327"/>
      <c r="D22" s="327"/>
      <c r="E22" s="38"/>
      <c r="F22" s="159"/>
      <c r="G22" s="45"/>
      <c r="H22" s="45"/>
      <c r="I22" s="33"/>
      <c r="J22" s="33"/>
      <c r="K22" s="37"/>
    </row>
    <row r="23" spans="1:11" x14ac:dyDescent="0.3">
      <c r="A23" s="327"/>
      <c r="B23" s="327"/>
      <c r="C23" s="327"/>
      <c r="D23" s="327"/>
      <c r="E23" s="38"/>
      <c r="F23" s="159"/>
      <c r="G23" s="45"/>
      <c r="H23" s="45"/>
      <c r="I23" s="33"/>
      <c r="J23" s="3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1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1" x14ac:dyDescent="0.3">
      <c r="A34" s="327"/>
      <c r="B34" s="327"/>
      <c r="C34" s="327"/>
      <c r="D34" s="327"/>
      <c r="E34" s="38"/>
      <c r="F34" s="159"/>
      <c r="G34" s="45"/>
      <c r="H34" s="45"/>
      <c r="I34" s="32"/>
      <c r="J34" s="33"/>
      <c r="K34" s="37"/>
    </row>
    <row r="35" spans="1:11" x14ac:dyDescent="0.3">
      <c r="A35" s="327"/>
      <c r="B35" s="327"/>
      <c r="C35" s="327"/>
      <c r="D35" s="327"/>
      <c r="E35" s="38"/>
      <c r="F35" s="159"/>
      <c r="G35" s="45"/>
      <c r="H35" s="45"/>
      <c r="I35" s="32"/>
      <c r="J35" s="33"/>
      <c r="K35" s="37"/>
    </row>
    <row r="36" spans="1:11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1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1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1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1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1" x14ac:dyDescent="0.3">
      <c r="A41" s="327"/>
      <c r="B41" s="327"/>
      <c r="C41" s="327"/>
      <c r="D41" s="327"/>
      <c r="E41" s="38"/>
      <c r="F41" s="33"/>
      <c r="G41" s="33"/>
      <c r="H41" s="33"/>
      <c r="I41" s="32"/>
      <c r="J41" s="32"/>
      <c r="K41" s="39"/>
    </row>
    <row r="42" spans="1:11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1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1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1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1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164">
        <f>SUM(K11:K45)</f>
        <v>3</v>
      </c>
    </row>
    <row r="47" spans="1:11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1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A48:B53"/>
    <mergeCell ref="C48:D53"/>
    <mergeCell ref="E48:G53"/>
    <mergeCell ref="H48:K53"/>
    <mergeCell ref="A54:K54"/>
  </mergeCells>
  <pageMargins left="0.7" right="0.7" top="0.75" bottom="0.75" header="0.3" footer="0.3"/>
  <pageSetup paperSize="9" scale="50"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7E642-9F3F-4FA6-A3B1-68AA5C221220}">
  <sheetPr>
    <tabColor rgb="FFFFFF00"/>
  </sheetPr>
  <dimension ref="A1:K55"/>
  <sheetViews>
    <sheetView topLeftCell="A6" zoomScale="98" zoomScaleNormal="98" workbookViewId="0">
      <selection activeCell="E25" sqref="E25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4.5999999999999996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s">
        <v>69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(UND)</v>
      </c>
      <c r="J9" s="326" t="s">
        <v>44</v>
      </c>
      <c r="K9" s="326" t="str">
        <f>+CONCATENATE("(k) MEDIDA TOTAL"," ","(",K7,")")</f>
        <v>(k) MEDIDA TOTAL (UND)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272</v>
      </c>
      <c r="F12" s="43"/>
      <c r="G12" s="43"/>
      <c r="H12" s="43"/>
      <c r="I12" s="33"/>
      <c r="J12" s="33">
        <v>1</v>
      </c>
      <c r="K12" s="37">
        <f>J12</f>
        <v>1</v>
      </c>
    </row>
    <row r="13" spans="1:11" x14ac:dyDescent="0.3">
      <c r="A13" s="327"/>
      <c r="B13" s="327"/>
      <c r="C13" s="327"/>
      <c r="D13" s="327"/>
      <c r="E13" s="38" t="s">
        <v>273</v>
      </c>
      <c r="F13" s="43"/>
      <c r="G13" s="43"/>
      <c r="H13" s="43"/>
      <c r="I13" s="33"/>
      <c r="J13" s="33">
        <v>1</v>
      </c>
      <c r="K13" s="37">
        <f t="shared" ref="K13:K15" si="0">J13</f>
        <v>1</v>
      </c>
    </row>
    <row r="14" spans="1:11" x14ac:dyDescent="0.3">
      <c r="A14" s="327"/>
      <c r="B14" s="327"/>
      <c r="C14" s="327"/>
      <c r="D14" s="327"/>
      <c r="E14" s="38" t="s">
        <v>274</v>
      </c>
      <c r="F14" s="160"/>
      <c r="G14" s="43"/>
      <c r="H14" s="43"/>
      <c r="I14" s="33"/>
      <c r="J14" s="33">
        <v>1</v>
      </c>
      <c r="K14" s="37">
        <f t="shared" si="0"/>
        <v>1</v>
      </c>
    </row>
    <row r="15" spans="1:11" x14ac:dyDescent="0.3">
      <c r="A15" s="327"/>
      <c r="B15" s="327"/>
      <c r="C15" s="327"/>
      <c r="D15" s="327"/>
      <c r="E15" s="38" t="s">
        <v>275</v>
      </c>
      <c r="F15" s="159"/>
      <c r="G15" s="45"/>
      <c r="H15" s="45"/>
      <c r="I15" s="33"/>
      <c r="J15" s="33">
        <v>2</v>
      </c>
      <c r="K15" s="37">
        <f t="shared" si="0"/>
        <v>2</v>
      </c>
    </row>
    <row r="16" spans="1:11" x14ac:dyDescent="0.3">
      <c r="A16" s="327"/>
      <c r="B16" s="327"/>
      <c r="C16" s="327"/>
      <c r="D16" s="327"/>
      <c r="E16" s="38"/>
      <c r="F16" s="159"/>
      <c r="G16" s="45"/>
      <c r="H16" s="45"/>
      <c r="I16" s="33"/>
      <c r="J16" s="33"/>
      <c r="K16" s="37"/>
    </row>
    <row r="17" spans="1:11" x14ac:dyDescent="0.3">
      <c r="A17" s="327"/>
      <c r="B17" s="327"/>
      <c r="C17" s="327"/>
      <c r="D17" s="327"/>
      <c r="E17" s="38"/>
      <c r="F17" s="159"/>
      <c r="G17" s="45"/>
      <c r="H17" s="45"/>
      <c r="I17" s="33"/>
      <c r="J17" s="33"/>
      <c r="K17" s="37"/>
    </row>
    <row r="18" spans="1:11" x14ac:dyDescent="0.3">
      <c r="A18" s="327"/>
      <c r="B18" s="327"/>
      <c r="C18" s="327"/>
      <c r="D18" s="327"/>
      <c r="E18" s="38"/>
      <c r="F18" s="159"/>
      <c r="G18" s="45"/>
      <c r="H18" s="45"/>
      <c r="I18" s="33"/>
      <c r="J18" s="33"/>
      <c r="K18" s="37"/>
    </row>
    <row r="19" spans="1:11" x14ac:dyDescent="0.3">
      <c r="A19" s="327"/>
      <c r="B19" s="327"/>
      <c r="C19" s="327"/>
      <c r="D19" s="327"/>
      <c r="E19" s="38"/>
      <c r="F19" s="159"/>
      <c r="G19" s="45"/>
      <c r="H19" s="45"/>
      <c r="I19" s="33"/>
      <c r="J19" s="33"/>
      <c r="K19" s="37"/>
    </row>
    <row r="20" spans="1:11" x14ac:dyDescent="0.3">
      <c r="A20" s="327"/>
      <c r="B20" s="327"/>
      <c r="C20" s="327"/>
      <c r="D20" s="327"/>
      <c r="E20" s="38"/>
      <c r="F20" s="159"/>
      <c r="G20" s="45"/>
      <c r="H20" s="45"/>
      <c r="I20" s="33"/>
      <c r="J20" s="33"/>
      <c r="K20" s="37"/>
    </row>
    <row r="21" spans="1:11" x14ac:dyDescent="0.3">
      <c r="A21" s="327"/>
      <c r="B21" s="327"/>
      <c r="C21" s="327"/>
      <c r="D21" s="327"/>
      <c r="E21" s="38"/>
      <c r="F21" s="159"/>
      <c r="G21" s="45"/>
      <c r="I21" s="33"/>
      <c r="J21" s="33"/>
      <c r="K21" s="37"/>
    </row>
    <row r="22" spans="1:11" x14ac:dyDescent="0.3">
      <c r="A22" s="327"/>
      <c r="B22" s="327"/>
      <c r="C22" s="327"/>
      <c r="D22" s="327"/>
      <c r="E22" s="38"/>
      <c r="F22" s="159"/>
      <c r="G22" s="45"/>
      <c r="H22" s="45"/>
      <c r="I22" s="33"/>
      <c r="J22" s="33"/>
      <c r="K22" s="37"/>
    </row>
    <row r="23" spans="1:11" x14ac:dyDescent="0.3">
      <c r="A23" s="327"/>
      <c r="B23" s="327"/>
      <c r="C23" s="327"/>
      <c r="D23" s="327"/>
      <c r="E23" s="38"/>
      <c r="F23" s="159"/>
      <c r="G23" s="45"/>
      <c r="H23" s="45"/>
      <c r="I23" s="33"/>
      <c r="J23" s="3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1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1" x14ac:dyDescent="0.3">
      <c r="A34" s="327"/>
      <c r="B34" s="327"/>
      <c r="C34" s="327"/>
      <c r="D34" s="327"/>
      <c r="E34" s="38"/>
      <c r="F34" s="159"/>
      <c r="G34" s="45"/>
      <c r="H34" s="45"/>
      <c r="I34" s="32"/>
      <c r="J34" s="33"/>
      <c r="K34" s="37"/>
    </row>
    <row r="35" spans="1:11" x14ac:dyDescent="0.3">
      <c r="A35" s="327"/>
      <c r="B35" s="327"/>
      <c r="C35" s="327"/>
      <c r="D35" s="327"/>
      <c r="E35" s="38"/>
      <c r="F35" s="159"/>
      <c r="G35" s="45"/>
      <c r="H35" s="45"/>
      <c r="I35" s="32"/>
      <c r="J35" s="33"/>
      <c r="K35" s="37"/>
    </row>
    <row r="36" spans="1:11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1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1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1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1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1" x14ac:dyDescent="0.3">
      <c r="A41" s="327"/>
      <c r="B41" s="327"/>
      <c r="C41" s="327"/>
      <c r="D41" s="327"/>
      <c r="E41" s="38"/>
      <c r="F41" s="33"/>
      <c r="G41" s="33"/>
      <c r="H41" s="33"/>
      <c r="I41" s="32"/>
      <c r="J41" s="32"/>
      <c r="K41" s="39"/>
    </row>
    <row r="42" spans="1:11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1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1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1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1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164">
        <f>SUM(K11:K45)</f>
        <v>5</v>
      </c>
    </row>
    <row r="47" spans="1:11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1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A48:B53"/>
    <mergeCell ref="C48:D53"/>
    <mergeCell ref="E48:G53"/>
    <mergeCell ref="H48:K53"/>
    <mergeCell ref="A54:K54"/>
  </mergeCells>
  <pageMargins left="0.7" right="0.7" top="0.75" bottom="0.75" header="0.3" footer="0.3"/>
  <pageSetup paperSize="9" scale="50" orientation="landscape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48179-3769-4A27-8910-27FFAEAFBBC4}">
  <sheetPr>
    <tabColor rgb="FFFFFF00"/>
  </sheetPr>
  <dimension ref="A1:K58"/>
  <sheetViews>
    <sheetView zoomScale="98" zoomScaleNormal="98" workbookViewId="0">
      <selection activeCell="F24" sqref="F24:F25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4.7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s">
        <v>32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(M3)</v>
      </c>
      <c r="J9" s="326" t="s">
        <v>44</v>
      </c>
      <c r="K9" s="326" t="str">
        <f>+CONCATENATE("(k) MEDIDA TOTAL"," ","(",K7,")")</f>
        <v>(k) MEDIDA TOTAL (M3)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1" x14ac:dyDescent="0.3">
      <c r="A12" s="327"/>
      <c r="B12" s="327"/>
      <c r="C12" s="327"/>
      <c r="D12" s="327"/>
      <c r="E12" s="186" t="s">
        <v>324</v>
      </c>
      <c r="F12" s="43"/>
      <c r="G12" s="43"/>
      <c r="H12" s="43"/>
      <c r="I12" s="33"/>
      <c r="J12" s="33"/>
      <c r="K12" s="37">
        <f>J12</f>
        <v>0</v>
      </c>
    </row>
    <row r="13" spans="1:11" x14ac:dyDescent="0.3">
      <c r="A13" s="327"/>
      <c r="B13" s="327"/>
      <c r="C13" s="327"/>
      <c r="D13" s="327"/>
      <c r="E13" s="38" t="s">
        <v>304</v>
      </c>
      <c r="F13" s="43">
        <v>1.5</v>
      </c>
      <c r="G13" s="43">
        <v>3.9</v>
      </c>
      <c r="H13" s="43">
        <v>0.15</v>
      </c>
      <c r="I13" s="33">
        <f>((F13*H13))*G13</f>
        <v>0.87749999999999995</v>
      </c>
      <c r="J13" s="33">
        <v>1</v>
      </c>
      <c r="K13" s="37">
        <f>I13*J13</f>
        <v>0.87749999999999995</v>
      </c>
    </row>
    <row r="14" spans="1:11" x14ac:dyDescent="0.3">
      <c r="A14" s="327"/>
      <c r="B14" s="327"/>
      <c r="C14" s="327"/>
      <c r="D14" s="327"/>
      <c r="E14" s="38" t="s">
        <v>323</v>
      </c>
      <c r="F14" s="43">
        <v>0.3</v>
      </c>
      <c r="G14" s="43">
        <v>3.9</v>
      </c>
      <c r="H14" s="43">
        <v>0.17</v>
      </c>
      <c r="I14" s="33">
        <f>((F14*H14)/2)*G14</f>
        <v>9.9450000000000011E-2</v>
      </c>
      <c r="J14" s="33">
        <v>17</v>
      </c>
      <c r="K14" s="37">
        <f>I14*J14</f>
        <v>1.6906500000000002</v>
      </c>
    </row>
    <row r="15" spans="1:11" x14ac:dyDescent="0.3">
      <c r="A15" s="327"/>
      <c r="B15" s="327"/>
      <c r="C15" s="327"/>
      <c r="D15" s="327"/>
      <c r="E15" s="38" t="s">
        <v>326</v>
      </c>
      <c r="F15" s="43">
        <v>3.9</v>
      </c>
      <c r="G15" s="43">
        <v>6</v>
      </c>
      <c r="H15" s="43">
        <v>0.15</v>
      </c>
      <c r="I15" s="33">
        <f>F15*G15*H15</f>
        <v>3.51</v>
      </c>
      <c r="J15" s="33">
        <v>1</v>
      </c>
      <c r="K15" s="37">
        <f t="shared" ref="K15:K21" si="0">I15*J15</f>
        <v>3.51</v>
      </c>
    </row>
    <row r="16" spans="1:11" x14ac:dyDescent="0.3">
      <c r="A16" s="327"/>
      <c r="B16" s="327"/>
      <c r="C16" s="327"/>
      <c r="D16" s="327"/>
      <c r="E16" s="38" t="s">
        <v>303</v>
      </c>
      <c r="F16" s="43">
        <v>3.9</v>
      </c>
      <c r="G16" s="43">
        <v>1.2</v>
      </c>
      <c r="H16" s="43">
        <v>0.15</v>
      </c>
      <c r="I16" s="43">
        <f>F16*G16*H16</f>
        <v>0.70199999999999996</v>
      </c>
      <c r="J16" s="33">
        <v>1</v>
      </c>
      <c r="K16" s="37">
        <f t="shared" si="0"/>
        <v>0.70199999999999996</v>
      </c>
    </row>
    <row r="17" spans="1:11" x14ac:dyDescent="0.3">
      <c r="A17" s="327"/>
      <c r="B17" s="327"/>
      <c r="C17" s="327"/>
      <c r="D17" s="327"/>
      <c r="E17" s="38" t="s">
        <v>283</v>
      </c>
      <c r="F17" s="43">
        <v>0.3</v>
      </c>
      <c r="G17" s="43">
        <v>3.9</v>
      </c>
      <c r="H17" s="43">
        <v>0.4</v>
      </c>
      <c r="I17" s="33">
        <f>F17*G17*H17</f>
        <v>0.46799999999999997</v>
      </c>
      <c r="J17" s="33">
        <v>3</v>
      </c>
      <c r="K17" s="37">
        <f t="shared" ref="K17" si="1">I17*J17</f>
        <v>1.4039999999999999</v>
      </c>
    </row>
    <row r="18" spans="1:11" x14ac:dyDescent="0.3">
      <c r="A18" s="327"/>
      <c r="B18" s="327"/>
      <c r="C18" s="327"/>
      <c r="D18" s="327"/>
      <c r="E18" s="186" t="s">
        <v>325</v>
      </c>
      <c r="F18" s="43"/>
      <c r="G18" s="43"/>
      <c r="H18" s="43"/>
      <c r="I18" s="43"/>
      <c r="J18" s="33"/>
      <c r="K18" s="37"/>
    </row>
    <row r="19" spans="1:11" x14ac:dyDescent="0.3">
      <c r="A19" s="327"/>
      <c r="B19" s="327"/>
      <c r="C19" s="327"/>
      <c r="D19" s="327"/>
      <c r="E19" s="38" t="s">
        <v>323</v>
      </c>
      <c r="F19" s="43">
        <v>0.3</v>
      </c>
      <c r="G19" s="43">
        <v>1.6</v>
      </c>
      <c r="H19" s="43">
        <v>0.17</v>
      </c>
      <c r="I19" s="33">
        <f>((F19*H19)/2)*G19</f>
        <v>4.0800000000000003E-2</v>
      </c>
      <c r="J19" s="33">
        <v>10</v>
      </c>
      <c r="K19" s="37">
        <f>I19*J19</f>
        <v>0.40800000000000003</v>
      </c>
    </row>
    <row r="20" spans="1:11" x14ac:dyDescent="0.3">
      <c r="A20" s="327"/>
      <c r="B20" s="327"/>
      <c r="C20" s="327"/>
      <c r="D20" s="327"/>
      <c r="E20" s="38" t="s">
        <v>326</v>
      </c>
      <c r="F20" s="43">
        <v>1.6</v>
      </c>
      <c r="G20" s="43">
        <v>3.5</v>
      </c>
      <c r="H20" s="43">
        <v>0.15</v>
      </c>
      <c r="I20" s="33">
        <f>F20*G20*H20</f>
        <v>0.84000000000000008</v>
      </c>
      <c r="J20" s="33">
        <v>1</v>
      </c>
      <c r="K20" s="37">
        <f t="shared" ref="K20" si="2">I20*J20</f>
        <v>0.84000000000000008</v>
      </c>
    </row>
    <row r="21" spans="1:11" x14ac:dyDescent="0.3">
      <c r="A21" s="327"/>
      <c r="B21" s="327"/>
      <c r="C21" s="327"/>
      <c r="D21" s="327"/>
      <c r="E21" s="38" t="s">
        <v>283</v>
      </c>
      <c r="F21" s="43">
        <v>0.3</v>
      </c>
      <c r="G21" s="43">
        <v>1.6</v>
      </c>
      <c r="H21" s="43">
        <v>0.4</v>
      </c>
      <c r="I21" s="33">
        <f>F21*G21*H21</f>
        <v>0.192</v>
      </c>
      <c r="J21" s="33">
        <v>2</v>
      </c>
      <c r="K21" s="37">
        <f t="shared" si="0"/>
        <v>0.38400000000000001</v>
      </c>
    </row>
    <row r="22" spans="1:11" x14ac:dyDescent="0.3">
      <c r="A22" s="327"/>
      <c r="B22" s="327"/>
      <c r="C22" s="327"/>
      <c r="D22" s="327"/>
      <c r="E22" s="38"/>
      <c r="F22" s="43"/>
      <c r="G22" s="43"/>
      <c r="H22" s="43"/>
      <c r="I22" s="43"/>
      <c r="J22" s="43"/>
      <c r="K22" s="37"/>
    </row>
    <row r="23" spans="1:11" x14ac:dyDescent="0.3">
      <c r="A23" s="327"/>
      <c r="B23" s="327"/>
      <c r="C23" s="327"/>
      <c r="D23" s="327"/>
      <c r="E23" s="38"/>
      <c r="F23" s="43"/>
      <c r="G23" s="43"/>
      <c r="H23" s="43"/>
      <c r="I23" s="43"/>
      <c r="J23" s="43"/>
      <c r="K23" s="37"/>
    </row>
    <row r="24" spans="1:11" x14ac:dyDescent="0.3">
      <c r="A24" s="327"/>
      <c r="B24" s="327"/>
      <c r="C24" s="327"/>
      <c r="D24" s="327"/>
      <c r="E24" s="38"/>
      <c r="F24" s="43"/>
      <c r="G24" s="43"/>
      <c r="H24" s="43"/>
      <c r="I24" s="43"/>
      <c r="J24" s="43"/>
      <c r="K24" s="37"/>
    </row>
    <row r="25" spans="1:11" x14ac:dyDescent="0.3">
      <c r="A25" s="327"/>
      <c r="B25" s="327"/>
      <c r="C25" s="327"/>
      <c r="D25" s="327"/>
      <c r="E25" s="38"/>
      <c r="F25" s="43"/>
      <c r="G25" s="43"/>
      <c r="H25" s="43"/>
      <c r="I25" s="43"/>
      <c r="J25" s="43"/>
      <c r="K25" s="37"/>
    </row>
    <row r="26" spans="1:11" x14ac:dyDescent="0.3">
      <c r="A26" s="327"/>
      <c r="B26" s="327"/>
      <c r="C26" s="327"/>
      <c r="D26" s="327"/>
      <c r="E26" s="38"/>
      <c r="F26" s="43"/>
      <c r="G26" s="43"/>
      <c r="H26" s="43"/>
      <c r="I26" s="43"/>
      <c r="J26" s="4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1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1" x14ac:dyDescent="0.3">
      <c r="A34" s="327"/>
      <c r="B34" s="327"/>
      <c r="C34" s="327"/>
      <c r="D34" s="327"/>
      <c r="E34" s="38"/>
      <c r="F34" s="159"/>
      <c r="G34" s="45"/>
      <c r="H34" s="45"/>
      <c r="I34" s="33"/>
      <c r="J34" s="33"/>
      <c r="K34" s="37"/>
    </row>
    <row r="35" spans="1:11" x14ac:dyDescent="0.3">
      <c r="A35" s="327"/>
      <c r="B35" s="327"/>
      <c r="C35" s="327"/>
      <c r="D35" s="327"/>
      <c r="E35" s="38"/>
      <c r="F35" s="159"/>
      <c r="G35" s="45"/>
      <c r="H35" s="45"/>
      <c r="I35" s="33"/>
      <c r="J35" s="33"/>
      <c r="K35" s="37"/>
    </row>
    <row r="36" spans="1:11" x14ac:dyDescent="0.3">
      <c r="A36" s="327"/>
      <c r="B36" s="327"/>
      <c r="C36" s="327"/>
      <c r="D36" s="327"/>
      <c r="E36" s="38"/>
      <c r="F36" s="159"/>
      <c r="G36" s="45"/>
      <c r="H36" s="45"/>
      <c r="I36" s="33"/>
      <c r="J36" s="33"/>
      <c r="K36" s="37"/>
    </row>
    <row r="37" spans="1:11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1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1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1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1" x14ac:dyDescent="0.3">
      <c r="A41" s="327"/>
      <c r="B41" s="327"/>
      <c r="C41" s="327"/>
      <c r="D41" s="327"/>
      <c r="E41" s="38"/>
      <c r="F41" s="159"/>
      <c r="G41" s="45"/>
      <c r="H41" s="45"/>
      <c r="I41" s="32"/>
      <c r="J41" s="33"/>
      <c r="K41" s="37"/>
    </row>
    <row r="42" spans="1:11" x14ac:dyDescent="0.3">
      <c r="A42" s="327"/>
      <c r="B42" s="327"/>
      <c r="C42" s="327"/>
      <c r="D42" s="327"/>
      <c r="E42" s="38"/>
      <c r="F42" s="159"/>
      <c r="G42" s="45"/>
      <c r="H42" s="45"/>
      <c r="I42" s="32"/>
      <c r="J42" s="33"/>
      <c r="K42" s="37"/>
    </row>
    <row r="43" spans="1:11" x14ac:dyDescent="0.3">
      <c r="A43" s="327"/>
      <c r="B43" s="327"/>
      <c r="C43" s="327"/>
      <c r="D43" s="327"/>
      <c r="E43" s="38"/>
      <c r="F43" s="159"/>
      <c r="G43" s="45"/>
      <c r="H43" s="45"/>
      <c r="I43" s="32"/>
      <c r="J43" s="33"/>
      <c r="K43" s="37"/>
    </row>
    <row r="44" spans="1:11" x14ac:dyDescent="0.3">
      <c r="A44" s="327"/>
      <c r="B44" s="327"/>
      <c r="C44" s="327"/>
      <c r="D44" s="327"/>
      <c r="E44" s="38"/>
      <c r="F44" s="33"/>
      <c r="G44" s="33"/>
      <c r="H44" s="33"/>
      <c r="I44" s="32"/>
      <c r="J44" s="32"/>
      <c r="K44" s="39"/>
    </row>
    <row r="45" spans="1:11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2"/>
      <c r="K45" s="39"/>
    </row>
    <row r="46" spans="1:11" x14ac:dyDescent="0.3">
      <c r="A46" s="327"/>
      <c r="B46" s="327"/>
      <c r="C46" s="327"/>
      <c r="D46" s="327"/>
      <c r="E46" s="40"/>
      <c r="F46" s="33"/>
      <c r="G46" s="33"/>
      <c r="H46" s="33"/>
      <c r="I46" s="32"/>
      <c r="J46" s="32"/>
      <c r="K46" s="32"/>
    </row>
    <row r="47" spans="1:11" x14ac:dyDescent="0.3">
      <c r="A47" s="327"/>
      <c r="B47" s="327"/>
      <c r="C47" s="327"/>
      <c r="D47" s="327"/>
      <c r="E47" s="40"/>
      <c r="F47" s="33"/>
      <c r="G47" s="33"/>
      <c r="H47" s="33"/>
      <c r="I47" s="32"/>
      <c r="J47" s="32"/>
      <c r="K47" s="32"/>
    </row>
    <row r="48" spans="1:11" x14ac:dyDescent="0.3">
      <c r="A48" s="327"/>
      <c r="B48" s="327"/>
      <c r="C48" s="327"/>
      <c r="D48" s="327"/>
      <c r="E48" s="38"/>
      <c r="F48" s="33"/>
      <c r="G48" s="33"/>
      <c r="H48" s="33"/>
      <c r="I48" s="32"/>
      <c r="J48" s="33"/>
      <c r="K48" s="41"/>
    </row>
    <row r="49" spans="1:11" x14ac:dyDescent="0.3">
      <c r="A49" s="327"/>
      <c r="B49" s="327"/>
      <c r="C49" s="327"/>
      <c r="D49" s="327"/>
      <c r="E49" s="324" t="s">
        <v>45</v>
      </c>
      <c r="F49" s="324"/>
      <c r="G49" s="324"/>
      <c r="H49" s="324"/>
      <c r="I49" s="324"/>
      <c r="J49" s="324"/>
      <c r="K49" s="164">
        <f>SUM(K11:K48)</f>
        <v>9.8161499999999986</v>
      </c>
    </row>
    <row r="50" spans="1:11" s="31" customFormat="1" hidden="1" x14ac:dyDescent="0.3">
      <c r="A50" s="328" t="s">
        <v>46</v>
      </c>
      <c r="B50" s="328"/>
      <c r="C50" s="328" t="s">
        <v>46</v>
      </c>
      <c r="D50" s="328"/>
      <c r="E50" s="328" t="s">
        <v>47</v>
      </c>
      <c r="F50" s="328"/>
      <c r="G50" s="328"/>
      <c r="H50" s="328" t="s">
        <v>48</v>
      </c>
      <c r="I50" s="328"/>
      <c r="J50" s="328"/>
      <c r="K50" s="328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idden="1" x14ac:dyDescent="0.3">
      <c r="A54" s="330"/>
      <c r="B54" s="330"/>
      <c r="C54" s="330"/>
      <c r="D54" s="330"/>
      <c r="E54" s="330"/>
      <c r="F54" s="330"/>
      <c r="G54" s="330"/>
      <c r="H54" s="330"/>
      <c r="I54" s="330"/>
      <c r="J54" s="330"/>
      <c r="K54" s="330"/>
    </row>
    <row r="55" spans="1:11" s="31" customFormat="1" hidden="1" x14ac:dyDescent="0.3">
      <c r="A55" s="330"/>
      <c r="B55" s="330"/>
      <c r="C55" s="330"/>
      <c r="D55" s="330"/>
      <c r="E55" s="330"/>
      <c r="F55" s="330"/>
      <c r="G55" s="330"/>
      <c r="H55" s="330"/>
      <c r="I55" s="330"/>
      <c r="J55" s="330"/>
      <c r="K55" s="330"/>
    </row>
    <row r="56" spans="1:11" s="31" customFormat="1" hidden="1" x14ac:dyDescent="0.3">
      <c r="A56" s="330"/>
      <c r="B56" s="330"/>
      <c r="C56" s="330"/>
      <c r="D56" s="330"/>
      <c r="E56" s="330"/>
      <c r="F56" s="330"/>
      <c r="G56" s="330"/>
      <c r="H56" s="330"/>
      <c r="I56" s="330"/>
      <c r="J56" s="330"/>
      <c r="K56" s="330"/>
    </row>
    <row r="57" spans="1:11" s="31" customFormat="1" ht="15.75" hidden="1" customHeight="1" thickBot="1" x14ac:dyDescent="0.35">
      <c r="A57" s="331"/>
      <c r="B57" s="332"/>
      <c r="C57" s="332"/>
      <c r="D57" s="332"/>
      <c r="E57" s="332"/>
      <c r="F57" s="332"/>
      <c r="G57" s="332"/>
      <c r="H57" s="332"/>
      <c r="I57" s="332"/>
      <c r="J57" s="332"/>
      <c r="K57" s="333"/>
    </row>
    <row r="58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49"/>
    <mergeCell ref="E49:J49"/>
    <mergeCell ref="A50:B50"/>
    <mergeCell ref="C50:D50"/>
    <mergeCell ref="E50:G50"/>
    <mergeCell ref="H50:K50"/>
    <mergeCell ref="A9:D9"/>
    <mergeCell ref="E9:E10"/>
    <mergeCell ref="F9:H9"/>
    <mergeCell ref="I9:I10"/>
    <mergeCell ref="J9:J10"/>
    <mergeCell ref="A51:B56"/>
    <mergeCell ref="C51:D56"/>
    <mergeCell ref="E51:G56"/>
    <mergeCell ref="H51:K56"/>
    <mergeCell ref="A57:K57"/>
  </mergeCells>
  <pageMargins left="0.7" right="0.7" top="0.75" bottom="0.75" header="0.3" footer="0.3"/>
  <pageSetup paperSize="9" scale="50" orientation="landscape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8C241-2BFD-42E3-AFE0-029EF68DC000}">
  <sheetPr>
    <tabColor rgb="FFFFFF00"/>
  </sheetPr>
  <dimension ref="A1:S48"/>
  <sheetViews>
    <sheetView zoomScale="62" zoomScaleNormal="62" workbookViewId="0">
      <selection activeCell="H53" sqref="H53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23.33203125" style="27" customWidth="1"/>
    <col min="7" max="7" width="19.33203125" style="27" customWidth="1"/>
    <col min="8" max="9" width="19.5546875" style="27" customWidth="1"/>
    <col min="10" max="10" width="20.44140625" style="27" customWidth="1"/>
    <col min="11" max="12" width="15.6640625" style="27" customWidth="1"/>
    <col min="13" max="16384" width="11.44140625" style="27"/>
  </cols>
  <sheetData>
    <row r="1" spans="1:19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161"/>
      <c r="J1" s="320" t="s">
        <v>34</v>
      </c>
      <c r="K1" s="320"/>
      <c r="L1" s="320"/>
      <c r="S1" s="26" t="s">
        <v>348</v>
      </c>
    </row>
    <row r="2" spans="1:19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161"/>
      <c r="J2" s="320" t="s">
        <v>54</v>
      </c>
      <c r="K2" s="320"/>
      <c r="L2" s="320"/>
    </row>
    <row r="3" spans="1:19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  <c r="L3" s="320"/>
    </row>
    <row r="4" spans="1:19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161"/>
      <c r="J4" s="320" t="s">
        <v>38</v>
      </c>
      <c r="K4" s="320"/>
      <c r="L4" s="320"/>
    </row>
    <row r="5" spans="1:19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161"/>
      <c r="J5" s="321"/>
      <c r="K5" s="321"/>
      <c r="L5" s="321"/>
    </row>
    <row r="6" spans="1:19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</row>
    <row r="7" spans="1:19" s="31" customFormat="1" x14ac:dyDescent="0.3">
      <c r="A7" s="35" t="s">
        <v>56</v>
      </c>
      <c r="B7" s="28">
        <v>4.8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23"/>
      <c r="K7" s="30" t="s">
        <v>41</v>
      </c>
      <c r="L7" s="134" t="s">
        <v>282</v>
      </c>
    </row>
    <row r="8" spans="1:19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  <c r="L8" s="324"/>
    </row>
    <row r="9" spans="1:19" ht="14.25" customHeight="1" x14ac:dyDescent="0.3">
      <c r="A9" s="326" t="s">
        <v>58</v>
      </c>
      <c r="B9" s="326"/>
      <c r="C9" s="326"/>
      <c r="D9" s="326"/>
      <c r="E9" s="362" t="s">
        <v>295</v>
      </c>
      <c r="F9" s="363"/>
      <c r="G9" s="366" t="s">
        <v>296</v>
      </c>
      <c r="H9" s="366"/>
      <c r="I9" s="366"/>
      <c r="J9" s="367" t="s">
        <v>297</v>
      </c>
      <c r="K9" s="367" t="s">
        <v>44</v>
      </c>
      <c r="L9" s="360" t="s">
        <v>298</v>
      </c>
    </row>
    <row r="10" spans="1:19" x14ac:dyDescent="0.3">
      <c r="A10" s="327"/>
      <c r="B10" s="327"/>
      <c r="C10" s="327"/>
      <c r="D10" s="327"/>
      <c r="E10" s="364"/>
      <c r="F10" s="365"/>
      <c r="G10" s="169" t="s">
        <v>299</v>
      </c>
      <c r="H10" s="170" t="s">
        <v>300</v>
      </c>
      <c r="I10" s="170" t="s">
        <v>301</v>
      </c>
      <c r="J10" s="367"/>
      <c r="K10" s="367"/>
      <c r="L10" s="360"/>
    </row>
    <row r="11" spans="1:19" x14ac:dyDescent="0.3">
      <c r="A11" s="327"/>
      <c r="B11" s="327"/>
      <c r="C11" s="327"/>
      <c r="D11" s="327"/>
      <c r="E11" s="134"/>
      <c r="F11" s="354" t="s">
        <v>321</v>
      </c>
      <c r="G11" s="355"/>
      <c r="H11" s="355"/>
      <c r="I11" s="355"/>
      <c r="J11" s="355"/>
      <c r="K11" s="355"/>
      <c r="L11" s="356"/>
      <c r="M11" s="27" t="s">
        <v>23</v>
      </c>
      <c r="N11" s="27" t="s">
        <v>305</v>
      </c>
    </row>
    <row r="12" spans="1:19" ht="15" x14ac:dyDescent="0.3">
      <c r="A12" s="327"/>
      <c r="B12" s="327"/>
      <c r="C12" s="327"/>
      <c r="D12" s="327"/>
      <c r="E12" s="361" t="s">
        <v>284</v>
      </c>
      <c r="F12" s="165"/>
      <c r="G12" s="166">
        <v>4</v>
      </c>
      <c r="H12" s="165">
        <v>0.99399999999999999</v>
      </c>
      <c r="I12" s="171">
        <f>0.3+1.17+6.15+0.57+0.7</f>
        <v>8.8899999999999988</v>
      </c>
      <c r="J12" s="167">
        <f t="shared" ref="J12:J19" si="0">ROUND(H12*I12,2)</f>
        <v>8.84</v>
      </c>
      <c r="K12" s="172">
        <v>20</v>
      </c>
      <c r="L12" s="168">
        <f t="shared" ref="L12:L19" si="1">+J12*K12</f>
        <v>176.8</v>
      </c>
    </row>
    <row r="13" spans="1:19" ht="15" x14ac:dyDescent="0.3">
      <c r="A13" s="327"/>
      <c r="B13" s="327"/>
      <c r="C13" s="327"/>
      <c r="D13" s="327"/>
      <c r="E13" s="361"/>
      <c r="F13" s="165"/>
      <c r="G13" s="166">
        <v>4</v>
      </c>
      <c r="H13" s="165">
        <v>0.99399999999999999</v>
      </c>
      <c r="I13" s="171">
        <f>0.45+6.38+0.49+0.7</f>
        <v>8.02</v>
      </c>
      <c r="J13" s="167">
        <f t="shared" ref="J13" si="2">ROUND(H13*I13,2)</f>
        <v>7.97</v>
      </c>
      <c r="K13" s="172">
        <v>20</v>
      </c>
      <c r="L13" s="168">
        <f t="shared" ref="L13" si="3">+J13*K13</f>
        <v>159.4</v>
      </c>
    </row>
    <row r="14" spans="1:19" ht="15" x14ac:dyDescent="0.3">
      <c r="A14" s="327"/>
      <c r="B14" s="327"/>
      <c r="C14" s="327"/>
      <c r="D14" s="327"/>
      <c r="E14" s="361"/>
      <c r="F14" s="165"/>
      <c r="G14" s="166">
        <v>4</v>
      </c>
      <c r="H14" s="165">
        <v>0.99399999999999999</v>
      </c>
      <c r="I14" s="171">
        <f>0.3+1.25+0.45</f>
        <v>2</v>
      </c>
      <c r="J14" s="167">
        <f t="shared" si="0"/>
        <v>1.99</v>
      </c>
      <c r="K14" s="172">
        <v>20</v>
      </c>
      <c r="L14" s="168">
        <f t="shared" si="1"/>
        <v>39.799999999999997</v>
      </c>
    </row>
    <row r="15" spans="1:19" ht="15" x14ac:dyDescent="0.3">
      <c r="A15" s="327"/>
      <c r="B15" s="327"/>
      <c r="C15" s="327"/>
      <c r="D15" s="327"/>
      <c r="E15" s="361"/>
      <c r="F15" s="165"/>
      <c r="G15" s="166">
        <v>4</v>
      </c>
      <c r="H15" s="165">
        <v>0.99399999999999999</v>
      </c>
      <c r="I15" s="173">
        <f>3.76+0.1*2</f>
        <v>3.96</v>
      </c>
      <c r="J15" s="167">
        <f>ROUND(H15*I15,2)</f>
        <v>3.94</v>
      </c>
      <c r="K15" s="172">
        <v>16</v>
      </c>
      <c r="L15" s="168">
        <f t="shared" si="1"/>
        <v>63.04</v>
      </c>
    </row>
    <row r="16" spans="1:19" ht="15" x14ac:dyDescent="0.3">
      <c r="A16" s="327"/>
      <c r="B16" s="327"/>
      <c r="C16" s="327"/>
      <c r="D16" s="327"/>
      <c r="E16" s="361"/>
      <c r="F16" s="165"/>
      <c r="G16" s="166">
        <v>4</v>
      </c>
      <c r="H16" s="165">
        <v>0.99399999999999999</v>
      </c>
      <c r="I16" s="173">
        <f>3.76+0.1*2</f>
        <v>3.96</v>
      </c>
      <c r="J16" s="167">
        <f t="shared" si="0"/>
        <v>3.94</v>
      </c>
      <c r="K16" s="172">
        <v>62</v>
      </c>
      <c r="L16" s="168">
        <f t="shared" si="1"/>
        <v>244.28</v>
      </c>
    </row>
    <row r="17" spans="1:13" ht="15" x14ac:dyDescent="0.3">
      <c r="A17" s="327"/>
      <c r="B17" s="327"/>
      <c r="C17" s="327"/>
      <c r="D17" s="327"/>
      <c r="E17" s="361"/>
      <c r="F17" s="165"/>
      <c r="G17" s="166">
        <v>4</v>
      </c>
      <c r="H17" s="165">
        <v>0.99399999999999999</v>
      </c>
      <c r="I17" s="173">
        <f>3.76+0.1*2</f>
        <v>3.96</v>
      </c>
      <c r="J17" s="167">
        <f t="shared" si="0"/>
        <v>3.94</v>
      </c>
      <c r="K17" s="172">
        <v>6</v>
      </c>
      <c r="L17" s="168">
        <f t="shared" si="1"/>
        <v>23.64</v>
      </c>
    </row>
    <row r="18" spans="1:13" ht="15" x14ac:dyDescent="0.3">
      <c r="A18" s="327"/>
      <c r="B18" s="327"/>
      <c r="C18" s="327"/>
      <c r="D18" s="327"/>
      <c r="E18" s="361"/>
      <c r="F18" s="165" t="s">
        <v>283</v>
      </c>
      <c r="G18" s="174">
        <v>5</v>
      </c>
      <c r="H18" s="165">
        <v>1.552</v>
      </c>
      <c r="I18" s="172">
        <f>0.2+3.8+0.2</f>
        <v>4.2</v>
      </c>
      <c r="J18" s="167">
        <f t="shared" si="0"/>
        <v>6.52</v>
      </c>
      <c r="K18" s="172">
        <f>2*6</f>
        <v>12</v>
      </c>
      <c r="L18" s="168">
        <f t="shared" si="1"/>
        <v>78.239999999999995</v>
      </c>
    </row>
    <row r="19" spans="1:13" ht="15" x14ac:dyDescent="0.3">
      <c r="A19" s="327"/>
      <c r="B19" s="327"/>
      <c r="C19" s="327"/>
      <c r="D19" s="327"/>
      <c r="E19" s="361"/>
      <c r="F19" s="165" t="s">
        <v>283</v>
      </c>
      <c r="G19" s="175">
        <v>3</v>
      </c>
      <c r="H19" s="165">
        <v>0.56000000000000005</v>
      </c>
      <c r="I19" s="172">
        <f>0.31+0.31+0.21+0.21+0.1+0.1</f>
        <v>1.2400000000000002</v>
      </c>
      <c r="J19" s="167">
        <f t="shared" si="0"/>
        <v>0.69</v>
      </c>
      <c r="K19" s="172">
        <f>(3.9/0.15)*2</f>
        <v>52</v>
      </c>
      <c r="L19" s="168">
        <f t="shared" si="1"/>
        <v>35.879999999999995</v>
      </c>
      <c r="M19" s="197">
        <f>SUM(L12:L19)</f>
        <v>821.08</v>
      </c>
    </row>
    <row r="20" spans="1:13" ht="15" x14ac:dyDescent="0.3">
      <c r="A20" s="327"/>
      <c r="B20" s="327"/>
      <c r="C20" s="327"/>
      <c r="D20" s="327"/>
      <c r="E20" s="165"/>
      <c r="F20" s="354" t="s">
        <v>322</v>
      </c>
      <c r="G20" s="355"/>
      <c r="H20" s="355"/>
      <c r="I20" s="355"/>
      <c r="J20" s="355"/>
      <c r="K20" s="355"/>
      <c r="L20" s="356"/>
    </row>
    <row r="21" spans="1:13" ht="15" x14ac:dyDescent="0.3">
      <c r="A21" s="327"/>
      <c r="B21" s="327"/>
      <c r="C21" s="327"/>
      <c r="D21" s="327"/>
      <c r="E21" s="165"/>
      <c r="F21" s="165" t="s">
        <v>327</v>
      </c>
      <c r="G21" s="166">
        <v>4</v>
      </c>
      <c r="H21" s="165">
        <v>0.99399999999999999</v>
      </c>
      <c r="I21" s="173">
        <v>4.5999999999999996</v>
      </c>
      <c r="J21" s="167">
        <f t="shared" ref="J21" si="4">ROUND(H21*I21,2)</f>
        <v>4.57</v>
      </c>
      <c r="K21" s="172">
        <v>18</v>
      </c>
      <c r="L21" s="168">
        <f t="shared" ref="L21" si="5">+J21*K21</f>
        <v>82.26</v>
      </c>
    </row>
    <row r="22" spans="1:13" ht="15" x14ac:dyDescent="0.3">
      <c r="A22" s="327"/>
      <c r="B22" s="327"/>
      <c r="C22" s="327"/>
      <c r="D22" s="327"/>
      <c r="E22" s="165"/>
      <c r="F22" s="165" t="s">
        <v>327</v>
      </c>
      <c r="G22" s="166">
        <v>4</v>
      </c>
      <c r="H22" s="165">
        <v>0.99399999999999999</v>
      </c>
      <c r="I22" s="173">
        <v>1.9</v>
      </c>
      <c r="J22" s="167">
        <f t="shared" ref="J22:J23" si="6">ROUND(H22*I22,2)</f>
        <v>1.89</v>
      </c>
      <c r="K22" s="172">
        <v>36</v>
      </c>
      <c r="L22" s="168">
        <f t="shared" ref="L22:L23" si="7">+J22*K22</f>
        <v>68.039999999999992</v>
      </c>
    </row>
    <row r="23" spans="1:13" ht="15" x14ac:dyDescent="0.3">
      <c r="A23" s="327"/>
      <c r="B23" s="327"/>
      <c r="C23" s="327"/>
      <c r="D23" s="327"/>
      <c r="E23" s="165"/>
      <c r="F23" s="165" t="s">
        <v>283</v>
      </c>
      <c r="G23" s="174">
        <v>5</v>
      </c>
      <c r="H23" s="165">
        <v>1.552</v>
      </c>
      <c r="I23" s="172">
        <f>0.2+1.5+0.2</f>
        <v>1.9</v>
      </c>
      <c r="J23" s="167">
        <f t="shared" si="6"/>
        <v>2.95</v>
      </c>
      <c r="K23" s="172">
        <f>2*4</f>
        <v>8</v>
      </c>
      <c r="L23" s="168">
        <f t="shared" si="7"/>
        <v>23.6</v>
      </c>
    </row>
    <row r="24" spans="1:13" ht="15" x14ac:dyDescent="0.3">
      <c r="A24" s="327"/>
      <c r="B24" s="327"/>
      <c r="C24" s="327"/>
      <c r="D24" s="327"/>
      <c r="E24" s="165"/>
      <c r="F24" s="165" t="s">
        <v>283</v>
      </c>
      <c r="G24" s="175">
        <v>3</v>
      </c>
      <c r="H24" s="165">
        <v>0.56000000000000005</v>
      </c>
      <c r="I24" s="172">
        <f>0.31+0.31+0.21+0.21+0.1+0.1</f>
        <v>1.2400000000000002</v>
      </c>
      <c r="J24" s="167">
        <f>ROUND(H24*I24,2)</f>
        <v>0.69</v>
      </c>
      <c r="K24" s="172">
        <v>22</v>
      </c>
      <c r="L24" s="168">
        <f>+J24*K24</f>
        <v>15.18</v>
      </c>
      <c r="M24" s="197">
        <f>SUM(L21:L24)</f>
        <v>189.08</v>
      </c>
    </row>
    <row r="25" spans="1:13" ht="15" x14ac:dyDescent="0.3">
      <c r="A25" s="327"/>
      <c r="B25" s="327"/>
      <c r="C25" s="327"/>
      <c r="D25" s="327"/>
      <c r="E25" s="190"/>
      <c r="F25" s="165"/>
      <c r="G25" s="192"/>
      <c r="H25" s="191"/>
      <c r="I25" s="193"/>
      <c r="J25" s="167"/>
      <c r="K25" s="172"/>
      <c r="L25" s="168"/>
      <c r="M25" s="197">
        <f>SUM(M19:M24)</f>
        <v>1010.1600000000001</v>
      </c>
    </row>
    <row r="26" spans="1:13" ht="15" x14ac:dyDescent="0.3">
      <c r="A26" s="327"/>
      <c r="B26" s="327"/>
      <c r="C26" s="327"/>
      <c r="D26" s="327"/>
      <c r="E26" s="357" t="s">
        <v>339</v>
      </c>
      <c r="F26" s="357" t="s">
        <v>340</v>
      </c>
      <c r="G26" s="175">
        <v>4</v>
      </c>
      <c r="H26" s="165">
        <v>0.99</v>
      </c>
      <c r="I26" s="172">
        <v>2.3199999999999998</v>
      </c>
      <c r="J26" s="167">
        <f t="shared" ref="J26:J32" si="8">ROUND(H26*I26,2)</f>
        <v>2.2999999999999998</v>
      </c>
      <c r="K26" s="172">
        <v>26</v>
      </c>
      <c r="L26" s="168"/>
    </row>
    <row r="27" spans="1:13" ht="15" x14ac:dyDescent="0.3">
      <c r="A27" s="327"/>
      <c r="B27" s="327"/>
      <c r="C27" s="327"/>
      <c r="D27" s="327"/>
      <c r="E27" s="358"/>
      <c r="F27" s="358"/>
      <c r="G27" s="175">
        <v>6</v>
      </c>
      <c r="H27" s="165">
        <v>2.2349999999999999</v>
      </c>
      <c r="I27" s="172">
        <v>2.42</v>
      </c>
      <c r="J27" s="167">
        <f t="shared" si="8"/>
        <v>5.41</v>
      </c>
      <c r="K27" s="172">
        <v>26</v>
      </c>
      <c r="L27" s="168"/>
    </row>
    <row r="28" spans="1:13" ht="15" x14ac:dyDescent="0.3">
      <c r="A28" s="327"/>
      <c r="B28" s="327"/>
      <c r="C28" s="327"/>
      <c r="D28" s="327"/>
      <c r="E28" s="358"/>
      <c r="F28" s="358"/>
      <c r="G28" s="175">
        <v>4</v>
      </c>
      <c r="H28" s="165">
        <v>0.99</v>
      </c>
      <c r="I28" s="172">
        <v>2.31</v>
      </c>
      <c r="J28" s="167">
        <f t="shared" si="8"/>
        <v>2.29</v>
      </c>
      <c r="K28" s="172">
        <v>26</v>
      </c>
      <c r="L28" s="168"/>
    </row>
    <row r="29" spans="1:13" ht="15" x14ac:dyDescent="0.3">
      <c r="A29" s="327"/>
      <c r="B29" s="327"/>
      <c r="C29" s="327"/>
      <c r="D29" s="327"/>
      <c r="E29" s="358"/>
      <c r="F29" s="359"/>
      <c r="G29" s="175">
        <v>4</v>
      </c>
      <c r="H29" s="165">
        <v>0.99</v>
      </c>
      <c r="I29" s="172">
        <f>5.26</f>
        <v>5.26</v>
      </c>
      <c r="J29" s="167">
        <f t="shared" ref="J29" si="9">ROUND(H29*I29,2)</f>
        <v>5.21</v>
      </c>
      <c r="K29" s="172">
        <f>11*2</f>
        <v>22</v>
      </c>
      <c r="L29" s="168"/>
      <c r="M29" s="27" t="s">
        <v>341</v>
      </c>
    </row>
    <row r="30" spans="1:13" ht="15" x14ac:dyDescent="0.3">
      <c r="A30" s="327"/>
      <c r="B30" s="327"/>
      <c r="C30" s="327"/>
      <c r="D30" s="327"/>
      <c r="E30" s="358"/>
      <c r="F30" s="357" t="s">
        <v>342</v>
      </c>
      <c r="G30" s="175">
        <v>5</v>
      </c>
      <c r="H30" s="165">
        <v>1.552</v>
      </c>
      <c r="I30" s="172">
        <v>2.2999999999999998</v>
      </c>
      <c r="J30" s="167">
        <f t="shared" si="8"/>
        <v>3.57</v>
      </c>
      <c r="K30" s="172">
        <v>26</v>
      </c>
      <c r="L30" s="168"/>
    </row>
    <row r="31" spans="1:13" ht="15" x14ac:dyDescent="0.3">
      <c r="A31" s="327"/>
      <c r="B31" s="327"/>
      <c r="C31" s="327"/>
      <c r="D31" s="327"/>
      <c r="E31" s="358"/>
      <c r="F31" s="358"/>
      <c r="G31" s="175">
        <v>4</v>
      </c>
      <c r="H31" s="165">
        <v>0.99</v>
      </c>
      <c r="I31" s="172">
        <v>3.9</v>
      </c>
      <c r="J31" s="167">
        <f t="shared" si="8"/>
        <v>3.86</v>
      </c>
      <c r="K31" s="172">
        <v>26</v>
      </c>
      <c r="L31" s="168"/>
    </row>
    <row r="32" spans="1:13" ht="15" x14ac:dyDescent="0.3">
      <c r="A32" s="327"/>
      <c r="B32" s="327"/>
      <c r="C32" s="327"/>
      <c r="D32" s="327"/>
      <c r="E32" s="358"/>
      <c r="F32" s="358"/>
      <c r="G32" s="175">
        <v>4</v>
      </c>
      <c r="H32" s="165">
        <v>0.99</v>
      </c>
      <c r="I32" s="172">
        <v>1.71</v>
      </c>
      <c r="J32" s="167">
        <f t="shared" si="8"/>
        <v>1.69</v>
      </c>
      <c r="K32" s="172">
        <v>26</v>
      </c>
      <c r="L32" s="168"/>
    </row>
    <row r="33" spans="1:13" ht="15" x14ac:dyDescent="0.3">
      <c r="A33" s="327"/>
      <c r="B33" s="327"/>
      <c r="C33" s="327"/>
      <c r="D33" s="327"/>
      <c r="E33" s="358"/>
      <c r="F33" s="359"/>
      <c r="G33" s="175">
        <v>4</v>
      </c>
      <c r="H33" s="165">
        <v>0.99</v>
      </c>
      <c r="I33" s="172">
        <f>5.26</f>
        <v>5.26</v>
      </c>
      <c r="J33" s="167">
        <f t="shared" ref="J33" si="10">ROUND(H33*I33,2)</f>
        <v>5.21</v>
      </c>
      <c r="K33" s="172">
        <f>17*2</f>
        <v>34</v>
      </c>
      <c r="L33" s="168"/>
      <c r="M33" s="27" t="s">
        <v>343</v>
      </c>
    </row>
    <row r="34" spans="1:13" ht="15" x14ac:dyDescent="0.3">
      <c r="A34" s="327"/>
      <c r="B34" s="327"/>
      <c r="C34" s="327"/>
      <c r="D34" s="327"/>
      <c r="E34" s="165"/>
      <c r="F34" s="165"/>
      <c r="G34" s="175"/>
      <c r="H34" s="165"/>
      <c r="I34" s="45"/>
      <c r="J34" s="45"/>
      <c r="K34" s="45"/>
      <c r="L34" s="168"/>
    </row>
    <row r="35" spans="1:13" x14ac:dyDescent="0.3">
      <c r="A35" s="327"/>
      <c r="B35" s="327"/>
      <c r="C35" s="327"/>
      <c r="D35" s="327"/>
      <c r="E35" s="38"/>
      <c r="F35" s="33"/>
      <c r="G35" s="33"/>
      <c r="H35" s="33"/>
      <c r="I35" s="33"/>
      <c r="J35" s="32"/>
      <c r="K35" s="33"/>
      <c r="L35" s="187"/>
    </row>
    <row r="36" spans="1:13" x14ac:dyDescent="0.3">
      <c r="A36" s="327"/>
      <c r="B36" s="327"/>
      <c r="C36" s="327"/>
      <c r="D36" s="327"/>
      <c r="E36" s="324" t="s">
        <v>45</v>
      </c>
      <c r="F36" s="324"/>
      <c r="G36" s="324"/>
      <c r="H36" s="324"/>
      <c r="I36" s="324"/>
      <c r="J36" s="324"/>
      <c r="K36" s="324"/>
      <c r="L36" s="188">
        <f>SUM(L12:L35)</f>
        <v>1010.16</v>
      </c>
    </row>
    <row r="37" spans="1:13" s="31" customFormat="1" hidden="1" x14ac:dyDescent="0.3">
      <c r="A37" s="328" t="s">
        <v>46</v>
      </c>
      <c r="B37" s="328"/>
      <c r="C37" s="328" t="s">
        <v>46</v>
      </c>
      <c r="D37" s="328"/>
      <c r="E37" s="328" t="s">
        <v>47</v>
      </c>
      <c r="F37" s="328"/>
      <c r="G37" s="328"/>
      <c r="H37" s="328" t="s">
        <v>48</v>
      </c>
      <c r="I37" s="328"/>
      <c r="J37" s="328"/>
      <c r="K37" s="328"/>
      <c r="L37" s="328"/>
    </row>
    <row r="38" spans="1:13" s="31" customFormat="1" hidden="1" x14ac:dyDescent="0.3">
      <c r="A38" s="330"/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</row>
    <row r="39" spans="1:13" s="31" customFormat="1" hidden="1" x14ac:dyDescent="0.3">
      <c r="A39" s="330"/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</row>
    <row r="40" spans="1:13" s="31" customFormat="1" hidden="1" x14ac:dyDescent="0.3">
      <c r="A40" s="330"/>
      <c r="B40" s="330"/>
      <c r="C40" s="330"/>
      <c r="D40" s="330"/>
      <c r="E40" s="330"/>
      <c r="F40" s="330"/>
      <c r="G40" s="330"/>
      <c r="H40" s="330"/>
      <c r="I40" s="330"/>
      <c r="J40" s="330"/>
      <c r="K40" s="330"/>
      <c r="L40" s="330"/>
    </row>
    <row r="41" spans="1:13" s="31" customFormat="1" hidden="1" x14ac:dyDescent="0.3">
      <c r="A41" s="330"/>
      <c r="B41" s="330"/>
      <c r="C41" s="330"/>
      <c r="D41" s="330"/>
      <c r="E41" s="330"/>
      <c r="F41" s="330"/>
      <c r="G41" s="330"/>
      <c r="H41" s="330"/>
      <c r="I41" s="330"/>
      <c r="J41" s="330"/>
      <c r="K41" s="330"/>
      <c r="L41" s="330"/>
    </row>
    <row r="42" spans="1:13" s="31" customFormat="1" hidden="1" x14ac:dyDescent="0.3">
      <c r="A42" s="330"/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</row>
    <row r="43" spans="1:13" s="31" customFormat="1" hidden="1" x14ac:dyDescent="0.3">
      <c r="A43" s="330"/>
      <c r="B43" s="330"/>
      <c r="C43" s="330"/>
      <c r="D43" s="330"/>
      <c r="E43" s="330"/>
      <c r="F43" s="330"/>
      <c r="G43" s="330"/>
      <c r="H43" s="330"/>
      <c r="I43" s="330"/>
      <c r="J43" s="330"/>
      <c r="K43" s="330"/>
      <c r="L43" s="330"/>
    </row>
    <row r="44" spans="1:13" s="31" customFormat="1" ht="15.75" hidden="1" customHeight="1" thickBot="1" x14ac:dyDescent="0.35">
      <c r="A44" s="331"/>
      <c r="B44" s="332"/>
      <c r="C44" s="332"/>
      <c r="D44" s="332"/>
      <c r="E44" s="332"/>
      <c r="F44" s="332"/>
      <c r="G44" s="332"/>
      <c r="H44" s="332"/>
      <c r="I44" s="332"/>
      <c r="J44" s="332"/>
      <c r="K44" s="332"/>
      <c r="L44" s="333"/>
    </row>
    <row r="45" spans="1:13" hidden="1" x14ac:dyDescent="0.3"/>
    <row r="47" spans="1:13" ht="15" customHeight="1" x14ac:dyDescent="0.3"/>
    <row r="48" spans="1:13" ht="28.5" customHeight="1" x14ac:dyDescent="0.3"/>
  </sheetData>
  <mergeCells count="38">
    <mergeCell ref="J4:L4"/>
    <mergeCell ref="F20:L20"/>
    <mergeCell ref="E26:E33"/>
    <mergeCell ref="E5:H5"/>
    <mergeCell ref="J5:L5"/>
    <mergeCell ref="A6:L6"/>
    <mergeCell ref="D7:J7"/>
    <mergeCell ref="A8:L8"/>
    <mergeCell ref="A1:B5"/>
    <mergeCell ref="C1:D2"/>
    <mergeCell ref="E1:H1"/>
    <mergeCell ref="J1:L1"/>
    <mergeCell ref="E2:H2"/>
    <mergeCell ref="J2:L2"/>
    <mergeCell ref="C3:D5"/>
    <mergeCell ref="E3:L3"/>
    <mergeCell ref="E4:H4"/>
    <mergeCell ref="H38:L43"/>
    <mergeCell ref="A44:L44"/>
    <mergeCell ref="L9:L10"/>
    <mergeCell ref="A10:D36"/>
    <mergeCell ref="E36:K36"/>
    <mergeCell ref="A37:B37"/>
    <mergeCell ref="C37:D37"/>
    <mergeCell ref="E37:G37"/>
    <mergeCell ref="H37:L37"/>
    <mergeCell ref="E12:E19"/>
    <mergeCell ref="E9:F10"/>
    <mergeCell ref="G9:I9"/>
    <mergeCell ref="A9:D9"/>
    <mergeCell ref="J9:J10"/>
    <mergeCell ref="K9:K10"/>
    <mergeCell ref="F11:L11"/>
    <mergeCell ref="F26:F29"/>
    <mergeCell ref="F30:F33"/>
    <mergeCell ref="A38:B43"/>
    <mergeCell ref="C38:D43"/>
    <mergeCell ref="E38:G43"/>
  </mergeCells>
  <pageMargins left="0.7" right="0.7" top="0.75" bottom="0.75" header="0.3" footer="0.3"/>
  <pageSetup paperSize="9" scale="50" orientation="landscape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8FF6F-3B59-4D22-ADFE-AEC538FF5569}">
  <sheetPr>
    <tabColor rgb="FFFFFF00"/>
  </sheetPr>
  <dimension ref="A1:N60"/>
  <sheetViews>
    <sheetView topLeftCell="A8" zoomScale="62" zoomScaleNormal="62" workbookViewId="0">
      <selection activeCell="J60" sqref="J59:J60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23.33203125" style="27" customWidth="1"/>
    <col min="7" max="7" width="19.33203125" style="27" customWidth="1"/>
    <col min="8" max="9" width="19.5546875" style="27" customWidth="1"/>
    <col min="10" max="10" width="20.44140625" style="27" customWidth="1"/>
    <col min="11" max="12" width="15.6640625" style="27" customWidth="1"/>
    <col min="13" max="16384" width="11.44140625" style="27"/>
  </cols>
  <sheetData>
    <row r="1" spans="1:14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161"/>
      <c r="J1" s="320" t="s">
        <v>34</v>
      </c>
      <c r="K1" s="320"/>
      <c r="L1" s="320"/>
    </row>
    <row r="2" spans="1:14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161"/>
      <c r="J2" s="320" t="s">
        <v>54</v>
      </c>
      <c r="K2" s="320"/>
      <c r="L2" s="320"/>
    </row>
    <row r="3" spans="1:14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  <c r="L3" s="320"/>
    </row>
    <row r="4" spans="1:14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161"/>
      <c r="J4" s="320" t="s">
        <v>38</v>
      </c>
      <c r="K4" s="320"/>
      <c r="L4" s="320"/>
    </row>
    <row r="5" spans="1:14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161"/>
      <c r="J5" s="321"/>
      <c r="K5" s="321"/>
      <c r="L5" s="321"/>
    </row>
    <row r="6" spans="1:14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</row>
    <row r="7" spans="1:14" s="31" customFormat="1" x14ac:dyDescent="0.3">
      <c r="A7" s="35" t="s">
        <v>56</v>
      </c>
      <c r="B7" s="28">
        <v>4.8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23"/>
      <c r="K7" s="30" t="s">
        <v>41</v>
      </c>
      <c r="L7" s="134" t="s">
        <v>282</v>
      </c>
    </row>
    <row r="8" spans="1:14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  <c r="L8" s="324"/>
    </row>
    <row r="9" spans="1:14" ht="14.25" customHeight="1" x14ac:dyDescent="0.3">
      <c r="A9" s="326" t="s">
        <v>58</v>
      </c>
      <c r="B9" s="326"/>
      <c r="C9" s="326"/>
      <c r="D9" s="326"/>
      <c r="E9" s="362" t="s">
        <v>295</v>
      </c>
      <c r="F9" s="363"/>
      <c r="G9" s="366" t="s">
        <v>296</v>
      </c>
      <c r="H9" s="366"/>
      <c r="I9" s="366"/>
      <c r="J9" s="367" t="s">
        <v>297</v>
      </c>
      <c r="K9" s="367" t="s">
        <v>44</v>
      </c>
      <c r="L9" s="360" t="s">
        <v>298</v>
      </c>
    </row>
    <row r="10" spans="1:14" x14ac:dyDescent="0.3">
      <c r="A10" s="327"/>
      <c r="B10" s="327"/>
      <c r="C10" s="327"/>
      <c r="D10" s="327"/>
      <c r="E10" s="364"/>
      <c r="F10" s="365"/>
      <c r="G10" s="169" t="s">
        <v>299</v>
      </c>
      <c r="H10" s="170" t="s">
        <v>300</v>
      </c>
      <c r="I10" s="170" t="s">
        <v>301</v>
      </c>
      <c r="J10" s="367"/>
      <c r="K10" s="367"/>
      <c r="L10" s="360"/>
    </row>
    <row r="11" spans="1:14" x14ac:dyDescent="0.3">
      <c r="A11" s="327"/>
      <c r="B11" s="327"/>
      <c r="C11" s="327"/>
      <c r="D11" s="327"/>
      <c r="E11" s="134"/>
      <c r="F11" s="354" t="s">
        <v>321</v>
      </c>
      <c r="G11" s="355"/>
      <c r="H11" s="355"/>
      <c r="I11" s="355"/>
      <c r="J11" s="355"/>
      <c r="K11" s="355"/>
      <c r="L11" s="356"/>
      <c r="M11" s="27" t="s">
        <v>23</v>
      </c>
      <c r="N11" s="27" t="s">
        <v>305</v>
      </c>
    </row>
    <row r="12" spans="1:14" ht="30" x14ac:dyDescent="0.3">
      <c r="A12" s="327"/>
      <c r="B12" s="327"/>
      <c r="C12" s="327"/>
      <c r="D12" s="327"/>
      <c r="E12" s="134"/>
      <c r="F12" s="165" t="s">
        <v>304</v>
      </c>
      <c r="G12" s="166">
        <v>4</v>
      </c>
      <c r="H12" s="165">
        <v>0.99399999999999999</v>
      </c>
      <c r="I12" s="173">
        <f>3.8+0.1*2</f>
        <v>4</v>
      </c>
      <c r="J12" s="167">
        <f>ROUND(H12*I12,2)</f>
        <v>3.98</v>
      </c>
      <c r="K12" s="172">
        <f>8*2</f>
        <v>16</v>
      </c>
      <c r="L12" s="168">
        <f t="shared" ref="L12:L31" si="0">+J12*K12</f>
        <v>63.68</v>
      </c>
      <c r="M12" s="27">
        <f>1.65/0.2</f>
        <v>8.2499999999999982</v>
      </c>
      <c r="N12" s="177">
        <f>3.8+0.1*2</f>
        <v>4</v>
      </c>
    </row>
    <row r="13" spans="1:14" ht="30" x14ac:dyDescent="0.3">
      <c r="A13" s="327"/>
      <c r="B13" s="327"/>
      <c r="C13" s="327"/>
      <c r="D13" s="327"/>
      <c r="E13" s="134"/>
      <c r="F13" s="165" t="s">
        <v>304</v>
      </c>
      <c r="G13" s="166">
        <v>4</v>
      </c>
      <c r="H13" s="165">
        <v>0.99399999999999999</v>
      </c>
      <c r="I13" s="173">
        <f>1.51+0.1*2</f>
        <v>1.71</v>
      </c>
      <c r="J13" s="167">
        <f t="shared" ref="J13:J31" si="1">ROUND(H13*I13,2)</f>
        <v>1.7</v>
      </c>
      <c r="K13" s="172">
        <f>20*2</f>
        <v>40</v>
      </c>
      <c r="L13" s="168">
        <f t="shared" si="0"/>
        <v>68</v>
      </c>
      <c r="M13" s="27">
        <f>3.9/0.2</f>
        <v>19.5</v>
      </c>
      <c r="N13" s="27">
        <f>1.65-0.14+0.1*2</f>
        <v>1.7099999999999997</v>
      </c>
    </row>
    <row r="14" spans="1:14" ht="15" x14ac:dyDescent="0.3">
      <c r="A14" s="327"/>
      <c r="B14" s="327"/>
      <c r="C14" s="327"/>
      <c r="D14" s="327"/>
      <c r="E14" s="361" t="s">
        <v>284</v>
      </c>
      <c r="F14" s="165" t="s">
        <v>285</v>
      </c>
      <c r="G14" s="166">
        <v>4</v>
      </c>
      <c r="H14" s="165">
        <v>0.99399999999999999</v>
      </c>
      <c r="I14" s="171">
        <f>0.57+3.15+1.15+0.3</f>
        <v>5.169999999999999</v>
      </c>
      <c r="J14" s="167">
        <f t="shared" si="1"/>
        <v>5.14</v>
      </c>
      <c r="K14" s="172">
        <v>10</v>
      </c>
      <c r="L14" s="168">
        <f t="shared" si="0"/>
        <v>51.4</v>
      </c>
    </row>
    <row r="15" spans="1:14" ht="15" x14ac:dyDescent="0.3">
      <c r="A15" s="327"/>
      <c r="B15" s="327"/>
      <c r="C15" s="327"/>
      <c r="D15" s="327"/>
      <c r="E15" s="361"/>
      <c r="F15" s="165"/>
      <c r="G15" s="166">
        <v>4</v>
      </c>
      <c r="H15" s="165">
        <v>0.99399999999999999</v>
      </c>
      <c r="I15" s="171">
        <f>0.57+3.15+0.45</f>
        <v>4.17</v>
      </c>
      <c r="J15" s="167">
        <f t="shared" si="1"/>
        <v>4.1399999999999997</v>
      </c>
      <c r="K15" s="172">
        <v>10</v>
      </c>
      <c r="L15" s="168">
        <f t="shared" si="0"/>
        <v>41.4</v>
      </c>
    </row>
    <row r="16" spans="1:14" ht="15" x14ac:dyDescent="0.3">
      <c r="A16" s="327"/>
      <c r="B16" s="327"/>
      <c r="C16" s="327"/>
      <c r="D16" s="327"/>
      <c r="E16" s="361"/>
      <c r="F16" s="165" t="s">
        <v>286</v>
      </c>
      <c r="G16" s="166">
        <v>4</v>
      </c>
      <c r="H16" s="165">
        <v>0.99399999999999999</v>
      </c>
      <c r="I16" s="171">
        <f>0.49+3.15+0.45</f>
        <v>4.09</v>
      </c>
      <c r="J16" s="167">
        <f t="shared" si="1"/>
        <v>4.07</v>
      </c>
      <c r="K16" s="172">
        <v>20</v>
      </c>
      <c r="L16" s="168">
        <f t="shared" si="0"/>
        <v>81.400000000000006</v>
      </c>
    </row>
    <row r="17" spans="1:12" ht="15" x14ac:dyDescent="0.3">
      <c r="A17" s="327"/>
      <c r="B17" s="327"/>
      <c r="C17" s="327"/>
      <c r="D17" s="327"/>
      <c r="E17" s="361"/>
      <c r="F17" s="165" t="s">
        <v>286</v>
      </c>
      <c r="G17" s="166">
        <v>4</v>
      </c>
      <c r="H17" s="165">
        <v>0.99399999999999999</v>
      </c>
      <c r="I17" s="171">
        <f>0.45+1.23+0.3</f>
        <v>1.98</v>
      </c>
      <c r="J17" s="167">
        <f t="shared" si="1"/>
        <v>1.97</v>
      </c>
      <c r="K17" s="172">
        <v>10</v>
      </c>
      <c r="L17" s="168">
        <f t="shared" si="0"/>
        <v>19.7</v>
      </c>
    </row>
    <row r="18" spans="1:12" ht="15" x14ac:dyDescent="0.3">
      <c r="A18" s="327"/>
      <c r="B18" s="327"/>
      <c r="C18" s="327"/>
      <c r="D18" s="327"/>
      <c r="E18" s="361"/>
      <c r="F18" s="165" t="s">
        <v>285</v>
      </c>
      <c r="G18" s="166">
        <v>4</v>
      </c>
      <c r="H18" s="165">
        <v>0.99399999999999999</v>
      </c>
      <c r="I18" s="171">
        <f>0.91+0.3</f>
        <v>1.21</v>
      </c>
      <c r="J18" s="167">
        <f t="shared" si="1"/>
        <v>1.2</v>
      </c>
      <c r="K18" s="172">
        <v>20</v>
      </c>
      <c r="L18" s="168">
        <f t="shared" si="0"/>
        <v>24</v>
      </c>
    </row>
    <row r="19" spans="1:12" ht="15" x14ac:dyDescent="0.3">
      <c r="A19" s="327"/>
      <c r="B19" s="327"/>
      <c r="C19" s="327"/>
      <c r="D19" s="327"/>
      <c r="E19" s="361"/>
      <c r="F19" s="165" t="s">
        <v>286</v>
      </c>
      <c r="G19" s="166">
        <v>4</v>
      </c>
      <c r="H19" s="165">
        <v>0.99399999999999999</v>
      </c>
      <c r="I19" s="171">
        <f>0.3+0.97+0.3</f>
        <v>1.57</v>
      </c>
      <c r="J19" s="167">
        <f t="shared" si="1"/>
        <v>1.56</v>
      </c>
      <c r="K19" s="172">
        <v>20</v>
      </c>
      <c r="L19" s="168">
        <f t="shared" si="0"/>
        <v>31.200000000000003</v>
      </c>
    </row>
    <row r="20" spans="1:12" ht="15" x14ac:dyDescent="0.3">
      <c r="A20" s="327"/>
      <c r="B20" s="327"/>
      <c r="C20" s="327"/>
      <c r="D20" s="327"/>
      <c r="E20" s="361"/>
      <c r="F20" s="165" t="s">
        <v>287</v>
      </c>
      <c r="G20" s="166">
        <v>4</v>
      </c>
      <c r="H20" s="165">
        <v>0.99399999999999999</v>
      </c>
      <c r="I20" s="173">
        <f>3.8+0.1*2</f>
        <v>4</v>
      </c>
      <c r="J20" s="167">
        <f>ROUND(H20*I20,2)</f>
        <v>3.98</v>
      </c>
      <c r="K20" s="172">
        <v>7</v>
      </c>
      <c r="L20" s="168">
        <f t="shared" si="0"/>
        <v>27.86</v>
      </c>
    </row>
    <row r="21" spans="1:12" ht="15" x14ac:dyDescent="0.3">
      <c r="A21" s="327"/>
      <c r="B21" s="327"/>
      <c r="C21" s="327"/>
      <c r="D21" s="327"/>
      <c r="E21" s="361"/>
      <c r="F21" s="165" t="s">
        <v>288</v>
      </c>
      <c r="G21" s="166">
        <v>4</v>
      </c>
      <c r="H21" s="165">
        <v>0.99399999999999999</v>
      </c>
      <c r="I21" s="173">
        <f>3.8+0.1*2</f>
        <v>4</v>
      </c>
      <c r="J21" s="167">
        <f t="shared" si="1"/>
        <v>3.98</v>
      </c>
      <c r="K21" s="172">
        <v>7</v>
      </c>
      <c r="L21" s="168">
        <f t="shared" si="0"/>
        <v>27.86</v>
      </c>
    </row>
    <row r="22" spans="1:12" ht="15" x14ac:dyDescent="0.3">
      <c r="A22" s="327"/>
      <c r="B22" s="327"/>
      <c r="C22" s="327"/>
      <c r="D22" s="327"/>
      <c r="E22" s="361"/>
      <c r="F22" s="165" t="s">
        <v>289</v>
      </c>
      <c r="G22" s="166">
        <v>4</v>
      </c>
      <c r="H22" s="165">
        <v>0.99399999999999999</v>
      </c>
      <c r="I22" s="171">
        <f>0.3+1.15+0.3</f>
        <v>1.75</v>
      </c>
      <c r="J22" s="167">
        <f t="shared" si="1"/>
        <v>1.74</v>
      </c>
      <c r="K22" s="172">
        <v>10</v>
      </c>
      <c r="L22" s="168">
        <f t="shared" si="0"/>
        <v>17.399999999999999</v>
      </c>
    </row>
    <row r="23" spans="1:12" ht="15" x14ac:dyDescent="0.3">
      <c r="A23" s="327"/>
      <c r="B23" s="327"/>
      <c r="C23" s="327"/>
      <c r="D23" s="327"/>
      <c r="E23" s="361"/>
      <c r="F23" s="165" t="s">
        <v>289</v>
      </c>
      <c r="G23" s="166">
        <v>4</v>
      </c>
      <c r="H23" s="165">
        <v>0.99399999999999999</v>
      </c>
      <c r="I23" s="171">
        <f>0.66+0.35+3.5+0.34</f>
        <v>4.8499999999999996</v>
      </c>
      <c r="J23" s="167">
        <f t="shared" si="1"/>
        <v>4.82</v>
      </c>
      <c r="K23" s="172">
        <v>20</v>
      </c>
      <c r="L23" s="168">
        <f t="shared" si="0"/>
        <v>96.4</v>
      </c>
    </row>
    <row r="24" spans="1:12" ht="15" x14ac:dyDescent="0.3">
      <c r="A24" s="327"/>
      <c r="B24" s="327"/>
      <c r="C24" s="327"/>
      <c r="D24" s="327"/>
      <c r="E24" s="361"/>
      <c r="F24" s="165" t="s">
        <v>302</v>
      </c>
      <c r="G24" s="166">
        <v>4</v>
      </c>
      <c r="H24" s="165">
        <v>0.99399999999999999</v>
      </c>
      <c r="I24" s="171">
        <f>0.3+1.15+0.35+0.49</f>
        <v>2.29</v>
      </c>
      <c r="J24" s="167">
        <f t="shared" si="1"/>
        <v>2.2799999999999998</v>
      </c>
      <c r="K24" s="172">
        <v>10</v>
      </c>
      <c r="L24" s="168">
        <f t="shared" si="0"/>
        <v>22.799999999999997</v>
      </c>
    </row>
    <row r="25" spans="1:12" ht="15" x14ac:dyDescent="0.3">
      <c r="A25" s="327"/>
      <c r="B25" s="327"/>
      <c r="C25" s="327"/>
      <c r="D25" s="327"/>
      <c r="E25" s="361"/>
      <c r="F25" s="165" t="s">
        <v>290</v>
      </c>
      <c r="G25" s="166">
        <v>4</v>
      </c>
      <c r="H25" s="165">
        <v>0.99399999999999999</v>
      </c>
      <c r="I25" s="171">
        <f>0.35+3.59+0.3</f>
        <v>4.24</v>
      </c>
      <c r="J25" s="167">
        <f t="shared" si="1"/>
        <v>4.21</v>
      </c>
      <c r="K25" s="172">
        <v>20</v>
      </c>
      <c r="L25" s="168">
        <f t="shared" si="0"/>
        <v>84.2</v>
      </c>
    </row>
    <row r="26" spans="1:12" ht="15" x14ac:dyDescent="0.3">
      <c r="A26" s="327"/>
      <c r="B26" s="327"/>
      <c r="C26" s="327"/>
      <c r="D26" s="327"/>
      <c r="E26" s="361"/>
      <c r="F26" s="165" t="s">
        <v>291</v>
      </c>
      <c r="G26" s="166">
        <v>4</v>
      </c>
      <c r="H26" s="165">
        <v>0.99399999999999999</v>
      </c>
      <c r="I26" s="173">
        <f>0.1+3.8+0.1</f>
        <v>4</v>
      </c>
      <c r="J26" s="167">
        <f t="shared" si="1"/>
        <v>3.98</v>
      </c>
      <c r="K26" s="172">
        <v>3</v>
      </c>
      <c r="L26" s="168">
        <f t="shared" si="0"/>
        <v>11.94</v>
      </c>
    </row>
    <row r="27" spans="1:12" ht="15" x14ac:dyDescent="0.3">
      <c r="A27" s="327"/>
      <c r="B27" s="327"/>
      <c r="C27" s="327"/>
      <c r="D27" s="327"/>
      <c r="E27" s="361"/>
      <c r="F27" s="165" t="s">
        <v>292</v>
      </c>
      <c r="G27" s="166">
        <v>4</v>
      </c>
      <c r="H27" s="165">
        <v>0.99399999999999999</v>
      </c>
      <c r="I27" s="173">
        <f>0.1+3.8+0.1</f>
        <v>4</v>
      </c>
      <c r="J27" s="167">
        <f t="shared" si="1"/>
        <v>3.98</v>
      </c>
      <c r="K27" s="172">
        <v>3</v>
      </c>
      <c r="L27" s="168">
        <f t="shared" si="0"/>
        <v>11.94</v>
      </c>
    </row>
    <row r="28" spans="1:12" ht="15" x14ac:dyDescent="0.3">
      <c r="A28" s="327"/>
      <c r="B28" s="327"/>
      <c r="C28" s="327"/>
      <c r="D28" s="327"/>
      <c r="E28" s="361"/>
      <c r="F28" s="165" t="s">
        <v>293</v>
      </c>
      <c r="G28" s="166">
        <v>4</v>
      </c>
      <c r="H28" s="165">
        <v>0.99399999999999999</v>
      </c>
      <c r="I28" s="173">
        <f>0.1+3.8+0.1</f>
        <v>4</v>
      </c>
      <c r="J28" s="167">
        <f t="shared" si="1"/>
        <v>3.98</v>
      </c>
      <c r="K28" s="172">
        <v>18</v>
      </c>
      <c r="L28" s="168">
        <f t="shared" si="0"/>
        <v>71.64</v>
      </c>
    </row>
    <row r="29" spans="1:12" ht="15" x14ac:dyDescent="0.3">
      <c r="A29" s="327"/>
      <c r="B29" s="327"/>
      <c r="C29" s="327"/>
      <c r="D29" s="327"/>
      <c r="E29" s="361"/>
      <c r="F29" s="165" t="s">
        <v>294</v>
      </c>
      <c r="G29" s="166">
        <v>4</v>
      </c>
      <c r="H29" s="165">
        <v>0.99399999999999999</v>
      </c>
      <c r="I29" s="173">
        <f>0.1+3.8+0.1</f>
        <v>4</v>
      </c>
      <c r="J29" s="167">
        <f t="shared" si="1"/>
        <v>3.98</v>
      </c>
      <c r="K29" s="172">
        <v>18</v>
      </c>
      <c r="L29" s="168">
        <f t="shared" si="0"/>
        <v>71.64</v>
      </c>
    </row>
    <row r="30" spans="1:12" ht="15" x14ac:dyDescent="0.3">
      <c r="A30" s="327"/>
      <c r="B30" s="327"/>
      <c r="C30" s="327"/>
      <c r="D30" s="327"/>
      <c r="E30" s="361"/>
      <c r="F30" s="165" t="s">
        <v>283</v>
      </c>
      <c r="G30" s="174">
        <v>5</v>
      </c>
      <c r="H30" s="165">
        <v>1.552</v>
      </c>
      <c r="I30" s="172">
        <f>0.2+3.8+0.2</f>
        <v>4.2</v>
      </c>
      <c r="J30" s="167">
        <f t="shared" si="1"/>
        <v>6.52</v>
      </c>
      <c r="K30" s="172">
        <f>6*4</f>
        <v>24</v>
      </c>
      <c r="L30" s="168">
        <f t="shared" si="0"/>
        <v>156.47999999999999</v>
      </c>
    </row>
    <row r="31" spans="1:12" ht="15" x14ac:dyDescent="0.3">
      <c r="A31" s="327"/>
      <c r="B31" s="327"/>
      <c r="C31" s="327"/>
      <c r="D31" s="327"/>
      <c r="E31" s="361"/>
      <c r="F31" s="165" t="s">
        <v>283</v>
      </c>
      <c r="G31" s="175">
        <v>3</v>
      </c>
      <c r="H31" s="165">
        <v>0.56000000000000005</v>
      </c>
      <c r="I31" s="172">
        <f>0.31+0.31+0.21+0.21+0.1+0.1</f>
        <v>1.2400000000000002</v>
      </c>
      <c r="J31" s="167">
        <f t="shared" si="1"/>
        <v>0.69</v>
      </c>
      <c r="K31" s="172">
        <f>(3.9/0.15)*4</f>
        <v>104</v>
      </c>
      <c r="L31" s="168">
        <f t="shared" si="0"/>
        <v>71.759999999999991</v>
      </c>
    </row>
    <row r="32" spans="1:12" ht="15" x14ac:dyDescent="0.3">
      <c r="A32" s="327"/>
      <c r="B32" s="327"/>
      <c r="C32" s="327"/>
      <c r="D32" s="327"/>
      <c r="E32" s="165"/>
      <c r="F32" s="354" t="s">
        <v>322</v>
      </c>
      <c r="G32" s="355"/>
      <c r="H32" s="355"/>
      <c r="I32" s="355"/>
      <c r="J32" s="355"/>
      <c r="K32" s="355"/>
      <c r="L32" s="356"/>
    </row>
    <row r="33" spans="1:13" ht="15" x14ac:dyDescent="0.3">
      <c r="A33" s="327"/>
      <c r="B33" s="327"/>
      <c r="C33" s="327"/>
      <c r="D33" s="327"/>
      <c r="E33" s="165"/>
      <c r="F33" s="165" t="s">
        <v>327</v>
      </c>
      <c r="G33" s="166">
        <v>4</v>
      </c>
      <c r="H33" s="165">
        <v>0.99399999999999999</v>
      </c>
      <c r="I33" s="173">
        <v>4.5999999999999996</v>
      </c>
      <c r="J33" s="167">
        <f t="shared" ref="J33:J35" si="2">ROUND(H33*I33,2)</f>
        <v>4.57</v>
      </c>
      <c r="K33" s="172">
        <v>18</v>
      </c>
      <c r="L33" s="168">
        <f t="shared" ref="L33:L35" si="3">+J33*K33</f>
        <v>82.26</v>
      </c>
    </row>
    <row r="34" spans="1:13" ht="15" x14ac:dyDescent="0.3">
      <c r="A34" s="327"/>
      <c r="B34" s="327"/>
      <c r="C34" s="327"/>
      <c r="D34" s="327"/>
      <c r="E34" s="165"/>
      <c r="F34" s="165" t="s">
        <v>327</v>
      </c>
      <c r="G34" s="166">
        <v>4</v>
      </c>
      <c r="H34" s="165">
        <v>0.99399999999999999</v>
      </c>
      <c r="I34" s="173">
        <v>1.9</v>
      </c>
      <c r="J34" s="167">
        <f t="shared" si="2"/>
        <v>1.89</v>
      </c>
      <c r="K34" s="172">
        <v>36</v>
      </c>
      <c r="L34" s="168">
        <f t="shared" si="3"/>
        <v>68.039999999999992</v>
      </c>
    </row>
    <row r="35" spans="1:13" ht="15" x14ac:dyDescent="0.3">
      <c r="A35" s="327"/>
      <c r="B35" s="327"/>
      <c r="C35" s="327"/>
      <c r="D35" s="327"/>
      <c r="E35" s="165"/>
      <c r="F35" s="165" t="s">
        <v>283</v>
      </c>
      <c r="G35" s="174">
        <v>5</v>
      </c>
      <c r="H35" s="165">
        <v>1.552</v>
      </c>
      <c r="I35" s="172">
        <f>0.2+1.5+0.2</f>
        <v>1.9</v>
      </c>
      <c r="J35" s="167">
        <f t="shared" si="2"/>
        <v>2.95</v>
      </c>
      <c r="K35" s="172">
        <f>2*4</f>
        <v>8</v>
      </c>
      <c r="L35" s="168">
        <f t="shared" si="3"/>
        <v>23.6</v>
      </c>
    </row>
    <row r="36" spans="1:13" ht="15" x14ac:dyDescent="0.3">
      <c r="A36" s="327"/>
      <c r="B36" s="327"/>
      <c r="C36" s="327"/>
      <c r="D36" s="327"/>
      <c r="E36" s="165"/>
      <c r="F36" s="165" t="s">
        <v>283</v>
      </c>
      <c r="G36" s="175">
        <v>3</v>
      </c>
      <c r="H36" s="165">
        <v>0.56000000000000005</v>
      </c>
      <c r="I36" s="172">
        <f>0.31+0.31+0.21+0.21+0.1+0.1</f>
        <v>1.2400000000000002</v>
      </c>
      <c r="J36" s="167">
        <f>ROUND(H36*I36,2)</f>
        <v>0.69</v>
      </c>
      <c r="K36" s="172">
        <v>22</v>
      </c>
      <c r="L36" s="168">
        <f>+J36*K36</f>
        <v>15.18</v>
      </c>
    </row>
    <row r="37" spans="1:13" ht="15" x14ac:dyDescent="0.3">
      <c r="A37" s="327"/>
      <c r="B37" s="327"/>
      <c r="C37" s="327"/>
      <c r="D37" s="327"/>
      <c r="E37" s="190"/>
      <c r="F37" s="165"/>
      <c r="G37" s="192"/>
      <c r="H37" s="191"/>
      <c r="I37" s="193"/>
      <c r="J37" s="167"/>
      <c r="K37" s="172"/>
      <c r="L37" s="168"/>
    </row>
    <row r="38" spans="1:13" ht="15" x14ac:dyDescent="0.3">
      <c r="A38" s="327"/>
      <c r="B38" s="327"/>
      <c r="C38" s="327"/>
      <c r="D38" s="327"/>
      <c r="E38" s="357" t="s">
        <v>339</v>
      </c>
      <c r="F38" s="357" t="s">
        <v>340</v>
      </c>
      <c r="G38" s="175">
        <v>4</v>
      </c>
      <c r="H38" s="165">
        <v>0.99</v>
      </c>
      <c r="I38" s="172">
        <v>2.3199999999999998</v>
      </c>
      <c r="J38" s="167">
        <f t="shared" ref="J38:J45" si="4">ROUND(H38*I38,2)</f>
        <v>2.2999999999999998</v>
      </c>
      <c r="K38" s="172">
        <v>26</v>
      </c>
      <c r="L38" s="168">
        <f t="shared" ref="L38:L45" si="5">+J38*K38</f>
        <v>59.8</v>
      </c>
    </row>
    <row r="39" spans="1:13" ht="15" x14ac:dyDescent="0.3">
      <c r="A39" s="327"/>
      <c r="B39" s="327"/>
      <c r="C39" s="327"/>
      <c r="D39" s="327"/>
      <c r="E39" s="358"/>
      <c r="F39" s="358"/>
      <c r="G39" s="175">
        <v>6</v>
      </c>
      <c r="H39" s="165">
        <v>2.2349999999999999</v>
      </c>
      <c r="I39" s="172">
        <v>2.42</v>
      </c>
      <c r="J39" s="167">
        <f t="shared" si="4"/>
        <v>5.41</v>
      </c>
      <c r="K39" s="172">
        <v>26</v>
      </c>
      <c r="L39" s="168">
        <f t="shared" si="5"/>
        <v>140.66</v>
      </c>
    </row>
    <row r="40" spans="1:13" ht="15" x14ac:dyDescent="0.3">
      <c r="A40" s="327"/>
      <c r="B40" s="327"/>
      <c r="C40" s="327"/>
      <c r="D40" s="327"/>
      <c r="E40" s="358"/>
      <c r="F40" s="358"/>
      <c r="G40" s="175">
        <v>4</v>
      </c>
      <c r="H40" s="165">
        <v>0.99</v>
      </c>
      <c r="I40" s="172">
        <v>2.31</v>
      </c>
      <c r="J40" s="167">
        <f t="shared" si="4"/>
        <v>2.29</v>
      </c>
      <c r="K40" s="172">
        <v>26</v>
      </c>
      <c r="L40" s="168">
        <f t="shared" si="5"/>
        <v>59.54</v>
      </c>
    </row>
    <row r="41" spans="1:13" ht="15" x14ac:dyDescent="0.3">
      <c r="A41" s="327"/>
      <c r="B41" s="327"/>
      <c r="C41" s="327"/>
      <c r="D41" s="327"/>
      <c r="E41" s="358"/>
      <c r="F41" s="359"/>
      <c r="G41" s="175">
        <v>4</v>
      </c>
      <c r="H41" s="165">
        <v>0.99</v>
      </c>
      <c r="I41" s="172">
        <f>5.26</f>
        <v>5.26</v>
      </c>
      <c r="J41" s="167">
        <f t="shared" si="4"/>
        <v>5.21</v>
      </c>
      <c r="K41" s="172">
        <f>11*2</f>
        <v>22</v>
      </c>
      <c r="L41" s="168">
        <f t="shared" si="5"/>
        <v>114.62</v>
      </c>
      <c r="M41" s="27" t="s">
        <v>341</v>
      </c>
    </row>
    <row r="42" spans="1:13" ht="15" x14ac:dyDescent="0.3">
      <c r="A42" s="327"/>
      <c r="B42" s="327"/>
      <c r="C42" s="327"/>
      <c r="D42" s="327"/>
      <c r="E42" s="358"/>
      <c r="F42" s="357" t="s">
        <v>342</v>
      </c>
      <c r="G42" s="175">
        <v>5</v>
      </c>
      <c r="H42" s="165">
        <v>1.552</v>
      </c>
      <c r="I42" s="172">
        <v>2.2999999999999998</v>
      </c>
      <c r="J42" s="167">
        <f t="shared" si="4"/>
        <v>3.57</v>
      </c>
      <c r="K42" s="172">
        <v>26</v>
      </c>
      <c r="L42" s="168">
        <f t="shared" si="5"/>
        <v>92.82</v>
      </c>
    </row>
    <row r="43" spans="1:13" ht="15" x14ac:dyDescent="0.3">
      <c r="A43" s="327"/>
      <c r="B43" s="327"/>
      <c r="C43" s="327"/>
      <c r="D43" s="327"/>
      <c r="E43" s="358"/>
      <c r="F43" s="358"/>
      <c r="G43" s="175">
        <v>4</v>
      </c>
      <c r="H43" s="165">
        <v>0.99</v>
      </c>
      <c r="I43" s="172">
        <v>3.9</v>
      </c>
      <c r="J43" s="167">
        <f t="shared" si="4"/>
        <v>3.86</v>
      </c>
      <c r="K43" s="172">
        <v>26</v>
      </c>
      <c r="L43" s="168">
        <f t="shared" si="5"/>
        <v>100.36</v>
      </c>
    </row>
    <row r="44" spans="1:13" ht="15" x14ac:dyDescent="0.3">
      <c r="A44" s="327"/>
      <c r="B44" s="327"/>
      <c r="C44" s="327"/>
      <c r="D44" s="327"/>
      <c r="E44" s="358"/>
      <c r="F44" s="358"/>
      <c r="G44" s="175">
        <v>4</v>
      </c>
      <c r="H44" s="165">
        <v>0.99</v>
      </c>
      <c r="I44" s="172">
        <v>1.71</v>
      </c>
      <c r="J44" s="167">
        <f t="shared" si="4"/>
        <v>1.69</v>
      </c>
      <c r="K44" s="172">
        <v>26</v>
      </c>
      <c r="L44" s="168">
        <f t="shared" si="5"/>
        <v>43.94</v>
      </c>
    </row>
    <row r="45" spans="1:13" ht="15" x14ac:dyDescent="0.3">
      <c r="A45" s="327"/>
      <c r="B45" s="327"/>
      <c r="C45" s="327"/>
      <c r="D45" s="327"/>
      <c r="E45" s="358"/>
      <c r="F45" s="359"/>
      <c r="G45" s="175">
        <v>4</v>
      </c>
      <c r="H45" s="165">
        <v>0.99</v>
      </c>
      <c r="I45" s="172">
        <f>5.26</f>
        <v>5.26</v>
      </c>
      <c r="J45" s="167">
        <f t="shared" si="4"/>
        <v>5.21</v>
      </c>
      <c r="K45" s="172">
        <f>17*2</f>
        <v>34</v>
      </c>
      <c r="L45" s="168">
        <f t="shared" si="5"/>
        <v>177.14</v>
      </c>
      <c r="M45" s="27" t="s">
        <v>343</v>
      </c>
    </row>
    <row r="46" spans="1:13" ht="15" x14ac:dyDescent="0.3">
      <c r="A46" s="327"/>
      <c r="B46" s="327"/>
      <c r="C46" s="327"/>
      <c r="D46" s="327"/>
      <c r="E46" s="165"/>
      <c r="F46" s="165"/>
      <c r="G46" s="175"/>
      <c r="H46" s="165"/>
      <c r="I46" s="45"/>
      <c r="J46" s="45"/>
      <c r="K46" s="45"/>
      <c r="L46" s="168"/>
    </row>
    <row r="47" spans="1:13" x14ac:dyDescent="0.3">
      <c r="A47" s="327"/>
      <c r="B47" s="327"/>
      <c r="C47" s="327"/>
      <c r="D47" s="327"/>
      <c r="E47" s="38"/>
      <c r="F47" s="33"/>
      <c r="G47" s="33"/>
      <c r="H47" s="33"/>
      <c r="I47" s="33"/>
      <c r="J47" s="32"/>
      <c r="K47" s="33"/>
      <c r="L47" s="187"/>
    </row>
    <row r="48" spans="1:13" x14ac:dyDescent="0.3">
      <c r="A48" s="327"/>
      <c r="B48" s="327"/>
      <c r="C48" s="327"/>
      <c r="D48" s="327"/>
      <c r="E48" s="324" t="s">
        <v>45</v>
      </c>
      <c r="F48" s="324"/>
      <c r="G48" s="324"/>
      <c r="H48" s="324"/>
      <c r="I48" s="324"/>
      <c r="J48" s="324"/>
      <c r="K48" s="324"/>
      <c r="L48" s="188">
        <f>SUM(L12:L47)</f>
        <v>2030.6599999999999</v>
      </c>
    </row>
    <row r="49" spans="1:12" s="31" customFormat="1" hidden="1" x14ac:dyDescent="0.3">
      <c r="A49" s="328" t="s">
        <v>46</v>
      </c>
      <c r="B49" s="328"/>
      <c r="C49" s="328" t="s">
        <v>46</v>
      </c>
      <c r="D49" s="328"/>
      <c r="E49" s="328" t="s">
        <v>47</v>
      </c>
      <c r="F49" s="328"/>
      <c r="G49" s="328"/>
      <c r="H49" s="328" t="s">
        <v>48</v>
      </c>
      <c r="I49" s="328"/>
      <c r="J49" s="328"/>
      <c r="K49" s="328"/>
      <c r="L49" s="328"/>
    </row>
    <row r="50" spans="1:12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  <c r="L50" s="330"/>
    </row>
    <row r="51" spans="1:12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  <c r="L51" s="330"/>
    </row>
    <row r="52" spans="1:12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  <c r="L52" s="330"/>
    </row>
    <row r="53" spans="1:12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  <c r="L53" s="330"/>
    </row>
    <row r="54" spans="1:12" s="31" customFormat="1" hidden="1" x14ac:dyDescent="0.3">
      <c r="A54" s="330"/>
      <c r="B54" s="330"/>
      <c r="C54" s="330"/>
      <c r="D54" s="330"/>
      <c r="E54" s="330"/>
      <c r="F54" s="330"/>
      <c r="G54" s="330"/>
      <c r="H54" s="330"/>
      <c r="I54" s="330"/>
      <c r="J54" s="330"/>
      <c r="K54" s="330"/>
      <c r="L54" s="330"/>
    </row>
    <row r="55" spans="1:12" s="31" customFormat="1" hidden="1" x14ac:dyDescent="0.3">
      <c r="A55" s="330"/>
      <c r="B55" s="330"/>
      <c r="C55" s="330"/>
      <c r="D55" s="330"/>
      <c r="E55" s="330"/>
      <c r="F55" s="330"/>
      <c r="G55" s="330"/>
      <c r="H55" s="330"/>
      <c r="I55" s="330"/>
      <c r="J55" s="330"/>
      <c r="K55" s="330"/>
      <c r="L55" s="330"/>
    </row>
    <row r="56" spans="1:12" s="31" customFormat="1" ht="15.75" hidden="1" customHeight="1" thickBot="1" x14ac:dyDescent="0.35">
      <c r="A56" s="331"/>
      <c r="B56" s="332"/>
      <c r="C56" s="332"/>
      <c r="D56" s="332"/>
      <c r="E56" s="332"/>
      <c r="F56" s="332"/>
      <c r="G56" s="332"/>
      <c r="H56" s="332"/>
      <c r="I56" s="332"/>
      <c r="J56" s="332"/>
      <c r="K56" s="332"/>
      <c r="L56" s="333"/>
    </row>
    <row r="57" spans="1:12" hidden="1" x14ac:dyDescent="0.3"/>
    <row r="59" spans="1:12" ht="15" customHeight="1" x14ac:dyDescent="0.3"/>
    <row r="60" spans="1:12" ht="28.5" customHeight="1" x14ac:dyDescent="0.3"/>
  </sheetData>
  <mergeCells count="38">
    <mergeCell ref="A56:L56"/>
    <mergeCell ref="A49:B49"/>
    <mergeCell ref="C49:D49"/>
    <mergeCell ref="E49:G49"/>
    <mergeCell ref="H49:L49"/>
    <mergeCell ref="A50:B55"/>
    <mergeCell ref="C50:D55"/>
    <mergeCell ref="E50:G55"/>
    <mergeCell ref="H50:L55"/>
    <mergeCell ref="L9:L10"/>
    <mergeCell ref="A10:D48"/>
    <mergeCell ref="F11:L11"/>
    <mergeCell ref="E14:E31"/>
    <mergeCell ref="F32:L32"/>
    <mergeCell ref="E38:E45"/>
    <mergeCell ref="F38:F41"/>
    <mergeCell ref="F42:F45"/>
    <mergeCell ref="E48:K48"/>
    <mergeCell ref="A9:D9"/>
    <mergeCell ref="E9:F10"/>
    <mergeCell ref="G9:I9"/>
    <mergeCell ref="J9:J10"/>
    <mergeCell ref="K9:K10"/>
    <mergeCell ref="E5:H5"/>
    <mergeCell ref="J5:L5"/>
    <mergeCell ref="A6:L6"/>
    <mergeCell ref="D7:J7"/>
    <mergeCell ref="A8:L8"/>
    <mergeCell ref="A1:B5"/>
    <mergeCell ref="C1:D2"/>
    <mergeCell ref="E1:H1"/>
    <mergeCell ref="J1:L1"/>
    <mergeCell ref="E2:H2"/>
    <mergeCell ref="J2:L2"/>
    <mergeCell ref="C3:D5"/>
    <mergeCell ref="E3:L3"/>
    <mergeCell ref="E4:H4"/>
    <mergeCell ref="J4:L4"/>
  </mergeCells>
  <pageMargins left="0.7" right="0.7" top="0.75" bottom="0.75" header="0.3" footer="0.3"/>
  <pageSetup paperSize="9" scale="50" orientation="landscape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989A9-4BC9-4DE3-B49C-3768CEE3A187}">
  <sheetPr>
    <tabColor rgb="FFFFFF00"/>
  </sheetPr>
  <dimension ref="A1:K55"/>
  <sheetViews>
    <sheetView zoomScale="98" zoomScaleNormal="98" workbookViewId="0">
      <selection activeCell="I26" sqref="I26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4.9000000000000004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s">
        <v>60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(M2)</v>
      </c>
      <c r="J9" s="326" t="s">
        <v>44</v>
      </c>
      <c r="K9" s="326" t="str">
        <f>+CONCATENATE("(k) MEDIDA TOTAL"," ","(",K7,")")</f>
        <v>(k) MEDIDA TOTAL (M2)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321</v>
      </c>
      <c r="F12" s="43"/>
      <c r="G12" s="43"/>
      <c r="H12" s="43"/>
      <c r="I12" s="33"/>
      <c r="J12" s="33"/>
      <c r="K12" s="37"/>
    </row>
    <row r="13" spans="1:11" x14ac:dyDescent="0.3">
      <c r="A13" s="327"/>
      <c r="B13" s="327"/>
      <c r="C13" s="327"/>
      <c r="D13" s="327"/>
      <c r="E13" s="38" t="s">
        <v>304</v>
      </c>
      <c r="F13" s="43">
        <v>3.9</v>
      </c>
      <c r="G13" s="43">
        <v>1.5</v>
      </c>
      <c r="H13" s="43"/>
      <c r="I13" s="43">
        <f>F13*G13</f>
        <v>5.85</v>
      </c>
      <c r="J13" s="33">
        <v>1</v>
      </c>
      <c r="K13" s="37">
        <f t="shared" ref="K13" si="0">I13*J13</f>
        <v>5.85</v>
      </c>
    </row>
    <row r="14" spans="1:11" x14ac:dyDescent="0.3">
      <c r="A14" s="327"/>
      <c r="B14" s="327"/>
      <c r="C14" s="327"/>
      <c r="D14" s="327"/>
      <c r="E14" s="38" t="s">
        <v>328</v>
      </c>
      <c r="F14" s="43">
        <v>0.3</v>
      </c>
      <c r="G14" s="43">
        <v>3.9</v>
      </c>
      <c r="H14" s="43">
        <v>0.18</v>
      </c>
      <c r="I14" s="176">
        <f>(H14+F14)*G14</f>
        <v>1.8719999999999999</v>
      </c>
      <c r="J14" s="33">
        <v>17</v>
      </c>
      <c r="K14" s="37">
        <f>I14*J14</f>
        <v>31.823999999999998</v>
      </c>
    </row>
    <row r="15" spans="1:11" x14ac:dyDescent="0.3">
      <c r="A15" s="327"/>
      <c r="B15" s="327"/>
      <c r="C15" s="327"/>
      <c r="D15" s="327"/>
      <c r="E15" s="38" t="s">
        <v>322</v>
      </c>
      <c r="F15" s="43"/>
      <c r="G15" s="43"/>
      <c r="H15" s="43"/>
      <c r="I15" s="33"/>
      <c r="J15" s="33"/>
      <c r="K15" s="37"/>
    </row>
    <row r="16" spans="1:11" x14ac:dyDescent="0.3">
      <c r="A16" s="327"/>
      <c r="B16" s="327"/>
      <c r="C16" s="327"/>
      <c r="D16" s="327"/>
      <c r="E16" s="38" t="s">
        <v>328</v>
      </c>
      <c r="F16" s="43">
        <v>0.3</v>
      </c>
      <c r="G16" s="43">
        <v>1.6</v>
      </c>
      <c r="H16" s="43">
        <v>0.18</v>
      </c>
      <c r="I16" s="176">
        <f>(H16+F16)*G16</f>
        <v>0.76800000000000002</v>
      </c>
      <c r="J16" s="33">
        <v>10</v>
      </c>
      <c r="K16" s="37">
        <f>I16*J16</f>
        <v>7.68</v>
      </c>
    </row>
    <row r="17" spans="1:11" x14ac:dyDescent="0.3">
      <c r="A17" s="327"/>
      <c r="B17" s="327"/>
      <c r="C17" s="327"/>
      <c r="D17" s="327"/>
      <c r="E17" s="38"/>
      <c r="F17" s="43"/>
      <c r="G17" s="43"/>
      <c r="H17" s="43"/>
      <c r="I17" s="33"/>
      <c r="J17" s="33"/>
      <c r="K17" s="37"/>
    </row>
    <row r="18" spans="1:11" x14ac:dyDescent="0.3">
      <c r="A18" s="327"/>
      <c r="B18" s="327"/>
      <c r="C18" s="327"/>
      <c r="D18" s="327"/>
      <c r="E18" s="38"/>
      <c r="F18" s="43"/>
      <c r="G18" s="43"/>
      <c r="H18" s="43"/>
      <c r="I18" s="33"/>
      <c r="J18" s="43"/>
      <c r="K18" s="37"/>
    </row>
    <row r="19" spans="1:11" x14ac:dyDescent="0.3">
      <c r="A19" s="327"/>
      <c r="B19" s="327"/>
      <c r="C19" s="327"/>
      <c r="D19" s="327"/>
      <c r="E19" s="38"/>
      <c r="F19" s="43"/>
      <c r="G19" s="43"/>
      <c r="H19" s="43"/>
      <c r="I19" s="43"/>
      <c r="J19" s="43"/>
      <c r="K19" s="37"/>
    </row>
    <row r="20" spans="1:11" x14ac:dyDescent="0.3">
      <c r="A20" s="327"/>
      <c r="B20" s="327"/>
      <c r="C20" s="327"/>
      <c r="D20" s="327"/>
      <c r="E20" s="38"/>
      <c r="F20" s="43"/>
      <c r="G20" s="43"/>
      <c r="H20" s="43"/>
      <c r="I20" s="43"/>
      <c r="J20" s="43"/>
      <c r="K20" s="37"/>
    </row>
    <row r="21" spans="1:11" x14ac:dyDescent="0.3">
      <c r="A21" s="327"/>
      <c r="B21" s="327"/>
      <c r="C21" s="327"/>
      <c r="D21" s="327"/>
      <c r="E21" s="38"/>
      <c r="F21" s="43"/>
      <c r="G21" s="43"/>
      <c r="H21" s="43"/>
      <c r="I21" s="43"/>
      <c r="J21" s="43"/>
      <c r="K21" s="37"/>
    </row>
    <row r="22" spans="1:11" x14ac:dyDescent="0.3">
      <c r="A22" s="327"/>
      <c r="B22" s="327"/>
      <c r="C22" s="327"/>
      <c r="D22" s="327"/>
      <c r="E22" s="38"/>
      <c r="F22" s="43"/>
      <c r="G22" s="43"/>
      <c r="H22" s="43"/>
      <c r="I22" s="43"/>
      <c r="J22" s="43"/>
      <c r="K22" s="37"/>
    </row>
    <row r="23" spans="1:11" x14ac:dyDescent="0.3">
      <c r="A23" s="327"/>
      <c r="B23" s="327"/>
      <c r="C23" s="327"/>
      <c r="D23" s="327"/>
      <c r="E23" s="38"/>
      <c r="F23" s="43"/>
      <c r="G23" s="43"/>
      <c r="H23" s="43"/>
      <c r="I23" s="43"/>
      <c r="J23" s="4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1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1" x14ac:dyDescent="0.3">
      <c r="A34" s="327"/>
      <c r="B34" s="327"/>
      <c r="C34" s="327"/>
      <c r="D34" s="327"/>
      <c r="E34" s="38"/>
      <c r="F34" s="159"/>
      <c r="G34" s="45"/>
      <c r="H34" s="45"/>
      <c r="I34" s="32"/>
      <c r="J34" s="33"/>
      <c r="K34" s="37"/>
    </row>
    <row r="35" spans="1:11" x14ac:dyDescent="0.3">
      <c r="A35" s="327"/>
      <c r="B35" s="327"/>
      <c r="C35" s="327"/>
      <c r="D35" s="327"/>
      <c r="E35" s="38"/>
      <c r="F35" s="159"/>
      <c r="G35" s="45"/>
      <c r="H35" s="45"/>
      <c r="I35" s="32"/>
      <c r="J35" s="33"/>
      <c r="K35" s="37"/>
    </row>
    <row r="36" spans="1:11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1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1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1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1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1" x14ac:dyDescent="0.3">
      <c r="A41" s="327"/>
      <c r="B41" s="327"/>
      <c r="C41" s="327"/>
      <c r="D41" s="327"/>
      <c r="E41" s="38"/>
      <c r="F41" s="33"/>
      <c r="G41" s="33"/>
      <c r="H41" s="33"/>
      <c r="I41" s="32"/>
      <c r="J41" s="32"/>
      <c r="K41" s="39"/>
    </row>
    <row r="42" spans="1:11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1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1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1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1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164">
        <f>SUM(K11:K45)</f>
        <v>45.353999999999999</v>
      </c>
    </row>
    <row r="47" spans="1:11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1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A48:B53"/>
    <mergeCell ref="C48:D53"/>
    <mergeCell ref="E48:G53"/>
    <mergeCell ref="H48:K53"/>
    <mergeCell ref="A54:K54"/>
  </mergeCells>
  <pageMargins left="0.7" right="0.7" top="0.75" bottom="0.75" header="0.3" footer="0.3"/>
  <pageSetup paperSize="9" scale="50" orientation="landscape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69707-0B95-4840-9600-F8198479668E}">
  <sheetPr>
    <tabColor rgb="FF002060"/>
  </sheetPr>
  <dimension ref="A1:L55"/>
  <sheetViews>
    <sheetView topLeftCell="A6" zoomScale="98" zoomScaleNormal="98" workbookViewId="0">
      <selection activeCell="G32" sqref="G32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2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2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2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2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2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2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2" s="31" customFormat="1" x14ac:dyDescent="0.3">
      <c r="A7" s="35" t="s">
        <v>56</v>
      </c>
      <c r="B7" s="28">
        <v>4.9000000000000004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s">
        <v>60</v>
      </c>
    </row>
    <row r="8" spans="1:12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2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(M2)</v>
      </c>
      <c r="J9" s="326" t="s">
        <v>44</v>
      </c>
      <c r="K9" s="326" t="str">
        <f>+CONCATENATE("(k) MEDIDA TOTAL"," ","(",K7,")")</f>
        <v>(k) MEDIDA TOTAL (M2)</v>
      </c>
    </row>
    <row r="10" spans="1:12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2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2" x14ac:dyDescent="0.3">
      <c r="A12" s="327"/>
      <c r="B12" s="327"/>
      <c r="C12" s="327"/>
      <c r="D12" s="327"/>
      <c r="E12" s="38" t="s">
        <v>278</v>
      </c>
      <c r="F12" s="43"/>
      <c r="G12" s="43"/>
      <c r="H12" s="43"/>
      <c r="I12" s="33"/>
      <c r="J12" s="33"/>
      <c r="K12" s="37">
        <f>J12</f>
        <v>0</v>
      </c>
    </row>
    <row r="13" spans="1:12" x14ac:dyDescent="0.3">
      <c r="A13" s="327"/>
      <c r="B13" s="327"/>
      <c r="C13" s="327"/>
      <c r="D13" s="327"/>
      <c r="E13" s="38" t="s">
        <v>279</v>
      </c>
      <c r="F13" s="43"/>
      <c r="G13" s="43">
        <v>3.9</v>
      </c>
      <c r="H13" s="43"/>
      <c r="I13" s="176">
        <f>G13</f>
        <v>3.9</v>
      </c>
      <c r="J13" s="33"/>
      <c r="K13" s="37">
        <f>I13*J13</f>
        <v>0</v>
      </c>
      <c r="L13" s="33">
        <v>10</v>
      </c>
    </row>
    <row r="14" spans="1:12" x14ac:dyDescent="0.3">
      <c r="A14" s="327"/>
      <c r="B14" s="327"/>
      <c r="C14" s="327"/>
      <c r="D14" s="327"/>
      <c r="E14" s="38"/>
      <c r="F14" s="43"/>
      <c r="G14" s="43"/>
      <c r="H14" s="43"/>
      <c r="I14" s="33"/>
      <c r="J14" s="33"/>
      <c r="K14" s="37"/>
      <c r="L14" s="33"/>
    </row>
    <row r="15" spans="1:12" x14ac:dyDescent="0.3">
      <c r="A15" s="327"/>
      <c r="B15" s="327"/>
      <c r="C15" s="327"/>
      <c r="D15" s="327"/>
      <c r="E15" s="38"/>
      <c r="F15" s="43"/>
      <c r="G15" s="43"/>
      <c r="H15" s="43"/>
      <c r="I15" s="43"/>
      <c r="J15" s="33"/>
      <c r="K15" s="37"/>
      <c r="L15" s="33"/>
    </row>
    <row r="16" spans="1:12" x14ac:dyDescent="0.3">
      <c r="A16" s="327"/>
      <c r="B16" s="327"/>
      <c r="C16" s="327"/>
      <c r="D16" s="327"/>
      <c r="E16" s="38" t="s">
        <v>281</v>
      </c>
      <c r="F16" s="43"/>
      <c r="G16" s="43">
        <v>3.9</v>
      </c>
      <c r="H16" s="43"/>
      <c r="I16" s="176">
        <f>G16</f>
        <v>3.9</v>
      </c>
      <c r="J16" s="33"/>
      <c r="K16" s="37">
        <f>I16*J16</f>
        <v>0</v>
      </c>
      <c r="L16" s="33">
        <v>9</v>
      </c>
    </row>
    <row r="17" spans="1:11" x14ac:dyDescent="0.3">
      <c r="A17" s="327"/>
      <c r="B17" s="327"/>
      <c r="C17" s="327"/>
      <c r="D17" s="327"/>
      <c r="E17" s="38"/>
      <c r="F17" s="43"/>
      <c r="G17" s="43"/>
      <c r="H17" s="43"/>
      <c r="I17" s="33"/>
      <c r="J17" s="33"/>
      <c r="K17" s="37"/>
    </row>
    <row r="18" spans="1:11" x14ac:dyDescent="0.3">
      <c r="A18" s="327"/>
      <c r="B18" s="327"/>
      <c r="C18" s="327"/>
      <c r="D18" s="327"/>
      <c r="E18" s="38"/>
      <c r="F18" s="43"/>
      <c r="G18" s="43"/>
      <c r="H18" s="43"/>
      <c r="I18" s="33"/>
      <c r="J18" s="43"/>
      <c r="K18" s="37"/>
    </row>
    <row r="19" spans="1:11" x14ac:dyDescent="0.3">
      <c r="A19" s="327"/>
      <c r="B19" s="327"/>
      <c r="C19" s="327"/>
      <c r="D19" s="327"/>
      <c r="E19" s="38"/>
      <c r="F19" s="43"/>
      <c r="G19" s="43"/>
      <c r="H19" s="43"/>
      <c r="I19" s="43"/>
      <c r="J19" s="43"/>
      <c r="K19" s="37"/>
    </row>
    <row r="20" spans="1:11" x14ac:dyDescent="0.3">
      <c r="A20" s="327"/>
      <c r="B20" s="327"/>
      <c r="C20" s="327"/>
      <c r="D20" s="327"/>
      <c r="E20" s="38"/>
      <c r="F20" s="43"/>
      <c r="G20" s="43"/>
      <c r="H20" s="43"/>
      <c r="I20" s="43"/>
      <c r="J20" s="43"/>
      <c r="K20" s="37"/>
    </row>
    <row r="21" spans="1:11" x14ac:dyDescent="0.3">
      <c r="A21" s="327"/>
      <c r="B21" s="327"/>
      <c r="C21" s="327"/>
      <c r="D21" s="327"/>
      <c r="E21" s="38"/>
      <c r="F21" s="43"/>
      <c r="G21" s="43"/>
      <c r="H21" s="43"/>
      <c r="I21" s="43"/>
      <c r="J21" s="43"/>
      <c r="K21" s="37"/>
    </row>
    <row r="22" spans="1:11" x14ac:dyDescent="0.3">
      <c r="A22" s="327"/>
      <c r="B22" s="327"/>
      <c r="C22" s="327"/>
      <c r="D22" s="327"/>
      <c r="E22" s="38"/>
      <c r="F22" s="43"/>
      <c r="G22" s="43"/>
      <c r="H22" s="43"/>
      <c r="I22" s="43"/>
      <c r="J22" s="43"/>
      <c r="K22" s="37"/>
    </row>
    <row r="23" spans="1:11" x14ac:dyDescent="0.3">
      <c r="A23" s="327"/>
      <c r="B23" s="327"/>
      <c r="C23" s="327"/>
      <c r="D23" s="327"/>
      <c r="E23" s="38"/>
      <c r="F23" s="43"/>
      <c r="G23" s="43"/>
      <c r="H23" s="43"/>
      <c r="I23" s="43"/>
      <c r="J23" s="4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1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1" x14ac:dyDescent="0.3">
      <c r="A34" s="327"/>
      <c r="B34" s="327"/>
      <c r="C34" s="327"/>
      <c r="D34" s="327"/>
      <c r="E34" s="38"/>
      <c r="F34" s="159"/>
      <c r="G34" s="45"/>
      <c r="H34" s="45"/>
      <c r="I34" s="32"/>
      <c r="J34" s="33"/>
      <c r="K34" s="37"/>
    </row>
    <row r="35" spans="1:11" x14ac:dyDescent="0.3">
      <c r="A35" s="327"/>
      <c r="B35" s="327"/>
      <c r="C35" s="327"/>
      <c r="D35" s="327"/>
      <c r="E35" s="38"/>
      <c r="F35" s="159"/>
      <c r="G35" s="45"/>
      <c r="H35" s="45"/>
      <c r="I35" s="32"/>
      <c r="J35" s="33"/>
      <c r="K35" s="37"/>
    </row>
    <row r="36" spans="1:11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1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1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1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1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1" x14ac:dyDescent="0.3">
      <c r="A41" s="327"/>
      <c r="B41" s="327"/>
      <c r="C41" s="327"/>
      <c r="D41" s="327"/>
      <c r="E41" s="38"/>
      <c r="F41" s="33"/>
      <c r="G41" s="33"/>
      <c r="H41" s="33"/>
      <c r="I41" s="32"/>
      <c r="J41" s="32"/>
      <c r="K41" s="39"/>
    </row>
    <row r="42" spans="1:11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1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1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1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1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164">
        <f>SUM(K11:K45)</f>
        <v>0</v>
      </c>
    </row>
    <row r="47" spans="1:11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1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2">
    <mergeCell ref="A48:B53"/>
    <mergeCell ref="C48:D53"/>
    <mergeCell ref="E48:G53"/>
    <mergeCell ref="H48:K53"/>
    <mergeCell ref="A54:K5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scale="50" orientation="landscape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E4016-7B68-475E-AC08-F7D8BBA7191E}">
  <sheetPr>
    <tabColor rgb="FF002060"/>
  </sheetPr>
  <dimension ref="A1:L55"/>
  <sheetViews>
    <sheetView zoomScale="98" zoomScaleNormal="98" workbookViewId="0">
      <selection activeCell="E17" sqref="E17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2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2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2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2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2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2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2" s="31" customFormat="1" x14ac:dyDescent="0.3">
      <c r="A7" s="35" t="s">
        <v>56</v>
      </c>
      <c r="B7" s="28">
        <v>4.9000000000000004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s">
        <v>60</v>
      </c>
    </row>
    <row r="8" spans="1:12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2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(M2)</v>
      </c>
      <c r="J9" s="326" t="s">
        <v>44</v>
      </c>
      <c r="K9" s="326" t="str">
        <f>+CONCATENATE("(k) MEDIDA TOTAL"," ","(",K7,")")</f>
        <v>(k) MEDIDA TOTAL (M2)</v>
      </c>
    </row>
    <row r="10" spans="1:12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2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2" x14ac:dyDescent="0.3">
      <c r="A12" s="327"/>
      <c r="B12" s="327"/>
      <c r="C12" s="327"/>
      <c r="D12" s="327"/>
      <c r="E12" s="38" t="s">
        <v>278</v>
      </c>
      <c r="F12" s="43"/>
      <c r="G12" s="43"/>
      <c r="H12" s="43"/>
      <c r="I12" s="33"/>
      <c r="J12" s="33"/>
      <c r="K12" s="37"/>
    </row>
    <row r="13" spans="1:12" x14ac:dyDescent="0.3">
      <c r="A13" s="327"/>
      <c r="B13" s="327"/>
      <c r="C13" s="327"/>
      <c r="D13" s="327"/>
      <c r="E13" s="38" t="s">
        <v>304</v>
      </c>
      <c r="F13" s="43">
        <v>3.9</v>
      </c>
      <c r="G13" s="43">
        <v>1.65</v>
      </c>
      <c r="H13" s="43"/>
      <c r="I13" s="43">
        <f>F13*G13</f>
        <v>6.4349999999999996</v>
      </c>
      <c r="J13" s="33"/>
      <c r="K13" s="37">
        <f t="shared" ref="K13" si="0">I13*J13</f>
        <v>0</v>
      </c>
      <c r="L13" s="33">
        <v>1</v>
      </c>
    </row>
    <row r="14" spans="1:12" x14ac:dyDescent="0.3">
      <c r="A14" s="327"/>
      <c r="B14" s="327"/>
      <c r="C14" s="327"/>
      <c r="D14" s="327"/>
      <c r="E14" s="38"/>
      <c r="F14" s="43"/>
      <c r="G14" s="43"/>
      <c r="H14" s="43"/>
      <c r="I14" s="33"/>
      <c r="J14" s="33"/>
      <c r="K14" s="37"/>
      <c r="L14" s="33"/>
    </row>
    <row r="15" spans="1:12" x14ac:dyDescent="0.3">
      <c r="A15" s="327"/>
      <c r="B15" s="327"/>
      <c r="C15" s="327"/>
      <c r="D15" s="327"/>
      <c r="E15" s="38" t="s">
        <v>280</v>
      </c>
      <c r="F15" s="43">
        <v>3.9</v>
      </c>
      <c r="G15" s="43">
        <v>1.2</v>
      </c>
      <c r="H15" s="43"/>
      <c r="I15" s="43">
        <f>F15*G15</f>
        <v>4.68</v>
      </c>
      <c r="J15" s="33"/>
      <c r="K15" s="37">
        <f t="shared" ref="K15" si="1">I15*J15</f>
        <v>0</v>
      </c>
      <c r="L15" s="33">
        <v>1</v>
      </c>
    </row>
    <row r="16" spans="1:12" x14ac:dyDescent="0.3">
      <c r="A16" s="327"/>
      <c r="B16" s="327"/>
      <c r="C16" s="327"/>
      <c r="D16" s="327"/>
      <c r="E16" s="38" t="s">
        <v>281</v>
      </c>
      <c r="F16" s="43"/>
      <c r="G16" s="43"/>
      <c r="H16" s="43"/>
      <c r="I16" s="33"/>
      <c r="J16" s="33"/>
      <c r="K16" s="37"/>
    </row>
    <row r="17" spans="1:11" x14ac:dyDescent="0.3">
      <c r="A17" s="327"/>
      <c r="B17" s="327"/>
      <c r="C17" s="327"/>
      <c r="D17" s="327"/>
      <c r="E17" s="38"/>
      <c r="F17" s="43"/>
      <c r="G17" s="43"/>
      <c r="H17" s="43"/>
      <c r="I17" s="33"/>
      <c r="J17" s="33"/>
      <c r="K17" s="37"/>
    </row>
    <row r="18" spans="1:11" x14ac:dyDescent="0.3">
      <c r="A18" s="327"/>
      <c r="B18" s="327"/>
      <c r="C18" s="327"/>
      <c r="D18" s="327"/>
      <c r="E18" s="38"/>
      <c r="F18" s="43"/>
      <c r="G18" s="43"/>
      <c r="H18" s="43"/>
      <c r="I18" s="33"/>
      <c r="J18" s="43"/>
      <c r="K18" s="37"/>
    </row>
    <row r="19" spans="1:11" x14ac:dyDescent="0.3">
      <c r="A19" s="327"/>
      <c r="B19" s="327"/>
      <c r="C19" s="327"/>
      <c r="D19" s="327"/>
      <c r="E19" s="38"/>
      <c r="F19" s="43"/>
      <c r="G19" s="43"/>
      <c r="H19" s="43"/>
      <c r="I19" s="43"/>
      <c r="J19" s="43"/>
      <c r="K19" s="37"/>
    </row>
    <row r="20" spans="1:11" x14ac:dyDescent="0.3">
      <c r="A20" s="327"/>
      <c r="B20" s="327"/>
      <c r="C20" s="327"/>
      <c r="D20" s="327"/>
      <c r="E20" s="38"/>
      <c r="F20" s="43"/>
      <c r="G20" s="43"/>
      <c r="H20" s="43"/>
      <c r="I20" s="43"/>
      <c r="J20" s="43"/>
      <c r="K20" s="37"/>
    </row>
    <row r="21" spans="1:11" x14ac:dyDescent="0.3">
      <c r="A21" s="327"/>
      <c r="B21" s="327"/>
      <c r="C21" s="327"/>
      <c r="D21" s="327"/>
      <c r="E21" s="38"/>
      <c r="F21" s="43"/>
      <c r="G21" s="43"/>
      <c r="H21" s="43"/>
      <c r="I21" s="43"/>
      <c r="J21" s="43"/>
      <c r="K21" s="37"/>
    </row>
    <row r="22" spans="1:11" x14ac:dyDescent="0.3">
      <c r="A22" s="327"/>
      <c r="B22" s="327"/>
      <c r="C22" s="327"/>
      <c r="D22" s="327"/>
      <c r="E22" s="38"/>
      <c r="F22" s="43"/>
      <c r="G22" s="43"/>
      <c r="H22" s="43"/>
      <c r="I22" s="43"/>
      <c r="J22" s="43"/>
      <c r="K22" s="37"/>
    </row>
    <row r="23" spans="1:11" x14ac:dyDescent="0.3">
      <c r="A23" s="327"/>
      <c r="B23" s="327"/>
      <c r="C23" s="327"/>
      <c r="D23" s="327"/>
      <c r="E23" s="38"/>
      <c r="F23" s="43"/>
      <c r="G23" s="43"/>
      <c r="H23" s="43"/>
      <c r="I23" s="43"/>
      <c r="J23" s="4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1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1" x14ac:dyDescent="0.3">
      <c r="A34" s="327"/>
      <c r="B34" s="327"/>
      <c r="C34" s="327"/>
      <c r="D34" s="327"/>
      <c r="E34" s="38"/>
      <c r="F34" s="159"/>
      <c r="G34" s="45"/>
      <c r="H34" s="45"/>
      <c r="I34" s="32"/>
      <c r="J34" s="33"/>
      <c r="K34" s="37"/>
    </row>
    <row r="35" spans="1:11" x14ac:dyDescent="0.3">
      <c r="A35" s="327"/>
      <c r="B35" s="327"/>
      <c r="C35" s="327"/>
      <c r="D35" s="327"/>
      <c r="E35" s="38"/>
      <c r="F35" s="159"/>
      <c r="G35" s="45"/>
      <c r="H35" s="45"/>
      <c r="I35" s="32"/>
      <c r="J35" s="33"/>
      <c r="K35" s="37"/>
    </row>
    <row r="36" spans="1:11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1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1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1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1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1" x14ac:dyDescent="0.3">
      <c r="A41" s="327"/>
      <c r="B41" s="327"/>
      <c r="C41" s="327"/>
      <c r="D41" s="327"/>
      <c r="E41" s="38"/>
      <c r="F41" s="33"/>
      <c r="G41" s="33"/>
      <c r="H41" s="33"/>
      <c r="I41" s="32"/>
      <c r="J41" s="32"/>
      <c r="K41" s="39"/>
    </row>
    <row r="42" spans="1:11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1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1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1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1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164">
        <f>SUM(K11:K45)</f>
        <v>0</v>
      </c>
    </row>
    <row r="47" spans="1:11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1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2">
    <mergeCell ref="A48:B53"/>
    <mergeCell ref="C48:D53"/>
    <mergeCell ref="E48:G53"/>
    <mergeCell ref="H48:K53"/>
    <mergeCell ref="A54:K5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scale="50" orientation="landscape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5D57B-048C-4873-939B-5AAB8A86E964}">
  <sheetPr>
    <tabColor rgb="FFFFFF00"/>
  </sheetPr>
  <dimension ref="A1:K55"/>
  <sheetViews>
    <sheetView topLeftCell="A15" zoomScale="98" zoomScaleNormal="98" workbookViewId="0">
      <selection activeCell="G21" sqref="G21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4.9000000000000004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s">
        <v>65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(ML)</v>
      </c>
      <c r="J9" s="326" t="s">
        <v>44</v>
      </c>
      <c r="K9" s="326" t="str">
        <f>+CONCATENATE("(k) MEDIDA TOTAL"," ","(",K7,")")</f>
        <v>(k) MEDIDA TOTAL (ML)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278</v>
      </c>
      <c r="F12" s="43"/>
      <c r="G12" s="43"/>
      <c r="H12" s="43"/>
      <c r="I12" s="33"/>
      <c r="J12" s="33"/>
      <c r="K12" s="37"/>
    </row>
    <row r="13" spans="1:11" x14ac:dyDescent="0.3">
      <c r="A13" s="327"/>
      <c r="B13" s="327"/>
      <c r="C13" s="327"/>
      <c r="D13" s="327"/>
      <c r="E13" s="38" t="s">
        <v>321</v>
      </c>
      <c r="F13" s="43"/>
      <c r="G13" s="43">
        <v>6</v>
      </c>
      <c r="H13" s="43"/>
      <c r="I13" s="33">
        <f>G13</f>
        <v>6</v>
      </c>
      <c r="J13" s="33">
        <v>3</v>
      </c>
      <c r="K13" s="37">
        <f t="shared" ref="K13:K15" si="0">I13*J13</f>
        <v>18</v>
      </c>
    </row>
    <row r="14" spans="1:11" x14ac:dyDescent="0.3">
      <c r="A14" s="327"/>
      <c r="B14" s="327"/>
      <c r="C14" s="327"/>
      <c r="D14" s="327"/>
      <c r="E14" s="38"/>
      <c r="F14" s="43"/>
      <c r="G14" s="43"/>
      <c r="H14" s="43"/>
      <c r="I14" s="33"/>
      <c r="J14" s="33"/>
      <c r="K14" s="37"/>
    </row>
    <row r="15" spans="1:11" x14ac:dyDescent="0.3">
      <c r="A15" s="327"/>
      <c r="B15" s="327"/>
      <c r="C15" s="327"/>
      <c r="D15" s="327"/>
      <c r="E15" s="38" t="s">
        <v>322</v>
      </c>
      <c r="F15" s="43"/>
      <c r="G15" s="43">
        <v>3.75</v>
      </c>
      <c r="H15" s="43"/>
      <c r="I15" s="33">
        <f t="shared" ref="I15" si="1">G15</f>
        <v>3.75</v>
      </c>
      <c r="J15" s="33">
        <v>2</v>
      </c>
      <c r="K15" s="37">
        <f t="shared" si="0"/>
        <v>7.5</v>
      </c>
    </row>
    <row r="16" spans="1:11" x14ac:dyDescent="0.3">
      <c r="A16" s="327"/>
      <c r="B16" s="327"/>
      <c r="C16" s="327"/>
      <c r="D16" s="327"/>
      <c r="E16" s="38"/>
      <c r="F16" s="43"/>
      <c r="G16" s="43"/>
      <c r="H16" s="43"/>
      <c r="I16" s="33"/>
      <c r="J16" s="33"/>
      <c r="K16" s="37"/>
    </row>
    <row r="17" spans="1:11" x14ac:dyDescent="0.3">
      <c r="A17" s="327"/>
      <c r="B17" s="327"/>
      <c r="C17" s="327"/>
      <c r="D17" s="327"/>
      <c r="E17" s="38"/>
      <c r="F17" s="43"/>
      <c r="G17" s="43"/>
      <c r="H17" s="43"/>
      <c r="I17" s="33"/>
      <c r="J17" s="33"/>
      <c r="K17" s="37"/>
    </row>
    <row r="18" spans="1:11" x14ac:dyDescent="0.3">
      <c r="A18" s="327"/>
      <c r="B18" s="327"/>
      <c r="C18" s="327"/>
      <c r="D18" s="327"/>
      <c r="E18" s="38"/>
      <c r="F18" s="43"/>
      <c r="G18" s="43"/>
      <c r="H18" s="43"/>
      <c r="I18" s="33"/>
      <c r="J18" s="43"/>
      <c r="K18" s="37"/>
    </row>
    <row r="19" spans="1:11" x14ac:dyDescent="0.3">
      <c r="A19" s="327"/>
      <c r="B19" s="327"/>
      <c r="C19" s="327"/>
      <c r="D19" s="327"/>
      <c r="E19" s="38"/>
      <c r="F19" s="43"/>
      <c r="G19" s="43"/>
      <c r="H19" s="43"/>
      <c r="I19" s="43"/>
      <c r="J19" s="43"/>
      <c r="K19" s="37"/>
    </row>
    <row r="20" spans="1:11" x14ac:dyDescent="0.3">
      <c r="A20" s="327"/>
      <c r="B20" s="327"/>
      <c r="C20" s="327"/>
      <c r="D20" s="327"/>
      <c r="E20" s="38"/>
      <c r="F20" s="43"/>
      <c r="G20" s="43"/>
      <c r="H20" s="43"/>
      <c r="I20" s="43"/>
      <c r="J20" s="43"/>
      <c r="K20" s="37"/>
    </row>
    <row r="21" spans="1:11" x14ac:dyDescent="0.3">
      <c r="A21" s="327"/>
      <c r="B21" s="327"/>
      <c r="C21" s="327"/>
      <c r="D21" s="327"/>
      <c r="E21" s="38"/>
      <c r="F21" s="43"/>
      <c r="G21" s="43"/>
      <c r="H21" s="43"/>
      <c r="I21" s="43"/>
      <c r="J21" s="43"/>
      <c r="K21" s="37"/>
    </row>
    <row r="22" spans="1:11" x14ac:dyDescent="0.3">
      <c r="A22" s="327"/>
      <c r="B22" s="327"/>
      <c r="C22" s="327"/>
      <c r="D22" s="327"/>
      <c r="E22" s="38"/>
      <c r="F22" s="43"/>
      <c r="G22" s="43"/>
      <c r="H22" s="43"/>
      <c r="I22" s="43"/>
      <c r="J22" s="43"/>
      <c r="K22" s="37"/>
    </row>
    <row r="23" spans="1:11" x14ac:dyDescent="0.3">
      <c r="A23" s="327"/>
      <c r="B23" s="327"/>
      <c r="C23" s="327"/>
      <c r="D23" s="327"/>
      <c r="E23" s="38"/>
      <c r="F23" s="43"/>
      <c r="G23" s="43"/>
      <c r="H23" s="43"/>
      <c r="I23" s="43"/>
      <c r="J23" s="4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1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1" x14ac:dyDescent="0.3">
      <c r="A34" s="327"/>
      <c r="B34" s="327"/>
      <c r="C34" s="327"/>
      <c r="D34" s="327"/>
      <c r="E34" s="38"/>
      <c r="F34" s="159"/>
      <c r="G34" s="45"/>
      <c r="H34" s="45"/>
      <c r="I34" s="32"/>
      <c r="J34" s="33"/>
      <c r="K34" s="37"/>
    </row>
    <row r="35" spans="1:11" x14ac:dyDescent="0.3">
      <c r="A35" s="327"/>
      <c r="B35" s="327"/>
      <c r="C35" s="327"/>
      <c r="D35" s="327"/>
      <c r="E35" s="38"/>
      <c r="F35" s="159"/>
      <c r="G35" s="45"/>
      <c r="H35" s="45"/>
      <c r="I35" s="32"/>
      <c r="J35" s="33"/>
      <c r="K35" s="37"/>
    </row>
    <row r="36" spans="1:11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1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1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1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1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1" x14ac:dyDescent="0.3">
      <c r="A41" s="327"/>
      <c r="B41" s="327"/>
      <c r="C41" s="327"/>
      <c r="D41" s="327"/>
      <c r="E41" s="38"/>
      <c r="F41" s="33"/>
      <c r="G41" s="33"/>
      <c r="H41" s="33"/>
      <c r="I41" s="32"/>
      <c r="J41" s="32"/>
      <c r="K41" s="39"/>
    </row>
    <row r="42" spans="1:11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1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1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1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1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164">
        <f>SUM(K11:K45)</f>
        <v>25.5</v>
      </c>
    </row>
    <row r="47" spans="1:11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1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2">
    <mergeCell ref="A48:B53"/>
    <mergeCell ref="C48:D53"/>
    <mergeCell ref="E48:G53"/>
    <mergeCell ref="H48:K53"/>
    <mergeCell ref="A54:K5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scale="50" orientation="landscape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C3057-55C1-4EBC-8A6A-584EE918F470}">
  <sheetPr>
    <tabColor rgb="FFFFFF00"/>
  </sheetPr>
  <dimension ref="A1:K55"/>
  <sheetViews>
    <sheetView topLeftCell="C9" zoomScale="98" zoomScaleNormal="98" workbookViewId="0">
      <selection activeCell="E40" sqref="E40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4.13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s">
        <v>168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tr">
        <f>+CONCATENATE("(i) MEDIDA PARCIAL"," ","(",K7,")")</f>
        <v>(i) MEDIDA PARCIAL (und)</v>
      </c>
      <c r="J9" s="326" t="s">
        <v>44</v>
      </c>
      <c r="K9" s="326" t="str">
        <f>+CONCATENATE("(k) MEDIDA TOTAL"," ","(",K7,")")</f>
        <v>(k) MEDIDA TOTAL (und)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329</v>
      </c>
      <c r="F12" s="43"/>
      <c r="G12" s="43"/>
      <c r="H12" s="43"/>
      <c r="I12" s="33"/>
      <c r="J12" s="33">
        <v>1</v>
      </c>
      <c r="K12" s="37">
        <f t="shared" ref="K12" si="0">J12</f>
        <v>1</v>
      </c>
    </row>
    <row r="13" spans="1:11" x14ac:dyDescent="0.3">
      <c r="A13" s="327"/>
      <c r="B13" s="327"/>
      <c r="C13" s="327"/>
      <c r="D13" s="327"/>
      <c r="E13" s="38" t="s">
        <v>330</v>
      </c>
      <c r="F13" s="43"/>
      <c r="G13" s="43"/>
      <c r="H13" s="43"/>
      <c r="I13" s="33"/>
      <c r="J13" s="33">
        <v>1</v>
      </c>
      <c r="K13" s="37">
        <f>J13</f>
        <v>1</v>
      </c>
    </row>
    <row r="14" spans="1:11" x14ac:dyDescent="0.3">
      <c r="A14" s="327"/>
      <c r="B14" s="327"/>
      <c r="C14" s="327"/>
      <c r="D14" s="327"/>
      <c r="E14" s="38" t="s">
        <v>331</v>
      </c>
      <c r="F14" s="43"/>
      <c r="G14" s="43"/>
      <c r="H14" s="43"/>
      <c r="I14" s="33"/>
      <c r="J14" s="33">
        <v>1</v>
      </c>
      <c r="K14" s="37">
        <f t="shared" ref="K14:K17" si="1">J14</f>
        <v>1</v>
      </c>
    </row>
    <row r="15" spans="1:11" x14ac:dyDescent="0.3">
      <c r="A15" s="327"/>
      <c r="B15" s="327"/>
      <c r="C15" s="327"/>
      <c r="D15" s="327"/>
      <c r="E15" s="38" t="s">
        <v>332</v>
      </c>
      <c r="F15" s="43"/>
      <c r="G15" s="43"/>
      <c r="H15" s="43"/>
      <c r="I15" s="33"/>
      <c r="J15" s="33">
        <v>1</v>
      </c>
      <c r="K15" s="37">
        <f t="shared" si="1"/>
        <v>1</v>
      </c>
    </row>
    <row r="16" spans="1:11" x14ac:dyDescent="0.3">
      <c r="A16" s="327"/>
      <c r="B16" s="327"/>
      <c r="C16" s="327"/>
      <c r="D16" s="327"/>
      <c r="E16" s="38" t="s">
        <v>334</v>
      </c>
      <c r="F16" s="43"/>
      <c r="G16" s="43"/>
      <c r="H16" s="43"/>
      <c r="I16" s="33"/>
      <c r="J16" s="33">
        <v>1</v>
      </c>
      <c r="K16" s="37">
        <f t="shared" si="1"/>
        <v>1</v>
      </c>
    </row>
    <row r="17" spans="1:11" x14ac:dyDescent="0.3">
      <c r="A17" s="327"/>
      <c r="B17" s="327"/>
      <c r="C17" s="327"/>
      <c r="D17" s="327"/>
      <c r="E17" s="38" t="s">
        <v>333</v>
      </c>
      <c r="F17" s="43"/>
      <c r="G17" s="43"/>
      <c r="H17" s="43"/>
      <c r="I17" s="33"/>
      <c r="J17" s="33">
        <v>1</v>
      </c>
      <c r="K17" s="37">
        <f t="shared" si="1"/>
        <v>1</v>
      </c>
    </row>
    <row r="18" spans="1:11" x14ac:dyDescent="0.3">
      <c r="A18" s="327"/>
      <c r="B18" s="327"/>
      <c r="C18" s="327"/>
      <c r="D18" s="327"/>
      <c r="E18" s="38"/>
      <c r="F18" s="43"/>
      <c r="G18" s="43"/>
      <c r="H18" s="43"/>
      <c r="I18" s="33"/>
      <c r="J18" s="43"/>
      <c r="K18" s="37"/>
    </row>
    <row r="19" spans="1:11" x14ac:dyDescent="0.3">
      <c r="A19" s="327"/>
      <c r="B19" s="327"/>
      <c r="C19" s="327"/>
      <c r="D19" s="327"/>
      <c r="E19" s="38"/>
      <c r="F19" s="43"/>
      <c r="G19" s="43"/>
      <c r="H19" s="43"/>
      <c r="I19" s="43"/>
      <c r="J19" s="43"/>
      <c r="K19" s="37"/>
    </row>
    <row r="20" spans="1:11" x14ac:dyDescent="0.3">
      <c r="A20" s="327"/>
      <c r="B20" s="327"/>
      <c r="C20" s="327"/>
      <c r="D20" s="327"/>
      <c r="E20" s="38"/>
      <c r="F20" s="43"/>
      <c r="G20" s="43"/>
      <c r="H20" s="43"/>
      <c r="I20" s="43"/>
      <c r="J20" s="43"/>
      <c r="K20" s="37"/>
    </row>
    <row r="21" spans="1:11" x14ac:dyDescent="0.3">
      <c r="A21" s="327"/>
      <c r="B21" s="327"/>
      <c r="C21" s="327"/>
      <c r="D21" s="327"/>
      <c r="E21" s="38"/>
      <c r="F21" s="43"/>
      <c r="G21" s="43"/>
      <c r="H21" s="43"/>
      <c r="I21" s="43"/>
      <c r="J21" s="43"/>
      <c r="K21" s="37"/>
    </row>
    <row r="22" spans="1:11" x14ac:dyDescent="0.3">
      <c r="A22" s="327"/>
      <c r="B22" s="327"/>
      <c r="C22" s="327"/>
      <c r="D22" s="327"/>
      <c r="E22" s="38"/>
      <c r="F22" s="43"/>
      <c r="G22" s="43"/>
      <c r="H22" s="43"/>
      <c r="I22" s="43"/>
      <c r="J22" s="43"/>
      <c r="K22" s="37"/>
    </row>
    <row r="23" spans="1:11" x14ac:dyDescent="0.3">
      <c r="A23" s="327"/>
      <c r="B23" s="327"/>
      <c r="C23" s="327"/>
      <c r="D23" s="327"/>
      <c r="E23" s="38"/>
      <c r="F23" s="43"/>
      <c r="G23" s="43"/>
      <c r="H23" s="43"/>
      <c r="I23" s="43"/>
      <c r="J23" s="4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1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1" x14ac:dyDescent="0.3">
      <c r="A34" s="327"/>
      <c r="B34" s="327"/>
      <c r="C34" s="327"/>
      <c r="D34" s="327"/>
      <c r="E34" s="38"/>
      <c r="F34" s="159"/>
      <c r="G34" s="45"/>
      <c r="H34" s="45"/>
      <c r="I34" s="32"/>
      <c r="J34" s="33"/>
      <c r="K34" s="37"/>
    </row>
    <row r="35" spans="1:11" x14ac:dyDescent="0.3">
      <c r="A35" s="327"/>
      <c r="B35" s="327"/>
      <c r="C35" s="327"/>
      <c r="D35" s="327"/>
      <c r="E35" s="38"/>
      <c r="F35" s="159"/>
      <c r="G35" s="45"/>
      <c r="H35" s="45"/>
      <c r="I35" s="32"/>
      <c r="J35" s="33"/>
      <c r="K35" s="37"/>
    </row>
    <row r="36" spans="1:11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1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1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1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1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1" x14ac:dyDescent="0.3">
      <c r="A41" s="327"/>
      <c r="B41" s="327"/>
      <c r="C41" s="327"/>
      <c r="D41" s="327"/>
      <c r="E41" s="38"/>
      <c r="F41" s="33"/>
      <c r="G41" s="33"/>
      <c r="H41" s="33"/>
      <c r="I41" s="32"/>
      <c r="J41" s="32"/>
      <c r="K41" s="39"/>
    </row>
    <row r="42" spans="1:11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1" x14ac:dyDescent="0.3">
      <c r="A43" s="327"/>
      <c r="B43" s="327"/>
      <c r="C43" s="327"/>
      <c r="D43" s="327"/>
      <c r="E43" s="40"/>
      <c r="F43" s="33"/>
      <c r="G43" s="33"/>
      <c r="H43" s="33"/>
      <c r="I43" s="32"/>
      <c r="J43" s="32"/>
      <c r="K43" s="32"/>
    </row>
    <row r="44" spans="1:11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1" x14ac:dyDescent="0.3">
      <c r="A45" s="327"/>
      <c r="B45" s="327"/>
      <c r="C45" s="327"/>
      <c r="D45" s="327"/>
      <c r="E45" s="38"/>
      <c r="F45" s="33"/>
      <c r="G45" s="33"/>
      <c r="H45" s="33"/>
      <c r="I45" s="32"/>
      <c r="J45" s="33"/>
      <c r="K45" s="41"/>
    </row>
    <row r="46" spans="1:11" x14ac:dyDescent="0.3">
      <c r="A46" s="327"/>
      <c r="B46" s="327"/>
      <c r="C46" s="327"/>
      <c r="D46" s="327"/>
      <c r="E46" s="324" t="s">
        <v>45</v>
      </c>
      <c r="F46" s="324"/>
      <c r="G46" s="324"/>
      <c r="H46" s="324"/>
      <c r="I46" s="324"/>
      <c r="J46" s="324"/>
      <c r="K46" s="164">
        <f>SUM(K11:K45)</f>
        <v>6</v>
      </c>
    </row>
    <row r="47" spans="1:11" s="31" customFormat="1" hidden="1" x14ac:dyDescent="0.3">
      <c r="A47" s="328" t="s">
        <v>46</v>
      </c>
      <c r="B47" s="328"/>
      <c r="C47" s="328" t="s">
        <v>46</v>
      </c>
      <c r="D47" s="328"/>
      <c r="E47" s="328" t="s">
        <v>47</v>
      </c>
      <c r="F47" s="328"/>
      <c r="G47" s="328"/>
      <c r="H47" s="328" t="s">
        <v>48</v>
      </c>
      <c r="I47" s="328"/>
      <c r="J47" s="328"/>
      <c r="K47" s="328"/>
    </row>
    <row r="48" spans="1:11" s="31" customFormat="1" hidden="1" x14ac:dyDescent="0.3">
      <c r="A48" s="330"/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t="15.75" hidden="1" customHeight="1" thickBot="1" x14ac:dyDescent="0.35">
      <c r="A54" s="331"/>
      <c r="B54" s="332"/>
      <c r="C54" s="332"/>
      <c r="D54" s="332"/>
      <c r="E54" s="332"/>
      <c r="F54" s="332"/>
      <c r="G54" s="332"/>
      <c r="H54" s="332"/>
      <c r="I54" s="332"/>
      <c r="J54" s="332"/>
      <c r="K54" s="333"/>
    </row>
    <row r="55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46"/>
    <mergeCell ref="E46:J46"/>
    <mergeCell ref="A47:B47"/>
    <mergeCell ref="C47:D47"/>
    <mergeCell ref="E47:G47"/>
    <mergeCell ref="H47:K47"/>
    <mergeCell ref="A9:D9"/>
    <mergeCell ref="E9:E10"/>
    <mergeCell ref="F9:H9"/>
    <mergeCell ref="I9:I10"/>
    <mergeCell ref="J9:J10"/>
    <mergeCell ref="A48:B53"/>
    <mergeCell ref="C48:D53"/>
    <mergeCell ref="E48:G53"/>
    <mergeCell ref="H48:K53"/>
    <mergeCell ref="A54:K54"/>
  </mergeCells>
  <pageMargins left="0.7" right="0.7" top="0.75" bottom="0.75" header="0.3" footer="0.3"/>
  <pageSetup paperSize="9" scale="50" orientation="landscape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9644C-7A20-467E-B227-C45EA9BB8CEA}">
  <sheetPr>
    <tabColor rgb="FFFFFF00"/>
  </sheetPr>
  <dimension ref="A1:K39"/>
  <sheetViews>
    <sheetView topLeftCell="A4" zoomScale="85" zoomScaleNormal="85" workbookViewId="0">
      <selection activeCell="I45" sqref="I45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28">
        <v>4.1399999999999997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e">
        <f>'FORMATO PRESUPUESTO'!#REF!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#REF!</v>
      </c>
      <c r="J9" s="326" t="s">
        <v>44</v>
      </c>
      <c r="K9" s="326" t="s">
        <v>214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38" t="s">
        <v>202</v>
      </c>
      <c r="F11" s="43"/>
      <c r="G11" s="43"/>
      <c r="H11" s="43"/>
      <c r="I11" s="33"/>
      <c r="J11" s="33">
        <v>6</v>
      </c>
      <c r="K11" s="37">
        <f>+J11</f>
        <v>6</v>
      </c>
    </row>
    <row r="12" spans="1:11" x14ac:dyDescent="0.3">
      <c r="A12" s="327"/>
      <c r="B12" s="327"/>
      <c r="C12" s="327"/>
      <c r="D12" s="327"/>
      <c r="E12" s="38"/>
      <c r="F12" s="45"/>
      <c r="G12" s="45"/>
      <c r="H12" s="45"/>
      <c r="I12" s="33"/>
      <c r="J12" s="33"/>
      <c r="K12" s="37">
        <f>+I12*J12</f>
        <v>0</v>
      </c>
    </row>
    <row r="13" spans="1:11" x14ac:dyDescent="0.3">
      <c r="A13" s="327"/>
      <c r="B13" s="327"/>
      <c r="C13" s="327"/>
      <c r="D13" s="327"/>
      <c r="E13" s="38"/>
      <c r="F13" s="45"/>
      <c r="G13" s="45"/>
      <c r="H13" s="45"/>
      <c r="I13" s="33"/>
      <c r="J13" s="33"/>
      <c r="K13" s="37">
        <f>+I13*J13</f>
        <v>0</v>
      </c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123">
        <f>+SUM(K11:K29)</f>
        <v>6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A32:B37"/>
    <mergeCell ref="C32:D37"/>
    <mergeCell ref="E32:G37"/>
    <mergeCell ref="H32:K37"/>
    <mergeCell ref="A38:K38"/>
  </mergeCells>
  <pageMargins left="0.7" right="0.7" top="0.75" bottom="0.75" header="0.3" footer="0.3"/>
  <pageSetup paperSize="9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E73B7-4E0B-4C96-92BC-96E50CEC1E2D}">
  <sheetPr>
    <tabColor rgb="FFFFFF00"/>
  </sheetPr>
  <dimension ref="A1:L39"/>
  <sheetViews>
    <sheetView topLeftCell="A12" zoomScale="85" zoomScaleNormal="85" workbookViewId="0">
      <selection activeCell="M50" sqref="M50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11" width="15.6640625" style="27" customWidth="1"/>
    <col min="12" max="16384" width="11.44140625" style="27"/>
  </cols>
  <sheetData>
    <row r="1" spans="1:12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2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2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2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2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2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2" s="31" customFormat="1" x14ac:dyDescent="0.3">
      <c r="A7" s="35" t="s">
        <v>56</v>
      </c>
      <c r="B7" s="189">
        <v>4.1399999999999997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e">
        <f>'FORMATO PRESUPUESTO'!#REF!</f>
        <v>#REF!</v>
      </c>
    </row>
    <row r="8" spans="1:12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2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s">
        <v>59</v>
      </c>
      <c r="J9" s="326" t="s">
        <v>44</v>
      </c>
      <c r="K9" s="326" t="s">
        <v>62</v>
      </c>
    </row>
    <row r="10" spans="1:12" x14ac:dyDescent="0.3">
      <c r="A10" s="327"/>
      <c r="B10" s="327"/>
      <c r="C10" s="327"/>
      <c r="D10" s="327"/>
      <c r="E10" s="326"/>
      <c r="F10" s="336" t="s">
        <v>160</v>
      </c>
      <c r="G10" s="337"/>
      <c r="H10" s="34" t="s">
        <v>161</v>
      </c>
      <c r="I10" s="326"/>
      <c r="J10" s="326"/>
      <c r="K10" s="326"/>
    </row>
    <row r="11" spans="1:12" x14ac:dyDescent="0.3">
      <c r="A11" s="327"/>
      <c r="B11" s="327"/>
      <c r="C11" s="327"/>
      <c r="D11" s="327"/>
      <c r="E11" s="50" t="s">
        <v>102</v>
      </c>
      <c r="F11" s="334">
        <v>253.53</v>
      </c>
      <c r="G11" s="335"/>
      <c r="H11" s="43">
        <v>7.0000000000000007E-2</v>
      </c>
      <c r="I11" s="33">
        <f>+F11*H11</f>
        <v>17.747100000000003</v>
      </c>
      <c r="J11" s="33">
        <v>1</v>
      </c>
      <c r="K11" s="37">
        <f>+I11*J11</f>
        <v>17.747100000000003</v>
      </c>
      <c r="L11" s="27">
        <f>F11*H11</f>
        <v>17.747100000000003</v>
      </c>
    </row>
    <row r="12" spans="1:12" x14ac:dyDescent="0.3">
      <c r="A12" s="327"/>
      <c r="B12" s="327"/>
      <c r="C12" s="327"/>
      <c r="D12" s="327"/>
      <c r="E12" s="50"/>
      <c r="F12" s="334"/>
      <c r="G12" s="335"/>
      <c r="H12" s="43"/>
      <c r="I12" s="33"/>
      <c r="J12" s="33"/>
      <c r="K12" s="37"/>
    </row>
    <row r="13" spans="1:12" x14ac:dyDescent="0.3">
      <c r="A13" s="327"/>
      <c r="B13" s="327"/>
      <c r="C13" s="327"/>
      <c r="D13" s="327"/>
      <c r="E13" s="38"/>
      <c r="F13" s="45"/>
      <c r="G13" s="45"/>
      <c r="H13" s="44"/>
      <c r="I13" s="33"/>
      <c r="J13" s="33"/>
      <c r="K13" s="37"/>
    </row>
    <row r="14" spans="1:12" x14ac:dyDescent="0.3">
      <c r="A14" s="327"/>
      <c r="B14" s="327"/>
      <c r="C14" s="327"/>
      <c r="D14" s="327"/>
      <c r="E14" s="38"/>
      <c r="F14" s="45"/>
      <c r="G14" s="45"/>
      <c r="H14" s="44"/>
      <c r="I14" s="33"/>
      <c r="J14" s="33"/>
      <c r="K14" s="37"/>
    </row>
    <row r="15" spans="1:12" x14ac:dyDescent="0.3">
      <c r="A15" s="327"/>
      <c r="B15" s="327"/>
      <c r="C15" s="327"/>
      <c r="D15" s="327"/>
      <c r="E15" s="33"/>
      <c r="F15" s="45"/>
      <c r="G15" s="45"/>
      <c r="H15" s="45"/>
      <c r="I15" s="32"/>
      <c r="J15" s="32"/>
      <c r="K15" s="32"/>
    </row>
    <row r="16" spans="1:12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146">
        <f>+SUM(K11:K29)</f>
        <v>17.747100000000003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5">
    <mergeCell ref="A38:K38"/>
    <mergeCell ref="A31:B31"/>
    <mergeCell ref="C31:D31"/>
    <mergeCell ref="E31:G31"/>
    <mergeCell ref="H31:K31"/>
    <mergeCell ref="A32:B37"/>
    <mergeCell ref="C32:D37"/>
    <mergeCell ref="E32:G37"/>
    <mergeCell ref="H32:K37"/>
    <mergeCell ref="K9:K10"/>
    <mergeCell ref="A10:D30"/>
    <mergeCell ref="F10:G10"/>
    <mergeCell ref="F11:G11"/>
    <mergeCell ref="F12:G12"/>
    <mergeCell ref="E30:J30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C584A-1BFB-4010-9AC7-FF72EED9D53E}">
  <sheetPr>
    <tabColor rgb="FFFFFF00"/>
  </sheetPr>
  <dimension ref="A1:K39"/>
  <sheetViews>
    <sheetView zoomScale="85" zoomScaleNormal="85" workbookViewId="0">
      <selection activeCell="A8" sqref="A8:K8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189">
        <v>4.16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e">
        <f>'FORMATO PRESUPUESTO'!#REF!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#REF!</v>
      </c>
      <c r="J9" s="326" t="s">
        <v>44</v>
      </c>
      <c r="K9" s="326" t="e">
        <f>+CONCATENATE("(k) MEDIDA TOTAL"," ","(",K7,")")</f>
        <v>#REF!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95" t="s">
        <v>250</v>
      </c>
      <c r="F11" s="43"/>
      <c r="G11" s="43">
        <v>60.4</v>
      </c>
      <c r="H11" s="43"/>
      <c r="I11" s="33">
        <f>+G11</f>
        <v>60.4</v>
      </c>
      <c r="J11" s="33">
        <v>1</v>
      </c>
      <c r="K11" s="37">
        <f>+I11*J11</f>
        <v>60.4</v>
      </c>
    </row>
    <row r="12" spans="1:11" x14ac:dyDescent="0.3">
      <c r="A12" s="327"/>
      <c r="B12" s="327"/>
      <c r="C12" s="327"/>
      <c r="D12" s="327"/>
      <c r="E12" s="38"/>
      <c r="F12" s="45"/>
      <c r="G12" s="45"/>
      <c r="H12" s="45"/>
      <c r="I12" s="33"/>
      <c r="J12" s="33"/>
      <c r="K12" s="37">
        <f>+I12*J12</f>
        <v>0</v>
      </c>
    </row>
    <row r="13" spans="1:11" x14ac:dyDescent="0.3">
      <c r="A13" s="327"/>
      <c r="B13" s="327"/>
      <c r="C13" s="327"/>
      <c r="D13" s="327"/>
      <c r="E13" s="38"/>
      <c r="F13" s="45"/>
      <c r="G13" s="45"/>
      <c r="H13" s="45"/>
      <c r="I13" s="33"/>
      <c r="J13" s="33"/>
      <c r="K13" s="37">
        <f>+I13*J13</f>
        <v>0</v>
      </c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60.4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A32:B37"/>
    <mergeCell ref="C32:D37"/>
    <mergeCell ref="E32:G37"/>
    <mergeCell ref="H32:K37"/>
    <mergeCell ref="A38:K38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FB4C7-FCB0-467F-9D76-41EDC85CBE9E}">
  <sheetPr>
    <tabColor rgb="FFFFFF00"/>
  </sheetPr>
  <dimension ref="A1:K39"/>
  <sheetViews>
    <sheetView zoomScale="85" zoomScaleNormal="85" workbookViewId="0">
      <selection activeCell="K7" sqref="K7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189">
        <v>4.17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e">
        <f>'FORMATO PRESUPUESTO'!#REF!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#REF!</v>
      </c>
      <c r="J9" s="326" t="s">
        <v>44</v>
      </c>
      <c r="K9" s="326" t="e">
        <f>+CONCATENATE("(k) MEDIDA TOTAL"," ","(",K7,")")</f>
        <v>#REF!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95" t="s">
        <v>335</v>
      </c>
      <c r="F11" s="43">
        <v>0.3</v>
      </c>
      <c r="G11" s="43">
        <v>20</v>
      </c>
      <c r="H11" s="43">
        <f>(0.9+0.55)/2</f>
        <v>0.72500000000000009</v>
      </c>
      <c r="I11" s="33">
        <f>F11*G11*H11</f>
        <v>4.3500000000000005</v>
      </c>
      <c r="J11" s="33">
        <v>1</v>
      </c>
      <c r="K11" s="37">
        <f>+I11*J11</f>
        <v>4.3500000000000005</v>
      </c>
    </row>
    <row r="12" spans="1:11" x14ac:dyDescent="0.3">
      <c r="A12" s="327"/>
      <c r="B12" s="327"/>
      <c r="C12" s="327"/>
      <c r="D12" s="327"/>
      <c r="E12" s="38"/>
      <c r="F12" s="45"/>
      <c r="G12" s="45"/>
      <c r="H12" s="45"/>
      <c r="I12" s="33"/>
      <c r="J12" s="33"/>
      <c r="K12" s="37"/>
    </row>
    <row r="13" spans="1:11" x14ac:dyDescent="0.3">
      <c r="A13" s="327"/>
      <c r="B13" s="327"/>
      <c r="C13" s="327"/>
      <c r="D13" s="327"/>
      <c r="E13" s="38"/>
      <c r="F13" s="45"/>
      <c r="G13" s="45"/>
      <c r="H13" s="45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42">
        <f>+SUM(K11:K29)</f>
        <v>4.3500000000000005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A32:B37"/>
    <mergeCell ref="C32:D37"/>
    <mergeCell ref="E32:G37"/>
    <mergeCell ref="H32:K37"/>
    <mergeCell ref="A38:K38"/>
  </mergeCells>
  <pageMargins left="0.7" right="0.7" top="0.75" bottom="0.75" header="0.3" footer="0.3"/>
  <pageSetup paperSize="9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23142-9F53-4718-B6BA-98A7E30B130D}">
  <sheetPr>
    <tabColor rgb="FFFFFF00"/>
  </sheetPr>
  <dimension ref="A1:K39"/>
  <sheetViews>
    <sheetView zoomScale="85" zoomScaleNormal="85" workbookViewId="0">
      <selection activeCell="F18" sqref="F18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189">
        <v>4.18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e">
        <f>'FORMATO PRESUPUESTO'!#REF!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#REF!</v>
      </c>
      <c r="J9" s="326" t="s">
        <v>44</v>
      </c>
      <c r="K9" s="326" t="e">
        <f>+CONCATENATE("(k) MEDIDA TOTAL"," ","(",K7,")")</f>
        <v>#REF!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ht="27.6" x14ac:dyDescent="0.3">
      <c r="A11" s="327"/>
      <c r="B11" s="327"/>
      <c r="C11" s="327"/>
      <c r="D11" s="327"/>
      <c r="E11" s="95" t="s">
        <v>336</v>
      </c>
      <c r="F11" s="43">
        <v>2.1</v>
      </c>
      <c r="G11" s="43">
        <v>5</v>
      </c>
      <c r="H11" s="43">
        <v>0.35</v>
      </c>
      <c r="I11" s="33">
        <f>F11*G11*H11</f>
        <v>3.6749999999999998</v>
      </c>
      <c r="J11" s="33">
        <v>1</v>
      </c>
      <c r="K11" s="37">
        <f>+I11*J11</f>
        <v>3.6749999999999998</v>
      </c>
    </row>
    <row r="12" spans="1:11" ht="27.6" x14ac:dyDescent="0.3">
      <c r="A12" s="327"/>
      <c r="B12" s="327"/>
      <c r="C12" s="327"/>
      <c r="D12" s="327"/>
      <c r="E12" s="95" t="s">
        <v>337</v>
      </c>
      <c r="F12" s="45">
        <v>0.4</v>
      </c>
      <c r="G12" s="45">
        <v>5</v>
      </c>
      <c r="H12" s="45">
        <v>0.6</v>
      </c>
      <c r="I12" s="33">
        <f>F12*G12*H12</f>
        <v>1.2</v>
      </c>
      <c r="J12" s="33">
        <v>1</v>
      </c>
      <c r="K12" s="37">
        <f>+I12*J12</f>
        <v>1.2</v>
      </c>
    </row>
    <row r="13" spans="1:11" x14ac:dyDescent="0.3">
      <c r="A13" s="327"/>
      <c r="B13" s="327"/>
      <c r="C13" s="327"/>
      <c r="D13" s="327"/>
      <c r="E13" s="38"/>
      <c r="F13" s="45"/>
      <c r="G13" s="45"/>
      <c r="H13" s="45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123">
        <f>+SUM(K11:K29)</f>
        <v>4.875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A32:B37"/>
    <mergeCell ref="C32:D37"/>
    <mergeCell ref="E32:G37"/>
    <mergeCell ref="H32:K37"/>
    <mergeCell ref="A38:K38"/>
  </mergeCells>
  <pageMargins left="0.7" right="0.7" top="0.75" bottom="0.75" header="0.3" footer="0.3"/>
  <pageSetup paperSize="9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C705-A860-4221-9FCA-1962B8A4CEE4}">
  <sheetPr>
    <tabColor rgb="FFFFFF00"/>
  </sheetPr>
  <dimension ref="A1:K39"/>
  <sheetViews>
    <sheetView zoomScale="85" zoomScaleNormal="85" workbookViewId="0">
      <selection activeCell="G42" sqref="G42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189">
        <v>4.1900000000000004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e">
        <f>'FORMATO PRESUPUESTO'!#REF!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#REF!</v>
      </c>
      <c r="J9" s="326" t="s">
        <v>44</v>
      </c>
      <c r="K9" s="326" t="e">
        <f>+CONCATENATE("(k) MEDIDA TOTAL"," ","(",K7,")")</f>
        <v>#REF!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ht="27.6" x14ac:dyDescent="0.3">
      <c r="A11" s="327"/>
      <c r="B11" s="327"/>
      <c r="C11" s="327"/>
      <c r="D11" s="327"/>
      <c r="E11" s="95" t="s">
        <v>336</v>
      </c>
      <c r="F11" s="43">
        <f>(0.25+0.35)/2</f>
        <v>0.3</v>
      </c>
      <c r="G11" s="43">
        <v>5</v>
      </c>
      <c r="H11" s="43">
        <v>3.2</v>
      </c>
      <c r="I11" s="33">
        <f>F11*G11*H11</f>
        <v>4.8000000000000007</v>
      </c>
      <c r="J11" s="33">
        <v>1</v>
      </c>
      <c r="K11" s="37">
        <f>+I11*J11</f>
        <v>4.8000000000000007</v>
      </c>
    </row>
    <row r="12" spans="1:11" x14ac:dyDescent="0.3">
      <c r="A12" s="327"/>
      <c r="B12" s="327"/>
      <c r="C12" s="327"/>
      <c r="D12" s="327"/>
      <c r="E12" s="95"/>
      <c r="F12" s="45"/>
      <c r="G12" s="45"/>
      <c r="H12" s="45"/>
      <c r="I12" s="33"/>
      <c r="J12" s="33"/>
      <c r="K12" s="37"/>
    </row>
    <row r="13" spans="1:11" x14ac:dyDescent="0.3">
      <c r="A13" s="327"/>
      <c r="B13" s="327"/>
      <c r="C13" s="327"/>
      <c r="D13" s="327"/>
      <c r="E13" s="38"/>
      <c r="F13" s="45"/>
      <c r="G13" s="45"/>
      <c r="H13" s="45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123">
        <f>+SUM(K11:K29)</f>
        <v>4.8000000000000007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A32:B37"/>
    <mergeCell ref="C32:D37"/>
    <mergeCell ref="E32:G37"/>
    <mergeCell ref="H32:K37"/>
    <mergeCell ref="A38:K38"/>
  </mergeCells>
  <pageMargins left="0.7" right="0.7" top="0.75" bottom="0.75" header="0.3" footer="0.3"/>
  <pageSetup paperSize="9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71512-7A46-43FB-B185-42A514F229A3}">
  <sheetPr>
    <tabColor rgb="FFFFFF00"/>
  </sheetPr>
  <dimension ref="A1:K39"/>
  <sheetViews>
    <sheetView zoomScale="85" zoomScaleNormal="85" workbookViewId="0">
      <selection activeCell="I12" sqref="I12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5.664062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189">
        <v>4.2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e">
        <f>'FORMATO PRESUPUESTO'!#REF!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#REF!</v>
      </c>
      <c r="J9" s="326" t="s">
        <v>44</v>
      </c>
      <c r="K9" s="326" t="e">
        <f>+CONCATENATE("(k) MEDIDA TOTAL"," ","(",K7,")")</f>
        <v>#REF!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95" t="s">
        <v>338</v>
      </c>
      <c r="F11" s="43"/>
      <c r="G11" s="43">
        <v>5</v>
      </c>
      <c r="H11" s="43"/>
      <c r="I11" s="33">
        <v>4</v>
      </c>
      <c r="J11" s="33">
        <v>1</v>
      </c>
      <c r="K11" s="37">
        <f>+I11*J11</f>
        <v>4</v>
      </c>
    </row>
    <row r="12" spans="1:11" x14ac:dyDescent="0.3">
      <c r="A12" s="327"/>
      <c r="B12" s="327"/>
      <c r="C12" s="327"/>
      <c r="D12" s="327"/>
      <c r="E12" s="95"/>
      <c r="F12" s="45"/>
      <c r="G12" s="45"/>
      <c r="H12" s="45"/>
      <c r="I12" s="33"/>
      <c r="J12" s="33"/>
      <c r="K12" s="37"/>
    </row>
    <row r="13" spans="1:11" x14ac:dyDescent="0.3">
      <c r="A13" s="327"/>
      <c r="B13" s="327"/>
      <c r="C13" s="327"/>
      <c r="D13" s="327"/>
      <c r="E13" s="38"/>
      <c r="F13" s="45"/>
      <c r="G13" s="45"/>
      <c r="H13" s="45"/>
      <c r="I13" s="33"/>
      <c r="J13" s="33"/>
      <c r="K13" s="37"/>
    </row>
    <row r="14" spans="1:11" x14ac:dyDescent="0.3">
      <c r="A14" s="327"/>
      <c r="B14" s="327"/>
      <c r="C14" s="327"/>
      <c r="D14" s="327"/>
      <c r="E14" s="38"/>
      <c r="F14" s="45"/>
      <c r="G14" s="45"/>
      <c r="H14" s="45"/>
      <c r="I14" s="33"/>
      <c r="J14" s="33"/>
      <c r="K14" s="37"/>
    </row>
    <row r="15" spans="1:11" x14ac:dyDescent="0.3">
      <c r="A15" s="327"/>
      <c r="B15" s="327"/>
      <c r="C15" s="327"/>
      <c r="D15" s="327"/>
      <c r="E15" s="38"/>
      <c r="F15" s="45"/>
      <c r="G15" s="45"/>
      <c r="H15" s="45"/>
      <c r="I15" s="33"/>
      <c r="J15" s="32"/>
      <c r="K15" s="37"/>
    </row>
    <row r="16" spans="1:11" x14ac:dyDescent="0.3">
      <c r="A16" s="327"/>
      <c r="B16" s="327"/>
      <c r="C16" s="327"/>
      <c r="D16" s="327"/>
      <c r="E16" s="33"/>
      <c r="F16" s="45"/>
      <c r="G16" s="45"/>
      <c r="H16" s="45"/>
      <c r="I16" s="32"/>
      <c r="J16" s="32"/>
      <c r="K16" s="32"/>
    </row>
    <row r="17" spans="1:11" x14ac:dyDescent="0.3">
      <c r="A17" s="327"/>
      <c r="B17" s="327"/>
      <c r="C17" s="327"/>
      <c r="D17" s="327"/>
      <c r="E17" s="33"/>
      <c r="F17" s="45"/>
      <c r="G17" s="45"/>
      <c r="H17" s="45"/>
      <c r="I17" s="32"/>
      <c r="J17" s="32"/>
      <c r="K17" s="32"/>
    </row>
    <row r="18" spans="1:11" x14ac:dyDescent="0.3">
      <c r="A18" s="327"/>
      <c r="B18" s="327"/>
      <c r="C18" s="327"/>
      <c r="D18" s="327"/>
      <c r="E18" s="40"/>
      <c r="F18" s="45"/>
      <c r="G18" s="45"/>
      <c r="H18" s="45"/>
      <c r="I18" s="32"/>
      <c r="J18" s="32"/>
      <c r="K18" s="32"/>
    </row>
    <row r="19" spans="1:11" x14ac:dyDescent="0.3">
      <c r="A19" s="327"/>
      <c r="B19" s="327"/>
      <c r="C19" s="327"/>
      <c r="D19" s="327"/>
      <c r="E19" s="38"/>
      <c r="F19" s="33"/>
      <c r="G19" s="33"/>
      <c r="H19" s="33"/>
      <c r="I19" s="32"/>
      <c r="J19" s="32"/>
      <c r="K19" s="39"/>
    </row>
    <row r="20" spans="1:11" x14ac:dyDescent="0.3">
      <c r="A20" s="327"/>
      <c r="B20" s="327"/>
      <c r="C20" s="327"/>
      <c r="D20" s="327"/>
      <c r="E20" s="40"/>
      <c r="F20" s="33"/>
      <c r="G20" s="33"/>
      <c r="H20" s="33"/>
      <c r="I20" s="32"/>
      <c r="J20" s="32"/>
      <c r="K20" s="32"/>
    </row>
    <row r="21" spans="1:11" x14ac:dyDescent="0.3">
      <c r="A21" s="327"/>
      <c r="B21" s="327"/>
      <c r="C21" s="327"/>
      <c r="D21" s="327"/>
      <c r="E21" s="40"/>
      <c r="F21" s="33"/>
      <c r="G21" s="33"/>
      <c r="H21" s="33"/>
      <c r="I21" s="32"/>
      <c r="J21" s="32"/>
      <c r="K21" s="32"/>
    </row>
    <row r="22" spans="1:11" x14ac:dyDescent="0.3">
      <c r="A22" s="327"/>
      <c r="B22" s="327"/>
      <c r="C22" s="327"/>
      <c r="D22" s="327"/>
      <c r="E22" s="40"/>
      <c r="F22" s="33"/>
      <c r="G22" s="33"/>
      <c r="H22" s="33"/>
      <c r="I22" s="32"/>
      <c r="J22" s="32"/>
      <c r="K22" s="32"/>
    </row>
    <row r="23" spans="1:11" x14ac:dyDescent="0.3">
      <c r="A23" s="327"/>
      <c r="B23" s="327"/>
      <c r="C23" s="327"/>
      <c r="D23" s="327"/>
      <c r="E23" s="40"/>
      <c r="F23" s="33"/>
      <c r="G23" s="33"/>
      <c r="H23" s="33"/>
      <c r="I23" s="32"/>
      <c r="J23" s="32"/>
      <c r="K23" s="32"/>
    </row>
    <row r="24" spans="1:11" x14ac:dyDescent="0.3">
      <c r="A24" s="327"/>
      <c r="B24" s="327"/>
      <c r="C24" s="327"/>
      <c r="D24" s="327"/>
      <c r="E24" s="40"/>
      <c r="F24" s="33"/>
      <c r="G24" s="33"/>
      <c r="H24" s="33"/>
      <c r="I24" s="32"/>
      <c r="J24" s="32"/>
      <c r="K24" s="32"/>
    </row>
    <row r="25" spans="1:11" x14ac:dyDescent="0.3">
      <c r="A25" s="327"/>
      <c r="B25" s="327"/>
      <c r="C25" s="327"/>
      <c r="D25" s="327"/>
      <c r="E25" s="40"/>
      <c r="F25" s="33"/>
      <c r="G25" s="33"/>
      <c r="H25" s="33"/>
      <c r="I25" s="32"/>
      <c r="J25" s="32"/>
      <c r="K25" s="32"/>
    </row>
    <row r="26" spans="1:11" x14ac:dyDescent="0.3">
      <c r="A26" s="327"/>
      <c r="B26" s="327"/>
      <c r="C26" s="327"/>
      <c r="D26" s="327"/>
      <c r="E26" s="40"/>
      <c r="F26" s="33"/>
      <c r="G26" s="33"/>
      <c r="H26" s="33"/>
      <c r="I26" s="32"/>
      <c r="J26" s="32"/>
      <c r="K26" s="32"/>
    </row>
    <row r="27" spans="1:11" x14ac:dyDescent="0.3">
      <c r="A27" s="327"/>
      <c r="B27" s="327"/>
      <c r="C27" s="327"/>
      <c r="D27" s="327"/>
      <c r="E27" s="40"/>
      <c r="F27" s="33"/>
      <c r="G27" s="33"/>
      <c r="H27" s="33"/>
      <c r="I27" s="32"/>
      <c r="J27" s="32"/>
      <c r="K27" s="32"/>
    </row>
    <row r="28" spans="1:11" x14ac:dyDescent="0.3">
      <c r="A28" s="327"/>
      <c r="B28" s="327"/>
      <c r="C28" s="327"/>
      <c r="D28" s="327"/>
      <c r="E28" s="40"/>
      <c r="F28" s="33"/>
      <c r="G28" s="33"/>
      <c r="H28" s="33"/>
      <c r="I28" s="32"/>
      <c r="J28" s="32"/>
      <c r="K28" s="32"/>
    </row>
    <row r="29" spans="1:11" x14ac:dyDescent="0.3">
      <c r="A29" s="327"/>
      <c r="B29" s="327"/>
      <c r="C29" s="327"/>
      <c r="D29" s="327"/>
      <c r="E29" s="38"/>
      <c r="F29" s="33"/>
      <c r="G29" s="33"/>
      <c r="H29" s="33"/>
      <c r="I29" s="32"/>
      <c r="J29" s="33"/>
      <c r="K29" s="41"/>
    </row>
    <row r="30" spans="1:11" x14ac:dyDescent="0.3">
      <c r="A30" s="327"/>
      <c r="B30" s="327"/>
      <c r="C30" s="327"/>
      <c r="D30" s="327"/>
      <c r="E30" s="324" t="s">
        <v>45</v>
      </c>
      <c r="F30" s="324"/>
      <c r="G30" s="324"/>
      <c r="H30" s="324"/>
      <c r="I30" s="324"/>
      <c r="J30" s="324"/>
      <c r="K30" s="123">
        <f>+SUM(K11:K29)</f>
        <v>4</v>
      </c>
    </row>
    <row r="31" spans="1:11" s="31" customFormat="1" hidden="1" x14ac:dyDescent="0.3">
      <c r="A31" s="328" t="s">
        <v>46</v>
      </c>
      <c r="B31" s="328"/>
      <c r="C31" s="328" t="s">
        <v>46</v>
      </c>
      <c r="D31" s="328"/>
      <c r="E31" s="328" t="s">
        <v>47</v>
      </c>
      <c r="F31" s="328"/>
      <c r="G31" s="328"/>
      <c r="H31" s="328" t="s">
        <v>48</v>
      </c>
      <c r="I31" s="328"/>
      <c r="J31" s="328"/>
      <c r="K31" s="328"/>
    </row>
    <row r="32" spans="1:11" s="31" customFormat="1" hidden="1" x14ac:dyDescent="0.3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</row>
    <row r="33" spans="1:11" s="31" customFormat="1" hidden="1" x14ac:dyDescent="0.3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</row>
    <row r="34" spans="1:11" s="31" customFormat="1" hidden="1" x14ac:dyDescent="0.3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</row>
    <row r="35" spans="1:11" s="31" customFormat="1" hidden="1" x14ac:dyDescent="0.3">
      <c r="A35" s="330"/>
      <c r="B35" s="330"/>
      <c r="C35" s="330"/>
      <c r="D35" s="330"/>
      <c r="E35" s="330"/>
      <c r="F35" s="330"/>
      <c r="G35" s="330"/>
      <c r="H35" s="330"/>
      <c r="I35" s="330"/>
      <c r="J35" s="330"/>
      <c r="K35" s="330"/>
    </row>
    <row r="36" spans="1:11" s="31" customFormat="1" hidden="1" x14ac:dyDescent="0.3">
      <c r="A36" s="330"/>
      <c r="B36" s="330"/>
      <c r="C36" s="330"/>
      <c r="D36" s="330"/>
      <c r="E36" s="330"/>
      <c r="F36" s="330"/>
      <c r="G36" s="330"/>
      <c r="H36" s="330"/>
      <c r="I36" s="330"/>
      <c r="J36" s="330"/>
      <c r="K36" s="330"/>
    </row>
    <row r="37" spans="1:11" s="31" customFormat="1" hidden="1" x14ac:dyDescent="0.3">
      <c r="A37" s="330"/>
      <c r="B37" s="330"/>
      <c r="C37" s="330"/>
      <c r="D37" s="330"/>
      <c r="E37" s="330"/>
      <c r="F37" s="330"/>
      <c r="G37" s="330"/>
      <c r="H37" s="330"/>
      <c r="I37" s="330"/>
      <c r="J37" s="330"/>
      <c r="K37" s="330"/>
    </row>
    <row r="38" spans="1:11" s="31" customFormat="1" ht="15.75" hidden="1" customHeight="1" thickBot="1" x14ac:dyDescent="0.3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3"/>
    </row>
    <row r="39" spans="1:11" hidden="1" x14ac:dyDescent="0.3"/>
  </sheetData>
  <mergeCells count="32"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  <mergeCell ref="K9:K10"/>
    <mergeCell ref="A10:D30"/>
    <mergeCell ref="E30:J30"/>
    <mergeCell ref="A31:B31"/>
    <mergeCell ref="C31:D31"/>
    <mergeCell ref="E31:G31"/>
    <mergeCell ref="H31:K31"/>
    <mergeCell ref="A9:D9"/>
    <mergeCell ref="E9:E10"/>
    <mergeCell ref="F9:H9"/>
    <mergeCell ref="I9:I10"/>
    <mergeCell ref="J9:J10"/>
    <mergeCell ref="A32:B37"/>
    <mergeCell ref="C32:D37"/>
    <mergeCell ref="E32:G37"/>
    <mergeCell ref="H32:K37"/>
    <mergeCell ref="A38:K38"/>
  </mergeCells>
  <pageMargins left="0.7" right="0.7" top="0.75" bottom="0.75" header="0.3" footer="0.3"/>
  <pageSetup paperSize="9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08CA0-6EB0-4F2D-99F9-9EBD7D33120C}">
  <sheetPr>
    <tabColor rgb="FFFFFF00"/>
  </sheetPr>
  <dimension ref="A1:M57"/>
  <sheetViews>
    <sheetView zoomScale="85" zoomScaleNormal="85" workbookViewId="0">
      <selection activeCell="E16" sqref="E16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189">
        <v>4.21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e">
        <f>'FORMATO PRESUPUESTO'!#REF!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#REF!</v>
      </c>
      <c r="J9" s="326" t="s">
        <v>44</v>
      </c>
      <c r="K9" s="326" t="e">
        <f>+CONCATENATE("(k) MEDIDA TOTAL"," ","(",K7,")")</f>
        <v>#REF!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322</v>
      </c>
      <c r="F12" s="45">
        <v>2.5</v>
      </c>
      <c r="G12" s="45">
        <v>0.68</v>
      </c>
      <c r="H12" s="46">
        <v>3.3</v>
      </c>
      <c r="I12" s="33">
        <f>((F12+G12)/2)*H12</f>
        <v>5.2469999999999999</v>
      </c>
      <c r="J12" s="33">
        <v>2</v>
      </c>
      <c r="K12" s="37">
        <f>+I12*J12</f>
        <v>10.494</v>
      </c>
    </row>
    <row r="13" spans="1:11" x14ac:dyDescent="0.3">
      <c r="A13" s="327"/>
      <c r="B13" s="327"/>
      <c r="C13" s="327"/>
      <c r="D13" s="327"/>
      <c r="F13" s="43"/>
      <c r="G13" s="43">
        <v>6</v>
      </c>
      <c r="H13" s="43">
        <v>0.5</v>
      </c>
      <c r="I13" s="33">
        <f>G13*H13</f>
        <v>3</v>
      </c>
      <c r="J13" s="33">
        <v>2</v>
      </c>
      <c r="K13" s="37">
        <f t="shared" ref="K13" si="0">I13*J13</f>
        <v>6</v>
      </c>
    </row>
    <row r="14" spans="1:11" x14ac:dyDescent="0.3">
      <c r="A14" s="327"/>
      <c r="B14" s="327"/>
      <c r="C14" s="327"/>
      <c r="D14" s="327"/>
      <c r="F14" s="43"/>
      <c r="G14" s="43">
        <f>6+0.5*2</f>
        <v>7</v>
      </c>
      <c r="H14" s="43">
        <v>0.25</v>
      </c>
      <c r="I14" s="33">
        <f>G14*H14</f>
        <v>1.75</v>
      </c>
      <c r="J14" s="33">
        <v>2</v>
      </c>
      <c r="K14" s="37">
        <f t="shared" ref="K14" si="1">I14*J14</f>
        <v>3.5</v>
      </c>
    </row>
    <row r="15" spans="1:11" x14ac:dyDescent="0.3">
      <c r="A15" s="327"/>
      <c r="B15" s="327"/>
      <c r="C15" s="327"/>
      <c r="D15" s="327"/>
      <c r="E15" s="38" t="s">
        <v>321</v>
      </c>
      <c r="F15" s="45">
        <v>1.5</v>
      </c>
      <c r="G15" s="45">
        <v>0.5</v>
      </c>
      <c r="H15" s="46">
        <v>1.7</v>
      </c>
      <c r="I15" s="33">
        <f>((F15+G15)/2)*H15</f>
        <v>1.7</v>
      </c>
      <c r="J15" s="33">
        <v>6</v>
      </c>
      <c r="K15" s="37">
        <f>+I15*J15</f>
        <v>10.199999999999999</v>
      </c>
    </row>
    <row r="16" spans="1:11" x14ac:dyDescent="0.3">
      <c r="A16" s="327"/>
      <c r="B16" s="327"/>
      <c r="C16" s="327"/>
      <c r="D16" s="327"/>
      <c r="E16" s="38"/>
      <c r="F16" s="45"/>
      <c r="G16" s="45">
        <v>3.75</v>
      </c>
      <c r="H16" s="46">
        <v>0.5</v>
      </c>
      <c r="I16" s="33">
        <f>G16*H16</f>
        <v>1.875</v>
      </c>
      <c r="J16" s="33">
        <v>2</v>
      </c>
      <c r="K16" s="37">
        <f t="shared" ref="K16" si="2">I16*J16</f>
        <v>3.75</v>
      </c>
    </row>
    <row r="17" spans="1:11" x14ac:dyDescent="0.3">
      <c r="A17" s="327"/>
      <c r="B17" s="327"/>
      <c r="C17" s="327"/>
      <c r="D17" s="327"/>
      <c r="E17" s="38"/>
      <c r="F17" s="159"/>
      <c r="G17" s="45">
        <f>3.75+0.5*2</f>
        <v>4.75</v>
      </c>
      <c r="H17" s="46">
        <v>0.25</v>
      </c>
      <c r="I17" s="33">
        <f>G17*H17</f>
        <v>1.1875</v>
      </c>
      <c r="J17" s="33">
        <v>2</v>
      </c>
      <c r="K17" s="37">
        <f t="shared" ref="K17" si="3">I17*J17</f>
        <v>2.375</v>
      </c>
    </row>
    <row r="18" spans="1:11" x14ac:dyDescent="0.3">
      <c r="A18" s="327"/>
      <c r="B18" s="327"/>
      <c r="C18" s="327"/>
      <c r="D18" s="327"/>
      <c r="E18" s="38"/>
      <c r="F18" s="159"/>
      <c r="G18" s="45"/>
      <c r="H18" s="45"/>
      <c r="I18" s="33"/>
      <c r="J18" s="33"/>
      <c r="K18" s="37"/>
    </row>
    <row r="19" spans="1:11" x14ac:dyDescent="0.3">
      <c r="A19" s="327"/>
      <c r="B19" s="327"/>
      <c r="C19" s="327"/>
      <c r="D19" s="327"/>
      <c r="E19" s="38"/>
      <c r="F19" s="159"/>
      <c r="G19" s="45"/>
      <c r="H19" s="45"/>
      <c r="I19" s="33"/>
      <c r="J19" s="33"/>
      <c r="K19" s="37"/>
    </row>
    <row r="20" spans="1:11" x14ac:dyDescent="0.3">
      <c r="A20" s="327"/>
      <c r="B20" s="327"/>
      <c r="C20" s="327"/>
      <c r="D20" s="327"/>
      <c r="E20" s="38"/>
      <c r="F20" s="159"/>
      <c r="G20" s="45"/>
      <c r="H20" s="45"/>
      <c r="I20" s="33"/>
      <c r="J20" s="33"/>
      <c r="K20" s="37"/>
    </row>
    <row r="21" spans="1:11" x14ac:dyDescent="0.3">
      <c r="A21" s="327"/>
      <c r="B21" s="327"/>
      <c r="C21" s="327"/>
      <c r="D21" s="327"/>
      <c r="E21" s="38"/>
      <c r="F21" s="159"/>
      <c r="G21" s="45"/>
      <c r="H21" s="45"/>
      <c r="I21" s="33"/>
      <c r="J21" s="33"/>
      <c r="K21" s="37"/>
    </row>
    <row r="22" spans="1:11" x14ac:dyDescent="0.3">
      <c r="A22" s="327"/>
      <c r="B22" s="327"/>
      <c r="C22" s="327"/>
      <c r="D22" s="327"/>
      <c r="E22" s="38"/>
      <c r="F22" s="159"/>
      <c r="G22" s="45"/>
      <c r="H22" s="45"/>
      <c r="I22" s="33"/>
      <c r="J22" s="33"/>
      <c r="K22" s="37"/>
    </row>
    <row r="23" spans="1:11" x14ac:dyDescent="0.3">
      <c r="A23" s="327"/>
      <c r="B23" s="327"/>
      <c r="C23" s="327"/>
      <c r="D23" s="327"/>
      <c r="E23" s="38"/>
      <c r="F23" s="159"/>
      <c r="G23" s="45"/>
      <c r="I23" s="33"/>
      <c r="J23" s="3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3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3" x14ac:dyDescent="0.3">
      <c r="A34" s="327"/>
      <c r="B34" s="327"/>
      <c r="C34" s="327"/>
      <c r="D34" s="327"/>
      <c r="E34" s="38"/>
      <c r="F34" s="159"/>
      <c r="G34" s="45"/>
      <c r="H34" s="45"/>
      <c r="I34" s="33"/>
      <c r="J34" s="33"/>
      <c r="K34" s="37"/>
    </row>
    <row r="35" spans="1:13" x14ac:dyDescent="0.3">
      <c r="A35" s="327"/>
      <c r="B35" s="327"/>
      <c r="C35" s="327"/>
      <c r="D35" s="327"/>
      <c r="E35" s="38"/>
      <c r="F35" s="159"/>
      <c r="G35" s="45"/>
      <c r="H35" s="45"/>
      <c r="I35" s="33"/>
      <c r="J35" s="33"/>
      <c r="K35" s="37"/>
    </row>
    <row r="36" spans="1:13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3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3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3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3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3" x14ac:dyDescent="0.3">
      <c r="A41" s="327"/>
      <c r="B41" s="327"/>
      <c r="C41" s="327"/>
      <c r="D41" s="327"/>
      <c r="E41" s="38"/>
      <c r="F41" s="159"/>
      <c r="G41" s="45"/>
      <c r="H41" s="45"/>
      <c r="I41" s="32"/>
      <c r="J41" s="33"/>
      <c r="K41" s="37"/>
    </row>
    <row r="42" spans="1:13" x14ac:dyDescent="0.3">
      <c r="A42" s="327"/>
      <c r="B42" s="327"/>
      <c r="C42" s="327"/>
      <c r="D42" s="327"/>
      <c r="E42" s="38"/>
      <c r="F42" s="159"/>
      <c r="G42" s="45"/>
      <c r="H42" s="45"/>
      <c r="I42" s="32"/>
      <c r="J42" s="33"/>
      <c r="K42" s="37"/>
    </row>
    <row r="43" spans="1:13" x14ac:dyDescent="0.3">
      <c r="A43" s="327"/>
      <c r="B43" s="327"/>
      <c r="C43" s="327"/>
      <c r="D43" s="327"/>
      <c r="E43" s="38"/>
      <c r="F43" s="33"/>
      <c r="G43" s="33"/>
      <c r="H43" s="33"/>
      <c r="I43" s="32"/>
      <c r="J43" s="32"/>
      <c r="K43" s="39"/>
    </row>
    <row r="44" spans="1:13" x14ac:dyDescent="0.3">
      <c r="A44" s="327"/>
      <c r="B44" s="327"/>
      <c r="C44" s="327"/>
      <c r="D44" s="327"/>
      <c r="E44" s="38"/>
      <c r="F44" s="33"/>
      <c r="G44" s="33"/>
      <c r="H44" s="33"/>
      <c r="I44" s="32"/>
      <c r="J44" s="32"/>
      <c r="K44" s="39"/>
    </row>
    <row r="45" spans="1:13" x14ac:dyDescent="0.3">
      <c r="A45" s="327"/>
      <c r="B45" s="327"/>
      <c r="C45" s="327"/>
      <c r="D45" s="327"/>
      <c r="E45" s="40"/>
      <c r="F45" s="33"/>
      <c r="G45" s="33"/>
      <c r="H45" s="33"/>
      <c r="I45" s="32"/>
      <c r="J45" s="32"/>
      <c r="K45" s="32"/>
    </row>
    <row r="46" spans="1:13" x14ac:dyDescent="0.3">
      <c r="A46" s="327"/>
      <c r="B46" s="327"/>
      <c r="C46" s="327"/>
      <c r="D46" s="327"/>
      <c r="E46" s="40"/>
      <c r="F46" s="33"/>
      <c r="G46" s="33"/>
      <c r="H46" s="33"/>
      <c r="I46" s="32"/>
      <c r="J46" s="32"/>
      <c r="K46" s="32"/>
    </row>
    <row r="47" spans="1:13" x14ac:dyDescent="0.3">
      <c r="A47" s="327"/>
      <c r="B47" s="327"/>
      <c r="C47" s="327"/>
      <c r="D47" s="327"/>
      <c r="E47" s="38"/>
      <c r="F47" s="33"/>
      <c r="G47" s="33"/>
      <c r="H47" s="33"/>
      <c r="I47" s="32"/>
      <c r="J47" s="33"/>
      <c r="K47" s="41"/>
    </row>
    <row r="48" spans="1:13" x14ac:dyDescent="0.3">
      <c r="A48" s="327"/>
      <c r="B48" s="327"/>
      <c r="C48" s="327"/>
      <c r="D48" s="327"/>
      <c r="E48" s="324" t="s">
        <v>45</v>
      </c>
      <c r="F48" s="324"/>
      <c r="G48" s="324"/>
      <c r="H48" s="324"/>
      <c r="I48" s="324"/>
      <c r="J48" s="324"/>
      <c r="K48" s="164">
        <f>SUM(K11:K47)</f>
        <v>36.319000000000003</v>
      </c>
      <c r="L48" s="27">
        <v>118</v>
      </c>
      <c r="M48" s="27">
        <f>K48*L48</f>
        <v>4285.6420000000007</v>
      </c>
    </row>
    <row r="49" spans="1:11" s="31" customFormat="1" hidden="1" x14ac:dyDescent="0.3">
      <c r="A49" s="328" t="s">
        <v>46</v>
      </c>
      <c r="B49" s="328"/>
      <c r="C49" s="328" t="s">
        <v>46</v>
      </c>
      <c r="D49" s="328"/>
      <c r="E49" s="328" t="s">
        <v>47</v>
      </c>
      <c r="F49" s="328"/>
      <c r="G49" s="328"/>
      <c r="H49" s="328" t="s">
        <v>48</v>
      </c>
      <c r="I49" s="328"/>
      <c r="J49" s="328"/>
      <c r="K49" s="328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idden="1" x14ac:dyDescent="0.3">
      <c r="A54" s="330"/>
      <c r="B54" s="330"/>
      <c r="C54" s="330"/>
      <c r="D54" s="330"/>
      <c r="E54" s="330"/>
      <c r="F54" s="330"/>
      <c r="G54" s="330"/>
      <c r="H54" s="330"/>
      <c r="I54" s="330"/>
      <c r="J54" s="330"/>
      <c r="K54" s="330"/>
    </row>
    <row r="55" spans="1:11" s="31" customFormat="1" hidden="1" x14ac:dyDescent="0.3">
      <c r="A55" s="330"/>
      <c r="B55" s="330"/>
      <c r="C55" s="330"/>
      <c r="D55" s="330"/>
      <c r="E55" s="330"/>
      <c r="F55" s="330"/>
      <c r="G55" s="330"/>
      <c r="H55" s="330"/>
      <c r="I55" s="330"/>
      <c r="J55" s="330"/>
      <c r="K55" s="330"/>
    </row>
    <row r="56" spans="1:11" s="31" customFormat="1" ht="15.75" hidden="1" customHeight="1" thickBot="1" x14ac:dyDescent="0.35">
      <c r="A56" s="331"/>
      <c r="B56" s="332"/>
      <c r="C56" s="332"/>
      <c r="D56" s="332"/>
      <c r="E56" s="332"/>
      <c r="F56" s="332"/>
      <c r="G56" s="332"/>
      <c r="H56" s="332"/>
      <c r="I56" s="332"/>
      <c r="J56" s="332"/>
      <c r="K56" s="333"/>
    </row>
    <row r="57" spans="1:11" hidden="1" x14ac:dyDescent="0.3"/>
  </sheetData>
  <mergeCells count="32">
    <mergeCell ref="A50:B55"/>
    <mergeCell ref="C50:D55"/>
    <mergeCell ref="E50:G55"/>
    <mergeCell ref="H50:K55"/>
    <mergeCell ref="A56:K56"/>
    <mergeCell ref="K9:K10"/>
    <mergeCell ref="A10:D48"/>
    <mergeCell ref="E48:J48"/>
    <mergeCell ref="A49:B49"/>
    <mergeCell ref="C49:D49"/>
    <mergeCell ref="E49:G49"/>
    <mergeCell ref="H49:K49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scale="50" orientation="landscape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19EF6-4CA1-435D-95B0-7687C9A544A8}">
  <sheetPr>
    <tabColor rgb="FFFFFF00"/>
  </sheetPr>
  <dimension ref="A1:M56"/>
  <sheetViews>
    <sheetView topLeftCell="A6" zoomScale="85" zoomScaleNormal="85" workbookViewId="0">
      <selection activeCell="E24" sqref="E24"/>
    </sheetView>
  </sheetViews>
  <sheetFormatPr baseColWidth="10" defaultColWidth="11.44140625" defaultRowHeight="13.8" x14ac:dyDescent="0.3"/>
  <cols>
    <col min="1" max="1" width="19.44140625" style="27" customWidth="1"/>
    <col min="2" max="2" width="21" style="27" customWidth="1"/>
    <col min="3" max="3" width="30.6640625" style="27" customWidth="1"/>
    <col min="4" max="4" width="24.5546875" style="27" customWidth="1"/>
    <col min="5" max="5" width="44.88671875" style="27" customWidth="1"/>
    <col min="6" max="6" width="15.6640625" style="27" customWidth="1"/>
    <col min="7" max="7" width="19.33203125" style="27" customWidth="1"/>
    <col min="8" max="8" width="19.5546875" style="27" customWidth="1"/>
    <col min="9" max="9" width="20.44140625" style="27" customWidth="1"/>
    <col min="10" max="11" width="15.6640625" style="27" customWidth="1"/>
    <col min="12" max="16384" width="11.44140625" style="27"/>
  </cols>
  <sheetData>
    <row r="1" spans="1:11" s="26" customFormat="1" x14ac:dyDescent="0.3">
      <c r="A1" s="325"/>
      <c r="B1" s="325"/>
      <c r="C1" s="320" t="s">
        <v>53</v>
      </c>
      <c r="D1" s="320"/>
      <c r="E1" s="320" t="s">
        <v>33</v>
      </c>
      <c r="F1" s="320"/>
      <c r="G1" s="320"/>
      <c r="H1" s="320"/>
      <c r="I1" s="320" t="s">
        <v>34</v>
      </c>
      <c r="J1" s="320"/>
      <c r="K1" s="320"/>
    </row>
    <row r="2" spans="1:11" s="26" customFormat="1" x14ac:dyDescent="0.3">
      <c r="A2" s="325"/>
      <c r="B2" s="325"/>
      <c r="C2" s="320"/>
      <c r="D2" s="320"/>
      <c r="E2" s="320" t="s">
        <v>35</v>
      </c>
      <c r="F2" s="320"/>
      <c r="G2" s="320"/>
      <c r="H2" s="320"/>
      <c r="I2" s="320" t="s">
        <v>54</v>
      </c>
      <c r="J2" s="320"/>
      <c r="K2" s="320"/>
    </row>
    <row r="3" spans="1:11" s="26" customFormat="1" x14ac:dyDescent="0.3">
      <c r="A3" s="325"/>
      <c r="B3" s="325"/>
      <c r="C3" s="320" t="s">
        <v>55</v>
      </c>
      <c r="D3" s="320"/>
      <c r="E3" s="320" t="s">
        <v>36</v>
      </c>
      <c r="F3" s="320"/>
      <c r="G3" s="320"/>
      <c r="H3" s="320"/>
      <c r="I3" s="320"/>
      <c r="J3" s="320"/>
      <c r="K3" s="320"/>
    </row>
    <row r="4" spans="1:11" s="26" customFormat="1" x14ac:dyDescent="0.3">
      <c r="A4" s="325"/>
      <c r="B4" s="325"/>
      <c r="C4" s="320"/>
      <c r="D4" s="320"/>
      <c r="E4" s="320" t="s">
        <v>37</v>
      </c>
      <c r="F4" s="320"/>
      <c r="G4" s="320"/>
      <c r="H4" s="320"/>
      <c r="I4" s="320" t="s">
        <v>38</v>
      </c>
      <c r="J4" s="320"/>
      <c r="K4" s="320"/>
    </row>
    <row r="5" spans="1:11" s="26" customFormat="1" x14ac:dyDescent="0.3">
      <c r="A5" s="325"/>
      <c r="B5" s="325"/>
      <c r="C5" s="320"/>
      <c r="D5" s="320"/>
      <c r="E5" s="320" t="s">
        <v>39</v>
      </c>
      <c r="F5" s="320"/>
      <c r="G5" s="320"/>
      <c r="H5" s="320"/>
      <c r="I5" s="321"/>
      <c r="J5" s="321"/>
      <c r="K5" s="321"/>
    </row>
    <row r="6" spans="1:11" ht="25.2" customHeight="1" x14ac:dyDescent="0.3">
      <c r="A6" s="322" t="s">
        <v>40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</row>
    <row r="7" spans="1:11" s="31" customFormat="1" x14ac:dyDescent="0.3">
      <c r="A7" s="35" t="s">
        <v>56</v>
      </c>
      <c r="B7" s="189">
        <v>4.22</v>
      </c>
      <c r="C7" s="29" t="s">
        <v>57</v>
      </c>
      <c r="D7" s="323" t="e">
        <f>'FORMATO PRESUPUESTO'!#REF!</f>
        <v>#REF!</v>
      </c>
      <c r="E7" s="323"/>
      <c r="F7" s="323"/>
      <c r="G7" s="323"/>
      <c r="H7" s="323"/>
      <c r="I7" s="323"/>
      <c r="J7" s="30" t="s">
        <v>41</v>
      </c>
      <c r="K7" s="134" t="e">
        <f>'FORMATO PRESUPUESTO'!#REF!</f>
        <v>#REF!</v>
      </c>
    </row>
    <row r="8" spans="1:11" x14ac:dyDescent="0.3">
      <c r="A8" s="324"/>
      <c r="B8" s="324"/>
      <c r="C8" s="324"/>
      <c r="D8" s="324"/>
      <c r="E8" s="324"/>
      <c r="F8" s="324"/>
      <c r="G8" s="324"/>
      <c r="H8" s="324"/>
      <c r="I8" s="324"/>
      <c r="J8" s="324"/>
      <c r="K8" s="324"/>
    </row>
    <row r="9" spans="1:11" x14ac:dyDescent="0.3">
      <c r="A9" s="326" t="s">
        <v>58</v>
      </c>
      <c r="B9" s="326"/>
      <c r="C9" s="326"/>
      <c r="D9" s="326"/>
      <c r="E9" s="326" t="s">
        <v>52</v>
      </c>
      <c r="F9" s="329" t="s">
        <v>42</v>
      </c>
      <c r="G9" s="329"/>
      <c r="H9" s="329"/>
      <c r="I9" s="326" t="e">
        <f>+CONCATENATE("(i) MEDIDA PARCIAL"," ","(",K7,")")</f>
        <v>#REF!</v>
      </c>
      <c r="J9" s="326" t="s">
        <v>44</v>
      </c>
      <c r="K9" s="326" t="e">
        <f>+CONCATENATE("(k) MEDIDA TOTAL"," ","(",K7,")")</f>
        <v>#REF!</v>
      </c>
    </row>
    <row r="10" spans="1:11" x14ac:dyDescent="0.3">
      <c r="A10" s="327"/>
      <c r="B10" s="327"/>
      <c r="C10" s="327"/>
      <c r="D10" s="327"/>
      <c r="E10" s="326"/>
      <c r="F10" s="34" t="s">
        <v>49</v>
      </c>
      <c r="G10" s="34" t="s">
        <v>50</v>
      </c>
      <c r="H10" s="34" t="s">
        <v>51</v>
      </c>
      <c r="I10" s="326"/>
      <c r="J10" s="326"/>
      <c r="K10" s="326"/>
    </row>
    <row r="11" spans="1:11" x14ac:dyDescent="0.3">
      <c r="A11" s="327"/>
      <c r="B11" s="327"/>
      <c r="C11" s="327"/>
      <c r="D11" s="327"/>
      <c r="E11" s="134"/>
      <c r="F11" s="30"/>
      <c r="G11" s="30"/>
      <c r="H11" s="30"/>
      <c r="I11" s="134"/>
      <c r="J11" s="134"/>
      <c r="K11" s="134"/>
    </row>
    <row r="12" spans="1:11" x14ac:dyDescent="0.3">
      <c r="A12" s="327"/>
      <c r="B12" s="327"/>
      <c r="C12" s="327"/>
      <c r="D12" s="327"/>
      <c r="E12" s="38" t="s">
        <v>322</v>
      </c>
      <c r="F12" s="45"/>
      <c r="G12" s="43">
        <f>6+0.5*2</f>
        <v>7</v>
      </c>
      <c r="H12" s="46"/>
      <c r="I12" s="33">
        <f>G12</f>
        <v>7</v>
      </c>
      <c r="J12" s="33">
        <v>4</v>
      </c>
      <c r="K12" s="37">
        <f>+I12*J12</f>
        <v>28</v>
      </c>
    </row>
    <row r="13" spans="1:11" x14ac:dyDescent="0.3">
      <c r="A13" s="327"/>
      <c r="B13" s="327"/>
      <c r="C13" s="327"/>
      <c r="D13" s="327"/>
      <c r="F13" s="43"/>
      <c r="G13" s="43"/>
      <c r="H13" s="43"/>
      <c r="I13" s="33"/>
      <c r="J13" s="33"/>
      <c r="K13" s="37"/>
    </row>
    <row r="14" spans="1:11" x14ac:dyDescent="0.3">
      <c r="A14" s="327"/>
      <c r="B14" s="327"/>
      <c r="C14" s="327"/>
      <c r="D14" s="327"/>
      <c r="E14" s="38" t="s">
        <v>321</v>
      </c>
      <c r="F14" s="160"/>
      <c r="G14" s="45">
        <f>3.75+0.5*2</f>
        <v>4.75</v>
      </c>
      <c r="H14" s="43"/>
      <c r="I14" s="33">
        <f>G14</f>
        <v>4.75</v>
      </c>
      <c r="J14" s="33">
        <v>4</v>
      </c>
      <c r="K14" s="37">
        <f>+I14*J14</f>
        <v>19</v>
      </c>
    </row>
    <row r="15" spans="1:11" x14ac:dyDescent="0.3">
      <c r="A15" s="327"/>
      <c r="B15" s="327"/>
      <c r="C15" s="327"/>
      <c r="D15" s="327"/>
      <c r="E15" s="38"/>
      <c r="F15" s="45"/>
      <c r="G15" s="45"/>
      <c r="H15" s="46"/>
      <c r="I15" s="33"/>
      <c r="J15" s="33"/>
      <c r="K15" s="37"/>
    </row>
    <row r="16" spans="1:11" x14ac:dyDescent="0.3">
      <c r="A16" s="327"/>
      <c r="B16" s="327"/>
      <c r="C16" s="327"/>
      <c r="D16" s="327"/>
      <c r="E16" s="38"/>
      <c r="F16" s="45"/>
      <c r="G16" s="45"/>
      <c r="H16" s="46"/>
      <c r="I16" s="33"/>
      <c r="J16" s="33"/>
      <c r="K16" s="37"/>
    </row>
    <row r="17" spans="1:11" x14ac:dyDescent="0.3">
      <c r="A17" s="327"/>
      <c r="B17" s="327"/>
      <c r="C17" s="327"/>
      <c r="D17" s="327"/>
      <c r="E17" s="38"/>
      <c r="F17" s="159"/>
      <c r="G17" s="43"/>
      <c r="H17" s="43"/>
      <c r="I17" s="33"/>
      <c r="J17" s="33"/>
      <c r="K17" s="37"/>
    </row>
    <row r="18" spans="1:11" x14ac:dyDescent="0.3">
      <c r="A18" s="327"/>
      <c r="B18" s="327"/>
      <c r="C18" s="327"/>
      <c r="D18" s="327"/>
      <c r="E18" s="38"/>
      <c r="F18" s="159"/>
      <c r="G18" s="45"/>
      <c r="H18" s="45"/>
      <c r="I18" s="33"/>
      <c r="J18" s="33"/>
      <c r="K18" s="37"/>
    </row>
    <row r="19" spans="1:11" x14ac:dyDescent="0.3">
      <c r="A19" s="327"/>
      <c r="B19" s="327"/>
      <c r="C19" s="327"/>
      <c r="D19" s="327"/>
      <c r="E19" s="38"/>
      <c r="F19" s="159"/>
      <c r="G19" s="45"/>
      <c r="H19" s="45"/>
      <c r="I19" s="33"/>
      <c r="J19" s="33"/>
      <c r="K19" s="37"/>
    </row>
    <row r="20" spans="1:11" x14ac:dyDescent="0.3">
      <c r="A20" s="327"/>
      <c r="B20" s="327"/>
      <c r="C20" s="327"/>
      <c r="D20" s="327"/>
      <c r="E20" s="38"/>
      <c r="F20" s="159"/>
      <c r="G20" s="45"/>
      <c r="H20" s="45"/>
      <c r="I20" s="33"/>
      <c r="J20" s="33"/>
      <c r="K20" s="37"/>
    </row>
    <row r="21" spans="1:11" x14ac:dyDescent="0.3">
      <c r="A21" s="327"/>
      <c r="B21" s="327"/>
      <c r="C21" s="327"/>
      <c r="D21" s="327"/>
      <c r="E21" s="38"/>
      <c r="F21" s="159"/>
      <c r="G21" s="45"/>
      <c r="H21" s="45"/>
      <c r="I21" s="33"/>
      <c r="J21" s="33"/>
      <c r="K21" s="37"/>
    </row>
    <row r="22" spans="1:11" x14ac:dyDescent="0.3">
      <c r="A22" s="327"/>
      <c r="B22" s="327"/>
      <c r="C22" s="327"/>
      <c r="D22" s="327"/>
      <c r="E22" s="38"/>
      <c r="F22" s="159"/>
      <c r="G22" s="45"/>
      <c r="I22" s="33"/>
      <c r="J22" s="33"/>
      <c r="K22" s="37"/>
    </row>
    <row r="23" spans="1:11" x14ac:dyDescent="0.3">
      <c r="A23" s="327"/>
      <c r="B23" s="327"/>
      <c r="C23" s="327"/>
      <c r="D23" s="327"/>
      <c r="E23" s="38"/>
      <c r="F23" s="159"/>
      <c r="G23" s="45"/>
      <c r="H23" s="45"/>
      <c r="I23" s="33"/>
      <c r="J23" s="33"/>
      <c r="K23" s="37"/>
    </row>
    <row r="24" spans="1:11" x14ac:dyDescent="0.3">
      <c r="A24" s="327"/>
      <c r="B24" s="327"/>
      <c r="C24" s="327"/>
      <c r="D24" s="327"/>
      <c r="E24" s="38"/>
      <c r="F24" s="159"/>
      <c r="G24" s="45"/>
      <c r="H24" s="45"/>
      <c r="I24" s="33"/>
      <c r="J24" s="33"/>
      <c r="K24" s="37"/>
    </row>
    <row r="25" spans="1:11" x14ac:dyDescent="0.3">
      <c r="A25" s="327"/>
      <c r="B25" s="327"/>
      <c r="C25" s="327"/>
      <c r="D25" s="327"/>
      <c r="E25" s="38"/>
      <c r="F25" s="159"/>
      <c r="G25" s="45"/>
      <c r="H25" s="45"/>
      <c r="I25" s="33"/>
      <c r="J25" s="33"/>
      <c r="K25" s="37"/>
    </row>
    <row r="26" spans="1:11" x14ac:dyDescent="0.3">
      <c r="A26" s="327"/>
      <c r="B26" s="327"/>
      <c r="C26" s="327"/>
      <c r="D26" s="327"/>
      <c r="E26" s="38"/>
      <c r="F26" s="159"/>
      <c r="G26" s="45"/>
      <c r="H26" s="45"/>
      <c r="I26" s="33"/>
      <c r="J26" s="33"/>
      <c r="K26" s="37"/>
    </row>
    <row r="27" spans="1:11" x14ac:dyDescent="0.3">
      <c r="A27" s="327"/>
      <c r="B27" s="327"/>
      <c r="C27" s="327"/>
      <c r="D27" s="327"/>
      <c r="E27" s="38"/>
      <c r="F27" s="159"/>
      <c r="G27" s="45"/>
      <c r="H27" s="45"/>
      <c r="I27" s="33"/>
      <c r="J27" s="33"/>
      <c r="K27" s="37"/>
    </row>
    <row r="28" spans="1:11" x14ac:dyDescent="0.3">
      <c r="A28" s="327"/>
      <c r="B28" s="327"/>
      <c r="C28" s="327"/>
      <c r="D28" s="327"/>
      <c r="E28" s="38"/>
      <c r="F28" s="159"/>
      <c r="G28" s="45"/>
      <c r="H28" s="45"/>
      <c r="I28" s="33"/>
      <c r="J28" s="33"/>
      <c r="K28" s="37"/>
    </row>
    <row r="29" spans="1:11" x14ac:dyDescent="0.3">
      <c r="A29" s="327"/>
      <c r="B29" s="327"/>
      <c r="C29" s="327"/>
      <c r="D29" s="327"/>
      <c r="E29" s="38"/>
      <c r="F29" s="159"/>
      <c r="G29" s="45"/>
      <c r="H29" s="45"/>
      <c r="I29" s="33"/>
      <c r="J29" s="33"/>
      <c r="K29" s="37"/>
    </row>
    <row r="30" spans="1:11" x14ac:dyDescent="0.3">
      <c r="A30" s="327"/>
      <c r="B30" s="327"/>
      <c r="C30" s="327"/>
      <c r="D30" s="327"/>
      <c r="E30" s="38"/>
      <c r="F30" s="159"/>
      <c r="G30" s="45"/>
      <c r="H30" s="45"/>
      <c r="I30" s="33"/>
      <c r="J30" s="33"/>
      <c r="K30" s="37"/>
    </row>
    <row r="31" spans="1:11" x14ac:dyDescent="0.3">
      <c r="A31" s="327"/>
      <c r="B31" s="327"/>
      <c r="C31" s="327"/>
      <c r="D31" s="327"/>
      <c r="E31" s="38"/>
      <c r="F31" s="159"/>
      <c r="G31" s="45"/>
      <c r="H31" s="45"/>
      <c r="I31" s="33"/>
      <c r="J31" s="33"/>
      <c r="K31" s="37"/>
    </row>
    <row r="32" spans="1:11" x14ac:dyDescent="0.3">
      <c r="A32" s="327"/>
      <c r="B32" s="327"/>
      <c r="C32" s="327"/>
      <c r="D32" s="327"/>
      <c r="E32" s="38"/>
      <c r="F32" s="159"/>
      <c r="G32" s="45"/>
      <c r="H32" s="45"/>
      <c r="I32" s="33"/>
      <c r="J32" s="33"/>
      <c r="K32" s="37"/>
    </row>
    <row r="33" spans="1:13" x14ac:dyDescent="0.3">
      <c r="A33" s="327"/>
      <c r="B33" s="327"/>
      <c r="C33" s="327"/>
      <c r="D33" s="327"/>
      <c r="E33" s="38"/>
      <c r="F33" s="159"/>
      <c r="G33" s="45"/>
      <c r="H33" s="45"/>
      <c r="I33" s="33"/>
      <c r="J33" s="33"/>
      <c r="K33" s="37"/>
    </row>
    <row r="34" spans="1:13" x14ac:dyDescent="0.3">
      <c r="A34" s="327"/>
      <c r="B34" s="327"/>
      <c r="C34" s="327"/>
      <c r="D34" s="327"/>
      <c r="E34" s="38"/>
      <c r="F34" s="159"/>
      <c r="G34" s="45"/>
      <c r="H34" s="45"/>
      <c r="I34" s="33"/>
      <c r="J34" s="33"/>
      <c r="K34" s="37"/>
    </row>
    <row r="35" spans="1:13" x14ac:dyDescent="0.3">
      <c r="A35" s="327"/>
      <c r="B35" s="327"/>
      <c r="C35" s="327"/>
      <c r="D35" s="327"/>
      <c r="E35" s="38"/>
      <c r="F35" s="159"/>
      <c r="G35" s="45"/>
      <c r="H35" s="45"/>
      <c r="I35" s="32"/>
      <c r="J35" s="33"/>
      <c r="K35" s="37"/>
    </row>
    <row r="36" spans="1:13" x14ac:dyDescent="0.3">
      <c r="A36" s="327"/>
      <c r="B36" s="327"/>
      <c r="C36" s="327"/>
      <c r="D36" s="327"/>
      <c r="E36" s="38"/>
      <c r="F36" s="159"/>
      <c r="G36" s="45"/>
      <c r="H36" s="45"/>
      <c r="I36" s="32"/>
      <c r="J36" s="33"/>
      <c r="K36" s="37"/>
    </row>
    <row r="37" spans="1:13" x14ac:dyDescent="0.3">
      <c r="A37" s="327"/>
      <c r="B37" s="327"/>
      <c r="C37" s="327"/>
      <c r="D37" s="327"/>
      <c r="E37" s="38"/>
      <c r="F37" s="159"/>
      <c r="G37" s="45"/>
      <c r="H37" s="45"/>
      <c r="I37" s="32"/>
      <c r="J37" s="33"/>
      <c r="K37" s="37"/>
    </row>
    <row r="38" spans="1:13" x14ac:dyDescent="0.3">
      <c r="A38" s="327"/>
      <c r="B38" s="327"/>
      <c r="C38" s="327"/>
      <c r="D38" s="327"/>
      <c r="E38" s="38"/>
      <c r="F38" s="159"/>
      <c r="G38" s="45"/>
      <c r="H38" s="45"/>
      <c r="I38" s="32"/>
      <c r="J38" s="33"/>
      <c r="K38" s="37"/>
    </row>
    <row r="39" spans="1:13" x14ac:dyDescent="0.3">
      <c r="A39" s="327"/>
      <c r="B39" s="327"/>
      <c r="C39" s="327"/>
      <c r="D39" s="327"/>
      <c r="E39" s="38"/>
      <c r="F39" s="159"/>
      <c r="G39" s="45"/>
      <c r="H39" s="45"/>
      <c r="I39" s="32"/>
      <c r="J39" s="33"/>
      <c r="K39" s="37"/>
    </row>
    <row r="40" spans="1:13" x14ac:dyDescent="0.3">
      <c r="A40" s="327"/>
      <c r="B40" s="327"/>
      <c r="C40" s="327"/>
      <c r="D40" s="327"/>
      <c r="E40" s="38"/>
      <c r="F40" s="159"/>
      <c r="G40" s="45"/>
      <c r="H40" s="45"/>
      <c r="I40" s="32"/>
      <c r="J40" s="33"/>
      <c r="K40" s="37"/>
    </row>
    <row r="41" spans="1:13" x14ac:dyDescent="0.3">
      <c r="A41" s="327"/>
      <c r="B41" s="327"/>
      <c r="C41" s="327"/>
      <c r="D41" s="327"/>
      <c r="E41" s="38"/>
      <c r="F41" s="159"/>
      <c r="G41" s="45"/>
      <c r="H41" s="45"/>
      <c r="I41" s="32"/>
      <c r="J41" s="33"/>
      <c r="K41" s="37"/>
    </row>
    <row r="42" spans="1:13" x14ac:dyDescent="0.3">
      <c r="A42" s="327"/>
      <c r="B42" s="327"/>
      <c r="C42" s="327"/>
      <c r="D42" s="327"/>
      <c r="E42" s="38"/>
      <c r="F42" s="33"/>
      <c r="G42" s="33"/>
      <c r="H42" s="33"/>
      <c r="I42" s="32"/>
      <c r="J42" s="32"/>
      <c r="K42" s="39"/>
    </row>
    <row r="43" spans="1:13" x14ac:dyDescent="0.3">
      <c r="A43" s="327"/>
      <c r="B43" s="327"/>
      <c r="C43" s="327"/>
      <c r="D43" s="327"/>
      <c r="E43" s="38"/>
      <c r="F43" s="33"/>
      <c r="G43" s="33"/>
      <c r="H43" s="33"/>
      <c r="I43" s="32"/>
      <c r="J43" s="32"/>
      <c r="K43" s="39"/>
    </row>
    <row r="44" spans="1:13" x14ac:dyDescent="0.3">
      <c r="A44" s="327"/>
      <c r="B44" s="327"/>
      <c r="C44" s="327"/>
      <c r="D44" s="327"/>
      <c r="E44" s="40"/>
      <c r="F44" s="33"/>
      <c r="G44" s="33"/>
      <c r="H44" s="33"/>
      <c r="I44" s="32"/>
      <c r="J44" s="32"/>
      <c r="K44" s="32"/>
    </row>
    <row r="45" spans="1:13" x14ac:dyDescent="0.3">
      <c r="A45" s="327"/>
      <c r="B45" s="327"/>
      <c r="C45" s="327"/>
      <c r="D45" s="327"/>
      <c r="E45" s="40"/>
      <c r="F45" s="33"/>
      <c r="G45" s="33"/>
      <c r="H45" s="33"/>
      <c r="I45" s="32"/>
      <c r="J45" s="32"/>
      <c r="K45" s="32"/>
    </row>
    <row r="46" spans="1:13" x14ac:dyDescent="0.3">
      <c r="A46" s="327"/>
      <c r="B46" s="327"/>
      <c r="C46" s="327"/>
      <c r="D46" s="327"/>
      <c r="E46" s="38"/>
      <c r="F46" s="33"/>
      <c r="G46" s="33"/>
      <c r="H46" s="33"/>
      <c r="I46" s="32"/>
      <c r="J46" s="33"/>
      <c r="K46" s="41"/>
    </row>
    <row r="47" spans="1:13" x14ac:dyDescent="0.3">
      <c r="A47" s="327"/>
      <c r="B47" s="327"/>
      <c r="C47" s="327"/>
      <c r="D47" s="327"/>
      <c r="E47" s="324" t="s">
        <v>45</v>
      </c>
      <c r="F47" s="324"/>
      <c r="G47" s="324"/>
      <c r="H47" s="324"/>
      <c r="I47" s="324"/>
      <c r="J47" s="324"/>
      <c r="K47" s="164">
        <f>SUM(K11:K46)</f>
        <v>47</v>
      </c>
      <c r="L47" s="27">
        <v>118</v>
      </c>
      <c r="M47" s="27">
        <f>K47*L47</f>
        <v>5546</v>
      </c>
    </row>
    <row r="48" spans="1:13" s="31" customFormat="1" hidden="1" x14ac:dyDescent="0.3">
      <c r="A48" s="328" t="s">
        <v>46</v>
      </c>
      <c r="B48" s="328"/>
      <c r="C48" s="328" t="s">
        <v>46</v>
      </c>
      <c r="D48" s="328"/>
      <c r="E48" s="328" t="s">
        <v>47</v>
      </c>
      <c r="F48" s="328"/>
      <c r="G48" s="328"/>
      <c r="H48" s="328" t="s">
        <v>48</v>
      </c>
      <c r="I48" s="328"/>
      <c r="J48" s="328"/>
      <c r="K48" s="328"/>
    </row>
    <row r="49" spans="1:11" s="31" customFormat="1" hidden="1" x14ac:dyDescent="0.3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 s="31" customFormat="1" hidden="1" x14ac:dyDescent="0.3">
      <c r="A50" s="330"/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 s="31" customFormat="1" hidden="1" x14ac:dyDescent="0.3">
      <c r="A51" s="330"/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  <row r="52" spans="1:11" s="31" customFormat="1" hidden="1" x14ac:dyDescent="0.3">
      <c r="A52" s="330"/>
      <c r="B52" s="330"/>
      <c r="C52" s="330"/>
      <c r="D52" s="330"/>
      <c r="E52" s="330"/>
      <c r="F52" s="330"/>
      <c r="G52" s="330"/>
      <c r="H52" s="330"/>
      <c r="I52" s="330"/>
      <c r="J52" s="330"/>
      <c r="K52" s="330"/>
    </row>
    <row r="53" spans="1:11" s="31" customFormat="1" hidden="1" x14ac:dyDescent="0.3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</row>
    <row r="54" spans="1:11" s="31" customFormat="1" hidden="1" x14ac:dyDescent="0.3">
      <c r="A54" s="330"/>
      <c r="B54" s="330"/>
      <c r="C54" s="330"/>
      <c r="D54" s="330"/>
      <c r="E54" s="330"/>
      <c r="F54" s="330"/>
      <c r="G54" s="330"/>
      <c r="H54" s="330"/>
      <c r="I54" s="330"/>
      <c r="J54" s="330"/>
      <c r="K54" s="330"/>
    </row>
    <row r="55" spans="1:11" s="31" customFormat="1" ht="15.75" hidden="1" customHeight="1" thickBot="1" x14ac:dyDescent="0.35">
      <c r="A55" s="331"/>
      <c r="B55" s="332"/>
      <c r="C55" s="332"/>
      <c r="D55" s="332"/>
      <c r="E55" s="332"/>
      <c r="F55" s="332"/>
      <c r="G55" s="332"/>
      <c r="H55" s="332"/>
      <c r="I55" s="332"/>
      <c r="J55" s="332"/>
      <c r="K55" s="333"/>
    </row>
    <row r="56" spans="1:11" hidden="1" x14ac:dyDescent="0.3"/>
  </sheetData>
  <mergeCells count="32">
    <mergeCell ref="A49:B54"/>
    <mergeCell ref="C49:D54"/>
    <mergeCell ref="E49:G54"/>
    <mergeCell ref="H49:K54"/>
    <mergeCell ref="A55:K55"/>
    <mergeCell ref="K9:K10"/>
    <mergeCell ref="A10:D47"/>
    <mergeCell ref="E47:J47"/>
    <mergeCell ref="A48:B48"/>
    <mergeCell ref="C48:D48"/>
    <mergeCell ref="E48:G48"/>
    <mergeCell ref="H48:K48"/>
    <mergeCell ref="A9:D9"/>
    <mergeCell ref="E9:E10"/>
    <mergeCell ref="F9:H9"/>
    <mergeCell ref="I9:I10"/>
    <mergeCell ref="J9:J10"/>
    <mergeCell ref="E5:H5"/>
    <mergeCell ref="I5:K5"/>
    <mergeCell ref="A6:K6"/>
    <mergeCell ref="D7:I7"/>
    <mergeCell ref="A8:K8"/>
    <mergeCell ref="A1:B5"/>
    <mergeCell ref="C1:D2"/>
    <mergeCell ref="E1:H1"/>
    <mergeCell ref="I1:K1"/>
    <mergeCell ref="E2:H2"/>
    <mergeCell ref="I2:K2"/>
    <mergeCell ref="C3:D5"/>
    <mergeCell ref="E3:K3"/>
    <mergeCell ref="E4:H4"/>
    <mergeCell ref="I4:K4"/>
  </mergeCells>
  <pageMargins left="0.7" right="0.7" top="0.75" bottom="0.75" header="0.3" footer="0.3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59</vt:i4>
      </vt:variant>
      <vt:variant>
        <vt:lpstr>Rangos con nombre</vt:lpstr>
      </vt:variant>
      <vt:variant>
        <vt:i4>4</vt:i4>
      </vt:variant>
    </vt:vector>
  </HeadingPairs>
  <TitlesOfParts>
    <vt:vector size="63" baseType="lpstr">
      <vt:lpstr>PRESUPUESTO SIN DECIMALES</vt:lpstr>
      <vt:lpstr>FORMATO PRESUPUESTO</vt:lpstr>
      <vt:lpstr>APU</vt:lpstr>
      <vt:lpstr>1.1</vt:lpstr>
      <vt:lpstr>1.2</vt:lpstr>
      <vt:lpstr>1.2 (2)</vt:lpstr>
      <vt:lpstr>1.3</vt:lpstr>
      <vt:lpstr>1.3 (2)</vt:lpstr>
      <vt:lpstr>1.5</vt:lpstr>
      <vt:lpstr>1.5 (2)</vt:lpstr>
      <vt:lpstr>1.6</vt:lpstr>
      <vt:lpstr>1.6 (2)</vt:lpstr>
      <vt:lpstr>1.7 (0)</vt:lpstr>
      <vt:lpstr>1.8 (0)</vt:lpstr>
      <vt:lpstr>2.1</vt:lpstr>
      <vt:lpstr>2.2</vt:lpstr>
      <vt:lpstr>2.2 (2)</vt:lpstr>
      <vt:lpstr>2.3</vt:lpstr>
      <vt:lpstr>2.3 (2)</vt:lpstr>
      <vt:lpstr>2.4</vt:lpstr>
      <vt:lpstr>2.4 VF</vt:lpstr>
      <vt:lpstr>2.5</vt:lpstr>
      <vt:lpstr>2.5 (2)</vt:lpstr>
      <vt:lpstr>2.5 (3)</vt:lpstr>
      <vt:lpstr>2.6</vt:lpstr>
      <vt:lpstr>2.6 (2)</vt:lpstr>
      <vt:lpstr>2.6 (3)</vt:lpstr>
      <vt:lpstr>2.7</vt:lpstr>
      <vt:lpstr>2.7 (2)</vt:lpstr>
      <vt:lpstr>2.8</vt:lpstr>
      <vt:lpstr>2.8 (0)</vt:lpstr>
      <vt:lpstr>2.9</vt:lpstr>
      <vt:lpstr>2.10(0)</vt:lpstr>
      <vt:lpstr>3.1</vt:lpstr>
      <vt:lpstr>3.2</vt:lpstr>
      <vt:lpstr>3.3</vt:lpstr>
      <vt:lpstr>4.1 </vt:lpstr>
      <vt:lpstr>4.2</vt:lpstr>
      <vt:lpstr>4.3 MAN 0.25</vt:lpstr>
      <vt:lpstr>4.4</vt:lpstr>
      <vt:lpstr>4.5</vt:lpstr>
      <vt:lpstr>4.6</vt:lpstr>
      <vt:lpstr>4.7</vt:lpstr>
      <vt:lpstr>4.8</vt:lpstr>
      <vt:lpstr>4.8 (2)</vt:lpstr>
      <vt:lpstr>4.9</vt:lpstr>
      <vt:lpstr>4.10 (0)</vt:lpstr>
      <vt:lpstr>4.11(0)</vt:lpstr>
      <vt:lpstr>4.12</vt:lpstr>
      <vt:lpstr>4.13</vt:lpstr>
      <vt:lpstr>4.14.</vt:lpstr>
      <vt:lpstr>4.15.</vt:lpstr>
      <vt:lpstr>4.16.</vt:lpstr>
      <vt:lpstr>4.17</vt:lpstr>
      <vt:lpstr>4.18</vt:lpstr>
      <vt:lpstr>4.19</vt:lpstr>
      <vt:lpstr>4.20</vt:lpstr>
      <vt:lpstr>4.21</vt:lpstr>
      <vt:lpstr>4.22</vt:lpstr>
      <vt:lpstr>'FORMATO PRESUPUESTO'!Área_de_impresión</vt:lpstr>
      <vt:lpstr>'PRESUPUESTO SIN DECIMALES'!Área_de_impresión</vt:lpstr>
      <vt:lpstr>'FORMATO PRESUPUESTO'!Títulos_a_imprimir</vt:lpstr>
      <vt:lpstr>'PRESUPUESTO SIN DECIMALES'!Títulos_a_imprimir</vt:lpstr>
    </vt:vector>
  </TitlesOfParts>
  <Manager>FREDY CONTRERAS</Manager>
  <Company>ALCALDIA SAMACÁ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CONTRERAS</dc:creator>
  <cp:lastModifiedBy>Dany Leonardo Rodriguez Morales</cp:lastModifiedBy>
  <cp:lastPrinted>2023-09-06T23:00:59Z</cp:lastPrinted>
  <dcterms:created xsi:type="dcterms:W3CDTF">2014-06-17T21:55:49Z</dcterms:created>
  <dcterms:modified xsi:type="dcterms:W3CDTF">2023-10-31T22:38:40Z</dcterms:modified>
</cp:coreProperties>
</file>