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poyo contratación 2022\Bienes y servicios 2023\CONTRATOS REALIZADOS\MATERIALES SENNOVA\Para subir\"/>
    </mc:Choice>
  </mc:AlternateContent>
  <xr:revisionPtr revIDLastSave="0" documentId="13_ncr:1_{002505DC-DD85-4CC3-BDCE-AD4A547263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6" i="2" l="1"/>
  <c r="P20" i="2"/>
  <c r="O8" i="2"/>
  <c r="O11" i="2"/>
  <c r="O10" i="2"/>
  <c r="O19" i="2"/>
  <c r="O18" i="2"/>
  <c r="O17" i="2"/>
  <c r="O15" i="2"/>
  <c r="O14" i="2"/>
  <c r="O13" i="2"/>
  <c r="O12" i="2"/>
  <c r="O9" i="2"/>
  <c r="O7" i="2"/>
  <c r="L13" i="2"/>
  <c r="L8" i="2"/>
  <c r="L7" i="2"/>
  <c r="O6" i="2"/>
  <c r="O5" i="2"/>
  <c r="O4" i="2"/>
  <c r="H20" i="2"/>
  <c r="N19" i="2"/>
  <c r="N18" i="2"/>
  <c r="N15" i="2"/>
  <c r="N10" i="2"/>
  <c r="N11" i="2"/>
  <c r="N9" i="2"/>
  <c r="G19" i="2"/>
  <c r="H19" i="2" s="1"/>
  <c r="G18" i="2"/>
  <c r="G17" i="2"/>
  <c r="H17" i="2" s="1"/>
  <c r="N17" i="2" s="1"/>
  <c r="G15" i="2"/>
  <c r="H15" i="2" s="1"/>
  <c r="G14" i="2"/>
  <c r="H14" i="2" s="1"/>
  <c r="G13" i="2"/>
  <c r="G12" i="2"/>
  <c r="H12" i="2" s="1"/>
  <c r="G11" i="2"/>
  <c r="H11" i="2" s="1"/>
  <c r="G10" i="2"/>
  <c r="H10" i="2" s="1"/>
  <c r="H8" i="2"/>
  <c r="H18" i="2"/>
  <c r="H9" i="2"/>
  <c r="G7" i="2"/>
  <c r="H7" i="2" s="1"/>
  <c r="M19" i="2"/>
  <c r="M15" i="2"/>
  <c r="M11" i="2"/>
  <c r="M10" i="2"/>
  <c r="M9" i="2"/>
  <c r="J9" i="2"/>
  <c r="I13" i="2"/>
  <c r="J13" i="2" s="1"/>
  <c r="I15" i="2"/>
  <c r="J15" i="2" s="1"/>
  <c r="I19" i="2"/>
  <c r="J19" i="2" s="1"/>
  <c r="I18" i="2"/>
  <c r="J18" i="2" s="1"/>
  <c r="I17" i="2"/>
  <c r="J17" i="2" s="1"/>
  <c r="I16" i="2"/>
  <c r="I14" i="2"/>
  <c r="J14" i="2" s="1"/>
  <c r="I11" i="2"/>
  <c r="I10" i="2"/>
  <c r="J10" i="2" s="1"/>
  <c r="I8" i="2"/>
  <c r="J8" i="2" s="1"/>
  <c r="I7" i="2"/>
  <c r="K13" i="2"/>
  <c r="K11" i="2"/>
  <c r="K9" i="2"/>
  <c r="K8" i="2"/>
  <c r="K7" i="2"/>
  <c r="J7" i="2"/>
  <c r="J11" i="2"/>
  <c r="J12" i="2"/>
  <c r="J16" i="2"/>
  <c r="J5" i="2"/>
  <c r="J6" i="2"/>
  <c r="J4" i="2"/>
  <c r="H5" i="2"/>
  <c r="H6" i="2"/>
  <c r="H13" i="2"/>
  <c r="H16" i="2"/>
  <c r="H4" i="2"/>
  <c r="J20" i="2" l="1"/>
  <c r="P9" i="2"/>
  <c r="P5" i="2"/>
  <c r="P6" i="2"/>
  <c r="P4" i="2"/>
  <c r="L9" i="2"/>
  <c r="L11" i="2"/>
  <c r="L10" i="2"/>
  <c r="L15" i="2"/>
  <c r="L17" i="2"/>
  <c r="L18" i="2"/>
  <c r="L19" i="2"/>
  <c r="P8" i="2"/>
  <c r="P7" i="2"/>
  <c r="P19" i="2"/>
  <c r="P17" i="2"/>
  <c r="P16" i="2"/>
  <c r="N20" i="2" l="1"/>
  <c r="L20" i="2"/>
  <c r="P15" i="2"/>
  <c r="P14" i="2"/>
  <c r="P10" i="2"/>
  <c r="P11" i="2"/>
  <c r="P18" i="2"/>
  <c r="P12" i="2"/>
  <c r="P13" i="2"/>
</calcChain>
</file>

<file path=xl/sharedStrings.xml><?xml version="1.0" encoding="utf-8"?>
<sst xmlns="http://schemas.openxmlformats.org/spreadsheetml/2006/main" count="67" uniqueCount="48">
  <si>
    <r>
      <rPr>
        <b/>
        <sz val="11"/>
        <rFont val="Arial"/>
        <family val="2"/>
      </rPr>
      <t xml:space="preserve">ESPECIFICACIONES DEL CONTRATO
</t>
    </r>
    <r>
      <rPr>
        <sz val="11"/>
        <rFont val="Arial"/>
        <family val="2"/>
      </rPr>
      <t>En la ejecución del objeto contractual, el contratista se obliga a cumplir con la descripción, unidad de medida, cantidad y características técnicas exigidas a continuación</t>
    </r>
  </si>
  <si>
    <t>Materiales para laboratorio: Cepas bacterianas</t>
  </si>
  <si>
    <t>Unidad</t>
  </si>
  <si>
    <t>Agar MRS (De Man, Rogosa &amp; Sharpe) – Envase de 500 gr.</t>
  </si>
  <si>
    <t>Materiales para laboratorio: Medios de cultivo</t>
  </si>
  <si>
    <t>Caldo MRS (De Man, Rogosa &amp; Sharpe) - Envase de 500 gr.</t>
  </si>
  <si>
    <t>Materiales para laboratorio: Cajas de petri</t>
  </si>
  <si>
    <t>Cajas de petri bacteriológicas estériles 90 x15 mm – Paquetes por 10 unidades</t>
  </si>
  <si>
    <t>Etanol puro 99%</t>
  </si>
  <si>
    <t>Metanol 99,8%</t>
  </si>
  <si>
    <t>Metanol 99,8% Sinónimos: Methyl alcohol Fórmula lineal: CH3OH Grado HPLC, ≥99.9% Presentación - 1 litro</t>
  </si>
  <si>
    <t>Litro</t>
  </si>
  <si>
    <t>Filtro de jeringa, membrana     de PVDF.</t>
  </si>
  <si>
    <t>Paquete</t>
  </si>
  <si>
    <t>Jeringas plásticas  de  10 ml con aguja</t>
  </si>
  <si>
    <t>Reactivo de Fenol  de Folin- Ciocalteu    para determinación de compuestos fenólicos totales</t>
  </si>
  <si>
    <t>Ácido tánico</t>
  </si>
  <si>
    <t>Butanol 99,8%</t>
  </si>
  <si>
    <t>Litros</t>
  </si>
  <si>
    <t>Ácido clorhídrico 37%</t>
  </si>
  <si>
    <t>Acetona 99,9%</t>
  </si>
  <si>
    <t>Jeringas plásticas de 10 ml, estériles. En dos partes   (jeringa   y   aguja   aparte). Empaque con una unidad.m Paquete por 100 unidades</t>
  </si>
  <si>
    <t>Filtro  de  jeringa,  membrana  de  PVDF, diámetro  del  filtro  13  mm,  diámetro  de poro 0,22 um, estéril, hidrofílico. Paquete por 100 unidades</t>
  </si>
  <si>
    <t>FILTRACIÓN Y ANALISIS</t>
  </si>
  <si>
    <t>Ethanol, absolute alcohol, non-denatured ethanol Fórmula lineal: CH3CH2OH 200 proof. Grado HPLC/spectrophotometric grade Presentación - 5 Lt</t>
  </si>
  <si>
    <r>
      <rPr>
        <b/>
        <sz val="11"/>
        <color rgb="FF0D0D0D"/>
        <rFont val="Arial"/>
        <family val="2"/>
      </rPr>
      <t>ITEM</t>
    </r>
  </si>
  <si>
    <r>
      <rPr>
        <b/>
        <sz val="11"/>
        <color rgb="FF0D0D0D"/>
        <rFont val="Arial"/>
        <family val="2"/>
      </rPr>
      <t>DENOMINACION TECNICA</t>
    </r>
  </si>
  <si>
    <r>
      <rPr>
        <b/>
        <sz val="11"/>
        <color rgb="FF0D0D0D"/>
        <rFont val="Arial"/>
        <family val="2"/>
      </rPr>
      <t>DESCRIPCION GENRAL</t>
    </r>
  </si>
  <si>
    <r>
      <rPr>
        <b/>
        <sz val="11"/>
        <color rgb="FF0D0D0D"/>
        <rFont val="Arial"/>
        <family val="2"/>
      </rPr>
      <t>UNSPSC</t>
    </r>
  </si>
  <si>
    <r>
      <rPr>
        <b/>
        <sz val="11"/>
        <color rgb="FF0D0D0D"/>
        <rFont val="Arial"/>
        <family val="2"/>
      </rPr>
      <t>UNIDAD</t>
    </r>
  </si>
  <si>
    <r>
      <rPr>
        <b/>
        <sz val="11"/>
        <color rgb="FF0D0D0D"/>
        <rFont val="Arial"/>
        <family val="2"/>
      </rPr>
      <t>CANTIDAD</t>
    </r>
  </si>
  <si>
    <r>
      <rPr>
        <sz val="11"/>
        <rFont val="Arial"/>
        <family val="2"/>
      </rPr>
      <t>Materiales para laboratorio:
Medios           de cultivo</t>
    </r>
  </si>
  <si>
    <r>
      <rPr>
        <sz val="11"/>
        <rFont val="Arial"/>
        <family val="2"/>
      </rPr>
      <t>Reactivo de Fenol de Folin-Ciocalteu para determinación       de       contenido       de compuestos       fenólicos       totales       y flavonoides. Apariencia:   solución   Amarillo verdoso. Concentración: 2 M basado en titulación de hidróxido de sodio.
Densidad 1.27 g/mL at 20 °C. Valor de pH &lt;0,5 (H2O 20ºC).
Presentación 500 mL</t>
    </r>
  </si>
  <si>
    <r>
      <rPr>
        <sz val="11"/>
        <rFont val="Arial"/>
        <family val="2"/>
      </rPr>
      <t>Ácido tánico
Grado Reactivo ACS Sinónimos: Gallotannin, Tannin Color marrón
Empirical     Formula      (Hill      Notation): C76H52O46
Peso molecular 1701.206 g/mol
Solubilidad en agua:250 g/l (20 °C) Presentación 100 g</t>
    </r>
  </si>
  <si>
    <r>
      <rPr>
        <sz val="11"/>
        <rFont val="Arial"/>
        <family val="2"/>
      </rPr>
      <t>Butanol 99,7% 1-Butanol
anhydrous, 99.7%
Sinónimos: n-Butanol, Butyl alcohol Fórmula lineal: CH3(CH2)3OH  Grado HPLC, UV/Vis
espectroscopia. Peso molecular: 74.12 Transmitancia  210  nm,  ≥20%,  235  nm,
≥80%, 280 nm, ≥98%
Presentación 1 litro</t>
    </r>
  </si>
  <si>
    <r>
      <rPr>
        <sz val="11"/>
        <rFont val="Arial"/>
        <family val="2"/>
      </rPr>
      <t>Ácido clorhídrico ACS reagent, 37% Empirical Formula (Hill Notation): HCl Peso molecular: 36.46
Densidad: 1,19 kg/l Solubilidad: Miscible con agua Presentación 1 litro</t>
    </r>
  </si>
  <si>
    <r>
      <rPr>
        <sz val="11"/>
        <rFont val="Arial"/>
        <family val="2"/>
      </rPr>
      <t>Acetona 99,9% Grado HPLC, ≥99.9% Presentación 1 litro
Fórmula lineal: CH3COCH3 Peso molecular: Peso molecular: 58.08</t>
    </r>
  </si>
  <si>
    <r>
      <rPr>
        <sz val="11"/>
        <rFont val="Arial"/>
        <family val="2"/>
      </rPr>
      <t>Ferric ammonium sulfate
≥99%</t>
    </r>
  </si>
  <si>
    <r>
      <rPr>
        <sz val="11"/>
        <rFont val="Arial"/>
        <family val="2"/>
      </rPr>
      <t>Ferric ammonium sulfate ≥99% ReagentPlus Sinónimos:    Ammonium    iron    disulfate dodecahydrate,  Ammonium  ferric  sulfate dodecahydrate
Formula química: (NH4)Fe(SO4)2·12H2O Peso molecular: 482.19
Presentación 500 g</t>
    </r>
  </si>
  <si>
    <t>SUMAS</t>
  </si>
  <si>
    <t>V. unitario</t>
  </si>
  <si>
    <t>Valor total</t>
  </si>
  <si>
    <t>Cepa láctica:
Lactobacillus plantarum
ATCC – DuoPack
Liofilizados</t>
  </si>
  <si>
    <t>Cepas patógenas:
Salmonella enteritidis
ATCC- Duopack
Liofilizados
Presentación: Paquete con
2 unidades (Duopack) para
cada cepa bacterian</t>
  </si>
  <si>
    <t>Cepas patógenas:
Escherichia coli ATCC
– DuoPack Liofilizados
Presentación: Paquete con
2 unidades (Duopack) para
cada cepa bacteriana</t>
  </si>
  <si>
    <t>MDM CIENTIFICA</t>
  </si>
  <si>
    <t>ELEMENTOS QUIMICOS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</si>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</sst>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0"/>
      <color rgb="FF000000"/>
      <name val="Times New Roman"/>
      <charset val="204"/>
    </font>
    <font>
      <b/>
      <sz val="11"/>
      <name val="Arial"/>
      <family val="2"/>
    </font>
    <font>
      <sz val="10"/>
      <color rgb="FF000000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rgb="FF0D0D0D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7">
    <xf numFmtId="0" fontId="0" fillId="0" borderId="0" xfId="0" applyAlignment="1">
      <alignment horizontal="left" vertical="top"/>
    </xf>
    <xf numFmtId="164" fontId="4" fillId="0" borderId="0" xfId="1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 indent="8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right" vertical="top" wrapText="1" indent="1"/>
    </xf>
    <xf numFmtId="1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1" fontId="4" fillId="0" borderId="2" xfId="0" applyNumberFormat="1" applyFont="1" applyBorder="1" applyAlignment="1">
      <alignment horizontal="left" vertical="center" shrinkToFit="1"/>
    </xf>
    <xf numFmtId="0" fontId="3" fillId="0" borderId="2" xfId="0" applyFont="1" applyBorder="1" applyAlignment="1">
      <alignment horizontal="left" vertical="center" wrapText="1" indent="1"/>
    </xf>
    <xf numFmtId="1" fontId="4" fillId="0" borderId="2" xfId="0" applyNumberFormat="1" applyFont="1" applyBorder="1" applyAlignment="1">
      <alignment horizontal="center" vertical="center" shrinkToFit="1"/>
    </xf>
    <xf numFmtId="164" fontId="4" fillId="0" borderId="0" xfId="0" applyNumberFormat="1" applyFont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center" wrapText="1"/>
    </xf>
    <xf numFmtId="1" fontId="4" fillId="0" borderId="1" xfId="0" applyNumberFormat="1" applyFont="1" applyBorder="1" applyAlignment="1">
      <alignment horizontal="center" vertical="top" shrinkToFit="1"/>
    </xf>
    <xf numFmtId="1" fontId="4" fillId="0" borderId="2" xfId="0" applyNumberFormat="1" applyFont="1" applyBorder="1" applyAlignment="1">
      <alignment horizontal="left" vertical="top" shrinkToFit="1"/>
    </xf>
    <xf numFmtId="0" fontId="3" fillId="0" borderId="2" xfId="0" applyFont="1" applyBorder="1" applyAlignment="1">
      <alignment horizontal="right" vertical="top" wrapText="1"/>
    </xf>
    <xf numFmtId="1" fontId="4" fillId="0" borderId="2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right" vertical="top" shrinkToFit="1"/>
    </xf>
    <xf numFmtId="1" fontId="4" fillId="0" borderId="1" xfId="0" applyNumberFormat="1" applyFont="1" applyBorder="1" applyAlignment="1">
      <alignment horizontal="right" vertical="center" shrinkToFit="1"/>
    </xf>
    <xf numFmtId="1" fontId="4" fillId="0" borderId="2" xfId="0" applyNumberFormat="1" applyFont="1" applyBorder="1" applyAlignment="1">
      <alignment horizontal="right" vertical="center" indent="1" shrinkToFit="1"/>
    </xf>
    <xf numFmtId="0" fontId="4" fillId="0" borderId="2" xfId="0" applyFont="1" applyBorder="1" applyAlignment="1">
      <alignment vertical="top" wrapText="1"/>
    </xf>
    <xf numFmtId="1" fontId="4" fillId="0" borderId="2" xfId="0" applyNumberFormat="1" applyFont="1" applyBorder="1" applyAlignment="1">
      <alignment vertical="center" shrinkToFit="1"/>
    </xf>
    <xf numFmtId="0" fontId="3" fillId="0" borderId="2" xfId="0" applyFont="1" applyBorder="1" applyAlignment="1">
      <alignment vertical="center" wrapText="1"/>
    </xf>
    <xf numFmtId="1" fontId="4" fillId="0" borderId="3" xfId="0" applyNumberFormat="1" applyFont="1" applyBorder="1" applyAlignment="1">
      <alignment horizontal="right" vertical="center" shrinkToFi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top" wrapText="1"/>
    </xf>
    <xf numFmtId="1" fontId="4" fillId="0" borderId="7" xfId="0" applyNumberFormat="1" applyFont="1" applyBorder="1" applyAlignment="1">
      <alignment vertical="center" shrinkToFit="1"/>
    </xf>
    <xf numFmtId="0" fontId="3" fillId="0" borderId="7" xfId="0" applyFont="1" applyBorder="1" applyAlignment="1">
      <alignment vertical="center" wrapText="1"/>
    </xf>
    <xf numFmtId="1" fontId="4" fillId="0" borderId="7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1" fillId="2" borderId="3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 indent="8"/>
    </xf>
    <xf numFmtId="164" fontId="6" fillId="0" borderId="6" xfId="1" applyNumberFormat="1" applyFont="1" applyBorder="1" applyAlignment="1">
      <alignment horizontal="center" vertical="top" wrapText="1"/>
    </xf>
    <xf numFmtId="164" fontId="4" fillId="0" borderId="6" xfId="1" applyNumberFormat="1" applyFont="1" applyBorder="1" applyAlignment="1">
      <alignment horizontal="left" vertical="top"/>
    </xf>
    <xf numFmtId="164" fontId="6" fillId="3" borderId="6" xfId="1" applyNumberFormat="1" applyFont="1" applyFill="1" applyBorder="1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164" fontId="4" fillId="0" borderId="0" xfId="1" applyNumberFormat="1" applyFont="1" applyFill="1" applyAlignment="1">
      <alignment horizontal="left" vertical="top"/>
    </xf>
    <xf numFmtId="164" fontId="6" fillId="0" borderId="6" xfId="1" applyNumberFormat="1" applyFont="1" applyFill="1" applyBorder="1" applyAlignment="1">
      <alignment horizontal="center" vertical="top" wrapText="1"/>
    </xf>
    <xf numFmtId="164" fontId="4" fillId="0" borderId="6" xfId="1" applyNumberFormat="1" applyFont="1" applyFill="1" applyBorder="1" applyAlignment="1">
      <alignment horizontal="left" vertical="top"/>
    </xf>
    <xf numFmtId="164" fontId="6" fillId="0" borderId="6" xfId="1" applyNumberFormat="1" applyFont="1" applyFill="1" applyBorder="1" applyAlignment="1">
      <alignment horizontal="left" vertical="top"/>
    </xf>
    <xf numFmtId="164" fontId="6" fillId="4" borderId="6" xfId="1" applyNumberFormat="1" applyFont="1" applyFill="1" applyBorder="1" applyAlignment="1">
      <alignment horizontal="center" vertical="top" wrapText="1"/>
    </xf>
    <xf numFmtId="164" fontId="4" fillId="4" borderId="6" xfId="1" applyNumberFormat="1" applyFont="1" applyFill="1" applyBorder="1" applyAlignment="1">
      <alignment horizontal="left" vertical="top"/>
    </xf>
    <xf numFmtId="1" fontId="4" fillId="0" borderId="3" xfId="0" applyNumberFormat="1" applyFont="1" applyBorder="1" applyAlignment="1">
      <alignment horizontal="center" vertical="center" shrinkToFit="1"/>
    </xf>
    <xf numFmtId="1" fontId="4" fillId="0" borderId="4" xfId="0" applyNumberFormat="1" applyFont="1" applyBorder="1" applyAlignment="1">
      <alignment horizontal="center" vertical="center" shrinkToFit="1"/>
    </xf>
    <xf numFmtId="1" fontId="4" fillId="0" borderId="5" xfId="0" applyNumberFormat="1" applyFont="1" applyBorder="1" applyAlignment="1">
      <alignment horizontal="center" vertical="center" shrinkToFit="1"/>
    </xf>
    <xf numFmtId="164" fontId="6" fillId="4" borderId="6" xfId="1" applyNumberFormat="1" applyFont="1" applyFill="1" applyBorder="1" applyAlignment="1">
      <alignment horizontal="center" vertical="top" wrapText="1"/>
    </xf>
    <xf numFmtId="164" fontId="6" fillId="0" borderId="6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164" fontId="6" fillId="0" borderId="6" xfId="1" applyNumberFormat="1" applyFont="1" applyBorder="1" applyAlignment="1">
      <alignment horizontal="center" vertical="top" wrapText="1"/>
    </xf>
    <xf numFmtId="1" fontId="4" fillId="0" borderId="12" xfId="0" applyNumberFormat="1" applyFont="1" applyBorder="1" applyAlignment="1">
      <alignment horizontal="center" vertical="center" shrinkToFit="1"/>
    </xf>
    <xf numFmtId="1" fontId="4" fillId="0" borderId="13" xfId="0" applyNumberFormat="1" applyFont="1" applyBorder="1" applyAlignment="1">
      <alignment horizontal="center" vertical="center" shrinkToFit="1"/>
    </xf>
    <xf numFmtId="1" fontId="4" fillId="0" borderId="14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"/>
  <sheetViews>
    <sheetView showGridLines="0" tabSelected="1" zoomScale="55" zoomScaleNormal="55" workbookViewId="0">
      <selection activeCell="O17" sqref="O17"/>
    </sheetView>
  </sheetViews>
  <sheetFormatPr baseColWidth="10" defaultColWidth="9.33203125" defaultRowHeight="14.25" x14ac:dyDescent="0.2"/>
  <cols>
    <col min="1" max="1" width="11.33203125" style="2" customWidth="1"/>
    <col min="2" max="2" width="30.6640625" style="2" hidden="1" customWidth="1"/>
    <col min="3" max="3" width="52.33203125" style="2" customWidth="1"/>
    <col min="4" max="5" width="11.1640625" style="2" customWidth="1"/>
    <col min="6" max="6" width="8.83203125" style="2" customWidth="1"/>
    <col min="7" max="7" width="20.1640625" style="45" customWidth="1"/>
    <col min="8" max="13" width="20.33203125" style="45" customWidth="1"/>
    <col min="14" max="14" width="24.33203125" style="45" customWidth="1"/>
    <col min="15" max="16" width="20.33203125" style="1" customWidth="1"/>
    <col min="17" max="17" width="13.33203125" style="2" bestFit="1" customWidth="1"/>
    <col min="18" max="18" width="16.33203125" style="2" customWidth="1"/>
    <col min="19" max="16384" width="9.33203125" style="2"/>
  </cols>
  <sheetData>
    <row r="1" spans="1:18" ht="60.75" customHeight="1" x14ac:dyDescent="0.2">
      <c r="A1" s="56" t="s">
        <v>0</v>
      </c>
      <c r="B1" s="56"/>
      <c r="C1" s="56"/>
      <c r="D1" s="56"/>
      <c r="E1" s="56"/>
      <c r="F1" s="56"/>
      <c r="G1" s="56"/>
      <c r="H1" s="56"/>
      <c r="I1" s="56"/>
    </row>
    <row r="2" spans="1:18" ht="27.75" customHeight="1" x14ac:dyDescent="0.2">
      <c r="A2" s="3" t="s">
        <v>25</v>
      </c>
      <c r="B2" s="4" t="s">
        <v>26</v>
      </c>
      <c r="C2" s="5" t="s">
        <v>27</v>
      </c>
      <c r="D2" s="6" t="s">
        <v>28</v>
      </c>
      <c r="E2" s="7" t="s">
        <v>29</v>
      </c>
      <c r="F2" s="6" t="s">
        <v>30</v>
      </c>
      <c r="G2" s="54" t="s">
        <v>23</v>
      </c>
      <c r="H2" s="54"/>
      <c r="I2" s="55" t="s">
        <v>23</v>
      </c>
      <c r="J2" s="55"/>
      <c r="K2" s="54" t="s">
        <v>45</v>
      </c>
      <c r="L2" s="54"/>
      <c r="M2" s="55" t="s">
        <v>46</v>
      </c>
      <c r="N2" s="55"/>
      <c r="O2" s="57" t="s">
        <v>47</v>
      </c>
      <c r="P2" s="57"/>
    </row>
    <row r="3" spans="1:18" ht="27.75" customHeight="1" x14ac:dyDescent="0.2">
      <c r="A3" s="36"/>
      <c r="B3" s="37"/>
      <c r="C3" s="38"/>
      <c r="D3" s="6"/>
      <c r="E3" s="7"/>
      <c r="F3" s="6"/>
      <c r="G3" s="49" t="s">
        <v>40</v>
      </c>
      <c r="H3" s="49" t="s">
        <v>41</v>
      </c>
      <c r="I3" s="46" t="s">
        <v>40</v>
      </c>
      <c r="J3" s="46" t="s">
        <v>41</v>
      </c>
      <c r="K3" s="49" t="s">
        <v>40</v>
      </c>
      <c r="L3" s="49" t="s">
        <v>41</v>
      </c>
      <c r="M3" s="46" t="s">
        <v>40</v>
      </c>
      <c r="N3" s="46" t="s">
        <v>41</v>
      </c>
      <c r="O3" s="39" t="s">
        <v>40</v>
      </c>
      <c r="P3" s="39" t="s">
        <v>41</v>
      </c>
    </row>
    <row r="4" spans="1:18" ht="66.75" customHeight="1" x14ac:dyDescent="0.2">
      <c r="A4" s="51">
        <v>1</v>
      </c>
      <c r="B4" s="64" t="s">
        <v>1</v>
      </c>
      <c r="C4" s="43" t="s">
        <v>42</v>
      </c>
      <c r="D4" s="58">
        <v>41106202</v>
      </c>
      <c r="E4" s="61" t="s">
        <v>2</v>
      </c>
      <c r="F4" s="13">
        <v>1</v>
      </c>
      <c r="G4" s="50">
        <v>411700</v>
      </c>
      <c r="H4" s="50">
        <f>G4*F4</f>
        <v>411700</v>
      </c>
      <c r="I4" s="47"/>
      <c r="J4" s="47">
        <f>I4*F4</f>
        <v>0</v>
      </c>
      <c r="K4" s="50">
        <v>509200</v>
      </c>
      <c r="L4" s="50"/>
      <c r="M4" s="47"/>
      <c r="N4" s="47"/>
      <c r="O4" s="40">
        <f>AVERAGE(G4,K4)</f>
        <v>460450</v>
      </c>
      <c r="P4" s="40">
        <f>O4*F4</f>
        <v>460450</v>
      </c>
      <c r="R4" s="14"/>
    </row>
    <row r="5" spans="1:18" ht="108.75" customHeight="1" x14ac:dyDescent="0.2">
      <c r="A5" s="52"/>
      <c r="B5" s="65"/>
      <c r="C5" s="44" t="s">
        <v>43</v>
      </c>
      <c r="D5" s="59"/>
      <c r="E5" s="62"/>
      <c r="F5" s="13">
        <v>1</v>
      </c>
      <c r="G5" s="50">
        <v>370600</v>
      </c>
      <c r="H5" s="50">
        <f t="shared" ref="H5:H19" si="0">G5*F5</f>
        <v>370600</v>
      </c>
      <c r="I5" s="47"/>
      <c r="J5" s="47">
        <f t="shared" ref="J5:J19" si="1">I5*F5</f>
        <v>0</v>
      </c>
      <c r="K5" s="50">
        <v>509200</v>
      </c>
      <c r="L5" s="50"/>
      <c r="M5" s="47"/>
      <c r="N5" s="47"/>
      <c r="O5" s="40">
        <f>AVERAGE(G5,K5)</f>
        <v>439900</v>
      </c>
      <c r="P5" s="40">
        <f t="shared" ref="P5:P19" si="2">O5*F5</f>
        <v>439900</v>
      </c>
      <c r="R5" s="14"/>
    </row>
    <row r="6" spans="1:18" ht="75" customHeight="1" x14ac:dyDescent="0.2">
      <c r="A6" s="53"/>
      <c r="B6" s="66"/>
      <c r="C6" s="44" t="s">
        <v>44</v>
      </c>
      <c r="D6" s="60"/>
      <c r="E6" s="63"/>
      <c r="F6" s="13">
        <v>1</v>
      </c>
      <c r="G6" s="50">
        <v>411700</v>
      </c>
      <c r="H6" s="50">
        <f t="shared" si="0"/>
        <v>411700</v>
      </c>
      <c r="I6" s="47"/>
      <c r="J6" s="47">
        <f t="shared" si="1"/>
        <v>0</v>
      </c>
      <c r="K6" s="50">
        <v>290000</v>
      </c>
      <c r="L6" s="50"/>
      <c r="M6" s="47"/>
      <c r="N6" s="47"/>
      <c r="O6" s="40">
        <f>AVERAGE(G6,K6)</f>
        <v>350850</v>
      </c>
      <c r="P6" s="40">
        <f t="shared" si="2"/>
        <v>350850</v>
      </c>
      <c r="R6" s="14"/>
    </row>
    <row r="7" spans="1:18" ht="35.1" customHeight="1" x14ac:dyDescent="0.2">
      <c r="A7" s="8">
        <v>2</v>
      </c>
      <c r="B7" s="10" t="s">
        <v>31</v>
      </c>
      <c r="C7" s="42" t="s">
        <v>3</v>
      </c>
      <c r="D7" s="11">
        <v>41106204</v>
      </c>
      <c r="E7" s="16" t="s">
        <v>2</v>
      </c>
      <c r="F7" s="13">
        <v>1</v>
      </c>
      <c r="G7" s="50">
        <f>1414286+268714</f>
        <v>1683000</v>
      </c>
      <c r="H7" s="50">
        <f t="shared" si="0"/>
        <v>1683000</v>
      </c>
      <c r="I7" s="47">
        <f>1524000+289560</f>
        <v>1813560</v>
      </c>
      <c r="J7" s="47">
        <f t="shared" si="1"/>
        <v>1813560</v>
      </c>
      <c r="K7" s="50">
        <f>(352000*19%)+352000</f>
        <v>418880</v>
      </c>
      <c r="L7" s="50">
        <f>K7*F7</f>
        <v>418880</v>
      </c>
      <c r="M7" s="47"/>
      <c r="N7" s="47"/>
      <c r="O7" s="40">
        <f>AVERAGE(G7,I7,K7)</f>
        <v>1305146.6666666667</v>
      </c>
      <c r="P7" s="40">
        <f t="shared" si="2"/>
        <v>1305146.6666666667</v>
      </c>
      <c r="Q7" s="14"/>
      <c r="R7" s="14"/>
    </row>
    <row r="8" spans="1:18" ht="35.1" customHeight="1" x14ac:dyDescent="0.2">
      <c r="A8" s="8">
        <v>3</v>
      </c>
      <c r="B8" s="15" t="s">
        <v>4</v>
      </c>
      <c r="C8" s="15" t="s">
        <v>5</v>
      </c>
      <c r="D8" s="11">
        <v>41106214</v>
      </c>
      <c r="E8" s="16" t="s">
        <v>2</v>
      </c>
      <c r="F8" s="13">
        <v>1</v>
      </c>
      <c r="G8" s="50">
        <v>1412530</v>
      </c>
      <c r="H8" s="50">
        <f t="shared" si="0"/>
        <v>1412530</v>
      </c>
      <c r="I8" s="47">
        <f>1187000+225530</f>
        <v>1412530</v>
      </c>
      <c r="J8" s="47">
        <f t="shared" si="1"/>
        <v>1412530</v>
      </c>
      <c r="K8" s="50">
        <f>(325000*19%)+325000</f>
        <v>386750</v>
      </c>
      <c r="L8" s="50">
        <f>K8*F8</f>
        <v>386750</v>
      </c>
      <c r="M8" s="47"/>
      <c r="N8" s="47"/>
      <c r="O8" s="40">
        <f>AVERAGE(G8,I8,K8)</f>
        <v>1070603.3333333333</v>
      </c>
      <c r="P8" s="40">
        <f t="shared" si="2"/>
        <v>1070603.3333333333</v>
      </c>
      <c r="Q8" s="14"/>
      <c r="R8" s="14"/>
    </row>
    <row r="9" spans="1:18" ht="28.5" customHeight="1" x14ac:dyDescent="0.2">
      <c r="A9" s="17">
        <v>4</v>
      </c>
      <c r="B9" s="15" t="s">
        <v>6</v>
      </c>
      <c r="C9" s="15" t="s">
        <v>7</v>
      </c>
      <c r="D9" s="18">
        <v>41122101</v>
      </c>
      <c r="E9" s="19" t="s">
        <v>2</v>
      </c>
      <c r="F9" s="20">
        <v>32</v>
      </c>
      <c r="G9" s="50"/>
      <c r="H9" s="50">
        <f t="shared" si="0"/>
        <v>0</v>
      </c>
      <c r="I9" s="47">
        <v>0</v>
      </c>
      <c r="J9" s="47">
        <f t="shared" si="1"/>
        <v>0</v>
      </c>
      <c r="K9" s="50">
        <f>(5500*19%)+5500</f>
        <v>6545</v>
      </c>
      <c r="L9" s="50">
        <f>+K9*F9</f>
        <v>209440</v>
      </c>
      <c r="M9" s="47">
        <f>(4300*19%)+4300</f>
        <v>5117</v>
      </c>
      <c r="N9" s="47">
        <f>+M9*F9</f>
        <v>163744</v>
      </c>
      <c r="O9" s="40">
        <f>AVERAGE(K9,M9)</f>
        <v>5831</v>
      </c>
      <c r="P9" s="40">
        <f t="shared" si="2"/>
        <v>186592</v>
      </c>
      <c r="Q9" s="14"/>
      <c r="R9" s="14"/>
    </row>
    <row r="10" spans="1:18" ht="59.25" customHeight="1" x14ac:dyDescent="0.2">
      <c r="A10" s="8">
        <v>5</v>
      </c>
      <c r="B10" s="9" t="s">
        <v>8</v>
      </c>
      <c r="C10" s="15" t="s">
        <v>24</v>
      </c>
      <c r="D10" s="11">
        <v>15101511</v>
      </c>
      <c r="E10" s="16" t="s">
        <v>2</v>
      </c>
      <c r="F10" s="13">
        <v>2</v>
      </c>
      <c r="G10" s="50">
        <f>1344000+255360</f>
        <v>1599360</v>
      </c>
      <c r="H10" s="50">
        <f t="shared" si="0"/>
        <v>3198720</v>
      </c>
      <c r="I10" s="47">
        <f>1344000+255360</f>
        <v>1599360</v>
      </c>
      <c r="J10" s="47">
        <f t="shared" si="1"/>
        <v>3198720</v>
      </c>
      <c r="K10" s="50"/>
      <c r="L10" s="50">
        <f>+K10*F10</f>
        <v>0</v>
      </c>
      <c r="M10" s="47">
        <f>(452000*19%)+452000</f>
        <v>537880</v>
      </c>
      <c r="N10" s="47">
        <f t="shared" ref="N10:N11" si="3">+M10*F10</f>
        <v>1075760</v>
      </c>
      <c r="O10" s="40">
        <f>AVERAGE(G10,I10,M10)</f>
        <v>1245533.3333333333</v>
      </c>
      <c r="P10" s="40">
        <f t="shared" si="2"/>
        <v>2491066.6666666665</v>
      </c>
      <c r="Q10" s="14"/>
      <c r="R10" s="14"/>
    </row>
    <row r="11" spans="1:18" ht="50.25" customHeight="1" x14ac:dyDescent="0.2">
      <c r="A11" s="8">
        <v>6</v>
      </c>
      <c r="B11" s="9" t="s">
        <v>9</v>
      </c>
      <c r="C11" s="15" t="s">
        <v>10</v>
      </c>
      <c r="D11" s="11">
        <v>12191601</v>
      </c>
      <c r="E11" s="16" t="s">
        <v>11</v>
      </c>
      <c r="F11" s="13">
        <v>2</v>
      </c>
      <c r="G11" s="50">
        <f>91450+17376</f>
        <v>108826</v>
      </c>
      <c r="H11" s="50">
        <f t="shared" si="0"/>
        <v>217652</v>
      </c>
      <c r="I11" s="47">
        <f>99000+18810</f>
        <v>117810</v>
      </c>
      <c r="J11" s="47">
        <f t="shared" si="1"/>
        <v>235620</v>
      </c>
      <c r="K11" s="50">
        <f>(1300000*19%)+1300000</f>
        <v>1547000</v>
      </c>
      <c r="L11" s="50">
        <f>+K11</f>
        <v>1547000</v>
      </c>
      <c r="M11" s="47">
        <f>(330000*19%)+330000</f>
        <v>392700</v>
      </c>
      <c r="N11" s="47">
        <f t="shared" si="3"/>
        <v>785400</v>
      </c>
      <c r="O11" s="40">
        <f>AVERAGE(G11,I11,K11,M11)</f>
        <v>541584</v>
      </c>
      <c r="P11" s="40">
        <f t="shared" si="2"/>
        <v>1083168</v>
      </c>
      <c r="Q11" s="14"/>
      <c r="R11" s="14"/>
    </row>
    <row r="12" spans="1:18" ht="46.5" customHeight="1" x14ac:dyDescent="0.2">
      <c r="A12" s="21">
        <v>7</v>
      </c>
      <c r="B12" s="15" t="s">
        <v>12</v>
      </c>
      <c r="C12" s="15" t="s">
        <v>22</v>
      </c>
      <c r="D12" s="18">
        <v>41104922</v>
      </c>
      <c r="E12" s="16" t="s">
        <v>13</v>
      </c>
      <c r="F12" s="20">
        <v>3</v>
      </c>
      <c r="G12" s="50">
        <f>472000+89680</f>
        <v>561680</v>
      </c>
      <c r="H12" s="50">
        <f t="shared" si="0"/>
        <v>1685040</v>
      </c>
      <c r="I12" s="47"/>
      <c r="J12" s="47">
        <f t="shared" si="1"/>
        <v>0</v>
      </c>
      <c r="K12" s="50"/>
      <c r="L12" s="50"/>
      <c r="M12" s="47"/>
      <c r="N12" s="47"/>
      <c r="O12" s="40">
        <f>G12</f>
        <v>561680</v>
      </c>
      <c r="P12" s="40">
        <f t="shared" si="2"/>
        <v>1685040</v>
      </c>
      <c r="Q12" s="14"/>
      <c r="R12" s="14"/>
    </row>
    <row r="13" spans="1:18" ht="46.5" customHeight="1" x14ac:dyDescent="0.2">
      <c r="A13" s="21">
        <v>8</v>
      </c>
      <c r="B13" s="15" t="s">
        <v>14</v>
      </c>
      <c r="C13" s="15" t="s">
        <v>21</v>
      </c>
      <c r="D13" s="18">
        <v>42142609</v>
      </c>
      <c r="E13" s="16" t="s">
        <v>13</v>
      </c>
      <c r="F13" s="20">
        <v>2</v>
      </c>
      <c r="G13" s="50">
        <f>58000+11020</f>
        <v>69020</v>
      </c>
      <c r="H13" s="50">
        <f t="shared" si="0"/>
        <v>138040</v>
      </c>
      <c r="I13" s="47">
        <f>58000+11020</f>
        <v>69020</v>
      </c>
      <c r="J13" s="47">
        <f t="shared" si="1"/>
        <v>138040</v>
      </c>
      <c r="K13" s="50">
        <f>(34300*19%)+34300</f>
        <v>40817</v>
      </c>
      <c r="L13" s="50">
        <f>K13*F13</f>
        <v>81634</v>
      </c>
      <c r="M13" s="47"/>
      <c r="N13" s="47"/>
      <c r="O13" s="40">
        <f>AVERAGE(G13,I13,K13)</f>
        <v>59619</v>
      </c>
      <c r="P13" s="40">
        <f t="shared" si="2"/>
        <v>119238</v>
      </c>
      <c r="Q13" s="14"/>
      <c r="R13" s="14"/>
    </row>
    <row r="14" spans="1:18" ht="132" customHeight="1" x14ac:dyDescent="0.2">
      <c r="A14" s="22">
        <v>9</v>
      </c>
      <c r="B14" s="15" t="s">
        <v>15</v>
      </c>
      <c r="C14" s="10" t="s">
        <v>32</v>
      </c>
      <c r="D14" s="11">
        <v>12191503</v>
      </c>
      <c r="E14" s="12" t="s">
        <v>2</v>
      </c>
      <c r="F14" s="23">
        <v>2</v>
      </c>
      <c r="G14" s="50">
        <f>367150+69759</f>
        <v>436909</v>
      </c>
      <c r="H14" s="50">
        <f t="shared" si="0"/>
        <v>873818</v>
      </c>
      <c r="I14" s="47">
        <f>396000+75240</f>
        <v>471240</v>
      </c>
      <c r="J14" s="47">
        <f t="shared" si="1"/>
        <v>942480</v>
      </c>
      <c r="K14" s="50"/>
      <c r="L14" s="50"/>
      <c r="M14" s="47"/>
      <c r="N14" s="47"/>
      <c r="O14" s="40">
        <f>AVERAGE(G14,I14)</f>
        <v>454074.5</v>
      </c>
      <c r="P14" s="40">
        <f t="shared" si="2"/>
        <v>908149</v>
      </c>
      <c r="Q14" s="14"/>
      <c r="R14" s="14"/>
    </row>
    <row r="15" spans="1:18" ht="120.95" customHeight="1" x14ac:dyDescent="0.2">
      <c r="A15" s="22">
        <v>10</v>
      </c>
      <c r="B15" s="9" t="s">
        <v>16</v>
      </c>
      <c r="C15" s="10" t="s">
        <v>33</v>
      </c>
      <c r="D15" s="11">
        <v>51241305</v>
      </c>
      <c r="E15" s="12" t="s">
        <v>2</v>
      </c>
      <c r="F15" s="23">
        <v>2</v>
      </c>
      <c r="G15" s="50">
        <f>319000+60610</f>
        <v>379610</v>
      </c>
      <c r="H15" s="50">
        <f t="shared" si="0"/>
        <v>759220</v>
      </c>
      <c r="I15" s="47">
        <f>496000+94240</f>
        <v>590240</v>
      </c>
      <c r="J15" s="47">
        <f t="shared" si="1"/>
        <v>1180480</v>
      </c>
      <c r="K15" s="50"/>
      <c r="L15" s="50">
        <f>+K15*F15</f>
        <v>0</v>
      </c>
      <c r="M15" s="47">
        <f>(597000*19%)+597000</f>
        <v>710430</v>
      </c>
      <c r="N15" s="47">
        <f t="shared" ref="N15" si="4">+M15*F15</f>
        <v>1420860</v>
      </c>
      <c r="O15" s="40">
        <f>AVERAGE(G15,I15,M15)</f>
        <v>560093.33333333337</v>
      </c>
      <c r="P15" s="40">
        <f t="shared" si="2"/>
        <v>1120186.6666666667</v>
      </c>
      <c r="Q15" s="14"/>
      <c r="R15" s="14"/>
    </row>
    <row r="16" spans="1:18" ht="129.75" customHeight="1" x14ac:dyDescent="0.2">
      <c r="A16" s="22">
        <v>11</v>
      </c>
      <c r="B16" s="9" t="s">
        <v>17</v>
      </c>
      <c r="C16" s="24" t="s">
        <v>34</v>
      </c>
      <c r="D16" s="25">
        <v>12191601</v>
      </c>
      <c r="E16" s="26" t="s">
        <v>18</v>
      </c>
      <c r="F16" s="23">
        <v>2</v>
      </c>
      <c r="G16" s="50"/>
      <c r="H16" s="50">
        <f t="shared" si="0"/>
        <v>0</v>
      </c>
      <c r="I16" s="47">
        <f>820000+155800</f>
        <v>975800</v>
      </c>
      <c r="J16" s="47">
        <f t="shared" si="1"/>
        <v>1951600</v>
      </c>
      <c r="K16" s="50"/>
      <c r="L16" s="50"/>
      <c r="M16" s="47"/>
      <c r="N16" s="47"/>
      <c r="O16" s="40">
        <f>I16</f>
        <v>975800</v>
      </c>
      <c r="P16" s="40">
        <f t="shared" si="2"/>
        <v>1951600</v>
      </c>
      <c r="Q16" s="14"/>
      <c r="R16" s="14"/>
    </row>
    <row r="17" spans="1:18" ht="73.5" customHeight="1" x14ac:dyDescent="0.2">
      <c r="A17" s="22">
        <v>12</v>
      </c>
      <c r="B17" s="9" t="s">
        <v>19</v>
      </c>
      <c r="C17" s="24" t="s">
        <v>35</v>
      </c>
      <c r="D17" s="25">
        <v>12352301</v>
      </c>
      <c r="E17" s="26" t="s">
        <v>18</v>
      </c>
      <c r="F17" s="23">
        <v>2</v>
      </c>
      <c r="G17" s="50">
        <f>75700+14383</f>
        <v>90083</v>
      </c>
      <c r="H17" s="50">
        <f t="shared" si="0"/>
        <v>180166</v>
      </c>
      <c r="I17" s="47">
        <f>82000+15580</f>
        <v>97580</v>
      </c>
      <c r="J17" s="47">
        <f t="shared" si="1"/>
        <v>195160</v>
      </c>
      <c r="K17" s="50"/>
      <c r="L17" s="50">
        <f>+K17*F17</f>
        <v>0</v>
      </c>
      <c r="M17" s="47"/>
      <c r="N17" s="47">
        <f>+M17*H17</f>
        <v>0</v>
      </c>
      <c r="O17" s="40">
        <f>AVERAGE(G17,I17)</f>
        <v>93831.5</v>
      </c>
      <c r="P17" s="40">
        <f t="shared" si="2"/>
        <v>187663</v>
      </c>
      <c r="Q17" s="14"/>
      <c r="R17" s="14"/>
    </row>
    <row r="18" spans="1:18" ht="63.75" customHeight="1" x14ac:dyDescent="0.2">
      <c r="A18" s="22">
        <v>13</v>
      </c>
      <c r="B18" s="9" t="s">
        <v>20</v>
      </c>
      <c r="C18" s="24" t="s">
        <v>36</v>
      </c>
      <c r="D18" s="25">
        <v>51102710</v>
      </c>
      <c r="E18" s="26" t="s">
        <v>11</v>
      </c>
      <c r="F18" s="23">
        <v>3</v>
      </c>
      <c r="G18" s="50">
        <f>229300+43567</f>
        <v>272867</v>
      </c>
      <c r="H18" s="50">
        <f t="shared" si="0"/>
        <v>818601</v>
      </c>
      <c r="I18" s="47">
        <f>247000+46930</f>
        <v>293930</v>
      </c>
      <c r="J18" s="47">
        <f t="shared" si="1"/>
        <v>881790</v>
      </c>
      <c r="K18" s="50"/>
      <c r="L18" s="50">
        <f>+K18</f>
        <v>0</v>
      </c>
      <c r="M18" s="47"/>
      <c r="N18" s="47">
        <f t="shared" ref="N18:N19" si="5">+M18*F18</f>
        <v>0</v>
      </c>
      <c r="O18" s="40">
        <f>AVERAGE(G18,I18,M18)</f>
        <v>283398.5</v>
      </c>
      <c r="P18" s="40">
        <f t="shared" si="2"/>
        <v>850195.5</v>
      </c>
      <c r="Q18" s="14"/>
      <c r="R18" s="14"/>
    </row>
    <row r="19" spans="1:18" ht="116.25" customHeight="1" x14ac:dyDescent="0.2">
      <c r="A19" s="27">
        <v>14</v>
      </c>
      <c r="B19" s="28" t="s">
        <v>37</v>
      </c>
      <c r="C19" s="29" t="s">
        <v>38</v>
      </c>
      <c r="D19" s="30">
        <v>12352314</v>
      </c>
      <c r="E19" s="31" t="s">
        <v>2</v>
      </c>
      <c r="F19" s="32">
        <v>1</v>
      </c>
      <c r="G19" s="50">
        <f>237150+45059</f>
        <v>282209</v>
      </c>
      <c r="H19" s="50">
        <f t="shared" si="0"/>
        <v>282209</v>
      </c>
      <c r="I19" s="47">
        <f>256000+48640</f>
        <v>304640</v>
      </c>
      <c r="J19" s="47">
        <f t="shared" si="1"/>
        <v>304640</v>
      </c>
      <c r="K19" s="50"/>
      <c r="L19" s="50">
        <f>+K19*F19</f>
        <v>0</v>
      </c>
      <c r="M19" s="47">
        <f>(465000*19%)+465000</f>
        <v>553350</v>
      </c>
      <c r="N19" s="47">
        <f t="shared" si="5"/>
        <v>553350</v>
      </c>
      <c r="O19" s="40">
        <f>AVERAGE(G19,I19,M19)</f>
        <v>380066.33333333331</v>
      </c>
      <c r="P19" s="40">
        <f t="shared" si="2"/>
        <v>380066.33333333331</v>
      </c>
      <c r="Q19" s="14"/>
      <c r="R19" s="14"/>
    </row>
    <row r="20" spans="1:18" ht="15" x14ac:dyDescent="0.2">
      <c r="A20" s="33"/>
      <c r="B20" s="34"/>
      <c r="C20" s="35" t="s">
        <v>39</v>
      </c>
      <c r="D20" s="34"/>
      <c r="E20" s="34"/>
      <c r="F20" s="34"/>
      <c r="G20" s="47"/>
      <c r="H20" s="48">
        <f>SUM(H4:H19)</f>
        <v>12442996</v>
      </c>
      <c r="I20" s="48"/>
      <c r="J20" s="48">
        <f>SUM(J4:J19)</f>
        <v>12254620</v>
      </c>
      <c r="K20" s="48"/>
      <c r="L20" s="48">
        <f>SUM(L4:L19)</f>
        <v>2643704</v>
      </c>
      <c r="M20" s="48"/>
      <c r="N20" s="48">
        <f>SUM(N4:N19)</f>
        <v>3999114</v>
      </c>
      <c r="O20" s="41"/>
      <c r="P20" s="41">
        <f>SUM(P4:P19)</f>
        <v>14589915.166666666</v>
      </c>
    </row>
  </sheetData>
  <mergeCells count="10">
    <mergeCell ref="O2:P2"/>
    <mergeCell ref="D4:D6"/>
    <mergeCell ref="E4:E6"/>
    <mergeCell ref="B4:B6"/>
    <mergeCell ref="A4:A6"/>
    <mergeCell ref="G2:H2"/>
    <mergeCell ref="I2:J2"/>
    <mergeCell ref="A1:I1"/>
    <mergeCell ref="M2:N2"/>
    <mergeCell ref="K2:L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Dario Quintero Marmol</dc:creator>
  <cp:lastModifiedBy>Mariana Edith Posso Matacea</cp:lastModifiedBy>
  <dcterms:created xsi:type="dcterms:W3CDTF">2023-07-04T20:26:14Z</dcterms:created>
  <dcterms:modified xsi:type="dcterms:W3CDTF">2023-11-27T20:14:40Z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2023-08-11T21:42:49Z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806f6b84-2825-43ed-b15a-f24319423607</vt:lpwstr>
  </property>
  <property fmtid="{D5CDD505-2E9C-101B-9397-08002B2CF9AE}" pid="8" name="MSIP_Label_1299739c-ad3d-4908-806e-4d91151a6e13_ContentBits">
    <vt:lpwstr>0</vt:lpwstr>
  </property>
</Properties>
</file>